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ran Reymond\Documentos Trabalho\Consultorias\Companhia\"/>
    </mc:Choice>
  </mc:AlternateContent>
  <xr:revisionPtr revIDLastSave="0" documentId="13_ncr:1_{F6B570F5-CE28-44D0-B17D-8F6C6009E660}" xr6:coauthVersionLast="47" xr6:coauthVersionMax="47" xr10:uidLastSave="{00000000-0000-0000-0000-000000000000}"/>
  <bookViews>
    <workbookView xWindow="-120" yWindow="-120" windowWidth="24240" windowHeight="13020" activeTab="4" xr2:uid="{7FB1678D-56A5-49C2-ACF9-253516817FD1}"/>
  </bookViews>
  <sheets>
    <sheet name="base" sheetId="2" r:id="rId1"/>
    <sheet name="Plano de Contas" sheetId="18" r:id="rId2"/>
    <sheet name="Serviços" sheetId="4" r:id="rId3"/>
    <sheet name="Produtos" sheetId="5" r:id="rId4"/>
    <sheet name="Registro" sheetId="19" r:id="rId5"/>
    <sheet name="Análise - Caixa" sheetId="17" r:id="rId6"/>
    <sheet name="Receitas" sheetId="21" r:id="rId7"/>
    <sheet name="Despesas" sheetId="22" r:id="rId8"/>
    <sheet name="DRE" sheetId="23" r:id="rId9"/>
    <sheet name="Planejamento" sheetId="24" r:id="rId10"/>
  </sheets>
  <definedNames>
    <definedName name="_xlnm._FilterDatabase" localSheetId="0" hidden="1">base!$H$13:$H$20</definedName>
    <definedName name="_xlnm._FilterDatabase" localSheetId="7" hidden="1">Despesas!$A$1:$F$91</definedName>
    <definedName name="_xlnm._FilterDatabase" localSheetId="1" hidden="1">'Plano de Contas'!$T$2:$W$56</definedName>
    <definedName name="_xlnm._FilterDatabase" localSheetId="6" hidden="1">Receitas!$A$1:$J$2164</definedName>
    <definedName name="Ajustes">base!$AB$1:$AB$3</definedName>
    <definedName name="caixa">base!$B$2:$B$8</definedName>
    <definedName name="Clientes">base!$R$2:$R$300</definedName>
    <definedName name="Combos">base!$M$2:$M$115</definedName>
    <definedName name="comissão">base!$T$2</definedName>
    <definedName name="Crédito_de_Cliente">base!$E$1:$E$20</definedName>
    <definedName name="Despesas">base!$F$2:$F$8</definedName>
    <definedName name="Diretoria">base!$AA$2:$AA$8</definedName>
    <definedName name="Empréstimos">base!$N$2:$N$6</definedName>
    <definedName name="Fixas">base!$G$2:$G$14</definedName>
    <definedName name="Investimentos">base!$O$1:$O$6</definedName>
    <definedName name="itaú">base!$C$2:$C$10</definedName>
    <definedName name="Lucros">base!$AB$2</definedName>
    <definedName name="Pacotes">base!$Z$2:$Z$5</definedName>
    <definedName name="Produtos">base!$L$2:$L$17</definedName>
    <definedName name="Receitas">base!$J$2:$J$10</definedName>
    <definedName name="Serviços">base!$K$2:$K$15</definedName>
    <definedName name="tipo" localSheetId="9">base!$P$2:$P$3</definedName>
    <definedName name="tipo">base!$P$2:$P$3</definedName>
    <definedName name="tipo_cliente">base!$R$2:$R$3</definedName>
    <definedName name="TON">base!$D$2:$D$6</definedName>
    <definedName name="Variáveis">base!$H$2:$H$10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58" i="19" l="1"/>
  <c r="N2659" i="19"/>
  <c r="N2660" i="19"/>
  <c r="N2661" i="19"/>
  <c r="N2662" i="19"/>
  <c r="N2663" i="19"/>
  <c r="N2664" i="19"/>
  <c r="N2665" i="19"/>
  <c r="N2666" i="19"/>
  <c r="N2667" i="19"/>
  <c r="N2668" i="19"/>
  <c r="N2669" i="19"/>
  <c r="N2670" i="19"/>
  <c r="N2671" i="19"/>
  <c r="N2672" i="19"/>
  <c r="N2673" i="19"/>
  <c r="N2674" i="19"/>
  <c r="N2675" i="19"/>
  <c r="N2676" i="19"/>
  <c r="N2677" i="19"/>
  <c r="N2678" i="19"/>
  <c r="N2679" i="19"/>
  <c r="N2680" i="19"/>
  <c r="N2681" i="19"/>
  <c r="N2682" i="19"/>
  <c r="N2683" i="19"/>
  <c r="N2684" i="19"/>
  <c r="N2685" i="19"/>
  <c r="O2658" i="19"/>
  <c r="O2659" i="19"/>
  <c r="O2660" i="19"/>
  <c r="O2661" i="19"/>
  <c r="O2662" i="19"/>
  <c r="O2663" i="19"/>
  <c r="O2664" i="19"/>
  <c r="O2665" i="19"/>
  <c r="O2666" i="19"/>
  <c r="O2667" i="19"/>
  <c r="O2668" i="19"/>
  <c r="O2669" i="19"/>
  <c r="O2670" i="19"/>
  <c r="O2671" i="19"/>
  <c r="O2672" i="19"/>
  <c r="O2673" i="19"/>
  <c r="O2674" i="19"/>
  <c r="O2675" i="19"/>
  <c r="O2676" i="19"/>
  <c r="O2677" i="19"/>
  <c r="O2678" i="19"/>
  <c r="O2679" i="19"/>
  <c r="O2680" i="19"/>
  <c r="O2681" i="19"/>
  <c r="O2682" i="19"/>
  <c r="O2683" i="19"/>
  <c r="O2684" i="19"/>
  <c r="O2685" i="19"/>
  <c r="P2658" i="19"/>
  <c r="P2659" i="19"/>
  <c r="P2660" i="19"/>
  <c r="P2661" i="19"/>
  <c r="P2662" i="19"/>
  <c r="P2663" i="19"/>
  <c r="P2664" i="19"/>
  <c r="P2665" i="19"/>
  <c r="P2666" i="19"/>
  <c r="P2667" i="19"/>
  <c r="P2668" i="19"/>
  <c r="P2669" i="19"/>
  <c r="P2670" i="19"/>
  <c r="P2671" i="19"/>
  <c r="P2672" i="19"/>
  <c r="P2673" i="19"/>
  <c r="P2674" i="19"/>
  <c r="P2675" i="19"/>
  <c r="P2676" i="19"/>
  <c r="P2677" i="19"/>
  <c r="P2678" i="19"/>
  <c r="P2679" i="19"/>
  <c r="P2680" i="19"/>
  <c r="P2681" i="19"/>
  <c r="P2682" i="19"/>
  <c r="P2683" i="19"/>
  <c r="P2684" i="19"/>
  <c r="P2685" i="19"/>
  <c r="T2658" i="19"/>
  <c r="T2659" i="19"/>
  <c r="T2660" i="19"/>
  <c r="T2661" i="19"/>
  <c r="T2662" i="19"/>
  <c r="T2663" i="19"/>
  <c r="T2664" i="19"/>
  <c r="T2665" i="19"/>
  <c r="T2666" i="19"/>
  <c r="T2667" i="19"/>
  <c r="T2668" i="19"/>
  <c r="T2669" i="19"/>
  <c r="T2670" i="19"/>
  <c r="T2671" i="19"/>
  <c r="T2672" i="19"/>
  <c r="T2673" i="19"/>
  <c r="T2674" i="19"/>
  <c r="T2675" i="19"/>
  <c r="T2676" i="19"/>
  <c r="T2677" i="19"/>
  <c r="T2678" i="19"/>
  <c r="T2679" i="19"/>
  <c r="T2680" i="19"/>
  <c r="T2681" i="19"/>
  <c r="T2682" i="19"/>
  <c r="T2683" i="19"/>
  <c r="T2684" i="19"/>
  <c r="T2685" i="19"/>
  <c r="U2658" i="19"/>
  <c r="U2659" i="19"/>
  <c r="U2660" i="19"/>
  <c r="U2661" i="19"/>
  <c r="U2662" i="19"/>
  <c r="U2663" i="19"/>
  <c r="U2664" i="19"/>
  <c r="U2665" i="19"/>
  <c r="U2666" i="19"/>
  <c r="U2667" i="19"/>
  <c r="U2668" i="19"/>
  <c r="U2669" i="19"/>
  <c r="U2670" i="19"/>
  <c r="U2671" i="19"/>
  <c r="U2672" i="19"/>
  <c r="U2673" i="19"/>
  <c r="U2674" i="19"/>
  <c r="U2675" i="19"/>
  <c r="U2676" i="19"/>
  <c r="U2677" i="19"/>
  <c r="U2678" i="19"/>
  <c r="U2679" i="19"/>
  <c r="U2680" i="19"/>
  <c r="U2681" i="19"/>
  <c r="U2682" i="19"/>
  <c r="U2683" i="19"/>
  <c r="U2684" i="19"/>
  <c r="U2685" i="19"/>
  <c r="W2658" i="19"/>
  <c r="W2659" i="19"/>
  <c r="W2660" i="19"/>
  <c r="W2661" i="19"/>
  <c r="W2662" i="19"/>
  <c r="W2663" i="19"/>
  <c r="W2664" i="19"/>
  <c r="W2665" i="19"/>
  <c r="W2666" i="19"/>
  <c r="W2667" i="19"/>
  <c r="W2668" i="19"/>
  <c r="W2669" i="19"/>
  <c r="W2670" i="19"/>
  <c r="W2671" i="19"/>
  <c r="W2672" i="19"/>
  <c r="W2673" i="19"/>
  <c r="W2674" i="19"/>
  <c r="W2675" i="19"/>
  <c r="W2676" i="19"/>
  <c r="W2677" i="19"/>
  <c r="W2678" i="19"/>
  <c r="W2679" i="19"/>
  <c r="W2680" i="19"/>
  <c r="W2681" i="19"/>
  <c r="W2682" i="19"/>
  <c r="W2683" i="19"/>
  <c r="W2684" i="19"/>
  <c r="W2685" i="19"/>
  <c r="X2658" i="19"/>
  <c r="X2659" i="19"/>
  <c r="X2660" i="19"/>
  <c r="X2661" i="19"/>
  <c r="X2662" i="19"/>
  <c r="X2663" i="19"/>
  <c r="X2664" i="19"/>
  <c r="X2665" i="19"/>
  <c r="X2666" i="19"/>
  <c r="X2667" i="19"/>
  <c r="X2668" i="19"/>
  <c r="X2669" i="19"/>
  <c r="X2670" i="19"/>
  <c r="X2671" i="19"/>
  <c r="X2672" i="19"/>
  <c r="X2673" i="19"/>
  <c r="X2674" i="19"/>
  <c r="X2675" i="19"/>
  <c r="X2676" i="19"/>
  <c r="X2677" i="19"/>
  <c r="X2678" i="19"/>
  <c r="X2679" i="19"/>
  <c r="X2680" i="19"/>
  <c r="X2681" i="19"/>
  <c r="X2682" i="19"/>
  <c r="X2683" i="19"/>
  <c r="X2684" i="19"/>
  <c r="X2685" i="19"/>
  <c r="L2470" i="21"/>
  <c r="M2470" i="21"/>
  <c r="L2471" i="21"/>
  <c r="M2471" i="21" s="1"/>
  <c r="L2472" i="21"/>
  <c r="M2472" i="21"/>
  <c r="L2473" i="21"/>
  <c r="M2473" i="21"/>
  <c r="L2474" i="21"/>
  <c r="M2474" i="21"/>
  <c r="L2475" i="21"/>
  <c r="M2475" i="21"/>
  <c r="L2476" i="21"/>
  <c r="M2476" i="21"/>
  <c r="L2477" i="21"/>
  <c r="M2477" i="21"/>
  <c r="L2478" i="21"/>
  <c r="M2478" i="21"/>
  <c r="L2479" i="21"/>
  <c r="M2479" i="21"/>
  <c r="L2480" i="21"/>
  <c r="M2480" i="21"/>
  <c r="L2481" i="21"/>
  <c r="M2481" i="21"/>
  <c r="L2482" i="21"/>
  <c r="M2482" i="21"/>
  <c r="L2483" i="21"/>
  <c r="M2483" i="21"/>
  <c r="L2484" i="21"/>
  <c r="M2484" i="21" s="1"/>
  <c r="L2485" i="21"/>
  <c r="M2485" i="21"/>
  <c r="L2486" i="21"/>
  <c r="M2486" i="21"/>
  <c r="L2487" i="21"/>
  <c r="M2487" i="21"/>
  <c r="L2488" i="21"/>
  <c r="M2488" i="21"/>
  <c r="L2489" i="21"/>
  <c r="M2489" i="21"/>
  <c r="L2490" i="21"/>
  <c r="M2490" i="21"/>
  <c r="L2491" i="21"/>
  <c r="M2491" i="21"/>
  <c r="L2492" i="21"/>
  <c r="M2492" i="21"/>
  <c r="L2493" i="21"/>
  <c r="M2493" i="21"/>
  <c r="L2494" i="21"/>
  <c r="M2494" i="21"/>
  <c r="L2495" i="21"/>
  <c r="M2495" i="21"/>
  <c r="L2496" i="21"/>
  <c r="M2496" i="21" s="1"/>
  <c r="M2469" i="21"/>
  <c r="L2469" i="21"/>
  <c r="K2469" i="21"/>
  <c r="X2496" i="21"/>
  <c r="W2496" i="21"/>
  <c r="U2496" i="21"/>
  <c r="T2496" i="21"/>
  <c r="R2496" i="21"/>
  <c r="O2496" i="21"/>
  <c r="K2496" i="21"/>
  <c r="I2496" i="21"/>
  <c r="Q2496" i="21" s="1"/>
  <c r="X2495" i="21"/>
  <c r="W2495" i="21"/>
  <c r="U2495" i="21"/>
  <c r="T2495" i="21"/>
  <c r="R2495" i="21"/>
  <c r="O2495" i="21"/>
  <c r="K2495" i="21"/>
  <c r="I2495" i="21"/>
  <c r="Q2495" i="21" s="1"/>
  <c r="X2494" i="21"/>
  <c r="W2494" i="21"/>
  <c r="U2494" i="21"/>
  <c r="T2494" i="21"/>
  <c r="R2494" i="21"/>
  <c r="O2494" i="21"/>
  <c r="K2494" i="21"/>
  <c r="I2494" i="21"/>
  <c r="Q2494" i="21" s="1"/>
  <c r="X2493" i="21"/>
  <c r="W2493" i="21"/>
  <c r="U2493" i="21"/>
  <c r="T2493" i="21"/>
  <c r="R2493" i="21"/>
  <c r="O2493" i="21"/>
  <c r="K2493" i="21"/>
  <c r="I2493" i="21"/>
  <c r="Q2493" i="21" s="1"/>
  <c r="X2492" i="21"/>
  <c r="W2492" i="21"/>
  <c r="U2492" i="21"/>
  <c r="T2492" i="21"/>
  <c r="R2492" i="21"/>
  <c r="O2492" i="21"/>
  <c r="K2492" i="21"/>
  <c r="I2492" i="21"/>
  <c r="Q2492" i="21" s="1"/>
  <c r="X2491" i="21"/>
  <c r="W2491" i="21"/>
  <c r="U2491" i="21"/>
  <c r="T2491" i="21"/>
  <c r="R2491" i="21"/>
  <c r="O2491" i="21"/>
  <c r="K2491" i="21"/>
  <c r="I2491" i="21"/>
  <c r="Q2491" i="21" s="1"/>
  <c r="X2490" i="21"/>
  <c r="W2490" i="21"/>
  <c r="U2490" i="21"/>
  <c r="T2490" i="21"/>
  <c r="R2490" i="21"/>
  <c r="O2490" i="21"/>
  <c r="K2490" i="21"/>
  <c r="I2490" i="21"/>
  <c r="Q2490" i="21" s="1"/>
  <c r="X2489" i="21"/>
  <c r="W2489" i="21"/>
  <c r="U2489" i="21"/>
  <c r="T2489" i="21"/>
  <c r="R2489" i="21"/>
  <c r="O2489" i="21"/>
  <c r="K2489" i="21"/>
  <c r="I2489" i="21"/>
  <c r="Q2489" i="21" s="1"/>
  <c r="X2488" i="21"/>
  <c r="W2488" i="21"/>
  <c r="U2488" i="21"/>
  <c r="T2488" i="21"/>
  <c r="R2488" i="21"/>
  <c r="O2488" i="21"/>
  <c r="K2488" i="21"/>
  <c r="I2488" i="21"/>
  <c r="Q2488" i="21" s="1"/>
  <c r="X2487" i="21"/>
  <c r="W2487" i="21"/>
  <c r="U2487" i="21"/>
  <c r="T2487" i="21"/>
  <c r="R2487" i="21"/>
  <c r="O2487" i="21"/>
  <c r="K2487" i="21"/>
  <c r="I2487" i="21"/>
  <c r="Q2487" i="21" s="1"/>
  <c r="X2486" i="21"/>
  <c r="W2486" i="21"/>
  <c r="U2486" i="21"/>
  <c r="T2486" i="21"/>
  <c r="R2486" i="21"/>
  <c r="O2486" i="21"/>
  <c r="K2486" i="21"/>
  <c r="I2486" i="21"/>
  <c r="Q2486" i="21" s="1"/>
  <c r="X2485" i="21"/>
  <c r="W2485" i="21"/>
  <c r="U2485" i="21"/>
  <c r="T2485" i="21"/>
  <c r="R2485" i="21"/>
  <c r="O2485" i="21"/>
  <c r="K2485" i="21"/>
  <c r="I2485" i="21"/>
  <c r="Q2485" i="21" s="1"/>
  <c r="X2484" i="21"/>
  <c r="W2484" i="21"/>
  <c r="U2484" i="21"/>
  <c r="T2484" i="21"/>
  <c r="R2484" i="21"/>
  <c r="O2484" i="21"/>
  <c r="K2484" i="21"/>
  <c r="I2484" i="21"/>
  <c r="Q2484" i="21" s="1"/>
  <c r="X2483" i="21"/>
  <c r="W2483" i="21"/>
  <c r="U2483" i="21"/>
  <c r="T2483" i="21"/>
  <c r="R2483" i="21"/>
  <c r="O2483" i="21"/>
  <c r="K2483" i="21"/>
  <c r="I2483" i="21"/>
  <c r="Q2483" i="21" s="1"/>
  <c r="X2482" i="21"/>
  <c r="W2482" i="21"/>
  <c r="U2482" i="21"/>
  <c r="T2482" i="21"/>
  <c r="R2482" i="21"/>
  <c r="O2482" i="21"/>
  <c r="K2482" i="21"/>
  <c r="I2482" i="21"/>
  <c r="Q2482" i="21" s="1"/>
  <c r="X2481" i="21"/>
  <c r="W2481" i="21"/>
  <c r="U2481" i="21"/>
  <c r="T2481" i="21"/>
  <c r="R2481" i="21"/>
  <c r="O2481" i="21"/>
  <c r="K2481" i="21"/>
  <c r="I2481" i="21"/>
  <c r="Q2481" i="21" s="1"/>
  <c r="X2480" i="21"/>
  <c r="W2480" i="21"/>
  <c r="U2480" i="21"/>
  <c r="T2480" i="21"/>
  <c r="R2480" i="21"/>
  <c r="O2480" i="21"/>
  <c r="K2480" i="21"/>
  <c r="I2480" i="21"/>
  <c r="Q2480" i="21" s="1"/>
  <c r="X2479" i="21"/>
  <c r="W2479" i="21"/>
  <c r="U2479" i="21"/>
  <c r="T2479" i="21"/>
  <c r="R2479" i="21"/>
  <c r="O2479" i="21"/>
  <c r="K2479" i="21"/>
  <c r="I2479" i="21"/>
  <c r="Q2479" i="21" s="1"/>
  <c r="X2478" i="21"/>
  <c r="W2478" i="21"/>
  <c r="U2478" i="21"/>
  <c r="T2478" i="21"/>
  <c r="R2478" i="21"/>
  <c r="O2478" i="21"/>
  <c r="K2478" i="21"/>
  <c r="I2478" i="21"/>
  <c r="Q2478" i="21" s="1"/>
  <c r="X2477" i="21"/>
  <c r="W2477" i="21"/>
  <c r="U2477" i="21"/>
  <c r="T2477" i="21"/>
  <c r="R2477" i="21"/>
  <c r="O2477" i="21"/>
  <c r="K2477" i="21"/>
  <c r="I2477" i="21"/>
  <c r="Q2477" i="21" s="1"/>
  <c r="X2476" i="21"/>
  <c r="W2476" i="21"/>
  <c r="U2476" i="21"/>
  <c r="T2476" i="21"/>
  <c r="R2476" i="21"/>
  <c r="O2476" i="21"/>
  <c r="K2476" i="21"/>
  <c r="I2476" i="21"/>
  <c r="Q2476" i="21" s="1"/>
  <c r="X2475" i="21"/>
  <c r="W2475" i="21"/>
  <c r="U2475" i="21"/>
  <c r="T2475" i="21"/>
  <c r="R2475" i="21"/>
  <c r="O2475" i="21"/>
  <c r="K2475" i="21"/>
  <c r="I2475" i="21"/>
  <c r="Q2475" i="21" s="1"/>
  <c r="X2474" i="21"/>
  <c r="W2474" i="21"/>
  <c r="U2474" i="21"/>
  <c r="T2474" i="21"/>
  <c r="R2474" i="21"/>
  <c r="O2474" i="21"/>
  <c r="K2474" i="21"/>
  <c r="I2474" i="21"/>
  <c r="Q2474" i="21" s="1"/>
  <c r="X2473" i="21"/>
  <c r="W2473" i="21"/>
  <c r="U2473" i="21"/>
  <c r="T2473" i="21"/>
  <c r="R2473" i="21"/>
  <c r="O2473" i="21"/>
  <c r="K2473" i="21"/>
  <c r="I2473" i="21"/>
  <c r="Q2473" i="21" s="1"/>
  <c r="X2472" i="21"/>
  <c r="W2472" i="21"/>
  <c r="U2472" i="21"/>
  <c r="T2472" i="21"/>
  <c r="R2472" i="21"/>
  <c r="O2472" i="21"/>
  <c r="K2472" i="21"/>
  <c r="I2472" i="21"/>
  <c r="Q2472" i="21" s="1"/>
  <c r="X2471" i="21"/>
  <c r="W2471" i="21"/>
  <c r="U2471" i="21"/>
  <c r="T2471" i="21"/>
  <c r="R2471" i="21"/>
  <c r="O2471" i="21"/>
  <c r="K2471" i="21"/>
  <c r="I2471" i="21"/>
  <c r="Q2471" i="21" s="1"/>
  <c r="X2470" i="21"/>
  <c r="W2470" i="21"/>
  <c r="U2470" i="21"/>
  <c r="T2470" i="21"/>
  <c r="R2470" i="21"/>
  <c r="O2470" i="21"/>
  <c r="K2470" i="21"/>
  <c r="I2470" i="21"/>
  <c r="Q2470" i="21" s="1"/>
  <c r="X2469" i="21"/>
  <c r="W2469" i="21"/>
  <c r="U2469" i="21"/>
  <c r="T2469" i="21"/>
  <c r="R2469" i="21"/>
  <c r="O2469" i="21"/>
  <c r="I2469" i="21"/>
  <c r="Q2469" i="21" s="1"/>
  <c r="N2645" i="19"/>
  <c r="N2646" i="19"/>
  <c r="N2647" i="19"/>
  <c r="N2648" i="19"/>
  <c r="N2649" i="19"/>
  <c r="N2650" i="19"/>
  <c r="N2651" i="19"/>
  <c r="N2652" i="19"/>
  <c r="N2653" i="19"/>
  <c r="N2654" i="19"/>
  <c r="N2655" i="19"/>
  <c r="N2656" i="19"/>
  <c r="N2657" i="19"/>
  <c r="O2645" i="19"/>
  <c r="O2646" i="19"/>
  <c r="O2647" i="19"/>
  <c r="O2648" i="19"/>
  <c r="O2649" i="19"/>
  <c r="O2650" i="19"/>
  <c r="O2651" i="19"/>
  <c r="O2652" i="19"/>
  <c r="O2653" i="19"/>
  <c r="O2654" i="19"/>
  <c r="O2655" i="19"/>
  <c r="O2656" i="19"/>
  <c r="O2657" i="19"/>
  <c r="P2645" i="19"/>
  <c r="P2646" i="19"/>
  <c r="P2647" i="19"/>
  <c r="P2648" i="19"/>
  <c r="P2649" i="19"/>
  <c r="P2650" i="19"/>
  <c r="P2651" i="19"/>
  <c r="P2652" i="19"/>
  <c r="P2653" i="19"/>
  <c r="P2654" i="19"/>
  <c r="P2655" i="19"/>
  <c r="P2656" i="19"/>
  <c r="P2657" i="19"/>
  <c r="T2645" i="19"/>
  <c r="T2646" i="19"/>
  <c r="T2647" i="19"/>
  <c r="T2648" i="19"/>
  <c r="T2649" i="19"/>
  <c r="T2650" i="19"/>
  <c r="T2651" i="19"/>
  <c r="T2652" i="19"/>
  <c r="T2653" i="19"/>
  <c r="T2654" i="19"/>
  <c r="T2655" i="19"/>
  <c r="T2656" i="19"/>
  <c r="T2657" i="19"/>
  <c r="U2645" i="19"/>
  <c r="U2646" i="19"/>
  <c r="U2647" i="19"/>
  <c r="U2648" i="19"/>
  <c r="U2649" i="19"/>
  <c r="U2650" i="19"/>
  <c r="U2651" i="19"/>
  <c r="U2652" i="19"/>
  <c r="U2653" i="19"/>
  <c r="U2654" i="19"/>
  <c r="U2655" i="19"/>
  <c r="U2656" i="19"/>
  <c r="U2657" i="19"/>
  <c r="W2645" i="19"/>
  <c r="W2646" i="19"/>
  <c r="W2647" i="19"/>
  <c r="W2648" i="19"/>
  <c r="W2649" i="19"/>
  <c r="W2650" i="19"/>
  <c r="W2651" i="19"/>
  <c r="W2652" i="19"/>
  <c r="W2653" i="19"/>
  <c r="W2654" i="19"/>
  <c r="W2655" i="19"/>
  <c r="W2656" i="19"/>
  <c r="W2657" i="19"/>
  <c r="X2645" i="19"/>
  <c r="X2646" i="19"/>
  <c r="X2647" i="19"/>
  <c r="X2648" i="19"/>
  <c r="X2649" i="19"/>
  <c r="X2650" i="19"/>
  <c r="X2651" i="19"/>
  <c r="X2652" i="19"/>
  <c r="X2653" i="19"/>
  <c r="X2654" i="19"/>
  <c r="X2655" i="19"/>
  <c r="X2656" i="19"/>
  <c r="X2657" i="19"/>
  <c r="I2456" i="21"/>
  <c r="J2456" i="21" s="1"/>
  <c r="K2456" i="21"/>
  <c r="L2456" i="21" s="1"/>
  <c r="O2456" i="21"/>
  <c r="R2456" i="21"/>
  <c r="T2456" i="21"/>
  <c r="U2456" i="21"/>
  <c r="W2456" i="21"/>
  <c r="X2456" i="21"/>
  <c r="I2457" i="21"/>
  <c r="J2457" i="21" s="1"/>
  <c r="K2457" i="21"/>
  <c r="L2457" i="21" s="1"/>
  <c r="O2457" i="21"/>
  <c r="R2457" i="21"/>
  <c r="T2457" i="21"/>
  <c r="U2457" i="21"/>
  <c r="W2457" i="21"/>
  <c r="X2457" i="21"/>
  <c r="I2458" i="21"/>
  <c r="J2458" i="21" s="1"/>
  <c r="K2458" i="21"/>
  <c r="L2458" i="21" s="1"/>
  <c r="O2458" i="21"/>
  <c r="R2458" i="21"/>
  <c r="T2458" i="21"/>
  <c r="U2458" i="21"/>
  <c r="W2458" i="21"/>
  <c r="X2458" i="21"/>
  <c r="I2459" i="21"/>
  <c r="J2459" i="21" s="1"/>
  <c r="K2459" i="21"/>
  <c r="L2459" i="21" s="1"/>
  <c r="O2459" i="21"/>
  <c r="R2459" i="21"/>
  <c r="T2459" i="21"/>
  <c r="U2459" i="21"/>
  <c r="W2459" i="21"/>
  <c r="X2459" i="21"/>
  <c r="I2460" i="21"/>
  <c r="J2460" i="21" s="1"/>
  <c r="K2460" i="21"/>
  <c r="L2460" i="21" s="1"/>
  <c r="O2460" i="21"/>
  <c r="R2460" i="21"/>
  <c r="T2460" i="21"/>
  <c r="U2460" i="21"/>
  <c r="W2460" i="21"/>
  <c r="X2460" i="21"/>
  <c r="I2461" i="21"/>
  <c r="J2461" i="21" s="1"/>
  <c r="K2461" i="21"/>
  <c r="L2461" i="21" s="1"/>
  <c r="O2461" i="21"/>
  <c r="R2461" i="21"/>
  <c r="T2461" i="21"/>
  <c r="U2461" i="21"/>
  <c r="W2461" i="21"/>
  <c r="X2461" i="21"/>
  <c r="I2462" i="21"/>
  <c r="J2462" i="21" s="1"/>
  <c r="K2462" i="21"/>
  <c r="L2462" i="21" s="1"/>
  <c r="O2462" i="21"/>
  <c r="R2462" i="21"/>
  <c r="T2462" i="21"/>
  <c r="U2462" i="21"/>
  <c r="W2462" i="21"/>
  <c r="X2462" i="21"/>
  <c r="I2463" i="21"/>
  <c r="J2463" i="21" s="1"/>
  <c r="K2463" i="21"/>
  <c r="L2463" i="21" s="1"/>
  <c r="O2463" i="21"/>
  <c r="R2463" i="21"/>
  <c r="T2463" i="21"/>
  <c r="U2463" i="21"/>
  <c r="W2463" i="21"/>
  <c r="X2463" i="21"/>
  <c r="I2464" i="21"/>
  <c r="J2464" i="21" s="1"/>
  <c r="K2464" i="21"/>
  <c r="L2464" i="21" s="1"/>
  <c r="O2464" i="21"/>
  <c r="R2464" i="21"/>
  <c r="T2464" i="21"/>
  <c r="U2464" i="21"/>
  <c r="W2464" i="21"/>
  <c r="X2464" i="21"/>
  <c r="I2465" i="21"/>
  <c r="J2465" i="21" s="1"/>
  <c r="K2465" i="21"/>
  <c r="L2465" i="21" s="1"/>
  <c r="O2465" i="21"/>
  <c r="R2465" i="21"/>
  <c r="T2465" i="21"/>
  <c r="U2465" i="21"/>
  <c r="W2465" i="21"/>
  <c r="X2465" i="21"/>
  <c r="I2466" i="21"/>
  <c r="J2466" i="21" s="1"/>
  <c r="K2466" i="21"/>
  <c r="L2466" i="21" s="1"/>
  <c r="O2466" i="21"/>
  <c r="R2466" i="21"/>
  <c r="T2466" i="21"/>
  <c r="U2466" i="21"/>
  <c r="W2466" i="21"/>
  <c r="X2466" i="21"/>
  <c r="I2467" i="21"/>
  <c r="J2467" i="21" s="1"/>
  <c r="K2467" i="21"/>
  <c r="L2467" i="21" s="1"/>
  <c r="O2467" i="21"/>
  <c r="R2467" i="21"/>
  <c r="T2467" i="21"/>
  <c r="U2467" i="21"/>
  <c r="W2467" i="21"/>
  <c r="X2467" i="21"/>
  <c r="I2468" i="21"/>
  <c r="J2468" i="21" s="1"/>
  <c r="K2468" i="21"/>
  <c r="L2468" i="21" s="1"/>
  <c r="O2468" i="21"/>
  <c r="R2468" i="21"/>
  <c r="T2468" i="21"/>
  <c r="U2468" i="21"/>
  <c r="W2468" i="21"/>
  <c r="X2468" i="21"/>
  <c r="J2470" i="21" l="1"/>
  <c r="J2472" i="21"/>
  <c r="J2474" i="21"/>
  <c r="J2477" i="21"/>
  <c r="J2479" i="21"/>
  <c r="J2480" i="21"/>
  <c r="J2481" i="21"/>
  <c r="J2482" i="21"/>
  <c r="J2483" i="21"/>
  <c r="J2484" i="21"/>
  <c r="J2485" i="21"/>
  <c r="J2487" i="21"/>
  <c r="J2488" i="21"/>
  <c r="J2489" i="21"/>
  <c r="J2490" i="21"/>
  <c r="J2491" i="21"/>
  <c r="J2492" i="21"/>
  <c r="J2493" i="21"/>
  <c r="J2494" i="21"/>
  <c r="J2495" i="21"/>
  <c r="J2496" i="21"/>
  <c r="J2469" i="21"/>
  <c r="J2471" i="21"/>
  <c r="J2473" i="21"/>
  <c r="J2475" i="21"/>
  <c r="J2476" i="21"/>
  <c r="J2478" i="21"/>
  <c r="J2486" i="21"/>
  <c r="M2456" i="21"/>
  <c r="Q2468" i="21"/>
  <c r="Q2467" i="21"/>
  <c r="Q2466" i="21"/>
  <c r="Q2465" i="21"/>
  <c r="Q2464" i="21"/>
  <c r="Q2463" i="21"/>
  <c r="Q2462" i="21"/>
  <c r="Q2461" i="21"/>
  <c r="Q2460" i="21"/>
  <c r="Q2459" i="21"/>
  <c r="Q2458" i="21"/>
  <c r="Q2457" i="21"/>
  <c r="Q2456" i="21"/>
  <c r="M2468" i="21"/>
  <c r="M2467" i="21"/>
  <c r="M2466" i="21"/>
  <c r="M2465" i="21"/>
  <c r="M2464" i="21"/>
  <c r="M2463" i="21"/>
  <c r="M2462" i="21"/>
  <c r="M2461" i="21"/>
  <c r="M2460" i="21"/>
  <c r="M2459" i="21"/>
  <c r="M2458" i="21"/>
  <c r="M2457" i="21"/>
  <c r="I16" i="17" l="1"/>
  <c r="I20" i="17"/>
  <c r="I22" i="17"/>
  <c r="I23" i="17"/>
  <c r="I24" i="17"/>
  <c r="I25" i="17"/>
  <c r="I19" i="17" s="1"/>
  <c r="I27" i="17"/>
  <c r="I32" i="17"/>
  <c r="I26" i="17" s="1"/>
  <c r="I33" i="17"/>
  <c r="I34" i="17"/>
  <c r="I39" i="17"/>
  <c r="I40" i="17"/>
  <c r="I41" i="17"/>
  <c r="I42" i="17"/>
  <c r="I43" i="17"/>
  <c r="I44" i="17"/>
  <c r="I6" i="17"/>
  <c r="I7" i="17"/>
  <c r="I8" i="17"/>
  <c r="I9" i="17"/>
  <c r="I10" i="17"/>
  <c r="I11" i="17"/>
  <c r="I12" i="17"/>
  <c r="I13" i="17"/>
  <c r="G20" i="17"/>
  <c r="H20" i="17"/>
  <c r="J20" i="17"/>
  <c r="K20" i="17"/>
  <c r="L20" i="17"/>
  <c r="M20" i="17"/>
  <c r="N20" i="17"/>
  <c r="O20" i="17"/>
  <c r="N2643" i="19"/>
  <c r="N2644" i="19"/>
  <c r="O2643" i="19"/>
  <c r="O2644" i="19"/>
  <c r="P2643" i="19"/>
  <c r="P2644" i="19"/>
  <c r="T2643" i="19"/>
  <c r="T2644" i="19"/>
  <c r="I15" i="17" s="1"/>
  <c r="U2643" i="19"/>
  <c r="U2644" i="19"/>
  <c r="W2643" i="19"/>
  <c r="W2644" i="19"/>
  <c r="X2643" i="19"/>
  <c r="X2644" i="19"/>
  <c r="F175" i="22"/>
  <c r="G175" i="22"/>
  <c r="N175" i="22" s="1"/>
  <c r="I175" i="22"/>
  <c r="J175" i="22"/>
  <c r="L175" i="22"/>
  <c r="P175" i="22"/>
  <c r="Q175" i="22"/>
  <c r="F176" i="22"/>
  <c r="G176" i="22"/>
  <c r="N176" i="22" s="1"/>
  <c r="I176" i="22"/>
  <c r="J176" i="22"/>
  <c r="L176" i="22"/>
  <c r="P176" i="22"/>
  <c r="Q176" i="22"/>
  <c r="N2639" i="19"/>
  <c r="N2640" i="19"/>
  <c r="N2641" i="19"/>
  <c r="N2642" i="19"/>
  <c r="O2639" i="19"/>
  <c r="O2640" i="19"/>
  <c r="O2641" i="19"/>
  <c r="O2642" i="19"/>
  <c r="P2639" i="19"/>
  <c r="P2640" i="19"/>
  <c r="P2641" i="19"/>
  <c r="P2642" i="19"/>
  <c r="T2639" i="19"/>
  <c r="T2640" i="19"/>
  <c r="T2641" i="19"/>
  <c r="T2642" i="19"/>
  <c r="U2639" i="19"/>
  <c r="U2640" i="19"/>
  <c r="U2641" i="19"/>
  <c r="U2642" i="19"/>
  <c r="W2639" i="19"/>
  <c r="W2640" i="19"/>
  <c r="W2641" i="19"/>
  <c r="W2642" i="19"/>
  <c r="X2639" i="19"/>
  <c r="X2640" i="19"/>
  <c r="X2641" i="19"/>
  <c r="X2642" i="19"/>
  <c r="F172" i="22"/>
  <c r="I172" i="22" s="1"/>
  <c r="G172" i="22"/>
  <c r="J172" i="22"/>
  <c r="L172" i="22"/>
  <c r="N172" i="22"/>
  <c r="P172" i="22"/>
  <c r="Q172" i="22"/>
  <c r="F173" i="22"/>
  <c r="I173" i="22" s="1"/>
  <c r="G173" i="22"/>
  <c r="N173" i="22" s="1"/>
  <c r="L173" i="22"/>
  <c r="P173" i="22"/>
  <c r="Q173" i="22"/>
  <c r="F174" i="22"/>
  <c r="G174" i="22"/>
  <c r="I174" i="22"/>
  <c r="J174" i="22"/>
  <c r="L174" i="22"/>
  <c r="N174" i="22"/>
  <c r="P174" i="22"/>
  <c r="Q174" i="22"/>
  <c r="Q171" i="22"/>
  <c r="P171" i="22"/>
  <c r="N171" i="22"/>
  <c r="L171" i="22"/>
  <c r="G171" i="22"/>
  <c r="F171" i="22"/>
  <c r="J171" i="22" s="1"/>
  <c r="N2630" i="19"/>
  <c r="N2631" i="19"/>
  <c r="N2632" i="19"/>
  <c r="N2633" i="19"/>
  <c r="N2634" i="19"/>
  <c r="N2635" i="19"/>
  <c r="N2636" i="19"/>
  <c r="N2637" i="19"/>
  <c r="N2638" i="19"/>
  <c r="O2630" i="19"/>
  <c r="O2631" i="19"/>
  <c r="O2632" i="19"/>
  <c r="O2633" i="19"/>
  <c r="O2634" i="19"/>
  <c r="O2635" i="19"/>
  <c r="O2636" i="19"/>
  <c r="O2637" i="19"/>
  <c r="O2638" i="19"/>
  <c r="P2630" i="19"/>
  <c r="P2631" i="19"/>
  <c r="P2632" i="19"/>
  <c r="P2633" i="19"/>
  <c r="P2634" i="19"/>
  <c r="P2635" i="19"/>
  <c r="P2636" i="19"/>
  <c r="P2637" i="19"/>
  <c r="P2638" i="19"/>
  <c r="T2630" i="19"/>
  <c r="T2631" i="19"/>
  <c r="T2632" i="19"/>
  <c r="T2633" i="19"/>
  <c r="T2634" i="19"/>
  <c r="T2635" i="19"/>
  <c r="T2636" i="19"/>
  <c r="T2637" i="19"/>
  <c r="T2638" i="19"/>
  <c r="U2630" i="19"/>
  <c r="U2631" i="19"/>
  <c r="U2632" i="19"/>
  <c r="U2633" i="19"/>
  <c r="U2634" i="19"/>
  <c r="U2635" i="19"/>
  <c r="U2636" i="19"/>
  <c r="U2637" i="19"/>
  <c r="U2638" i="19"/>
  <c r="W2630" i="19"/>
  <c r="W2631" i="19"/>
  <c r="W2632" i="19"/>
  <c r="W2633" i="19"/>
  <c r="W2634" i="19"/>
  <c r="W2635" i="19"/>
  <c r="W2636" i="19"/>
  <c r="W2637" i="19"/>
  <c r="W2638" i="19"/>
  <c r="X2630" i="19"/>
  <c r="X2631" i="19"/>
  <c r="X2632" i="19"/>
  <c r="X2633" i="19"/>
  <c r="X2634" i="19"/>
  <c r="X2635" i="19"/>
  <c r="X2636" i="19"/>
  <c r="X2637" i="19"/>
  <c r="X2638" i="19"/>
  <c r="F167" i="22"/>
  <c r="I167" i="22" s="1"/>
  <c r="G167" i="22"/>
  <c r="N167" i="22" s="1"/>
  <c r="L167" i="22"/>
  <c r="P167" i="22"/>
  <c r="Q167" i="22"/>
  <c r="F168" i="22"/>
  <c r="I168" i="22" s="1"/>
  <c r="G168" i="22"/>
  <c r="N168" i="22" s="1"/>
  <c r="L168" i="22"/>
  <c r="P168" i="22"/>
  <c r="Q168" i="22"/>
  <c r="F169" i="22"/>
  <c r="I169" i="22" s="1"/>
  <c r="G169" i="22"/>
  <c r="N169" i="22" s="1"/>
  <c r="L169" i="22"/>
  <c r="P169" i="22"/>
  <c r="Q169" i="22"/>
  <c r="F170" i="22"/>
  <c r="I170" i="22" s="1"/>
  <c r="G170" i="22"/>
  <c r="N170" i="22" s="1"/>
  <c r="L170" i="22"/>
  <c r="P170" i="22"/>
  <c r="Q170" i="22"/>
  <c r="N2589" i="19"/>
  <c r="N2590" i="19"/>
  <c r="N2591" i="19"/>
  <c r="N2592" i="19"/>
  <c r="N2593" i="19"/>
  <c r="N2594" i="19"/>
  <c r="N2595" i="19"/>
  <c r="N2596" i="19"/>
  <c r="N2597" i="19"/>
  <c r="N2598" i="19"/>
  <c r="N2599" i="19"/>
  <c r="N2600" i="19"/>
  <c r="N2601" i="19"/>
  <c r="N2602" i="19"/>
  <c r="N2603" i="19"/>
  <c r="N2604" i="19"/>
  <c r="N2605" i="19"/>
  <c r="N2606" i="19"/>
  <c r="N2607" i="19"/>
  <c r="N2608" i="19"/>
  <c r="N2609" i="19"/>
  <c r="N2610" i="19"/>
  <c r="N2611" i="19"/>
  <c r="N2612" i="19"/>
  <c r="N2613" i="19"/>
  <c r="N2614" i="19"/>
  <c r="N2615" i="19"/>
  <c r="N2616" i="19"/>
  <c r="N2617" i="19"/>
  <c r="N2618" i="19"/>
  <c r="N2619" i="19"/>
  <c r="N2620" i="19"/>
  <c r="N2621" i="19"/>
  <c r="N2622" i="19"/>
  <c r="N2623" i="19"/>
  <c r="N2624" i="19"/>
  <c r="N2625" i="19"/>
  <c r="N2626" i="19"/>
  <c r="N2627" i="19"/>
  <c r="N2628" i="19"/>
  <c r="N2629" i="19"/>
  <c r="O2589" i="19"/>
  <c r="O2590" i="19"/>
  <c r="O2591" i="19"/>
  <c r="O2592" i="19"/>
  <c r="O2593" i="19"/>
  <c r="O2594" i="19"/>
  <c r="O2595" i="19"/>
  <c r="O2596" i="19"/>
  <c r="O2597" i="19"/>
  <c r="O2598" i="19"/>
  <c r="O2599" i="19"/>
  <c r="O2600" i="19"/>
  <c r="O2601" i="19"/>
  <c r="O2602" i="19"/>
  <c r="O2603" i="19"/>
  <c r="O2604" i="19"/>
  <c r="O2605" i="19"/>
  <c r="O2606" i="19"/>
  <c r="O2607" i="19"/>
  <c r="O2608" i="19"/>
  <c r="O2609" i="19"/>
  <c r="O2610" i="19"/>
  <c r="O2611" i="19"/>
  <c r="O2612" i="19"/>
  <c r="O2613" i="19"/>
  <c r="O2614" i="19"/>
  <c r="O2615" i="19"/>
  <c r="O2616" i="19"/>
  <c r="O2617" i="19"/>
  <c r="O2618" i="19"/>
  <c r="O2619" i="19"/>
  <c r="O2620" i="19"/>
  <c r="O2621" i="19"/>
  <c r="O2622" i="19"/>
  <c r="O2623" i="19"/>
  <c r="O2624" i="19"/>
  <c r="O2625" i="19"/>
  <c r="O2626" i="19"/>
  <c r="O2627" i="19"/>
  <c r="O2628" i="19"/>
  <c r="O2629" i="19"/>
  <c r="P2589" i="19"/>
  <c r="P2590" i="19"/>
  <c r="P2591" i="19"/>
  <c r="P2592" i="19"/>
  <c r="P2593" i="19"/>
  <c r="P2594" i="19"/>
  <c r="P2595" i="19"/>
  <c r="P2596" i="19"/>
  <c r="P2597" i="19"/>
  <c r="P2598" i="19"/>
  <c r="P2599" i="19"/>
  <c r="P2600" i="19"/>
  <c r="P2601" i="19"/>
  <c r="P2602" i="19"/>
  <c r="P2603" i="19"/>
  <c r="P2604" i="19"/>
  <c r="P2605" i="19"/>
  <c r="P2606" i="19"/>
  <c r="P2607" i="19"/>
  <c r="P2608" i="19"/>
  <c r="P2609" i="19"/>
  <c r="P2610" i="19"/>
  <c r="P2611" i="19"/>
  <c r="P2612" i="19"/>
  <c r="P2613" i="19"/>
  <c r="P2614" i="19"/>
  <c r="P2615" i="19"/>
  <c r="P2616" i="19"/>
  <c r="P2617" i="19"/>
  <c r="P2618" i="19"/>
  <c r="P2619" i="19"/>
  <c r="P2620" i="19"/>
  <c r="P2621" i="19"/>
  <c r="P2622" i="19"/>
  <c r="P2623" i="19"/>
  <c r="P2624" i="19"/>
  <c r="P2625" i="19"/>
  <c r="P2626" i="19"/>
  <c r="P2627" i="19"/>
  <c r="P2628" i="19"/>
  <c r="P2629" i="19"/>
  <c r="T2589" i="19"/>
  <c r="T2590" i="19"/>
  <c r="T2591" i="19"/>
  <c r="T2592" i="19"/>
  <c r="T2593" i="19"/>
  <c r="T2594" i="19"/>
  <c r="T2595" i="19"/>
  <c r="T2596" i="19"/>
  <c r="T2597" i="19"/>
  <c r="T2598" i="19"/>
  <c r="T2599" i="19"/>
  <c r="T2600" i="19"/>
  <c r="T2601" i="19"/>
  <c r="T2602" i="19"/>
  <c r="T2603" i="19"/>
  <c r="T2604" i="19"/>
  <c r="T2605" i="19"/>
  <c r="T2606" i="19"/>
  <c r="T2607" i="19"/>
  <c r="T2608" i="19"/>
  <c r="T2609" i="19"/>
  <c r="T2610" i="19"/>
  <c r="T2611" i="19"/>
  <c r="T2612" i="19"/>
  <c r="T2613" i="19"/>
  <c r="T2614" i="19"/>
  <c r="T2615" i="19"/>
  <c r="T2616" i="19"/>
  <c r="T2617" i="19"/>
  <c r="T2618" i="19"/>
  <c r="T2619" i="19"/>
  <c r="T2620" i="19"/>
  <c r="T2621" i="19"/>
  <c r="T2622" i="19"/>
  <c r="T2623" i="19"/>
  <c r="T2624" i="19"/>
  <c r="T2625" i="19"/>
  <c r="T2626" i="19"/>
  <c r="T2627" i="19"/>
  <c r="T2628" i="19"/>
  <c r="T2629" i="19"/>
  <c r="U2589" i="19"/>
  <c r="U2590" i="19"/>
  <c r="U2591" i="19"/>
  <c r="U2592" i="19"/>
  <c r="U2593" i="19"/>
  <c r="U2594" i="19"/>
  <c r="U2595" i="19"/>
  <c r="U2596" i="19"/>
  <c r="U2597" i="19"/>
  <c r="U2598" i="19"/>
  <c r="U2599" i="19"/>
  <c r="U2600" i="19"/>
  <c r="U2601" i="19"/>
  <c r="U2602" i="19"/>
  <c r="U2603" i="19"/>
  <c r="U2604" i="19"/>
  <c r="U2605" i="19"/>
  <c r="U2606" i="19"/>
  <c r="U2607" i="19"/>
  <c r="U2608" i="19"/>
  <c r="U2609" i="19"/>
  <c r="U2610" i="19"/>
  <c r="U2611" i="19"/>
  <c r="U2612" i="19"/>
  <c r="U2613" i="19"/>
  <c r="U2614" i="19"/>
  <c r="U2615" i="19"/>
  <c r="U2616" i="19"/>
  <c r="U2617" i="19"/>
  <c r="U2618" i="19"/>
  <c r="U2619" i="19"/>
  <c r="U2620" i="19"/>
  <c r="U2621" i="19"/>
  <c r="U2622" i="19"/>
  <c r="U2623" i="19"/>
  <c r="U2624" i="19"/>
  <c r="U2625" i="19"/>
  <c r="U2626" i="19"/>
  <c r="U2627" i="19"/>
  <c r="U2628" i="19"/>
  <c r="U2629" i="19"/>
  <c r="W2589" i="19"/>
  <c r="W2590" i="19"/>
  <c r="W2591" i="19"/>
  <c r="W2592" i="19"/>
  <c r="W2593" i="19"/>
  <c r="W2594" i="19"/>
  <c r="W2595" i="19"/>
  <c r="W2596" i="19"/>
  <c r="W2597" i="19"/>
  <c r="W2598" i="19"/>
  <c r="W2599" i="19"/>
  <c r="W2600" i="19"/>
  <c r="W2601" i="19"/>
  <c r="W2602" i="19"/>
  <c r="W2603" i="19"/>
  <c r="W2604" i="19"/>
  <c r="W2605" i="19"/>
  <c r="W2606" i="19"/>
  <c r="W2607" i="19"/>
  <c r="W2608" i="19"/>
  <c r="W2609" i="19"/>
  <c r="W2610" i="19"/>
  <c r="W2611" i="19"/>
  <c r="W2612" i="19"/>
  <c r="W2613" i="19"/>
  <c r="W2614" i="19"/>
  <c r="W2615" i="19"/>
  <c r="W2616" i="19"/>
  <c r="W2617" i="19"/>
  <c r="W2618" i="19"/>
  <c r="W2619" i="19"/>
  <c r="W2620" i="19"/>
  <c r="W2621" i="19"/>
  <c r="W2622" i="19"/>
  <c r="W2623" i="19"/>
  <c r="W2624" i="19"/>
  <c r="W2625" i="19"/>
  <c r="W2626" i="19"/>
  <c r="W2627" i="19"/>
  <c r="W2628" i="19"/>
  <c r="W2629" i="19"/>
  <c r="X2589" i="19"/>
  <c r="X2590" i="19"/>
  <c r="X2591" i="19"/>
  <c r="X2592" i="19"/>
  <c r="X2593" i="19"/>
  <c r="X2594" i="19"/>
  <c r="X2595" i="19"/>
  <c r="X2596" i="19"/>
  <c r="X2597" i="19"/>
  <c r="X2598" i="19"/>
  <c r="X2599" i="19"/>
  <c r="X2600" i="19"/>
  <c r="X2601" i="19"/>
  <c r="X2602" i="19"/>
  <c r="X2603" i="19"/>
  <c r="X2604" i="19"/>
  <c r="X2605" i="19"/>
  <c r="X2606" i="19"/>
  <c r="X2607" i="19"/>
  <c r="X2608" i="19"/>
  <c r="X2609" i="19"/>
  <c r="X2610" i="19"/>
  <c r="X2611" i="19"/>
  <c r="X2612" i="19"/>
  <c r="X2613" i="19"/>
  <c r="X2614" i="19"/>
  <c r="X2615" i="19"/>
  <c r="X2616" i="19"/>
  <c r="X2617" i="19"/>
  <c r="X2618" i="19"/>
  <c r="X2619" i="19"/>
  <c r="X2620" i="19"/>
  <c r="X2621" i="19"/>
  <c r="X2622" i="19"/>
  <c r="X2623" i="19"/>
  <c r="X2624" i="19"/>
  <c r="X2625" i="19"/>
  <c r="X2626" i="19"/>
  <c r="X2627" i="19"/>
  <c r="X2628" i="19"/>
  <c r="X2629" i="19"/>
  <c r="I2416" i="21"/>
  <c r="J2416" i="21" s="1"/>
  <c r="K2416" i="21"/>
  <c r="L2416" i="21" s="1"/>
  <c r="O2416" i="21"/>
  <c r="R2416" i="21"/>
  <c r="T2416" i="21"/>
  <c r="U2416" i="21"/>
  <c r="W2416" i="21"/>
  <c r="X2416" i="21"/>
  <c r="I2417" i="21"/>
  <c r="J2417" i="21" s="1"/>
  <c r="K2417" i="21"/>
  <c r="L2417" i="21" s="1"/>
  <c r="O2417" i="21"/>
  <c r="R2417" i="21"/>
  <c r="T2417" i="21"/>
  <c r="U2417" i="21"/>
  <c r="W2417" i="21"/>
  <c r="X2417" i="21"/>
  <c r="I2418" i="21"/>
  <c r="J2418" i="21" s="1"/>
  <c r="K2418" i="21"/>
  <c r="L2418" i="21" s="1"/>
  <c r="O2418" i="21"/>
  <c r="R2418" i="21"/>
  <c r="T2418" i="21"/>
  <c r="U2418" i="21"/>
  <c r="W2418" i="21"/>
  <c r="X2418" i="21"/>
  <c r="I2419" i="21"/>
  <c r="J2419" i="21" s="1"/>
  <c r="K2419" i="21"/>
  <c r="L2419" i="21" s="1"/>
  <c r="O2419" i="21"/>
  <c r="R2419" i="21"/>
  <c r="T2419" i="21"/>
  <c r="U2419" i="21"/>
  <c r="W2419" i="21"/>
  <c r="X2419" i="21"/>
  <c r="I2420" i="21"/>
  <c r="J2420" i="21" s="1"/>
  <c r="K2420" i="21"/>
  <c r="L2420" i="21" s="1"/>
  <c r="O2420" i="21"/>
  <c r="R2420" i="21"/>
  <c r="T2420" i="21"/>
  <c r="U2420" i="21"/>
  <c r="W2420" i="21"/>
  <c r="X2420" i="21"/>
  <c r="I2421" i="21"/>
  <c r="J2421" i="21" s="1"/>
  <c r="K2421" i="21"/>
  <c r="L2421" i="21" s="1"/>
  <c r="O2421" i="21"/>
  <c r="R2421" i="21"/>
  <c r="T2421" i="21"/>
  <c r="U2421" i="21"/>
  <c r="W2421" i="21"/>
  <c r="X2421" i="21"/>
  <c r="I2422" i="21"/>
  <c r="J2422" i="21" s="1"/>
  <c r="K2422" i="21"/>
  <c r="L2422" i="21" s="1"/>
  <c r="O2422" i="21"/>
  <c r="R2422" i="21"/>
  <c r="T2422" i="21"/>
  <c r="U2422" i="21"/>
  <c r="W2422" i="21"/>
  <c r="X2422" i="21"/>
  <c r="I2423" i="21"/>
  <c r="J2423" i="21" s="1"/>
  <c r="K2423" i="21"/>
  <c r="L2423" i="21" s="1"/>
  <c r="O2423" i="21"/>
  <c r="R2423" i="21"/>
  <c r="T2423" i="21"/>
  <c r="U2423" i="21"/>
  <c r="W2423" i="21"/>
  <c r="X2423" i="21"/>
  <c r="I2424" i="21"/>
  <c r="J2424" i="21" s="1"/>
  <c r="K2424" i="21"/>
  <c r="L2424" i="21" s="1"/>
  <c r="O2424" i="21"/>
  <c r="R2424" i="21"/>
  <c r="T2424" i="21"/>
  <c r="U2424" i="21"/>
  <c r="W2424" i="21"/>
  <c r="X2424" i="21"/>
  <c r="I2425" i="21"/>
  <c r="J2425" i="21" s="1"/>
  <c r="K2425" i="21"/>
  <c r="L2425" i="21" s="1"/>
  <c r="O2425" i="21"/>
  <c r="R2425" i="21"/>
  <c r="T2425" i="21"/>
  <c r="U2425" i="21"/>
  <c r="W2425" i="21"/>
  <c r="X2425" i="21"/>
  <c r="I2426" i="21"/>
  <c r="J2426" i="21" s="1"/>
  <c r="K2426" i="21"/>
  <c r="L2426" i="21" s="1"/>
  <c r="O2426" i="21"/>
  <c r="R2426" i="21"/>
  <c r="T2426" i="21"/>
  <c r="U2426" i="21"/>
  <c r="W2426" i="21"/>
  <c r="X2426" i="21"/>
  <c r="I2427" i="21"/>
  <c r="J2427" i="21" s="1"/>
  <c r="K2427" i="21"/>
  <c r="L2427" i="21" s="1"/>
  <c r="O2427" i="21"/>
  <c r="R2427" i="21"/>
  <c r="T2427" i="21"/>
  <c r="U2427" i="21"/>
  <c r="W2427" i="21"/>
  <c r="X2427" i="21"/>
  <c r="I2428" i="21"/>
  <c r="J2428" i="21" s="1"/>
  <c r="K2428" i="21"/>
  <c r="L2428" i="21" s="1"/>
  <c r="O2428" i="21"/>
  <c r="R2428" i="21"/>
  <c r="T2428" i="21"/>
  <c r="U2428" i="21"/>
  <c r="W2428" i="21"/>
  <c r="X2428" i="21"/>
  <c r="I2429" i="21"/>
  <c r="J2429" i="21" s="1"/>
  <c r="K2429" i="21"/>
  <c r="L2429" i="21" s="1"/>
  <c r="O2429" i="21"/>
  <c r="R2429" i="21"/>
  <c r="T2429" i="21"/>
  <c r="U2429" i="21"/>
  <c r="W2429" i="21"/>
  <c r="X2429" i="21"/>
  <c r="I2430" i="21"/>
  <c r="J2430" i="21" s="1"/>
  <c r="K2430" i="21"/>
  <c r="L2430" i="21" s="1"/>
  <c r="O2430" i="21"/>
  <c r="R2430" i="21"/>
  <c r="T2430" i="21"/>
  <c r="U2430" i="21"/>
  <c r="W2430" i="21"/>
  <c r="X2430" i="21"/>
  <c r="I2431" i="21"/>
  <c r="J2431" i="21" s="1"/>
  <c r="K2431" i="21"/>
  <c r="L2431" i="21" s="1"/>
  <c r="O2431" i="21"/>
  <c r="R2431" i="21"/>
  <c r="T2431" i="21"/>
  <c r="U2431" i="21"/>
  <c r="W2431" i="21"/>
  <c r="X2431" i="21"/>
  <c r="I2432" i="21"/>
  <c r="J2432" i="21" s="1"/>
  <c r="K2432" i="21"/>
  <c r="L2432" i="21" s="1"/>
  <c r="O2432" i="21"/>
  <c r="R2432" i="21"/>
  <c r="T2432" i="21"/>
  <c r="U2432" i="21"/>
  <c r="W2432" i="21"/>
  <c r="X2432" i="21"/>
  <c r="I2433" i="21"/>
  <c r="J2433" i="21" s="1"/>
  <c r="K2433" i="21"/>
  <c r="L2433" i="21" s="1"/>
  <c r="O2433" i="21"/>
  <c r="R2433" i="21"/>
  <c r="T2433" i="21"/>
  <c r="U2433" i="21"/>
  <c r="W2433" i="21"/>
  <c r="X2433" i="21"/>
  <c r="I2434" i="21"/>
  <c r="J2434" i="21" s="1"/>
  <c r="K2434" i="21"/>
  <c r="L2434" i="21" s="1"/>
  <c r="O2434" i="21"/>
  <c r="R2434" i="21"/>
  <c r="T2434" i="21"/>
  <c r="U2434" i="21"/>
  <c r="W2434" i="21"/>
  <c r="X2434" i="21"/>
  <c r="I2435" i="21"/>
  <c r="J2435" i="21" s="1"/>
  <c r="K2435" i="21"/>
  <c r="L2435" i="21" s="1"/>
  <c r="O2435" i="21"/>
  <c r="R2435" i="21"/>
  <c r="T2435" i="21"/>
  <c r="U2435" i="21"/>
  <c r="W2435" i="21"/>
  <c r="X2435" i="21"/>
  <c r="I2436" i="21"/>
  <c r="J2436" i="21" s="1"/>
  <c r="K2436" i="21"/>
  <c r="L2436" i="21" s="1"/>
  <c r="O2436" i="21"/>
  <c r="R2436" i="21"/>
  <c r="T2436" i="21"/>
  <c r="U2436" i="21"/>
  <c r="W2436" i="21"/>
  <c r="X2436" i="21"/>
  <c r="I2437" i="21"/>
  <c r="J2437" i="21" s="1"/>
  <c r="K2437" i="21"/>
  <c r="L2437" i="21" s="1"/>
  <c r="O2437" i="21"/>
  <c r="R2437" i="21"/>
  <c r="T2437" i="21"/>
  <c r="U2437" i="21"/>
  <c r="W2437" i="21"/>
  <c r="X2437" i="21"/>
  <c r="I2438" i="21"/>
  <c r="J2438" i="21" s="1"/>
  <c r="K2438" i="21"/>
  <c r="L2438" i="21" s="1"/>
  <c r="O2438" i="21"/>
  <c r="R2438" i="21"/>
  <c r="T2438" i="21"/>
  <c r="U2438" i="21"/>
  <c r="W2438" i="21"/>
  <c r="X2438" i="21"/>
  <c r="I2439" i="21"/>
  <c r="J2439" i="21" s="1"/>
  <c r="K2439" i="21"/>
  <c r="L2439" i="21" s="1"/>
  <c r="O2439" i="21"/>
  <c r="R2439" i="21"/>
  <c r="T2439" i="21"/>
  <c r="U2439" i="21"/>
  <c r="W2439" i="21"/>
  <c r="X2439" i="21"/>
  <c r="I2440" i="21"/>
  <c r="J2440" i="21" s="1"/>
  <c r="K2440" i="21"/>
  <c r="L2440" i="21" s="1"/>
  <c r="O2440" i="21"/>
  <c r="R2440" i="21"/>
  <c r="T2440" i="21"/>
  <c r="U2440" i="21"/>
  <c r="W2440" i="21"/>
  <c r="X2440" i="21"/>
  <c r="I2441" i="21"/>
  <c r="J2441" i="21" s="1"/>
  <c r="K2441" i="21"/>
  <c r="L2441" i="21" s="1"/>
  <c r="O2441" i="21"/>
  <c r="R2441" i="21"/>
  <c r="T2441" i="21"/>
  <c r="U2441" i="21"/>
  <c r="W2441" i="21"/>
  <c r="X2441" i="21"/>
  <c r="I2442" i="21"/>
  <c r="J2442" i="21" s="1"/>
  <c r="K2442" i="21"/>
  <c r="L2442" i="21" s="1"/>
  <c r="O2442" i="21"/>
  <c r="R2442" i="21"/>
  <c r="T2442" i="21"/>
  <c r="U2442" i="21"/>
  <c r="W2442" i="21"/>
  <c r="X2442" i="21"/>
  <c r="I2443" i="21"/>
  <c r="J2443" i="21" s="1"/>
  <c r="K2443" i="21"/>
  <c r="L2443" i="21" s="1"/>
  <c r="O2443" i="21"/>
  <c r="R2443" i="21"/>
  <c r="T2443" i="21"/>
  <c r="U2443" i="21"/>
  <c r="W2443" i="21"/>
  <c r="X2443" i="21"/>
  <c r="I2444" i="21"/>
  <c r="J2444" i="21" s="1"/>
  <c r="K2444" i="21"/>
  <c r="L2444" i="21" s="1"/>
  <c r="O2444" i="21"/>
  <c r="R2444" i="21"/>
  <c r="T2444" i="21"/>
  <c r="U2444" i="21"/>
  <c r="W2444" i="21"/>
  <c r="X2444" i="21"/>
  <c r="I2445" i="21"/>
  <c r="J2445" i="21" s="1"/>
  <c r="K2445" i="21"/>
  <c r="L2445" i="21" s="1"/>
  <c r="O2445" i="21"/>
  <c r="R2445" i="21"/>
  <c r="T2445" i="21"/>
  <c r="U2445" i="21"/>
  <c r="W2445" i="21"/>
  <c r="X2445" i="21"/>
  <c r="I2446" i="21"/>
  <c r="J2446" i="21" s="1"/>
  <c r="K2446" i="21"/>
  <c r="L2446" i="21" s="1"/>
  <c r="O2446" i="21"/>
  <c r="R2446" i="21"/>
  <c r="T2446" i="21"/>
  <c r="U2446" i="21"/>
  <c r="W2446" i="21"/>
  <c r="X2446" i="21"/>
  <c r="I2447" i="21"/>
  <c r="J2447" i="21" s="1"/>
  <c r="K2447" i="21"/>
  <c r="L2447" i="21" s="1"/>
  <c r="O2447" i="21"/>
  <c r="R2447" i="21"/>
  <c r="T2447" i="21"/>
  <c r="U2447" i="21"/>
  <c r="W2447" i="21"/>
  <c r="X2447" i="21"/>
  <c r="I2448" i="21"/>
  <c r="J2448" i="21" s="1"/>
  <c r="K2448" i="21"/>
  <c r="L2448" i="21" s="1"/>
  <c r="O2448" i="21"/>
  <c r="R2448" i="21"/>
  <c r="T2448" i="21"/>
  <c r="U2448" i="21"/>
  <c r="W2448" i="21"/>
  <c r="X2448" i="21"/>
  <c r="I2449" i="21"/>
  <c r="J2449" i="21" s="1"/>
  <c r="K2449" i="21"/>
  <c r="L2449" i="21" s="1"/>
  <c r="O2449" i="21"/>
  <c r="R2449" i="21"/>
  <c r="T2449" i="21"/>
  <c r="U2449" i="21"/>
  <c r="W2449" i="21"/>
  <c r="X2449" i="21"/>
  <c r="I2450" i="21"/>
  <c r="J2450" i="21" s="1"/>
  <c r="K2450" i="21"/>
  <c r="L2450" i="21" s="1"/>
  <c r="O2450" i="21"/>
  <c r="R2450" i="21"/>
  <c r="T2450" i="21"/>
  <c r="U2450" i="21"/>
  <c r="W2450" i="21"/>
  <c r="X2450" i="21"/>
  <c r="I2451" i="21"/>
  <c r="J2451" i="21" s="1"/>
  <c r="K2451" i="21"/>
  <c r="L2451" i="21" s="1"/>
  <c r="O2451" i="21"/>
  <c r="R2451" i="21"/>
  <c r="T2451" i="21"/>
  <c r="U2451" i="21"/>
  <c r="W2451" i="21"/>
  <c r="X2451" i="21"/>
  <c r="I2452" i="21"/>
  <c r="J2452" i="21" s="1"/>
  <c r="K2452" i="21"/>
  <c r="L2452" i="21" s="1"/>
  <c r="O2452" i="21"/>
  <c r="R2452" i="21"/>
  <c r="T2452" i="21"/>
  <c r="U2452" i="21"/>
  <c r="W2452" i="21"/>
  <c r="X2452" i="21"/>
  <c r="I2453" i="21"/>
  <c r="J2453" i="21" s="1"/>
  <c r="K2453" i="21"/>
  <c r="L2453" i="21" s="1"/>
  <c r="O2453" i="21"/>
  <c r="R2453" i="21"/>
  <c r="T2453" i="21"/>
  <c r="U2453" i="21"/>
  <c r="W2453" i="21"/>
  <c r="X2453" i="21"/>
  <c r="I2454" i="21"/>
  <c r="J2454" i="21" s="1"/>
  <c r="K2454" i="21"/>
  <c r="L2454" i="21" s="1"/>
  <c r="O2454" i="21"/>
  <c r="R2454" i="21"/>
  <c r="T2454" i="21"/>
  <c r="U2454" i="21"/>
  <c r="W2454" i="21"/>
  <c r="X2454" i="21"/>
  <c r="I2455" i="21"/>
  <c r="J2455" i="21" s="1"/>
  <c r="K2455" i="21"/>
  <c r="L2455" i="21" s="1"/>
  <c r="O2455" i="21"/>
  <c r="R2455" i="21"/>
  <c r="T2455" i="21"/>
  <c r="U2455" i="21"/>
  <c r="W2455" i="21"/>
  <c r="X2455" i="21"/>
  <c r="X2415" i="21"/>
  <c r="W2415" i="21"/>
  <c r="U2415" i="21"/>
  <c r="T2415" i="21"/>
  <c r="R2415" i="21"/>
  <c r="O2415" i="21"/>
  <c r="K2415" i="21"/>
  <c r="M2415" i="21" s="1"/>
  <c r="I2415" i="21"/>
  <c r="Q2415" i="21" s="1"/>
  <c r="N2477" i="19"/>
  <c r="N2478" i="19"/>
  <c r="N2479" i="19"/>
  <c r="N2480" i="19"/>
  <c r="N2481" i="19"/>
  <c r="N2482" i="19"/>
  <c r="N2483" i="19"/>
  <c r="N2484" i="19"/>
  <c r="N2485" i="19"/>
  <c r="N2486" i="19"/>
  <c r="N2487" i="19"/>
  <c r="N2488" i="19"/>
  <c r="N2489" i="19"/>
  <c r="N2490" i="19"/>
  <c r="N2491" i="19"/>
  <c r="N2492" i="19"/>
  <c r="N2493" i="19"/>
  <c r="N2494" i="19"/>
  <c r="N2495" i="19"/>
  <c r="N2496" i="19"/>
  <c r="N2497" i="19"/>
  <c r="N2498" i="19"/>
  <c r="N2499" i="19"/>
  <c r="N2500" i="19"/>
  <c r="N2501" i="19"/>
  <c r="N2502" i="19"/>
  <c r="N2503" i="19"/>
  <c r="N2504" i="19"/>
  <c r="N2505" i="19"/>
  <c r="N2506" i="19"/>
  <c r="N2507" i="19"/>
  <c r="N2508" i="19"/>
  <c r="N2509" i="19"/>
  <c r="N2510" i="19"/>
  <c r="N2511" i="19"/>
  <c r="N2512" i="19"/>
  <c r="N2513" i="19"/>
  <c r="N2514" i="19"/>
  <c r="N2515" i="19"/>
  <c r="N2516" i="19"/>
  <c r="N2517" i="19"/>
  <c r="N2518" i="19"/>
  <c r="N2519" i="19"/>
  <c r="N2520" i="19"/>
  <c r="N2521" i="19"/>
  <c r="N2522" i="19"/>
  <c r="N2523" i="19"/>
  <c r="N2524" i="19"/>
  <c r="N2525" i="19"/>
  <c r="N2526" i="19"/>
  <c r="N2527" i="19"/>
  <c r="N2528" i="19"/>
  <c r="N2529" i="19"/>
  <c r="N2530" i="19"/>
  <c r="N2531" i="19"/>
  <c r="N2532" i="19"/>
  <c r="N2533" i="19"/>
  <c r="N2534" i="19"/>
  <c r="N2535" i="19"/>
  <c r="N2536" i="19"/>
  <c r="N2537" i="19"/>
  <c r="N2538" i="19"/>
  <c r="N2539" i="19"/>
  <c r="N2540" i="19"/>
  <c r="N2541" i="19"/>
  <c r="N2542" i="19"/>
  <c r="N2543" i="19"/>
  <c r="N2544" i="19"/>
  <c r="N2545" i="19"/>
  <c r="N2546" i="19"/>
  <c r="N2547" i="19"/>
  <c r="N2548" i="19"/>
  <c r="N2549" i="19"/>
  <c r="N2550" i="19"/>
  <c r="N2551" i="19"/>
  <c r="N2552" i="19"/>
  <c r="N2553" i="19"/>
  <c r="N2554" i="19"/>
  <c r="N2555" i="19"/>
  <c r="N2556" i="19"/>
  <c r="N2557" i="19"/>
  <c r="N2558" i="19"/>
  <c r="N2559" i="19"/>
  <c r="N2560" i="19"/>
  <c r="N2561" i="19"/>
  <c r="N2562" i="19"/>
  <c r="N2563" i="19"/>
  <c r="N2564" i="19"/>
  <c r="N2565" i="19"/>
  <c r="N2566" i="19"/>
  <c r="N2567" i="19"/>
  <c r="N2568" i="19"/>
  <c r="N2569" i="19"/>
  <c r="N2570" i="19"/>
  <c r="N2571" i="19"/>
  <c r="N2572" i="19"/>
  <c r="N2573" i="19"/>
  <c r="N2574" i="19"/>
  <c r="N2575" i="19"/>
  <c r="N2576" i="19"/>
  <c r="N2577" i="19"/>
  <c r="N2578" i="19"/>
  <c r="N2579" i="19"/>
  <c r="N2580" i="19"/>
  <c r="N2581" i="19"/>
  <c r="N2582" i="19"/>
  <c r="N2583" i="19"/>
  <c r="N2584" i="19"/>
  <c r="N2585" i="19"/>
  <c r="N2586" i="19"/>
  <c r="N2587" i="19"/>
  <c r="N2588" i="19"/>
  <c r="O2477" i="19"/>
  <c r="O2478" i="19"/>
  <c r="O2479" i="19"/>
  <c r="O2480" i="19"/>
  <c r="O2481" i="19"/>
  <c r="O2482" i="19"/>
  <c r="O2483" i="19"/>
  <c r="O2484" i="19"/>
  <c r="O2485" i="19"/>
  <c r="O2486" i="19"/>
  <c r="O2487" i="19"/>
  <c r="O2488" i="19"/>
  <c r="O2489" i="19"/>
  <c r="O2490" i="19"/>
  <c r="O2491" i="19"/>
  <c r="O2492" i="19"/>
  <c r="O2493" i="19"/>
  <c r="O2494" i="19"/>
  <c r="O2495" i="19"/>
  <c r="O2496" i="19"/>
  <c r="O2497" i="19"/>
  <c r="O2498" i="19"/>
  <c r="O2499" i="19"/>
  <c r="O2500" i="19"/>
  <c r="O2501" i="19"/>
  <c r="O2502" i="19"/>
  <c r="O2503" i="19"/>
  <c r="O2504" i="19"/>
  <c r="O2505" i="19"/>
  <c r="O2506" i="19"/>
  <c r="O2507" i="19"/>
  <c r="O2508" i="19"/>
  <c r="O2509" i="19"/>
  <c r="O2510" i="19"/>
  <c r="O2511" i="19"/>
  <c r="O2512" i="19"/>
  <c r="O2513" i="19"/>
  <c r="O2514" i="19"/>
  <c r="O2515" i="19"/>
  <c r="O2516" i="19"/>
  <c r="O2517" i="19"/>
  <c r="O2518" i="19"/>
  <c r="O2519" i="19"/>
  <c r="O2520" i="19"/>
  <c r="O2521" i="19"/>
  <c r="O2522" i="19"/>
  <c r="O2523" i="19"/>
  <c r="O2524" i="19"/>
  <c r="O2525" i="19"/>
  <c r="O2526" i="19"/>
  <c r="O2527" i="19"/>
  <c r="O2528" i="19"/>
  <c r="O2529" i="19"/>
  <c r="O2530" i="19"/>
  <c r="O2531" i="19"/>
  <c r="O2532" i="19"/>
  <c r="O2533" i="19"/>
  <c r="O2534" i="19"/>
  <c r="O2535" i="19"/>
  <c r="O2536" i="19"/>
  <c r="O2537" i="19"/>
  <c r="O2538" i="19"/>
  <c r="O2539" i="19"/>
  <c r="O2540" i="19"/>
  <c r="O2541" i="19"/>
  <c r="O2542" i="19"/>
  <c r="O2543" i="19"/>
  <c r="O2544" i="19"/>
  <c r="O2545" i="19"/>
  <c r="O2546" i="19"/>
  <c r="O2547" i="19"/>
  <c r="O2548" i="19"/>
  <c r="O2549" i="19"/>
  <c r="O2550" i="19"/>
  <c r="O2551" i="19"/>
  <c r="O2552" i="19"/>
  <c r="O2553" i="19"/>
  <c r="O2554" i="19"/>
  <c r="O2555" i="19"/>
  <c r="O2556" i="19"/>
  <c r="O2557" i="19"/>
  <c r="O2558" i="19"/>
  <c r="O2559" i="19"/>
  <c r="O2560" i="19"/>
  <c r="O2561" i="19"/>
  <c r="O2562" i="19"/>
  <c r="O2563" i="19"/>
  <c r="O2564" i="19"/>
  <c r="O2565" i="19"/>
  <c r="O2566" i="19"/>
  <c r="O2567" i="19"/>
  <c r="O2568" i="19"/>
  <c r="O2569" i="19"/>
  <c r="O2570" i="19"/>
  <c r="O2571" i="19"/>
  <c r="O2572" i="19"/>
  <c r="O2573" i="19"/>
  <c r="O2574" i="19"/>
  <c r="O2575" i="19"/>
  <c r="O2576" i="19"/>
  <c r="O2577" i="19"/>
  <c r="O2578" i="19"/>
  <c r="O2579" i="19"/>
  <c r="O2580" i="19"/>
  <c r="O2581" i="19"/>
  <c r="O2582" i="19"/>
  <c r="O2583" i="19"/>
  <c r="O2584" i="19"/>
  <c r="O2585" i="19"/>
  <c r="O2586" i="19"/>
  <c r="O2587" i="19"/>
  <c r="O2588" i="19"/>
  <c r="P2477" i="19"/>
  <c r="P2478" i="19"/>
  <c r="P2479" i="19"/>
  <c r="P2480" i="19"/>
  <c r="P2481" i="19"/>
  <c r="P2482" i="19"/>
  <c r="P2483" i="19"/>
  <c r="P2484" i="19"/>
  <c r="P2485" i="19"/>
  <c r="P2486" i="19"/>
  <c r="P2487" i="19"/>
  <c r="P2488" i="19"/>
  <c r="P2489" i="19"/>
  <c r="P2490" i="19"/>
  <c r="P2491" i="19"/>
  <c r="P2492" i="19"/>
  <c r="P2493" i="19"/>
  <c r="P2494" i="19"/>
  <c r="P2495" i="19"/>
  <c r="P2496" i="19"/>
  <c r="P2497" i="19"/>
  <c r="P2498" i="19"/>
  <c r="P2499" i="19"/>
  <c r="P2500" i="19"/>
  <c r="P2501" i="19"/>
  <c r="P2502" i="19"/>
  <c r="P2503" i="19"/>
  <c r="P2504" i="19"/>
  <c r="P2505" i="19"/>
  <c r="P2506" i="19"/>
  <c r="P2507" i="19"/>
  <c r="P2508" i="19"/>
  <c r="P2509" i="19"/>
  <c r="P2510" i="19"/>
  <c r="P2511" i="19"/>
  <c r="P2512" i="19"/>
  <c r="P2513" i="19"/>
  <c r="P2514" i="19"/>
  <c r="P2515" i="19"/>
  <c r="P2516" i="19"/>
  <c r="P2517" i="19"/>
  <c r="P2518" i="19"/>
  <c r="P2519" i="19"/>
  <c r="P2520" i="19"/>
  <c r="P2521" i="19"/>
  <c r="P2522" i="19"/>
  <c r="P2523" i="19"/>
  <c r="P2524" i="19"/>
  <c r="P2525" i="19"/>
  <c r="P2526" i="19"/>
  <c r="P2527" i="19"/>
  <c r="P2528" i="19"/>
  <c r="P2529" i="19"/>
  <c r="P2530" i="19"/>
  <c r="P2531" i="19"/>
  <c r="P2532" i="19"/>
  <c r="P2533" i="19"/>
  <c r="P2534" i="19"/>
  <c r="P2535" i="19"/>
  <c r="P2536" i="19"/>
  <c r="P2537" i="19"/>
  <c r="P2538" i="19"/>
  <c r="P2539" i="19"/>
  <c r="P2540" i="19"/>
  <c r="P2541" i="19"/>
  <c r="P2542" i="19"/>
  <c r="P2543" i="19"/>
  <c r="P2544" i="19"/>
  <c r="P2545" i="19"/>
  <c r="P2546" i="19"/>
  <c r="P2547" i="19"/>
  <c r="P2548" i="19"/>
  <c r="P2549" i="19"/>
  <c r="P2550" i="19"/>
  <c r="P2551" i="19"/>
  <c r="P2552" i="19"/>
  <c r="P2553" i="19"/>
  <c r="P2554" i="19"/>
  <c r="P2555" i="19"/>
  <c r="P2556" i="19"/>
  <c r="P2557" i="19"/>
  <c r="P2558" i="19"/>
  <c r="P2559" i="19"/>
  <c r="P2560" i="19"/>
  <c r="P2561" i="19"/>
  <c r="P2562" i="19"/>
  <c r="P2563" i="19"/>
  <c r="P2564" i="19"/>
  <c r="P2565" i="19"/>
  <c r="P2566" i="19"/>
  <c r="P2567" i="19"/>
  <c r="P2568" i="19"/>
  <c r="P2569" i="19"/>
  <c r="P2570" i="19"/>
  <c r="P2571" i="19"/>
  <c r="P2572" i="19"/>
  <c r="P2573" i="19"/>
  <c r="P2574" i="19"/>
  <c r="P2575" i="19"/>
  <c r="P2576" i="19"/>
  <c r="P2577" i="19"/>
  <c r="P2578" i="19"/>
  <c r="P2579" i="19"/>
  <c r="P2580" i="19"/>
  <c r="P2581" i="19"/>
  <c r="P2582" i="19"/>
  <c r="P2583" i="19"/>
  <c r="P2584" i="19"/>
  <c r="P2585" i="19"/>
  <c r="P2586" i="19"/>
  <c r="P2587" i="19"/>
  <c r="P2588" i="19"/>
  <c r="T2477" i="19"/>
  <c r="T2478" i="19"/>
  <c r="T2479" i="19"/>
  <c r="T2480" i="19"/>
  <c r="T2481" i="19"/>
  <c r="T2482" i="19"/>
  <c r="T2483" i="19"/>
  <c r="T2484" i="19"/>
  <c r="T2485" i="19"/>
  <c r="T2486" i="19"/>
  <c r="T2487" i="19"/>
  <c r="T2488" i="19"/>
  <c r="T2489" i="19"/>
  <c r="T2490" i="19"/>
  <c r="T2491" i="19"/>
  <c r="T2492" i="19"/>
  <c r="T2493" i="19"/>
  <c r="T2494" i="19"/>
  <c r="T2495" i="19"/>
  <c r="T2496" i="19"/>
  <c r="T2497" i="19"/>
  <c r="T2498" i="19"/>
  <c r="T2499" i="19"/>
  <c r="T2500" i="19"/>
  <c r="T2501" i="19"/>
  <c r="T2502" i="19"/>
  <c r="T2503" i="19"/>
  <c r="T2504" i="19"/>
  <c r="T2505" i="19"/>
  <c r="T2506" i="19"/>
  <c r="T2507" i="19"/>
  <c r="T2508" i="19"/>
  <c r="T2509" i="19"/>
  <c r="T2510" i="19"/>
  <c r="T2511" i="19"/>
  <c r="T2512" i="19"/>
  <c r="T2513" i="19"/>
  <c r="T2514" i="19"/>
  <c r="T2515" i="19"/>
  <c r="T2516" i="19"/>
  <c r="T2517" i="19"/>
  <c r="T2518" i="19"/>
  <c r="T2519" i="19"/>
  <c r="T2520" i="19"/>
  <c r="T2521" i="19"/>
  <c r="T2522" i="19"/>
  <c r="T2523" i="19"/>
  <c r="T2524" i="19"/>
  <c r="T2525" i="19"/>
  <c r="T2526" i="19"/>
  <c r="T2527" i="19"/>
  <c r="T2528" i="19"/>
  <c r="T2529" i="19"/>
  <c r="T2530" i="19"/>
  <c r="T2531" i="19"/>
  <c r="T2532" i="19"/>
  <c r="T2533" i="19"/>
  <c r="T2534" i="19"/>
  <c r="T2535" i="19"/>
  <c r="T2536" i="19"/>
  <c r="T2537" i="19"/>
  <c r="T2538" i="19"/>
  <c r="T2539" i="19"/>
  <c r="T2540" i="19"/>
  <c r="T2541" i="19"/>
  <c r="T2542" i="19"/>
  <c r="T2543" i="19"/>
  <c r="T2544" i="19"/>
  <c r="T2545" i="19"/>
  <c r="T2546" i="19"/>
  <c r="T2547" i="19"/>
  <c r="T2548" i="19"/>
  <c r="T2549" i="19"/>
  <c r="T2550" i="19"/>
  <c r="T2551" i="19"/>
  <c r="T2552" i="19"/>
  <c r="T2553" i="19"/>
  <c r="T2554" i="19"/>
  <c r="T2555" i="19"/>
  <c r="T2556" i="19"/>
  <c r="T2557" i="19"/>
  <c r="T2558" i="19"/>
  <c r="T2559" i="19"/>
  <c r="T2560" i="19"/>
  <c r="T2561" i="19"/>
  <c r="T2562" i="19"/>
  <c r="T2563" i="19"/>
  <c r="T2564" i="19"/>
  <c r="T2565" i="19"/>
  <c r="T2566" i="19"/>
  <c r="T2567" i="19"/>
  <c r="T2568" i="19"/>
  <c r="T2569" i="19"/>
  <c r="T2570" i="19"/>
  <c r="T2571" i="19"/>
  <c r="T2572" i="19"/>
  <c r="T2573" i="19"/>
  <c r="T2574" i="19"/>
  <c r="T2575" i="19"/>
  <c r="T2576" i="19"/>
  <c r="T2577" i="19"/>
  <c r="T2578" i="19"/>
  <c r="T2579" i="19"/>
  <c r="T2580" i="19"/>
  <c r="T2581" i="19"/>
  <c r="T2582" i="19"/>
  <c r="T2583" i="19"/>
  <c r="T2584" i="19"/>
  <c r="T2585" i="19"/>
  <c r="T2586" i="19"/>
  <c r="T2587" i="19"/>
  <c r="T2588" i="19"/>
  <c r="U2477" i="19"/>
  <c r="U2478" i="19"/>
  <c r="U2479" i="19"/>
  <c r="U2480" i="19"/>
  <c r="U2481" i="19"/>
  <c r="U2482" i="19"/>
  <c r="U2483" i="19"/>
  <c r="U2484" i="19"/>
  <c r="U2485" i="19"/>
  <c r="U2486" i="19"/>
  <c r="U2487" i="19"/>
  <c r="U2488" i="19"/>
  <c r="U2489" i="19"/>
  <c r="U2490" i="19"/>
  <c r="U2491" i="19"/>
  <c r="U2492" i="19"/>
  <c r="U2493" i="19"/>
  <c r="U2494" i="19"/>
  <c r="U2495" i="19"/>
  <c r="U2496" i="19"/>
  <c r="U2497" i="19"/>
  <c r="U2498" i="19"/>
  <c r="U2499" i="19"/>
  <c r="U2500" i="19"/>
  <c r="U2501" i="19"/>
  <c r="U2502" i="19"/>
  <c r="U2503" i="19"/>
  <c r="U2504" i="19"/>
  <c r="U2505" i="19"/>
  <c r="U2506" i="19"/>
  <c r="U2507" i="19"/>
  <c r="U2508" i="19"/>
  <c r="U2509" i="19"/>
  <c r="U2510" i="19"/>
  <c r="U2511" i="19"/>
  <c r="U2512" i="19"/>
  <c r="U2513" i="19"/>
  <c r="U2514" i="19"/>
  <c r="U2515" i="19"/>
  <c r="U2516" i="19"/>
  <c r="U2517" i="19"/>
  <c r="U2518" i="19"/>
  <c r="U2519" i="19"/>
  <c r="U2520" i="19"/>
  <c r="U2521" i="19"/>
  <c r="U2522" i="19"/>
  <c r="U2523" i="19"/>
  <c r="U2524" i="19"/>
  <c r="U2525" i="19"/>
  <c r="U2526" i="19"/>
  <c r="U2527" i="19"/>
  <c r="U2528" i="19"/>
  <c r="U2529" i="19"/>
  <c r="U2530" i="19"/>
  <c r="U2531" i="19"/>
  <c r="U2532" i="19"/>
  <c r="U2533" i="19"/>
  <c r="U2534" i="19"/>
  <c r="U2535" i="19"/>
  <c r="U2536" i="19"/>
  <c r="U2537" i="19"/>
  <c r="U2538" i="19"/>
  <c r="U2539" i="19"/>
  <c r="U2540" i="19"/>
  <c r="U2541" i="19"/>
  <c r="U2542" i="19"/>
  <c r="U2543" i="19"/>
  <c r="U2544" i="19"/>
  <c r="U2545" i="19"/>
  <c r="U2546" i="19"/>
  <c r="U2547" i="19"/>
  <c r="U2548" i="19"/>
  <c r="U2549" i="19"/>
  <c r="U2550" i="19"/>
  <c r="U2551" i="19"/>
  <c r="U2552" i="19"/>
  <c r="U2553" i="19"/>
  <c r="U2554" i="19"/>
  <c r="U2555" i="19"/>
  <c r="U2556" i="19"/>
  <c r="U2557" i="19"/>
  <c r="U2558" i="19"/>
  <c r="U2559" i="19"/>
  <c r="U2560" i="19"/>
  <c r="U2561" i="19"/>
  <c r="U2562" i="19"/>
  <c r="U2563" i="19"/>
  <c r="U2564" i="19"/>
  <c r="U2565" i="19"/>
  <c r="U2566" i="19"/>
  <c r="U2567" i="19"/>
  <c r="U2568" i="19"/>
  <c r="U2569" i="19"/>
  <c r="U2570" i="19"/>
  <c r="U2571" i="19"/>
  <c r="U2572" i="19"/>
  <c r="U2573" i="19"/>
  <c r="U2574" i="19"/>
  <c r="U2575" i="19"/>
  <c r="U2576" i="19"/>
  <c r="U2577" i="19"/>
  <c r="U2578" i="19"/>
  <c r="U2579" i="19"/>
  <c r="U2580" i="19"/>
  <c r="U2581" i="19"/>
  <c r="U2582" i="19"/>
  <c r="U2583" i="19"/>
  <c r="U2584" i="19"/>
  <c r="U2585" i="19"/>
  <c r="U2586" i="19"/>
  <c r="U2587" i="19"/>
  <c r="U2588" i="19"/>
  <c r="W2477" i="19"/>
  <c r="W2478" i="19"/>
  <c r="W2479" i="19"/>
  <c r="W2480" i="19"/>
  <c r="W2481" i="19"/>
  <c r="W2482" i="19"/>
  <c r="W2483" i="19"/>
  <c r="W2484" i="19"/>
  <c r="W2485" i="19"/>
  <c r="W2486" i="19"/>
  <c r="W2487" i="19"/>
  <c r="W2488" i="19"/>
  <c r="W2489" i="19"/>
  <c r="W2490" i="19"/>
  <c r="W2491" i="19"/>
  <c r="W2492" i="19"/>
  <c r="W2493" i="19"/>
  <c r="W2494" i="19"/>
  <c r="W2495" i="19"/>
  <c r="W2496" i="19"/>
  <c r="W2497" i="19"/>
  <c r="W2498" i="19"/>
  <c r="W2499" i="19"/>
  <c r="W2500" i="19"/>
  <c r="W2501" i="19"/>
  <c r="W2502" i="19"/>
  <c r="W2503" i="19"/>
  <c r="W2504" i="19"/>
  <c r="W2505" i="19"/>
  <c r="W2506" i="19"/>
  <c r="W2507" i="19"/>
  <c r="W2508" i="19"/>
  <c r="W2509" i="19"/>
  <c r="W2510" i="19"/>
  <c r="W2511" i="19"/>
  <c r="W2512" i="19"/>
  <c r="W2513" i="19"/>
  <c r="W2514" i="19"/>
  <c r="W2515" i="19"/>
  <c r="W2516" i="19"/>
  <c r="W2517" i="19"/>
  <c r="W2518" i="19"/>
  <c r="W2519" i="19"/>
  <c r="W2520" i="19"/>
  <c r="W2521" i="19"/>
  <c r="W2522" i="19"/>
  <c r="W2523" i="19"/>
  <c r="W2524" i="19"/>
  <c r="W2525" i="19"/>
  <c r="W2526" i="19"/>
  <c r="W2527" i="19"/>
  <c r="W2528" i="19"/>
  <c r="W2529" i="19"/>
  <c r="W2530" i="19"/>
  <c r="W2531" i="19"/>
  <c r="W2532" i="19"/>
  <c r="W2533" i="19"/>
  <c r="W2534" i="19"/>
  <c r="W2535" i="19"/>
  <c r="W2536" i="19"/>
  <c r="W2537" i="19"/>
  <c r="W2538" i="19"/>
  <c r="W2539" i="19"/>
  <c r="W2540" i="19"/>
  <c r="W2541" i="19"/>
  <c r="W2542" i="19"/>
  <c r="W2543" i="19"/>
  <c r="W2544" i="19"/>
  <c r="W2545" i="19"/>
  <c r="W2546" i="19"/>
  <c r="W2547" i="19"/>
  <c r="W2548" i="19"/>
  <c r="W2549" i="19"/>
  <c r="W2550" i="19"/>
  <c r="W2551" i="19"/>
  <c r="W2552" i="19"/>
  <c r="W2553" i="19"/>
  <c r="W2554" i="19"/>
  <c r="W2555" i="19"/>
  <c r="W2556" i="19"/>
  <c r="W2557" i="19"/>
  <c r="W2558" i="19"/>
  <c r="W2559" i="19"/>
  <c r="W2560" i="19"/>
  <c r="W2561" i="19"/>
  <c r="W2562" i="19"/>
  <c r="W2563" i="19"/>
  <c r="W2564" i="19"/>
  <c r="W2565" i="19"/>
  <c r="W2566" i="19"/>
  <c r="W2567" i="19"/>
  <c r="W2568" i="19"/>
  <c r="W2569" i="19"/>
  <c r="W2570" i="19"/>
  <c r="W2571" i="19"/>
  <c r="W2572" i="19"/>
  <c r="W2573" i="19"/>
  <c r="W2574" i="19"/>
  <c r="W2575" i="19"/>
  <c r="W2576" i="19"/>
  <c r="W2577" i="19"/>
  <c r="W2578" i="19"/>
  <c r="W2579" i="19"/>
  <c r="W2580" i="19"/>
  <c r="W2581" i="19"/>
  <c r="W2582" i="19"/>
  <c r="W2583" i="19"/>
  <c r="W2584" i="19"/>
  <c r="W2585" i="19"/>
  <c r="W2586" i="19"/>
  <c r="W2587" i="19"/>
  <c r="W2588" i="19"/>
  <c r="X2477" i="19"/>
  <c r="X2478" i="19"/>
  <c r="X2479" i="19"/>
  <c r="X2480" i="19"/>
  <c r="X2481" i="19"/>
  <c r="X2482" i="19"/>
  <c r="X2483" i="19"/>
  <c r="X2484" i="19"/>
  <c r="X2485" i="19"/>
  <c r="X2486" i="19"/>
  <c r="X2487" i="19"/>
  <c r="X2488" i="19"/>
  <c r="X2489" i="19"/>
  <c r="X2490" i="19"/>
  <c r="X2491" i="19"/>
  <c r="X2492" i="19"/>
  <c r="X2493" i="19"/>
  <c r="X2494" i="19"/>
  <c r="X2495" i="19"/>
  <c r="X2496" i="19"/>
  <c r="X2497" i="19"/>
  <c r="X2498" i="19"/>
  <c r="X2499" i="19"/>
  <c r="X2500" i="19"/>
  <c r="X2501" i="19"/>
  <c r="X2502" i="19"/>
  <c r="X2503" i="19"/>
  <c r="X2504" i="19"/>
  <c r="X2505" i="19"/>
  <c r="X2506" i="19"/>
  <c r="X2507" i="19"/>
  <c r="X2508" i="19"/>
  <c r="X2509" i="19"/>
  <c r="X2510" i="19"/>
  <c r="X2511" i="19"/>
  <c r="X2512" i="19"/>
  <c r="X2513" i="19"/>
  <c r="X2514" i="19"/>
  <c r="X2515" i="19"/>
  <c r="X2516" i="19"/>
  <c r="X2517" i="19"/>
  <c r="X2518" i="19"/>
  <c r="X2519" i="19"/>
  <c r="X2520" i="19"/>
  <c r="X2521" i="19"/>
  <c r="X2522" i="19"/>
  <c r="X2523" i="19"/>
  <c r="X2524" i="19"/>
  <c r="X2525" i="19"/>
  <c r="X2526" i="19"/>
  <c r="X2527" i="19"/>
  <c r="X2528" i="19"/>
  <c r="X2529" i="19"/>
  <c r="X2530" i="19"/>
  <c r="X2531" i="19"/>
  <c r="X2532" i="19"/>
  <c r="X2533" i="19"/>
  <c r="X2534" i="19"/>
  <c r="X2535" i="19"/>
  <c r="X2536" i="19"/>
  <c r="X2537" i="19"/>
  <c r="X2538" i="19"/>
  <c r="X2539" i="19"/>
  <c r="X2540" i="19"/>
  <c r="X2541" i="19"/>
  <c r="X2542" i="19"/>
  <c r="X2543" i="19"/>
  <c r="X2544" i="19"/>
  <c r="X2545" i="19"/>
  <c r="X2546" i="19"/>
  <c r="X2547" i="19"/>
  <c r="X2548" i="19"/>
  <c r="X2549" i="19"/>
  <c r="X2550" i="19"/>
  <c r="X2551" i="19"/>
  <c r="X2552" i="19"/>
  <c r="X2553" i="19"/>
  <c r="X2554" i="19"/>
  <c r="X2555" i="19"/>
  <c r="X2556" i="19"/>
  <c r="X2557" i="19"/>
  <c r="X2558" i="19"/>
  <c r="X2559" i="19"/>
  <c r="X2560" i="19"/>
  <c r="X2561" i="19"/>
  <c r="X2562" i="19"/>
  <c r="X2563" i="19"/>
  <c r="X2564" i="19"/>
  <c r="X2565" i="19"/>
  <c r="X2566" i="19"/>
  <c r="X2567" i="19"/>
  <c r="X2568" i="19"/>
  <c r="X2569" i="19"/>
  <c r="X2570" i="19"/>
  <c r="X2571" i="19"/>
  <c r="X2572" i="19"/>
  <c r="X2573" i="19"/>
  <c r="X2574" i="19"/>
  <c r="X2575" i="19"/>
  <c r="X2576" i="19"/>
  <c r="X2577" i="19"/>
  <c r="X2578" i="19"/>
  <c r="X2579" i="19"/>
  <c r="X2580" i="19"/>
  <c r="X2581" i="19"/>
  <c r="X2582" i="19"/>
  <c r="X2583" i="19"/>
  <c r="X2584" i="19"/>
  <c r="X2585" i="19"/>
  <c r="X2586" i="19"/>
  <c r="X2587" i="19"/>
  <c r="X2588" i="19"/>
  <c r="I2304" i="21"/>
  <c r="J2304" i="21" s="1"/>
  <c r="K2304" i="21"/>
  <c r="L2304" i="21" s="1"/>
  <c r="O2304" i="21"/>
  <c r="R2304" i="21"/>
  <c r="T2304" i="21"/>
  <c r="U2304" i="21"/>
  <c r="W2304" i="21"/>
  <c r="X2304" i="21"/>
  <c r="I2305" i="21"/>
  <c r="J2305" i="21" s="1"/>
  <c r="K2305" i="21"/>
  <c r="L2305" i="21" s="1"/>
  <c r="O2305" i="21"/>
  <c r="R2305" i="21"/>
  <c r="T2305" i="21"/>
  <c r="U2305" i="21"/>
  <c r="W2305" i="21"/>
  <c r="X2305" i="21"/>
  <c r="I2306" i="21"/>
  <c r="J2306" i="21" s="1"/>
  <c r="K2306" i="21"/>
  <c r="L2306" i="21" s="1"/>
  <c r="O2306" i="21"/>
  <c r="R2306" i="21"/>
  <c r="T2306" i="21"/>
  <c r="U2306" i="21"/>
  <c r="W2306" i="21"/>
  <c r="X2306" i="21"/>
  <c r="I2307" i="21"/>
  <c r="J2307" i="21" s="1"/>
  <c r="K2307" i="21"/>
  <c r="L2307" i="21" s="1"/>
  <c r="O2307" i="21"/>
  <c r="Q2307" i="21"/>
  <c r="R2307" i="21"/>
  <c r="T2307" i="21"/>
  <c r="U2307" i="21"/>
  <c r="W2307" i="21"/>
  <c r="X2307" i="21"/>
  <c r="I2308" i="21"/>
  <c r="J2308" i="21" s="1"/>
  <c r="K2308" i="21"/>
  <c r="L2308" i="21" s="1"/>
  <c r="O2308" i="21"/>
  <c r="R2308" i="21"/>
  <c r="T2308" i="21"/>
  <c r="U2308" i="21"/>
  <c r="W2308" i="21"/>
  <c r="X2308" i="21"/>
  <c r="I2309" i="21"/>
  <c r="J2309" i="21" s="1"/>
  <c r="K2309" i="21"/>
  <c r="L2309" i="21" s="1"/>
  <c r="O2309" i="21"/>
  <c r="Q2309" i="21"/>
  <c r="R2309" i="21"/>
  <c r="T2309" i="21"/>
  <c r="U2309" i="21"/>
  <c r="W2309" i="21"/>
  <c r="X2309" i="21"/>
  <c r="I2310" i="21"/>
  <c r="J2310" i="21" s="1"/>
  <c r="K2310" i="21"/>
  <c r="L2310" i="21" s="1"/>
  <c r="O2310" i="21"/>
  <c r="R2310" i="21"/>
  <c r="T2310" i="21"/>
  <c r="U2310" i="21"/>
  <c r="W2310" i="21"/>
  <c r="X2310" i="21"/>
  <c r="I2311" i="21"/>
  <c r="J2311" i="21" s="1"/>
  <c r="K2311" i="21"/>
  <c r="L2311" i="21" s="1"/>
  <c r="O2311" i="21"/>
  <c r="R2311" i="21"/>
  <c r="T2311" i="21"/>
  <c r="U2311" i="21"/>
  <c r="W2311" i="21"/>
  <c r="X2311" i="21"/>
  <c r="I2312" i="21"/>
  <c r="J2312" i="21" s="1"/>
  <c r="K2312" i="21"/>
  <c r="L2312" i="21" s="1"/>
  <c r="M2312" i="21"/>
  <c r="O2312" i="21"/>
  <c r="R2312" i="21"/>
  <c r="T2312" i="21"/>
  <c r="U2312" i="21"/>
  <c r="W2312" i="21"/>
  <c r="X2312" i="21"/>
  <c r="I2313" i="21"/>
  <c r="J2313" i="21" s="1"/>
  <c r="K2313" i="21"/>
  <c r="L2313" i="21" s="1"/>
  <c r="O2313" i="21"/>
  <c r="R2313" i="21"/>
  <c r="T2313" i="21"/>
  <c r="U2313" i="21"/>
  <c r="W2313" i="21"/>
  <c r="X2313" i="21"/>
  <c r="I2314" i="21"/>
  <c r="J2314" i="21" s="1"/>
  <c r="K2314" i="21"/>
  <c r="L2314" i="21" s="1"/>
  <c r="M2314" i="21"/>
  <c r="O2314" i="21"/>
  <c r="R2314" i="21"/>
  <c r="T2314" i="21"/>
  <c r="U2314" i="21"/>
  <c r="W2314" i="21"/>
  <c r="X2314" i="21"/>
  <c r="I2315" i="21"/>
  <c r="J2315" i="21" s="1"/>
  <c r="K2315" i="21"/>
  <c r="L2315" i="21" s="1"/>
  <c r="M2315" i="21"/>
  <c r="O2315" i="21"/>
  <c r="R2315" i="21"/>
  <c r="T2315" i="21"/>
  <c r="U2315" i="21"/>
  <c r="W2315" i="21"/>
  <c r="X2315" i="21"/>
  <c r="I2316" i="21"/>
  <c r="J2316" i="21" s="1"/>
  <c r="K2316" i="21"/>
  <c r="L2316" i="21" s="1"/>
  <c r="M2316" i="21"/>
  <c r="O2316" i="21"/>
  <c r="R2316" i="21"/>
  <c r="T2316" i="21"/>
  <c r="U2316" i="21"/>
  <c r="W2316" i="21"/>
  <c r="X2316" i="21"/>
  <c r="I2317" i="21"/>
  <c r="J2317" i="21" s="1"/>
  <c r="K2317" i="21"/>
  <c r="L2317" i="21" s="1"/>
  <c r="O2317" i="21"/>
  <c r="R2317" i="21"/>
  <c r="T2317" i="21"/>
  <c r="U2317" i="21"/>
  <c r="W2317" i="21"/>
  <c r="X2317" i="21"/>
  <c r="I2318" i="21"/>
  <c r="J2318" i="21" s="1"/>
  <c r="K2318" i="21"/>
  <c r="L2318" i="21" s="1"/>
  <c r="M2318" i="21"/>
  <c r="O2318" i="21"/>
  <c r="R2318" i="21"/>
  <c r="T2318" i="21"/>
  <c r="U2318" i="21"/>
  <c r="W2318" i="21"/>
  <c r="X2318" i="21"/>
  <c r="I2319" i="21"/>
  <c r="J2319" i="21" s="1"/>
  <c r="K2319" i="21"/>
  <c r="L2319" i="21" s="1"/>
  <c r="O2319" i="21"/>
  <c r="R2319" i="21"/>
  <c r="T2319" i="21"/>
  <c r="U2319" i="21"/>
  <c r="W2319" i="21"/>
  <c r="X2319" i="21"/>
  <c r="I2320" i="21"/>
  <c r="J2320" i="21" s="1"/>
  <c r="K2320" i="21"/>
  <c r="L2320" i="21" s="1"/>
  <c r="O2320" i="21"/>
  <c r="R2320" i="21"/>
  <c r="T2320" i="21"/>
  <c r="U2320" i="21"/>
  <c r="W2320" i="21"/>
  <c r="X2320" i="21"/>
  <c r="I2321" i="21"/>
  <c r="J2321" i="21" s="1"/>
  <c r="K2321" i="21"/>
  <c r="L2321" i="21" s="1"/>
  <c r="M2321" i="21"/>
  <c r="O2321" i="21"/>
  <c r="R2321" i="21"/>
  <c r="T2321" i="21"/>
  <c r="U2321" i="21"/>
  <c r="W2321" i="21"/>
  <c r="X2321" i="21"/>
  <c r="I2322" i="21"/>
  <c r="J2322" i="21" s="1"/>
  <c r="K2322" i="21"/>
  <c r="L2322" i="21" s="1"/>
  <c r="O2322" i="21"/>
  <c r="R2322" i="21"/>
  <c r="T2322" i="21"/>
  <c r="U2322" i="21"/>
  <c r="W2322" i="21"/>
  <c r="X2322" i="21"/>
  <c r="I2323" i="21"/>
  <c r="J2323" i="21" s="1"/>
  <c r="K2323" i="21"/>
  <c r="L2323" i="21" s="1"/>
  <c r="O2323" i="21"/>
  <c r="R2323" i="21"/>
  <c r="T2323" i="21"/>
  <c r="U2323" i="21"/>
  <c r="W2323" i="21"/>
  <c r="X2323" i="21"/>
  <c r="I2324" i="21"/>
  <c r="J2324" i="21" s="1"/>
  <c r="K2324" i="21"/>
  <c r="L2324" i="21" s="1"/>
  <c r="O2324" i="21"/>
  <c r="R2324" i="21"/>
  <c r="T2324" i="21"/>
  <c r="U2324" i="21"/>
  <c r="W2324" i="21"/>
  <c r="X2324" i="21"/>
  <c r="I2325" i="21"/>
  <c r="J2325" i="21" s="1"/>
  <c r="K2325" i="21"/>
  <c r="L2325" i="21" s="1"/>
  <c r="M2325" i="21"/>
  <c r="O2325" i="21"/>
  <c r="R2325" i="21"/>
  <c r="T2325" i="21"/>
  <c r="U2325" i="21"/>
  <c r="W2325" i="21"/>
  <c r="X2325" i="21"/>
  <c r="I2326" i="21"/>
  <c r="J2326" i="21" s="1"/>
  <c r="K2326" i="21"/>
  <c r="L2326" i="21" s="1"/>
  <c r="O2326" i="21"/>
  <c r="R2326" i="21"/>
  <c r="T2326" i="21"/>
  <c r="U2326" i="21"/>
  <c r="W2326" i="21"/>
  <c r="X2326" i="21"/>
  <c r="I2327" i="21"/>
  <c r="J2327" i="21" s="1"/>
  <c r="K2327" i="21"/>
  <c r="L2327" i="21" s="1"/>
  <c r="O2327" i="21"/>
  <c r="R2327" i="21"/>
  <c r="T2327" i="21"/>
  <c r="U2327" i="21"/>
  <c r="W2327" i="21"/>
  <c r="X2327" i="21"/>
  <c r="I2328" i="21"/>
  <c r="J2328" i="21" s="1"/>
  <c r="K2328" i="21"/>
  <c r="L2328" i="21" s="1"/>
  <c r="O2328" i="21"/>
  <c r="R2328" i="21"/>
  <c r="T2328" i="21"/>
  <c r="U2328" i="21"/>
  <c r="W2328" i="21"/>
  <c r="X2328" i="21"/>
  <c r="I2329" i="21"/>
  <c r="J2329" i="21" s="1"/>
  <c r="K2329" i="21"/>
  <c r="L2329" i="21" s="1"/>
  <c r="O2329" i="21"/>
  <c r="R2329" i="21"/>
  <c r="T2329" i="21"/>
  <c r="U2329" i="21"/>
  <c r="W2329" i="21"/>
  <c r="X2329" i="21"/>
  <c r="I2330" i="21"/>
  <c r="J2330" i="21" s="1"/>
  <c r="K2330" i="21"/>
  <c r="L2330" i="21" s="1"/>
  <c r="O2330" i="21"/>
  <c r="R2330" i="21"/>
  <c r="T2330" i="21"/>
  <c r="U2330" i="21"/>
  <c r="W2330" i="21"/>
  <c r="X2330" i="21"/>
  <c r="I2331" i="21"/>
  <c r="J2331" i="21" s="1"/>
  <c r="K2331" i="21"/>
  <c r="L2331" i="21" s="1"/>
  <c r="M2331" i="21"/>
  <c r="O2331" i="21"/>
  <c r="R2331" i="21"/>
  <c r="T2331" i="21"/>
  <c r="U2331" i="21"/>
  <c r="W2331" i="21"/>
  <c r="X2331" i="21"/>
  <c r="I2332" i="21"/>
  <c r="J2332" i="21" s="1"/>
  <c r="K2332" i="21"/>
  <c r="L2332" i="21" s="1"/>
  <c r="O2332" i="21"/>
  <c r="R2332" i="21"/>
  <c r="T2332" i="21"/>
  <c r="U2332" i="21"/>
  <c r="W2332" i="21"/>
  <c r="X2332" i="21"/>
  <c r="I2333" i="21"/>
  <c r="J2333" i="21" s="1"/>
  <c r="K2333" i="21"/>
  <c r="L2333" i="21" s="1"/>
  <c r="M2333" i="21"/>
  <c r="O2333" i="21"/>
  <c r="R2333" i="21"/>
  <c r="T2333" i="21"/>
  <c r="U2333" i="21"/>
  <c r="W2333" i="21"/>
  <c r="X2333" i="21"/>
  <c r="I2334" i="21"/>
  <c r="J2334" i="21" s="1"/>
  <c r="K2334" i="21"/>
  <c r="L2334" i="21" s="1"/>
  <c r="O2334" i="21"/>
  <c r="R2334" i="21"/>
  <c r="T2334" i="21"/>
  <c r="U2334" i="21"/>
  <c r="W2334" i="21"/>
  <c r="X2334" i="21"/>
  <c r="I2335" i="21"/>
  <c r="J2335" i="21" s="1"/>
  <c r="K2335" i="21"/>
  <c r="L2335" i="21" s="1"/>
  <c r="O2335" i="21"/>
  <c r="R2335" i="21"/>
  <c r="T2335" i="21"/>
  <c r="U2335" i="21"/>
  <c r="W2335" i="21"/>
  <c r="X2335" i="21"/>
  <c r="I2336" i="21"/>
  <c r="J2336" i="21" s="1"/>
  <c r="K2336" i="21"/>
  <c r="L2336" i="21" s="1"/>
  <c r="M2336" i="21"/>
  <c r="O2336" i="21"/>
  <c r="R2336" i="21"/>
  <c r="T2336" i="21"/>
  <c r="U2336" i="21"/>
  <c r="W2336" i="21"/>
  <c r="X2336" i="21"/>
  <c r="I2337" i="21"/>
  <c r="J2337" i="21" s="1"/>
  <c r="K2337" i="21"/>
  <c r="L2337" i="21" s="1"/>
  <c r="O2337" i="21"/>
  <c r="R2337" i="21"/>
  <c r="T2337" i="21"/>
  <c r="U2337" i="21"/>
  <c r="W2337" i="21"/>
  <c r="X2337" i="21"/>
  <c r="I2338" i="21"/>
  <c r="J2338" i="21" s="1"/>
  <c r="K2338" i="21"/>
  <c r="L2338" i="21" s="1"/>
  <c r="O2338" i="21"/>
  <c r="R2338" i="21"/>
  <c r="T2338" i="21"/>
  <c r="U2338" i="21"/>
  <c r="W2338" i="21"/>
  <c r="X2338" i="21"/>
  <c r="I2339" i="21"/>
  <c r="J2339" i="21" s="1"/>
  <c r="K2339" i="21"/>
  <c r="L2339" i="21" s="1"/>
  <c r="M2339" i="21"/>
  <c r="O2339" i="21"/>
  <c r="R2339" i="21"/>
  <c r="T2339" i="21"/>
  <c r="U2339" i="21"/>
  <c r="W2339" i="21"/>
  <c r="X2339" i="21"/>
  <c r="I2340" i="21"/>
  <c r="J2340" i="21" s="1"/>
  <c r="K2340" i="21"/>
  <c r="L2340" i="21" s="1"/>
  <c r="M2340" i="21"/>
  <c r="O2340" i="21"/>
  <c r="R2340" i="21"/>
  <c r="T2340" i="21"/>
  <c r="U2340" i="21"/>
  <c r="W2340" i="21"/>
  <c r="X2340" i="21"/>
  <c r="I2341" i="21"/>
  <c r="J2341" i="21" s="1"/>
  <c r="K2341" i="21"/>
  <c r="L2341" i="21" s="1"/>
  <c r="O2341" i="21"/>
  <c r="R2341" i="21"/>
  <c r="T2341" i="21"/>
  <c r="U2341" i="21"/>
  <c r="W2341" i="21"/>
  <c r="X2341" i="21"/>
  <c r="I2342" i="21"/>
  <c r="J2342" i="21" s="1"/>
  <c r="K2342" i="21"/>
  <c r="L2342" i="21" s="1"/>
  <c r="M2342" i="21"/>
  <c r="O2342" i="21"/>
  <c r="R2342" i="21"/>
  <c r="T2342" i="21"/>
  <c r="U2342" i="21"/>
  <c r="W2342" i="21"/>
  <c r="X2342" i="21"/>
  <c r="I2343" i="21"/>
  <c r="J2343" i="21" s="1"/>
  <c r="K2343" i="21"/>
  <c r="L2343" i="21" s="1"/>
  <c r="O2343" i="21"/>
  <c r="R2343" i="21"/>
  <c r="T2343" i="21"/>
  <c r="U2343" i="21"/>
  <c r="W2343" i="21"/>
  <c r="X2343" i="21"/>
  <c r="I2344" i="21"/>
  <c r="J2344" i="21" s="1"/>
  <c r="K2344" i="21"/>
  <c r="L2344" i="21" s="1"/>
  <c r="O2344" i="21"/>
  <c r="R2344" i="21"/>
  <c r="T2344" i="21"/>
  <c r="U2344" i="21"/>
  <c r="W2344" i="21"/>
  <c r="X2344" i="21"/>
  <c r="I2345" i="21"/>
  <c r="J2345" i="21" s="1"/>
  <c r="K2345" i="21"/>
  <c r="L2345" i="21" s="1"/>
  <c r="M2345" i="21"/>
  <c r="O2345" i="21"/>
  <c r="R2345" i="21"/>
  <c r="T2345" i="21"/>
  <c r="U2345" i="21"/>
  <c r="W2345" i="21"/>
  <c r="X2345" i="21"/>
  <c r="I2346" i="21"/>
  <c r="J2346" i="21" s="1"/>
  <c r="K2346" i="21"/>
  <c r="L2346" i="21" s="1"/>
  <c r="M2346" i="21"/>
  <c r="O2346" i="21"/>
  <c r="R2346" i="21"/>
  <c r="T2346" i="21"/>
  <c r="U2346" i="21"/>
  <c r="W2346" i="21"/>
  <c r="X2346" i="21"/>
  <c r="I2347" i="21"/>
  <c r="J2347" i="21" s="1"/>
  <c r="K2347" i="21"/>
  <c r="L2347" i="21" s="1"/>
  <c r="O2347" i="21"/>
  <c r="R2347" i="21"/>
  <c r="T2347" i="21"/>
  <c r="U2347" i="21"/>
  <c r="W2347" i="21"/>
  <c r="X2347" i="21"/>
  <c r="I2348" i="21"/>
  <c r="J2348" i="21" s="1"/>
  <c r="K2348" i="21"/>
  <c r="L2348" i="21" s="1"/>
  <c r="O2348" i="21"/>
  <c r="R2348" i="21"/>
  <c r="T2348" i="21"/>
  <c r="U2348" i="21"/>
  <c r="W2348" i="21"/>
  <c r="X2348" i="21"/>
  <c r="I2349" i="21"/>
  <c r="J2349" i="21" s="1"/>
  <c r="K2349" i="21"/>
  <c r="L2349" i="21" s="1"/>
  <c r="O2349" i="21"/>
  <c r="R2349" i="21"/>
  <c r="T2349" i="21"/>
  <c r="U2349" i="21"/>
  <c r="W2349" i="21"/>
  <c r="X2349" i="21"/>
  <c r="I2350" i="21"/>
  <c r="J2350" i="21" s="1"/>
  <c r="K2350" i="21"/>
  <c r="L2350" i="21" s="1"/>
  <c r="M2350" i="21"/>
  <c r="O2350" i="21"/>
  <c r="R2350" i="21"/>
  <c r="T2350" i="21"/>
  <c r="U2350" i="21"/>
  <c r="W2350" i="21"/>
  <c r="X2350" i="21"/>
  <c r="I2351" i="21"/>
  <c r="J2351" i="21" s="1"/>
  <c r="K2351" i="21"/>
  <c r="L2351" i="21" s="1"/>
  <c r="M2351" i="21"/>
  <c r="O2351" i="21"/>
  <c r="R2351" i="21"/>
  <c r="T2351" i="21"/>
  <c r="U2351" i="21"/>
  <c r="W2351" i="21"/>
  <c r="X2351" i="21"/>
  <c r="I2352" i="21"/>
  <c r="J2352" i="21" s="1"/>
  <c r="K2352" i="21"/>
  <c r="L2352" i="21" s="1"/>
  <c r="O2352" i="21"/>
  <c r="R2352" i="21"/>
  <c r="T2352" i="21"/>
  <c r="U2352" i="21"/>
  <c r="W2352" i="21"/>
  <c r="X2352" i="21"/>
  <c r="I2353" i="21"/>
  <c r="J2353" i="21" s="1"/>
  <c r="K2353" i="21"/>
  <c r="L2353" i="21" s="1"/>
  <c r="O2353" i="21"/>
  <c r="R2353" i="21"/>
  <c r="T2353" i="21"/>
  <c r="U2353" i="21"/>
  <c r="W2353" i="21"/>
  <c r="X2353" i="21"/>
  <c r="I2354" i="21"/>
  <c r="J2354" i="21" s="1"/>
  <c r="K2354" i="21"/>
  <c r="L2354" i="21" s="1"/>
  <c r="O2354" i="21"/>
  <c r="R2354" i="21"/>
  <c r="T2354" i="21"/>
  <c r="U2354" i="21"/>
  <c r="W2354" i="21"/>
  <c r="X2354" i="21"/>
  <c r="I2355" i="21"/>
  <c r="J2355" i="21" s="1"/>
  <c r="K2355" i="21"/>
  <c r="L2355" i="21" s="1"/>
  <c r="M2355" i="21"/>
  <c r="O2355" i="21"/>
  <c r="R2355" i="21"/>
  <c r="T2355" i="21"/>
  <c r="U2355" i="21"/>
  <c r="W2355" i="21"/>
  <c r="X2355" i="21"/>
  <c r="I2356" i="21"/>
  <c r="J2356" i="21" s="1"/>
  <c r="K2356" i="21"/>
  <c r="L2356" i="21" s="1"/>
  <c r="O2356" i="21"/>
  <c r="R2356" i="21"/>
  <c r="T2356" i="21"/>
  <c r="U2356" i="21"/>
  <c r="W2356" i="21"/>
  <c r="X2356" i="21"/>
  <c r="I2357" i="21"/>
  <c r="J2357" i="21" s="1"/>
  <c r="K2357" i="21"/>
  <c r="L2357" i="21" s="1"/>
  <c r="O2357" i="21"/>
  <c r="R2357" i="21"/>
  <c r="T2357" i="21"/>
  <c r="U2357" i="21"/>
  <c r="W2357" i="21"/>
  <c r="X2357" i="21"/>
  <c r="I2358" i="21"/>
  <c r="J2358" i="21" s="1"/>
  <c r="K2358" i="21"/>
  <c r="L2358" i="21" s="1"/>
  <c r="M2358" i="21"/>
  <c r="O2358" i="21"/>
  <c r="R2358" i="21"/>
  <c r="T2358" i="21"/>
  <c r="U2358" i="21"/>
  <c r="W2358" i="21"/>
  <c r="X2358" i="21"/>
  <c r="I2359" i="21"/>
  <c r="J2359" i="21" s="1"/>
  <c r="K2359" i="21"/>
  <c r="L2359" i="21" s="1"/>
  <c r="O2359" i="21"/>
  <c r="R2359" i="21"/>
  <c r="T2359" i="21"/>
  <c r="U2359" i="21"/>
  <c r="W2359" i="21"/>
  <c r="X2359" i="21"/>
  <c r="I2360" i="21"/>
  <c r="J2360" i="21" s="1"/>
  <c r="K2360" i="21"/>
  <c r="L2360" i="21" s="1"/>
  <c r="O2360" i="21"/>
  <c r="R2360" i="21"/>
  <c r="T2360" i="21"/>
  <c r="U2360" i="21"/>
  <c r="W2360" i="21"/>
  <c r="X2360" i="21"/>
  <c r="I2361" i="21"/>
  <c r="J2361" i="21" s="1"/>
  <c r="K2361" i="21"/>
  <c r="L2361" i="21" s="1"/>
  <c r="O2361" i="21"/>
  <c r="R2361" i="21"/>
  <c r="T2361" i="21"/>
  <c r="U2361" i="21"/>
  <c r="W2361" i="21"/>
  <c r="X2361" i="21"/>
  <c r="I2362" i="21"/>
  <c r="J2362" i="21" s="1"/>
  <c r="K2362" i="21"/>
  <c r="L2362" i="21" s="1"/>
  <c r="O2362" i="21"/>
  <c r="R2362" i="21"/>
  <c r="T2362" i="21"/>
  <c r="U2362" i="21"/>
  <c r="W2362" i="21"/>
  <c r="X2362" i="21"/>
  <c r="I2363" i="21"/>
  <c r="J2363" i="21" s="1"/>
  <c r="K2363" i="21"/>
  <c r="L2363" i="21" s="1"/>
  <c r="O2363" i="21"/>
  <c r="R2363" i="21"/>
  <c r="T2363" i="21"/>
  <c r="U2363" i="21"/>
  <c r="W2363" i="21"/>
  <c r="X2363" i="21"/>
  <c r="I2364" i="21"/>
  <c r="J2364" i="21" s="1"/>
  <c r="K2364" i="21"/>
  <c r="L2364" i="21" s="1"/>
  <c r="M2364" i="21"/>
  <c r="O2364" i="21"/>
  <c r="R2364" i="21"/>
  <c r="T2364" i="21"/>
  <c r="U2364" i="21"/>
  <c r="W2364" i="21"/>
  <c r="X2364" i="21"/>
  <c r="I2365" i="21"/>
  <c r="J2365" i="21" s="1"/>
  <c r="K2365" i="21"/>
  <c r="L2365" i="21" s="1"/>
  <c r="O2365" i="21"/>
  <c r="R2365" i="21"/>
  <c r="T2365" i="21"/>
  <c r="U2365" i="21"/>
  <c r="W2365" i="21"/>
  <c r="X2365" i="21"/>
  <c r="I2366" i="21"/>
  <c r="J2366" i="21" s="1"/>
  <c r="K2366" i="21"/>
  <c r="L2366" i="21" s="1"/>
  <c r="M2366" i="21"/>
  <c r="O2366" i="21"/>
  <c r="R2366" i="21"/>
  <c r="T2366" i="21"/>
  <c r="U2366" i="21"/>
  <c r="W2366" i="21"/>
  <c r="X2366" i="21"/>
  <c r="I2367" i="21"/>
  <c r="J2367" i="21" s="1"/>
  <c r="K2367" i="21"/>
  <c r="L2367" i="21" s="1"/>
  <c r="O2367" i="21"/>
  <c r="R2367" i="21"/>
  <c r="T2367" i="21"/>
  <c r="U2367" i="21"/>
  <c r="W2367" i="21"/>
  <c r="X2367" i="21"/>
  <c r="I2368" i="21"/>
  <c r="J2368" i="21" s="1"/>
  <c r="K2368" i="21"/>
  <c r="L2368" i="21" s="1"/>
  <c r="O2368" i="21"/>
  <c r="R2368" i="21"/>
  <c r="T2368" i="21"/>
  <c r="U2368" i="21"/>
  <c r="W2368" i="21"/>
  <c r="X2368" i="21"/>
  <c r="I2369" i="21"/>
  <c r="J2369" i="21" s="1"/>
  <c r="K2369" i="21"/>
  <c r="L2369" i="21" s="1"/>
  <c r="M2369" i="21"/>
  <c r="O2369" i="21"/>
  <c r="R2369" i="21"/>
  <c r="T2369" i="21"/>
  <c r="U2369" i="21"/>
  <c r="W2369" i="21"/>
  <c r="X2369" i="21"/>
  <c r="I2370" i="21"/>
  <c r="J2370" i="21" s="1"/>
  <c r="K2370" i="21"/>
  <c r="L2370" i="21" s="1"/>
  <c r="M2370" i="21"/>
  <c r="O2370" i="21"/>
  <c r="R2370" i="21"/>
  <c r="T2370" i="21"/>
  <c r="U2370" i="21"/>
  <c r="W2370" i="21"/>
  <c r="X2370" i="21"/>
  <c r="I2371" i="21"/>
  <c r="J2371" i="21" s="1"/>
  <c r="K2371" i="21"/>
  <c r="L2371" i="21" s="1"/>
  <c r="O2371" i="21"/>
  <c r="R2371" i="21"/>
  <c r="T2371" i="21"/>
  <c r="U2371" i="21"/>
  <c r="W2371" i="21"/>
  <c r="X2371" i="21"/>
  <c r="I2372" i="21"/>
  <c r="J2372" i="21" s="1"/>
  <c r="K2372" i="21"/>
  <c r="L2372" i="21" s="1"/>
  <c r="O2372" i="21"/>
  <c r="R2372" i="21"/>
  <c r="T2372" i="21"/>
  <c r="U2372" i="21"/>
  <c r="W2372" i="21"/>
  <c r="X2372" i="21"/>
  <c r="I2373" i="21"/>
  <c r="J2373" i="21" s="1"/>
  <c r="K2373" i="21"/>
  <c r="L2373" i="21" s="1"/>
  <c r="M2373" i="21"/>
  <c r="O2373" i="21"/>
  <c r="R2373" i="21"/>
  <c r="T2373" i="21"/>
  <c r="U2373" i="21"/>
  <c r="W2373" i="21"/>
  <c r="X2373" i="21"/>
  <c r="I2374" i="21"/>
  <c r="J2374" i="21" s="1"/>
  <c r="K2374" i="21"/>
  <c r="L2374" i="21" s="1"/>
  <c r="O2374" i="21"/>
  <c r="R2374" i="21"/>
  <c r="T2374" i="21"/>
  <c r="U2374" i="21"/>
  <c r="W2374" i="21"/>
  <c r="X2374" i="21"/>
  <c r="I2375" i="21"/>
  <c r="J2375" i="21" s="1"/>
  <c r="K2375" i="21"/>
  <c r="L2375" i="21" s="1"/>
  <c r="M2375" i="21"/>
  <c r="O2375" i="21"/>
  <c r="R2375" i="21"/>
  <c r="T2375" i="21"/>
  <c r="U2375" i="21"/>
  <c r="W2375" i="21"/>
  <c r="X2375" i="21"/>
  <c r="I2376" i="21"/>
  <c r="J2376" i="21" s="1"/>
  <c r="K2376" i="21"/>
  <c r="L2376" i="21"/>
  <c r="M2376" i="21"/>
  <c r="O2376" i="21"/>
  <c r="R2376" i="21"/>
  <c r="T2376" i="21"/>
  <c r="U2376" i="21"/>
  <c r="W2376" i="21"/>
  <c r="X2376" i="21"/>
  <c r="I2377" i="21"/>
  <c r="J2377" i="21" s="1"/>
  <c r="K2377" i="21"/>
  <c r="L2377" i="21" s="1"/>
  <c r="O2377" i="21"/>
  <c r="R2377" i="21"/>
  <c r="T2377" i="21"/>
  <c r="U2377" i="21"/>
  <c r="W2377" i="21"/>
  <c r="X2377" i="21"/>
  <c r="I2378" i="21"/>
  <c r="J2378" i="21" s="1"/>
  <c r="K2378" i="21"/>
  <c r="M2378" i="21" s="1"/>
  <c r="O2378" i="21"/>
  <c r="R2378" i="21"/>
  <c r="T2378" i="21"/>
  <c r="U2378" i="21"/>
  <c r="W2378" i="21"/>
  <c r="X2378" i="21"/>
  <c r="I2379" i="21"/>
  <c r="J2379" i="21" s="1"/>
  <c r="K2379" i="21"/>
  <c r="M2379" i="21" s="1"/>
  <c r="O2379" i="21"/>
  <c r="R2379" i="21"/>
  <c r="T2379" i="21"/>
  <c r="U2379" i="21"/>
  <c r="W2379" i="21"/>
  <c r="X2379" i="21"/>
  <c r="I2380" i="21"/>
  <c r="J2380" i="21" s="1"/>
  <c r="K2380" i="21"/>
  <c r="M2380" i="21" s="1"/>
  <c r="L2380" i="21"/>
  <c r="O2380" i="21"/>
  <c r="R2380" i="21"/>
  <c r="T2380" i="21"/>
  <c r="U2380" i="21"/>
  <c r="W2380" i="21"/>
  <c r="X2380" i="21"/>
  <c r="I2381" i="21"/>
  <c r="J2381" i="21" s="1"/>
  <c r="K2381" i="21"/>
  <c r="L2381" i="21" s="1"/>
  <c r="O2381" i="21"/>
  <c r="R2381" i="21"/>
  <c r="T2381" i="21"/>
  <c r="U2381" i="21"/>
  <c r="W2381" i="21"/>
  <c r="X2381" i="21"/>
  <c r="I2382" i="21"/>
  <c r="J2382" i="21" s="1"/>
  <c r="K2382" i="21"/>
  <c r="L2382" i="21"/>
  <c r="M2382" i="21"/>
  <c r="O2382" i="21"/>
  <c r="R2382" i="21"/>
  <c r="T2382" i="21"/>
  <c r="U2382" i="21"/>
  <c r="W2382" i="21"/>
  <c r="X2382" i="21"/>
  <c r="I2383" i="21"/>
  <c r="J2383" i="21" s="1"/>
  <c r="K2383" i="21"/>
  <c r="L2383" i="21" s="1"/>
  <c r="O2383" i="21"/>
  <c r="R2383" i="21"/>
  <c r="T2383" i="21"/>
  <c r="U2383" i="21"/>
  <c r="W2383" i="21"/>
  <c r="X2383" i="21"/>
  <c r="I2384" i="21"/>
  <c r="J2384" i="21" s="1"/>
  <c r="K2384" i="21"/>
  <c r="M2384" i="21" s="1"/>
  <c r="O2384" i="21"/>
  <c r="R2384" i="21"/>
  <c r="T2384" i="21"/>
  <c r="U2384" i="21"/>
  <c r="W2384" i="21"/>
  <c r="X2384" i="21"/>
  <c r="I2385" i="21"/>
  <c r="J2385" i="21" s="1"/>
  <c r="K2385" i="21"/>
  <c r="L2385" i="21" s="1"/>
  <c r="O2385" i="21"/>
  <c r="R2385" i="21"/>
  <c r="T2385" i="21"/>
  <c r="U2385" i="21"/>
  <c r="W2385" i="21"/>
  <c r="X2385" i="21"/>
  <c r="I2386" i="21"/>
  <c r="J2386" i="21" s="1"/>
  <c r="K2386" i="21"/>
  <c r="M2386" i="21" s="1"/>
  <c r="L2386" i="21"/>
  <c r="O2386" i="21"/>
  <c r="R2386" i="21"/>
  <c r="T2386" i="21"/>
  <c r="U2386" i="21"/>
  <c r="W2386" i="21"/>
  <c r="X2386" i="21"/>
  <c r="I2387" i="21"/>
  <c r="J2387" i="21" s="1"/>
  <c r="K2387" i="21"/>
  <c r="L2387" i="21" s="1"/>
  <c r="O2387" i="21"/>
  <c r="R2387" i="21"/>
  <c r="T2387" i="21"/>
  <c r="U2387" i="21"/>
  <c r="W2387" i="21"/>
  <c r="X2387" i="21"/>
  <c r="I2388" i="21"/>
  <c r="J2388" i="21" s="1"/>
  <c r="K2388" i="21"/>
  <c r="L2388" i="21" s="1"/>
  <c r="M2388" i="21"/>
  <c r="O2388" i="21"/>
  <c r="R2388" i="21"/>
  <c r="T2388" i="21"/>
  <c r="U2388" i="21"/>
  <c r="W2388" i="21"/>
  <c r="X2388" i="21"/>
  <c r="I2389" i="21"/>
  <c r="Q2389" i="21" s="1"/>
  <c r="K2389" i="21"/>
  <c r="M2389" i="21" s="1"/>
  <c r="L2389" i="21"/>
  <c r="O2389" i="21"/>
  <c r="R2389" i="21"/>
  <c r="T2389" i="21"/>
  <c r="U2389" i="21"/>
  <c r="W2389" i="21"/>
  <c r="X2389" i="21"/>
  <c r="I2390" i="21"/>
  <c r="Q2390" i="21" s="1"/>
  <c r="K2390" i="21"/>
  <c r="L2390" i="21" s="1"/>
  <c r="O2390" i="21"/>
  <c r="R2390" i="21"/>
  <c r="T2390" i="21"/>
  <c r="U2390" i="21"/>
  <c r="W2390" i="21"/>
  <c r="X2390" i="21"/>
  <c r="I2391" i="21"/>
  <c r="Q2391" i="21" s="1"/>
  <c r="K2391" i="21"/>
  <c r="M2391" i="21" s="1"/>
  <c r="O2391" i="21"/>
  <c r="R2391" i="21"/>
  <c r="T2391" i="21"/>
  <c r="U2391" i="21"/>
  <c r="W2391" i="21"/>
  <c r="X2391" i="21"/>
  <c r="I2392" i="21"/>
  <c r="Q2392" i="21" s="1"/>
  <c r="K2392" i="21"/>
  <c r="L2392" i="21"/>
  <c r="M2392" i="21"/>
  <c r="O2392" i="21"/>
  <c r="R2392" i="21"/>
  <c r="T2392" i="21"/>
  <c r="U2392" i="21"/>
  <c r="W2392" i="21"/>
  <c r="X2392" i="21"/>
  <c r="I2393" i="21"/>
  <c r="Q2393" i="21" s="1"/>
  <c r="K2393" i="21"/>
  <c r="M2393" i="21" s="1"/>
  <c r="L2393" i="21"/>
  <c r="O2393" i="21"/>
  <c r="R2393" i="21"/>
  <c r="T2393" i="21"/>
  <c r="U2393" i="21"/>
  <c r="W2393" i="21"/>
  <c r="X2393" i="21"/>
  <c r="I2394" i="21"/>
  <c r="Q2394" i="21" s="1"/>
  <c r="K2394" i="21"/>
  <c r="L2394" i="21" s="1"/>
  <c r="M2394" i="21"/>
  <c r="O2394" i="21"/>
  <c r="R2394" i="21"/>
  <c r="T2394" i="21"/>
  <c r="U2394" i="21"/>
  <c r="W2394" i="21"/>
  <c r="X2394" i="21"/>
  <c r="I2395" i="21"/>
  <c r="Q2395" i="21" s="1"/>
  <c r="K2395" i="21"/>
  <c r="M2395" i="21" s="1"/>
  <c r="O2395" i="21"/>
  <c r="R2395" i="21"/>
  <c r="T2395" i="21"/>
  <c r="U2395" i="21"/>
  <c r="W2395" i="21"/>
  <c r="X2395" i="21"/>
  <c r="I2396" i="21"/>
  <c r="Q2396" i="21" s="1"/>
  <c r="K2396" i="21"/>
  <c r="L2396" i="21" s="1"/>
  <c r="O2396" i="21"/>
  <c r="R2396" i="21"/>
  <c r="T2396" i="21"/>
  <c r="U2396" i="21"/>
  <c r="W2396" i="21"/>
  <c r="X2396" i="21"/>
  <c r="I2397" i="21"/>
  <c r="Q2397" i="21" s="1"/>
  <c r="K2397" i="21"/>
  <c r="M2397" i="21" s="1"/>
  <c r="L2397" i="21"/>
  <c r="O2397" i="21"/>
  <c r="R2397" i="21"/>
  <c r="T2397" i="21"/>
  <c r="U2397" i="21"/>
  <c r="W2397" i="21"/>
  <c r="X2397" i="21"/>
  <c r="I2398" i="21"/>
  <c r="Q2398" i="21" s="1"/>
  <c r="K2398" i="21"/>
  <c r="L2398" i="21" s="1"/>
  <c r="M2398" i="21"/>
  <c r="O2398" i="21"/>
  <c r="R2398" i="21"/>
  <c r="T2398" i="21"/>
  <c r="U2398" i="21"/>
  <c r="W2398" i="21"/>
  <c r="X2398" i="21"/>
  <c r="I2399" i="21"/>
  <c r="Q2399" i="21" s="1"/>
  <c r="K2399" i="21"/>
  <c r="L2399" i="21" s="1"/>
  <c r="O2399" i="21"/>
  <c r="R2399" i="21"/>
  <c r="T2399" i="21"/>
  <c r="U2399" i="21"/>
  <c r="W2399" i="21"/>
  <c r="X2399" i="21"/>
  <c r="I2400" i="21"/>
  <c r="Q2400" i="21" s="1"/>
  <c r="K2400" i="21"/>
  <c r="M2400" i="21" s="1"/>
  <c r="O2400" i="21"/>
  <c r="R2400" i="21"/>
  <c r="T2400" i="21"/>
  <c r="U2400" i="21"/>
  <c r="W2400" i="21"/>
  <c r="X2400" i="21"/>
  <c r="I2401" i="21"/>
  <c r="Q2401" i="21" s="1"/>
  <c r="K2401" i="21"/>
  <c r="M2401" i="21" s="1"/>
  <c r="L2401" i="21"/>
  <c r="O2401" i="21"/>
  <c r="R2401" i="21"/>
  <c r="T2401" i="21"/>
  <c r="U2401" i="21"/>
  <c r="W2401" i="21"/>
  <c r="X2401" i="21"/>
  <c r="I2402" i="21"/>
  <c r="Q2402" i="21" s="1"/>
  <c r="K2402" i="21"/>
  <c r="L2402" i="21" s="1"/>
  <c r="O2402" i="21"/>
  <c r="R2402" i="21"/>
  <c r="T2402" i="21"/>
  <c r="U2402" i="21"/>
  <c r="W2402" i="21"/>
  <c r="X2402" i="21"/>
  <c r="I2403" i="21"/>
  <c r="Q2403" i="21" s="1"/>
  <c r="K2403" i="21"/>
  <c r="L2403" i="21" s="1"/>
  <c r="O2403" i="21"/>
  <c r="R2403" i="21"/>
  <c r="T2403" i="21"/>
  <c r="U2403" i="21"/>
  <c r="W2403" i="21"/>
  <c r="X2403" i="21"/>
  <c r="I2404" i="21"/>
  <c r="Q2404" i="21" s="1"/>
  <c r="K2404" i="21"/>
  <c r="L2404" i="21"/>
  <c r="M2404" i="21"/>
  <c r="O2404" i="21"/>
  <c r="R2404" i="21"/>
  <c r="T2404" i="21"/>
  <c r="U2404" i="21"/>
  <c r="W2404" i="21"/>
  <c r="X2404" i="21"/>
  <c r="I2405" i="21"/>
  <c r="Q2405" i="21" s="1"/>
  <c r="K2405" i="21"/>
  <c r="M2405" i="21" s="1"/>
  <c r="L2405" i="21"/>
  <c r="O2405" i="21"/>
  <c r="R2405" i="21"/>
  <c r="T2405" i="21"/>
  <c r="U2405" i="21"/>
  <c r="W2405" i="21"/>
  <c r="X2405" i="21"/>
  <c r="I2406" i="21"/>
  <c r="Q2406" i="21" s="1"/>
  <c r="K2406" i="21"/>
  <c r="L2406" i="21"/>
  <c r="M2406" i="21"/>
  <c r="O2406" i="21"/>
  <c r="R2406" i="21"/>
  <c r="T2406" i="21"/>
  <c r="U2406" i="21"/>
  <c r="W2406" i="21"/>
  <c r="X2406" i="21"/>
  <c r="I2407" i="21"/>
  <c r="Q2407" i="21" s="1"/>
  <c r="K2407" i="21"/>
  <c r="M2407" i="21" s="1"/>
  <c r="L2407" i="21"/>
  <c r="O2407" i="21"/>
  <c r="R2407" i="21"/>
  <c r="T2407" i="21"/>
  <c r="U2407" i="21"/>
  <c r="W2407" i="21"/>
  <c r="X2407" i="21"/>
  <c r="I2408" i="21"/>
  <c r="Q2408" i="21" s="1"/>
  <c r="K2408" i="21"/>
  <c r="L2408" i="21" s="1"/>
  <c r="O2408" i="21"/>
  <c r="R2408" i="21"/>
  <c r="T2408" i="21"/>
  <c r="U2408" i="21"/>
  <c r="W2408" i="21"/>
  <c r="X2408" i="21"/>
  <c r="I2409" i="21"/>
  <c r="Q2409" i="21" s="1"/>
  <c r="K2409" i="21"/>
  <c r="M2409" i="21" s="1"/>
  <c r="O2409" i="21"/>
  <c r="R2409" i="21"/>
  <c r="T2409" i="21"/>
  <c r="U2409" i="21"/>
  <c r="W2409" i="21"/>
  <c r="X2409" i="21"/>
  <c r="I2410" i="21"/>
  <c r="Q2410" i="21" s="1"/>
  <c r="K2410" i="21"/>
  <c r="L2410" i="21"/>
  <c r="M2410" i="21"/>
  <c r="O2410" i="21"/>
  <c r="R2410" i="21"/>
  <c r="T2410" i="21"/>
  <c r="U2410" i="21"/>
  <c r="W2410" i="21"/>
  <c r="X2410" i="21"/>
  <c r="I2411" i="21"/>
  <c r="Q2411" i="21" s="1"/>
  <c r="K2411" i="21"/>
  <c r="L2411" i="21" s="1"/>
  <c r="M2411" i="21"/>
  <c r="O2411" i="21"/>
  <c r="R2411" i="21"/>
  <c r="T2411" i="21"/>
  <c r="U2411" i="21"/>
  <c r="W2411" i="21"/>
  <c r="X2411" i="21"/>
  <c r="I2412" i="21"/>
  <c r="Q2412" i="21" s="1"/>
  <c r="K2412" i="21"/>
  <c r="L2412" i="21" s="1"/>
  <c r="O2412" i="21"/>
  <c r="R2412" i="21"/>
  <c r="T2412" i="21"/>
  <c r="U2412" i="21"/>
  <c r="W2412" i="21"/>
  <c r="X2412" i="21"/>
  <c r="I2413" i="21"/>
  <c r="Q2413" i="21" s="1"/>
  <c r="K2413" i="21"/>
  <c r="M2413" i="21" s="1"/>
  <c r="O2413" i="21"/>
  <c r="R2413" i="21"/>
  <c r="T2413" i="21"/>
  <c r="U2413" i="21"/>
  <c r="W2413" i="21"/>
  <c r="X2413" i="21"/>
  <c r="I2414" i="21"/>
  <c r="Q2414" i="21" s="1"/>
  <c r="K2414" i="21"/>
  <c r="L2414" i="21" s="1"/>
  <c r="O2414" i="21"/>
  <c r="R2414" i="21"/>
  <c r="T2414" i="21"/>
  <c r="U2414" i="21"/>
  <c r="W2414" i="21"/>
  <c r="X2414" i="21"/>
  <c r="X2303" i="21"/>
  <c r="W2303" i="21"/>
  <c r="U2303" i="21"/>
  <c r="T2303" i="21"/>
  <c r="R2303" i="21"/>
  <c r="O2303" i="21"/>
  <c r="K2303" i="21"/>
  <c r="M2303" i="21" s="1"/>
  <c r="I2303" i="21"/>
  <c r="Q2303" i="21" s="1"/>
  <c r="N2475" i="19"/>
  <c r="N2476" i="19"/>
  <c r="O2475" i="19"/>
  <c r="O2476" i="19"/>
  <c r="P2475" i="19"/>
  <c r="P2476" i="19"/>
  <c r="T2475" i="19"/>
  <c r="T2476" i="19"/>
  <c r="U2475" i="19"/>
  <c r="U2476" i="19"/>
  <c r="W2475" i="19"/>
  <c r="W2476" i="19"/>
  <c r="X2475" i="19"/>
  <c r="X2476" i="19"/>
  <c r="F165" i="22"/>
  <c r="I165" i="22" s="1"/>
  <c r="G165" i="22"/>
  <c r="N165" i="22" s="1"/>
  <c r="L165" i="22"/>
  <c r="P165" i="22"/>
  <c r="Q165" i="22"/>
  <c r="F166" i="22"/>
  <c r="I166" i="22" s="1"/>
  <c r="G166" i="22"/>
  <c r="N166" i="22" s="1"/>
  <c r="L166" i="22"/>
  <c r="P166" i="22"/>
  <c r="Q166" i="22"/>
  <c r="N2339" i="19"/>
  <c r="N2340" i="19"/>
  <c r="N2341" i="19"/>
  <c r="N2342" i="19"/>
  <c r="N2343" i="19"/>
  <c r="N2344" i="19"/>
  <c r="N2345" i="19"/>
  <c r="N2346" i="19"/>
  <c r="N2347" i="19"/>
  <c r="N2348" i="19"/>
  <c r="N2349" i="19"/>
  <c r="N2350" i="19"/>
  <c r="N2351" i="19"/>
  <c r="N2352" i="19"/>
  <c r="N2353" i="19"/>
  <c r="N2354" i="19"/>
  <c r="N2355" i="19"/>
  <c r="N2356" i="19"/>
  <c r="N2357" i="19"/>
  <c r="N2358" i="19"/>
  <c r="N2359" i="19"/>
  <c r="N2360" i="19"/>
  <c r="N2361" i="19"/>
  <c r="N2362" i="19"/>
  <c r="N2363" i="19"/>
  <c r="N2364" i="19"/>
  <c r="N2365" i="19"/>
  <c r="N2366" i="19"/>
  <c r="N2367" i="19"/>
  <c r="N2368" i="19"/>
  <c r="N2369" i="19"/>
  <c r="N2370" i="19"/>
  <c r="N2371" i="19"/>
  <c r="N2372" i="19"/>
  <c r="N2373" i="19"/>
  <c r="N2374" i="19"/>
  <c r="N2375" i="19"/>
  <c r="N2376" i="19"/>
  <c r="N2377" i="19"/>
  <c r="N2378" i="19"/>
  <c r="N2379" i="19"/>
  <c r="N2380" i="19"/>
  <c r="N2381" i="19"/>
  <c r="N2382" i="19"/>
  <c r="N2383" i="19"/>
  <c r="N2384" i="19"/>
  <c r="N2385" i="19"/>
  <c r="N2386" i="19"/>
  <c r="N2387" i="19"/>
  <c r="N2388" i="19"/>
  <c r="N2389" i="19"/>
  <c r="N2390" i="19"/>
  <c r="N2391" i="19"/>
  <c r="N2392" i="19"/>
  <c r="N2393" i="19"/>
  <c r="N2394" i="19"/>
  <c r="N2395" i="19"/>
  <c r="N2396" i="19"/>
  <c r="N2397" i="19"/>
  <c r="N2398" i="19"/>
  <c r="N2399" i="19"/>
  <c r="N2400" i="19"/>
  <c r="N2401" i="19"/>
  <c r="N2402" i="19"/>
  <c r="N2403" i="19"/>
  <c r="N2404" i="19"/>
  <c r="N2405" i="19"/>
  <c r="N2406" i="19"/>
  <c r="N2407" i="19"/>
  <c r="N2408" i="19"/>
  <c r="N2409" i="19"/>
  <c r="N2410" i="19"/>
  <c r="N2411" i="19"/>
  <c r="N2412" i="19"/>
  <c r="N2413" i="19"/>
  <c r="N2414" i="19"/>
  <c r="N2415" i="19"/>
  <c r="N2416" i="19"/>
  <c r="N2417" i="19"/>
  <c r="N2418" i="19"/>
  <c r="N2419" i="19"/>
  <c r="N2420" i="19"/>
  <c r="N2421" i="19"/>
  <c r="N2422" i="19"/>
  <c r="N2423" i="19"/>
  <c r="N2424" i="19"/>
  <c r="N2425" i="19"/>
  <c r="N2426" i="19"/>
  <c r="N2427" i="19"/>
  <c r="N2428" i="19"/>
  <c r="N2429" i="19"/>
  <c r="N2430" i="19"/>
  <c r="N2431" i="19"/>
  <c r="N2432" i="19"/>
  <c r="N2433" i="19"/>
  <c r="N2434" i="19"/>
  <c r="N2435" i="19"/>
  <c r="N2436" i="19"/>
  <c r="N2437" i="19"/>
  <c r="N2438" i="19"/>
  <c r="N2439" i="19"/>
  <c r="N2440" i="19"/>
  <c r="N2441" i="19"/>
  <c r="N2442" i="19"/>
  <c r="N2443" i="19"/>
  <c r="N2444" i="19"/>
  <c r="N2445" i="19"/>
  <c r="N2446" i="19"/>
  <c r="N2447" i="19"/>
  <c r="N2448" i="19"/>
  <c r="N2449" i="19"/>
  <c r="N2450" i="19"/>
  <c r="N2451" i="19"/>
  <c r="N2452" i="19"/>
  <c r="N2453" i="19"/>
  <c r="N2454" i="19"/>
  <c r="N2455" i="19"/>
  <c r="N2456" i="19"/>
  <c r="N2457" i="19"/>
  <c r="N2458" i="19"/>
  <c r="N2459" i="19"/>
  <c r="N2460" i="19"/>
  <c r="N2461" i="19"/>
  <c r="N2462" i="19"/>
  <c r="N2463" i="19"/>
  <c r="N2464" i="19"/>
  <c r="N2465" i="19"/>
  <c r="N2466" i="19"/>
  <c r="N2467" i="19"/>
  <c r="N2468" i="19"/>
  <c r="N2469" i="19"/>
  <c r="N2470" i="19"/>
  <c r="N2471" i="19"/>
  <c r="N2472" i="19"/>
  <c r="N2473" i="19"/>
  <c r="N2474" i="19"/>
  <c r="O2339" i="19"/>
  <c r="O2340" i="19"/>
  <c r="O2341" i="19"/>
  <c r="O2342" i="19"/>
  <c r="O2343" i="19"/>
  <c r="O2344" i="19"/>
  <c r="O2345" i="19"/>
  <c r="O2346" i="19"/>
  <c r="O2347" i="19"/>
  <c r="O2348" i="19"/>
  <c r="O2349" i="19"/>
  <c r="O2350" i="19"/>
  <c r="O2351" i="19"/>
  <c r="O2352" i="19"/>
  <c r="O2353" i="19"/>
  <c r="O2354" i="19"/>
  <c r="O2355" i="19"/>
  <c r="O2356" i="19"/>
  <c r="O2357" i="19"/>
  <c r="O2358" i="19"/>
  <c r="O2359" i="19"/>
  <c r="O2360" i="19"/>
  <c r="O2361" i="19"/>
  <c r="O2362" i="19"/>
  <c r="O2363" i="19"/>
  <c r="O2364" i="19"/>
  <c r="O2365" i="19"/>
  <c r="O2366" i="19"/>
  <c r="O2367" i="19"/>
  <c r="O2368" i="19"/>
  <c r="O2369" i="19"/>
  <c r="O2370" i="19"/>
  <c r="O2371" i="19"/>
  <c r="O2372" i="19"/>
  <c r="O2373" i="19"/>
  <c r="O2374" i="19"/>
  <c r="O2375" i="19"/>
  <c r="O2376" i="19"/>
  <c r="O2377" i="19"/>
  <c r="O2378" i="19"/>
  <c r="O2379" i="19"/>
  <c r="O2380" i="19"/>
  <c r="O2381" i="19"/>
  <c r="O2382" i="19"/>
  <c r="O2383" i="19"/>
  <c r="O2384" i="19"/>
  <c r="O2385" i="19"/>
  <c r="O2386" i="19"/>
  <c r="O2387" i="19"/>
  <c r="O2388" i="19"/>
  <c r="O2389" i="19"/>
  <c r="O2390" i="19"/>
  <c r="O2391" i="19"/>
  <c r="O2392" i="19"/>
  <c r="O2393" i="19"/>
  <c r="O2394" i="19"/>
  <c r="O2395" i="19"/>
  <c r="O2396" i="19"/>
  <c r="O2397" i="19"/>
  <c r="O2398" i="19"/>
  <c r="O2399" i="19"/>
  <c r="O2400" i="19"/>
  <c r="O2401" i="19"/>
  <c r="O2402" i="19"/>
  <c r="O2403" i="19"/>
  <c r="O2404" i="19"/>
  <c r="O2405" i="19"/>
  <c r="O2406" i="19"/>
  <c r="O2407" i="19"/>
  <c r="O2408" i="19"/>
  <c r="O2409" i="19"/>
  <c r="O2410" i="19"/>
  <c r="O2411" i="19"/>
  <c r="O2412" i="19"/>
  <c r="O2413" i="19"/>
  <c r="O2414" i="19"/>
  <c r="O2415" i="19"/>
  <c r="O2416" i="19"/>
  <c r="O2417" i="19"/>
  <c r="O2418" i="19"/>
  <c r="O2419" i="19"/>
  <c r="O2420" i="19"/>
  <c r="O2421" i="19"/>
  <c r="O2422" i="19"/>
  <c r="O2423" i="19"/>
  <c r="O2424" i="19"/>
  <c r="O2425" i="19"/>
  <c r="O2426" i="19"/>
  <c r="O2427" i="19"/>
  <c r="O2428" i="19"/>
  <c r="O2429" i="19"/>
  <c r="O2430" i="19"/>
  <c r="O2431" i="19"/>
  <c r="O2432" i="19"/>
  <c r="O2433" i="19"/>
  <c r="O2434" i="19"/>
  <c r="O2435" i="19"/>
  <c r="O2436" i="19"/>
  <c r="O2437" i="19"/>
  <c r="O2438" i="19"/>
  <c r="O2439" i="19"/>
  <c r="O2440" i="19"/>
  <c r="O2441" i="19"/>
  <c r="O2442" i="19"/>
  <c r="O2443" i="19"/>
  <c r="O2444" i="19"/>
  <c r="O2445" i="19"/>
  <c r="O2446" i="19"/>
  <c r="O2447" i="19"/>
  <c r="O2448" i="19"/>
  <c r="O2449" i="19"/>
  <c r="O2450" i="19"/>
  <c r="O2451" i="19"/>
  <c r="O2452" i="19"/>
  <c r="O2453" i="19"/>
  <c r="O2454" i="19"/>
  <c r="O2455" i="19"/>
  <c r="O2456" i="19"/>
  <c r="O2457" i="19"/>
  <c r="O2458" i="19"/>
  <c r="O2459" i="19"/>
  <c r="O2460" i="19"/>
  <c r="O2461" i="19"/>
  <c r="O2462" i="19"/>
  <c r="O2463" i="19"/>
  <c r="O2464" i="19"/>
  <c r="O2465" i="19"/>
  <c r="O2466" i="19"/>
  <c r="O2467" i="19"/>
  <c r="O2468" i="19"/>
  <c r="O2469" i="19"/>
  <c r="O2470" i="19"/>
  <c r="O2471" i="19"/>
  <c r="O2472" i="19"/>
  <c r="O2473" i="19"/>
  <c r="O2474" i="19"/>
  <c r="P2339" i="19"/>
  <c r="P2340" i="19"/>
  <c r="P2341" i="19"/>
  <c r="P2342" i="19"/>
  <c r="P2343" i="19"/>
  <c r="P2344" i="19"/>
  <c r="P2345" i="19"/>
  <c r="P2346" i="19"/>
  <c r="P2347" i="19"/>
  <c r="P2348" i="19"/>
  <c r="P2349" i="19"/>
  <c r="P2350" i="19"/>
  <c r="P2351" i="19"/>
  <c r="P2352" i="19"/>
  <c r="P2353" i="19"/>
  <c r="P2354" i="19"/>
  <c r="P2355" i="19"/>
  <c r="P2356" i="19"/>
  <c r="P2357" i="19"/>
  <c r="P2358" i="19"/>
  <c r="P2359" i="19"/>
  <c r="P2360" i="19"/>
  <c r="P2361" i="19"/>
  <c r="P2362" i="19"/>
  <c r="P2363" i="19"/>
  <c r="P2364" i="19"/>
  <c r="P2365" i="19"/>
  <c r="P2366" i="19"/>
  <c r="P2367" i="19"/>
  <c r="P2368" i="19"/>
  <c r="P2369" i="19"/>
  <c r="P2370" i="19"/>
  <c r="P2371" i="19"/>
  <c r="P2372" i="19"/>
  <c r="P2373" i="19"/>
  <c r="P2374" i="19"/>
  <c r="P2375" i="19"/>
  <c r="P2376" i="19"/>
  <c r="P2377" i="19"/>
  <c r="P2378" i="19"/>
  <c r="P2379" i="19"/>
  <c r="P2380" i="19"/>
  <c r="P2381" i="19"/>
  <c r="P2382" i="19"/>
  <c r="P2383" i="19"/>
  <c r="P2384" i="19"/>
  <c r="P2385" i="19"/>
  <c r="P2386" i="19"/>
  <c r="P2387" i="19"/>
  <c r="P2388" i="19"/>
  <c r="P2389" i="19"/>
  <c r="P2390" i="19"/>
  <c r="P2391" i="19"/>
  <c r="P2392" i="19"/>
  <c r="P2393" i="19"/>
  <c r="P2394" i="19"/>
  <c r="P2395" i="19"/>
  <c r="P2396" i="19"/>
  <c r="P2397" i="19"/>
  <c r="P2398" i="19"/>
  <c r="P2399" i="19"/>
  <c r="P2400" i="19"/>
  <c r="P2401" i="19"/>
  <c r="P2402" i="19"/>
  <c r="P2403" i="19"/>
  <c r="P2404" i="19"/>
  <c r="P2405" i="19"/>
  <c r="P2406" i="19"/>
  <c r="P2407" i="19"/>
  <c r="P2408" i="19"/>
  <c r="P2409" i="19"/>
  <c r="P2410" i="19"/>
  <c r="P2411" i="19"/>
  <c r="P2412" i="19"/>
  <c r="P2413" i="19"/>
  <c r="P2414" i="19"/>
  <c r="P2415" i="19"/>
  <c r="P2416" i="19"/>
  <c r="P2417" i="19"/>
  <c r="P2418" i="19"/>
  <c r="P2419" i="19"/>
  <c r="P2420" i="19"/>
  <c r="P2421" i="19"/>
  <c r="P2422" i="19"/>
  <c r="P2423" i="19"/>
  <c r="P2424" i="19"/>
  <c r="P2425" i="19"/>
  <c r="P2426" i="19"/>
  <c r="P2427" i="19"/>
  <c r="P2428" i="19"/>
  <c r="P2429" i="19"/>
  <c r="P2430" i="19"/>
  <c r="P2431" i="19"/>
  <c r="P2432" i="19"/>
  <c r="P2433" i="19"/>
  <c r="P2434" i="19"/>
  <c r="P2435" i="19"/>
  <c r="P2436" i="19"/>
  <c r="P2437" i="19"/>
  <c r="P2438" i="19"/>
  <c r="P2439" i="19"/>
  <c r="P2440" i="19"/>
  <c r="P2441" i="19"/>
  <c r="P2442" i="19"/>
  <c r="P2443" i="19"/>
  <c r="P2444" i="19"/>
  <c r="P2445" i="19"/>
  <c r="P2446" i="19"/>
  <c r="P2447" i="19"/>
  <c r="P2448" i="19"/>
  <c r="P2449" i="19"/>
  <c r="P2450" i="19"/>
  <c r="P2451" i="19"/>
  <c r="P2452" i="19"/>
  <c r="P2453" i="19"/>
  <c r="P2454" i="19"/>
  <c r="P2455" i="19"/>
  <c r="P2456" i="19"/>
  <c r="P2457" i="19"/>
  <c r="P2458" i="19"/>
  <c r="P2459" i="19"/>
  <c r="P2460" i="19"/>
  <c r="P2461" i="19"/>
  <c r="P2462" i="19"/>
  <c r="P2463" i="19"/>
  <c r="P2464" i="19"/>
  <c r="P2465" i="19"/>
  <c r="P2466" i="19"/>
  <c r="P2467" i="19"/>
  <c r="P2468" i="19"/>
  <c r="P2469" i="19"/>
  <c r="P2470" i="19"/>
  <c r="P2471" i="19"/>
  <c r="P2472" i="19"/>
  <c r="P2473" i="19"/>
  <c r="P2474" i="19"/>
  <c r="T2339" i="19"/>
  <c r="T2340" i="19"/>
  <c r="T2341" i="19"/>
  <c r="T2342" i="19"/>
  <c r="T2343" i="19"/>
  <c r="T2344" i="19"/>
  <c r="T2345" i="19"/>
  <c r="T2346" i="19"/>
  <c r="T2347" i="19"/>
  <c r="T2348" i="19"/>
  <c r="T2349" i="19"/>
  <c r="T2350" i="19"/>
  <c r="T2351" i="19"/>
  <c r="T2352" i="19"/>
  <c r="T2353" i="19"/>
  <c r="T2354" i="19"/>
  <c r="T2355" i="19"/>
  <c r="T2356" i="19"/>
  <c r="T2357" i="19"/>
  <c r="T2358" i="19"/>
  <c r="T2359" i="19"/>
  <c r="T2360" i="19"/>
  <c r="T2361" i="19"/>
  <c r="T2362" i="19"/>
  <c r="T2363" i="19"/>
  <c r="T2364" i="19"/>
  <c r="T2365" i="19"/>
  <c r="T2366" i="19"/>
  <c r="T2367" i="19"/>
  <c r="T2368" i="19"/>
  <c r="T2369" i="19"/>
  <c r="T2370" i="19"/>
  <c r="T2371" i="19"/>
  <c r="T2372" i="19"/>
  <c r="T2373" i="19"/>
  <c r="T2374" i="19"/>
  <c r="T2375" i="19"/>
  <c r="T2376" i="19"/>
  <c r="T2377" i="19"/>
  <c r="T2378" i="19"/>
  <c r="T2379" i="19"/>
  <c r="T2380" i="19"/>
  <c r="T2381" i="19"/>
  <c r="T2382" i="19"/>
  <c r="T2383" i="19"/>
  <c r="T2384" i="19"/>
  <c r="T2385" i="19"/>
  <c r="T2386" i="19"/>
  <c r="T2387" i="19"/>
  <c r="T2388" i="19"/>
  <c r="T2389" i="19"/>
  <c r="T2390" i="19"/>
  <c r="T2391" i="19"/>
  <c r="T2392" i="19"/>
  <c r="T2393" i="19"/>
  <c r="T2394" i="19"/>
  <c r="T2395" i="19"/>
  <c r="T2396" i="19"/>
  <c r="T2397" i="19"/>
  <c r="T2398" i="19"/>
  <c r="T2399" i="19"/>
  <c r="T2400" i="19"/>
  <c r="T2401" i="19"/>
  <c r="T2402" i="19"/>
  <c r="T2403" i="19"/>
  <c r="T2404" i="19"/>
  <c r="T2405" i="19"/>
  <c r="T2406" i="19"/>
  <c r="T2407" i="19"/>
  <c r="T2408" i="19"/>
  <c r="T2409" i="19"/>
  <c r="T2410" i="19"/>
  <c r="T2411" i="19"/>
  <c r="T2412" i="19"/>
  <c r="T2413" i="19"/>
  <c r="T2414" i="19"/>
  <c r="T2415" i="19"/>
  <c r="T2416" i="19"/>
  <c r="T2417" i="19"/>
  <c r="T2418" i="19"/>
  <c r="T2419" i="19"/>
  <c r="T2420" i="19"/>
  <c r="T2421" i="19"/>
  <c r="T2422" i="19"/>
  <c r="T2423" i="19"/>
  <c r="T2424" i="19"/>
  <c r="T2425" i="19"/>
  <c r="T2426" i="19"/>
  <c r="T2427" i="19"/>
  <c r="T2428" i="19"/>
  <c r="T2429" i="19"/>
  <c r="T2430" i="19"/>
  <c r="T2431" i="19"/>
  <c r="T2432" i="19"/>
  <c r="T2433" i="19"/>
  <c r="T2434" i="19"/>
  <c r="T2435" i="19"/>
  <c r="T2436" i="19"/>
  <c r="T2437" i="19"/>
  <c r="T2438" i="19"/>
  <c r="T2439" i="19"/>
  <c r="T2440" i="19"/>
  <c r="T2441" i="19"/>
  <c r="T2442" i="19"/>
  <c r="T2443" i="19"/>
  <c r="T2444" i="19"/>
  <c r="T2445" i="19"/>
  <c r="T2446" i="19"/>
  <c r="T2447" i="19"/>
  <c r="T2448" i="19"/>
  <c r="T2449" i="19"/>
  <c r="T2450" i="19"/>
  <c r="T2451" i="19"/>
  <c r="T2452" i="19"/>
  <c r="T2453" i="19"/>
  <c r="T2454" i="19"/>
  <c r="T2455" i="19"/>
  <c r="T2456" i="19"/>
  <c r="T2457" i="19"/>
  <c r="T2458" i="19"/>
  <c r="T2459" i="19"/>
  <c r="T2460" i="19"/>
  <c r="T2461" i="19"/>
  <c r="T2462" i="19"/>
  <c r="T2463" i="19"/>
  <c r="T2464" i="19"/>
  <c r="T2465" i="19"/>
  <c r="T2466" i="19"/>
  <c r="T2467" i="19"/>
  <c r="T2468" i="19"/>
  <c r="T2469" i="19"/>
  <c r="T2470" i="19"/>
  <c r="T2471" i="19"/>
  <c r="T2472" i="19"/>
  <c r="T2473" i="19"/>
  <c r="T2474" i="19"/>
  <c r="U2339" i="19"/>
  <c r="U2340" i="19"/>
  <c r="U2341" i="19"/>
  <c r="U2342" i="19"/>
  <c r="U2343" i="19"/>
  <c r="U2344" i="19"/>
  <c r="U2345" i="19"/>
  <c r="U2346" i="19"/>
  <c r="U2347" i="19"/>
  <c r="U2348" i="19"/>
  <c r="U2349" i="19"/>
  <c r="U2350" i="19"/>
  <c r="U2351" i="19"/>
  <c r="U2352" i="19"/>
  <c r="U2353" i="19"/>
  <c r="U2354" i="19"/>
  <c r="U2355" i="19"/>
  <c r="U2356" i="19"/>
  <c r="U2357" i="19"/>
  <c r="U2358" i="19"/>
  <c r="U2359" i="19"/>
  <c r="U2360" i="19"/>
  <c r="U2361" i="19"/>
  <c r="U2362" i="19"/>
  <c r="U2363" i="19"/>
  <c r="U2364" i="19"/>
  <c r="U2365" i="19"/>
  <c r="U2366" i="19"/>
  <c r="U2367" i="19"/>
  <c r="U2368" i="19"/>
  <c r="U2369" i="19"/>
  <c r="U2370" i="19"/>
  <c r="U2371" i="19"/>
  <c r="U2372" i="19"/>
  <c r="U2373" i="19"/>
  <c r="U2374" i="19"/>
  <c r="U2375" i="19"/>
  <c r="U2376" i="19"/>
  <c r="U2377" i="19"/>
  <c r="U2378" i="19"/>
  <c r="U2379" i="19"/>
  <c r="U2380" i="19"/>
  <c r="U2381" i="19"/>
  <c r="U2382" i="19"/>
  <c r="U2383" i="19"/>
  <c r="U2384" i="19"/>
  <c r="U2385" i="19"/>
  <c r="U2386" i="19"/>
  <c r="U2387" i="19"/>
  <c r="U2388" i="19"/>
  <c r="U2389" i="19"/>
  <c r="U2390" i="19"/>
  <c r="U2391" i="19"/>
  <c r="U2392" i="19"/>
  <c r="U2393" i="19"/>
  <c r="U2394" i="19"/>
  <c r="U2395" i="19"/>
  <c r="U2396" i="19"/>
  <c r="U2397" i="19"/>
  <c r="U2398" i="19"/>
  <c r="U2399" i="19"/>
  <c r="U2400" i="19"/>
  <c r="U2401" i="19"/>
  <c r="U2402" i="19"/>
  <c r="U2403" i="19"/>
  <c r="U2404" i="19"/>
  <c r="U2405" i="19"/>
  <c r="U2406" i="19"/>
  <c r="U2407" i="19"/>
  <c r="U2408" i="19"/>
  <c r="U2409" i="19"/>
  <c r="U2410" i="19"/>
  <c r="U2411" i="19"/>
  <c r="U2412" i="19"/>
  <c r="U2413" i="19"/>
  <c r="U2414" i="19"/>
  <c r="U2415" i="19"/>
  <c r="U2416" i="19"/>
  <c r="U2417" i="19"/>
  <c r="U2418" i="19"/>
  <c r="U2419" i="19"/>
  <c r="U2420" i="19"/>
  <c r="U2421" i="19"/>
  <c r="U2422" i="19"/>
  <c r="U2423" i="19"/>
  <c r="U2424" i="19"/>
  <c r="U2425" i="19"/>
  <c r="U2426" i="19"/>
  <c r="U2427" i="19"/>
  <c r="U2428" i="19"/>
  <c r="U2429" i="19"/>
  <c r="U2430" i="19"/>
  <c r="U2431" i="19"/>
  <c r="U2432" i="19"/>
  <c r="U2433" i="19"/>
  <c r="U2434" i="19"/>
  <c r="U2435" i="19"/>
  <c r="U2436" i="19"/>
  <c r="U2437" i="19"/>
  <c r="U2438" i="19"/>
  <c r="U2439" i="19"/>
  <c r="U2440" i="19"/>
  <c r="U2441" i="19"/>
  <c r="U2442" i="19"/>
  <c r="U2443" i="19"/>
  <c r="U2444" i="19"/>
  <c r="U2445" i="19"/>
  <c r="U2446" i="19"/>
  <c r="U2447" i="19"/>
  <c r="U2448" i="19"/>
  <c r="U2449" i="19"/>
  <c r="U2450" i="19"/>
  <c r="U2451" i="19"/>
  <c r="U2452" i="19"/>
  <c r="U2453" i="19"/>
  <c r="U2454" i="19"/>
  <c r="U2455" i="19"/>
  <c r="U2456" i="19"/>
  <c r="U2457" i="19"/>
  <c r="U2458" i="19"/>
  <c r="U2459" i="19"/>
  <c r="U2460" i="19"/>
  <c r="U2461" i="19"/>
  <c r="U2462" i="19"/>
  <c r="U2463" i="19"/>
  <c r="U2464" i="19"/>
  <c r="U2465" i="19"/>
  <c r="U2466" i="19"/>
  <c r="U2467" i="19"/>
  <c r="U2468" i="19"/>
  <c r="U2469" i="19"/>
  <c r="U2470" i="19"/>
  <c r="U2471" i="19"/>
  <c r="U2472" i="19"/>
  <c r="U2473" i="19"/>
  <c r="U2474" i="19"/>
  <c r="W2339" i="19"/>
  <c r="W2340" i="19"/>
  <c r="W2341" i="19"/>
  <c r="W2342" i="19"/>
  <c r="W2343" i="19"/>
  <c r="W2344" i="19"/>
  <c r="W2345" i="19"/>
  <c r="W2346" i="19"/>
  <c r="W2347" i="19"/>
  <c r="W2348" i="19"/>
  <c r="W2349" i="19"/>
  <c r="W2350" i="19"/>
  <c r="W2351" i="19"/>
  <c r="W2352" i="19"/>
  <c r="W2353" i="19"/>
  <c r="W2354" i="19"/>
  <c r="W2355" i="19"/>
  <c r="W2356" i="19"/>
  <c r="W2357" i="19"/>
  <c r="W2358" i="19"/>
  <c r="W2359" i="19"/>
  <c r="W2360" i="19"/>
  <c r="W2361" i="19"/>
  <c r="W2362" i="19"/>
  <c r="W2363" i="19"/>
  <c r="W2364" i="19"/>
  <c r="W2365" i="19"/>
  <c r="W2366" i="19"/>
  <c r="W2367" i="19"/>
  <c r="W2368" i="19"/>
  <c r="W2369" i="19"/>
  <c r="W2370" i="19"/>
  <c r="W2371" i="19"/>
  <c r="W2372" i="19"/>
  <c r="W2373" i="19"/>
  <c r="W2374" i="19"/>
  <c r="W2375" i="19"/>
  <c r="W2376" i="19"/>
  <c r="W2377" i="19"/>
  <c r="W2378" i="19"/>
  <c r="W2379" i="19"/>
  <c r="W2380" i="19"/>
  <c r="W2381" i="19"/>
  <c r="W2382" i="19"/>
  <c r="W2383" i="19"/>
  <c r="W2384" i="19"/>
  <c r="W2385" i="19"/>
  <c r="W2386" i="19"/>
  <c r="W2387" i="19"/>
  <c r="W2388" i="19"/>
  <c r="W2389" i="19"/>
  <c r="W2390" i="19"/>
  <c r="W2391" i="19"/>
  <c r="W2392" i="19"/>
  <c r="W2393" i="19"/>
  <c r="W2394" i="19"/>
  <c r="W2395" i="19"/>
  <c r="W2396" i="19"/>
  <c r="W2397" i="19"/>
  <c r="W2398" i="19"/>
  <c r="W2399" i="19"/>
  <c r="W2400" i="19"/>
  <c r="W2401" i="19"/>
  <c r="W2402" i="19"/>
  <c r="W2403" i="19"/>
  <c r="W2404" i="19"/>
  <c r="W2405" i="19"/>
  <c r="W2406" i="19"/>
  <c r="W2407" i="19"/>
  <c r="W2408" i="19"/>
  <c r="W2409" i="19"/>
  <c r="W2410" i="19"/>
  <c r="W2411" i="19"/>
  <c r="W2412" i="19"/>
  <c r="W2413" i="19"/>
  <c r="W2414" i="19"/>
  <c r="W2415" i="19"/>
  <c r="W2416" i="19"/>
  <c r="W2417" i="19"/>
  <c r="W2418" i="19"/>
  <c r="W2419" i="19"/>
  <c r="W2420" i="19"/>
  <c r="W2421" i="19"/>
  <c r="W2422" i="19"/>
  <c r="W2423" i="19"/>
  <c r="W2424" i="19"/>
  <c r="W2425" i="19"/>
  <c r="W2426" i="19"/>
  <c r="W2427" i="19"/>
  <c r="W2428" i="19"/>
  <c r="W2429" i="19"/>
  <c r="W2430" i="19"/>
  <c r="W2431" i="19"/>
  <c r="W2432" i="19"/>
  <c r="W2433" i="19"/>
  <c r="W2434" i="19"/>
  <c r="W2435" i="19"/>
  <c r="W2436" i="19"/>
  <c r="W2437" i="19"/>
  <c r="W2438" i="19"/>
  <c r="W2439" i="19"/>
  <c r="W2440" i="19"/>
  <c r="W2441" i="19"/>
  <c r="W2442" i="19"/>
  <c r="W2443" i="19"/>
  <c r="W2444" i="19"/>
  <c r="W2445" i="19"/>
  <c r="W2446" i="19"/>
  <c r="W2447" i="19"/>
  <c r="W2448" i="19"/>
  <c r="W2449" i="19"/>
  <c r="W2450" i="19"/>
  <c r="W2451" i="19"/>
  <c r="W2452" i="19"/>
  <c r="W2453" i="19"/>
  <c r="W2454" i="19"/>
  <c r="W2455" i="19"/>
  <c r="W2456" i="19"/>
  <c r="W2457" i="19"/>
  <c r="W2458" i="19"/>
  <c r="W2459" i="19"/>
  <c r="W2460" i="19"/>
  <c r="W2461" i="19"/>
  <c r="W2462" i="19"/>
  <c r="W2463" i="19"/>
  <c r="W2464" i="19"/>
  <c r="W2465" i="19"/>
  <c r="W2466" i="19"/>
  <c r="W2467" i="19"/>
  <c r="W2468" i="19"/>
  <c r="W2469" i="19"/>
  <c r="W2470" i="19"/>
  <c r="W2471" i="19"/>
  <c r="W2472" i="19"/>
  <c r="W2473" i="19"/>
  <c r="W2474" i="19"/>
  <c r="X2339" i="19"/>
  <c r="X2340" i="19"/>
  <c r="X2341" i="19"/>
  <c r="X2342" i="19"/>
  <c r="X2343" i="19"/>
  <c r="X2344" i="19"/>
  <c r="X2345" i="19"/>
  <c r="X2346" i="19"/>
  <c r="X2347" i="19"/>
  <c r="X2348" i="19"/>
  <c r="X2349" i="19"/>
  <c r="X2350" i="19"/>
  <c r="X2351" i="19"/>
  <c r="X2352" i="19"/>
  <c r="X2353" i="19"/>
  <c r="X2354" i="19"/>
  <c r="X2355" i="19"/>
  <c r="X2356" i="19"/>
  <c r="X2357" i="19"/>
  <c r="X2358" i="19"/>
  <c r="X2359" i="19"/>
  <c r="X2360" i="19"/>
  <c r="X2361" i="19"/>
  <c r="X2362" i="19"/>
  <c r="X2363" i="19"/>
  <c r="X2364" i="19"/>
  <c r="X2365" i="19"/>
  <c r="X2366" i="19"/>
  <c r="X2367" i="19"/>
  <c r="X2368" i="19"/>
  <c r="X2369" i="19"/>
  <c r="X2370" i="19"/>
  <c r="X2371" i="19"/>
  <c r="X2372" i="19"/>
  <c r="X2373" i="19"/>
  <c r="X2374" i="19"/>
  <c r="X2375" i="19"/>
  <c r="X2376" i="19"/>
  <c r="X2377" i="19"/>
  <c r="X2378" i="19"/>
  <c r="X2379" i="19"/>
  <c r="X2380" i="19"/>
  <c r="X2381" i="19"/>
  <c r="X2382" i="19"/>
  <c r="X2383" i="19"/>
  <c r="X2384" i="19"/>
  <c r="X2385" i="19"/>
  <c r="X2386" i="19"/>
  <c r="X2387" i="19"/>
  <c r="X2388" i="19"/>
  <c r="X2389" i="19"/>
  <c r="X2390" i="19"/>
  <c r="X2391" i="19"/>
  <c r="X2392" i="19"/>
  <c r="X2393" i="19"/>
  <c r="X2394" i="19"/>
  <c r="X2395" i="19"/>
  <c r="X2396" i="19"/>
  <c r="X2397" i="19"/>
  <c r="X2398" i="19"/>
  <c r="X2399" i="19"/>
  <c r="X2400" i="19"/>
  <c r="X2401" i="19"/>
  <c r="X2402" i="19"/>
  <c r="X2403" i="19"/>
  <c r="X2404" i="19"/>
  <c r="X2405" i="19"/>
  <c r="X2406" i="19"/>
  <c r="X2407" i="19"/>
  <c r="X2408" i="19"/>
  <c r="X2409" i="19"/>
  <c r="X2410" i="19"/>
  <c r="X2411" i="19"/>
  <c r="X2412" i="19"/>
  <c r="X2413" i="19"/>
  <c r="X2414" i="19"/>
  <c r="X2415" i="19"/>
  <c r="X2416" i="19"/>
  <c r="X2417" i="19"/>
  <c r="X2418" i="19"/>
  <c r="X2419" i="19"/>
  <c r="X2420" i="19"/>
  <c r="X2421" i="19"/>
  <c r="X2422" i="19"/>
  <c r="X2423" i="19"/>
  <c r="X2424" i="19"/>
  <c r="X2425" i="19"/>
  <c r="X2426" i="19"/>
  <c r="X2427" i="19"/>
  <c r="X2428" i="19"/>
  <c r="X2429" i="19"/>
  <c r="X2430" i="19"/>
  <c r="X2431" i="19"/>
  <c r="X2432" i="19"/>
  <c r="X2433" i="19"/>
  <c r="X2434" i="19"/>
  <c r="X2435" i="19"/>
  <c r="X2436" i="19"/>
  <c r="X2437" i="19"/>
  <c r="X2438" i="19"/>
  <c r="X2439" i="19"/>
  <c r="X2440" i="19"/>
  <c r="X2441" i="19"/>
  <c r="X2442" i="19"/>
  <c r="X2443" i="19"/>
  <c r="X2444" i="19"/>
  <c r="X2445" i="19"/>
  <c r="X2446" i="19"/>
  <c r="X2447" i="19"/>
  <c r="X2448" i="19"/>
  <c r="X2449" i="19"/>
  <c r="X2450" i="19"/>
  <c r="X2451" i="19"/>
  <c r="X2452" i="19"/>
  <c r="X2453" i="19"/>
  <c r="X2454" i="19"/>
  <c r="X2455" i="19"/>
  <c r="X2456" i="19"/>
  <c r="X2457" i="19"/>
  <c r="X2458" i="19"/>
  <c r="X2459" i="19"/>
  <c r="X2460" i="19"/>
  <c r="X2461" i="19"/>
  <c r="X2462" i="19"/>
  <c r="X2463" i="19"/>
  <c r="X2464" i="19"/>
  <c r="X2465" i="19"/>
  <c r="X2466" i="19"/>
  <c r="X2467" i="19"/>
  <c r="X2468" i="19"/>
  <c r="X2469" i="19"/>
  <c r="X2470" i="19"/>
  <c r="X2471" i="19"/>
  <c r="X2472" i="19"/>
  <c r="X2473" i="19"/>
  <c r="X2474" i="19"/>
  <c r="I2168" i="21"/>
  <c r="J2168" i="21" s="1"/>
  <c r="K2168" i="21"/>
  <c r="L2168" i="21" s="1"/>
  <c r="O2168" i="21"/>
  <c r="R2168" i="21"/>
  <c r="T2168" i="21"/>
  <c r="U2168" i="21"/>
  <c r="W2168" i="21"/>
  <c r="X2168" i="21"/>
  <c r="I2169" i="21"/>
  <c r="Q2169" i="21" s="1"/>
  <c r="K2169" i="21"/>
  <c r="L2169" i="21"/>
  <c r="M2169" i="21"/>
  <c r="O2169" i="21"/>
  <c r="R2169" i="21"/>
  <c r="T2169" i="21"/>
  <c r="U2169" i="21"/>
  <c r="W2169" i="21"/>
  <c r="X2169" i="21"/>
  <c r="I2170" i="21"/>
  <c r="J2170" i="21" s="1"/>
  <c r="K2170" i="21"/>
  <c r="L2170" i="21" s="1"/>
  <c r="O2170" i="21"/>
  <c r="R2170" i="21"/>
  <c r="T2170" i="21"/>
  <c r="U2170" i="21"/>
  <c r="W2170" i="21"/>
  <c r="X2170" i="21"/>
  <c r="I2171" i="21"/>
  <c r="Q2171" i="21" s="1"/>
  <c r="K2171" i="21"/>
  <c r="M2171" i="21" s="1"/>
  <c r="O2171" i="21"/>
  <c r="R2171" i="21"/>
  <c r="T2171" i="21"/>
  <c r="U2171" i="21"/>
  <c r="W2171" i="21"/>
  <c r="X2171" i="21"/>
  <c r="I2172" i="21"/>
  <c r="J2172" i="21" s="1"/>
  <c r="K2172" i="21"/>
  <c r="L2172" i="21" s="1"/>
  <c r="O2172" i="21"/>
  <c r="R2172" i="21"/>
  <c r="T2172" i="21"/>
  <c r="U2172" i="21"/>
  <c r="W2172" i="21"/>
  <c r="X2172" i="21"/>
  <c r="I2173" i="21"/>
  <c r="Q2173" i="21" s="1"/>
  <c r="K2173" i="21"/>
  <c r="L2173" i="21" s="1"/>
  <c r="O2173" i="21"/>
  <c r="R2173" i="21"/>
  <c r="T2173" i="21"/>
  <c r="U2173" i="21"/>
  <c r="W2173" i="21"/>
  <c r="X2173" i="21"/>
  <c r="I2174" i="21"/>
  <c r="J2174" i="21" s="1"/>
  <c r="K2174" i="21"/>
  <c r="L2174" i="21" s="1"/>
  <c r="O2174" i="21"/>
  <c r="R2174" i="21"/>
  <c r="T2174" i="21"/>
  <c r="U2174" i="21"/>
  <c r="W2174" i="21"/>
  <c r="X2174" i="21"/>
  <c r="I2175" i="21"/>
  <c r="Q2175" i="21" s="1"/>
  <c r="K2175" i="21"/>
  <c r="L2175" i="21" s="1"/>
  <c r="O2175" i="21"/>
  <c r="R2175" i="21"/>
  <c r="T2175" i="21"/>
  <c r="U2175" i="21"/>
  <c r="W2175" i="21"/>
  <c r="X2175" i="21"/>
  <c r="I2176" i="21"/>
  <c r="J2176" i="21" s="1"/>
  <c r="K2176" i="21"/>
  <c r="L2176" i="21" s="1"/>
  <c r="M2176" i="21"/>
  <c r="O2176" i="21"/>
  <c r="R2176" i="21"/>
  <c r="T2176" i="21"/>
  <c r="U2176" i="21"/>
  <c r="W2176" i="21"/>
  <c r="X2176" i="21"/>
  <c r="I2177" i="21"/>
  <c r="Q2177" i="21" s="1"/>
  <c r="K2177" i="21"/>
  <c r="L2177" i="21" s="1"/>
  <c r="O2177" i="21"/>
  <c r="R2177" i="21"/>
  <c r="T2177" i="21"/>
  <c r="U2177" i="21"/>
  <c r="W2177" i="21"/>
  <c r="X2177" i="21"/>
  <c r="I2178" i="21"/>
  <c r="J2178" i="21" s="1"/>
  <c r="K2178" i="21"/>
  <c r="L2178" i="21" s="1"/>
  <c r="M2178" i="21"/>
  <c r="O2178" i="21"/>
  <c r="R2178" i="21"/>
  <c r="T2178" i="21"/>
  <c r="U2178" i="21"/>
  <c r="W2178" i="21"/>
  <c r="X2178" i="21"/>
  <c r="I2179" i="21"/>
  <c r="Q2179" i="21" s="1"/>
  <c r="K2179" i="21"/>
  <c r="L2179" i="21"/>
  <c r="M2179" i="21"/>
  <c r="O2179" i="21"/>
  <c r="R2179" i="21"/>
  <c r="T2179" i="21"/>
  <c r="U2179" i="21"/>
  <c r="W2179" i="21"/>
  <c r="X2179" i="21"/>
  <c r="I2180" i="21"/>
  <c r="J2180" i="21" s="1"/>
  <c r="K2180" i="21"/>
  <c r="L2180" i="21" s="1"/>
  <c r="O2180" i="21"/>
  <c r="R2180" i="21"/>
  <c r="T2180" i="21"/>
  <c r="U2180" i="21"/>
  <c r="W2180" i="21"/>
  <c r="X2180" i="21"/>
  <c r="I2181" i="21"/>
  <c r="Q2181" i="21" s="1"/>
  <c r="K2181" i="21"/>
  <c r="L2181" i="21" s="1"/>
  <c r="O2181" i="21"/>
  <c r="R2181" i="21"/>
  <c r="T2181" i="21"/>
  <c r="U2181" i="21"/>
  <c r="W2181" i="21"/>
  <c r="X2181" i="21"/>
  <c r="I2182" i="21"/>
  <c r="J2182" i="21" s="1"/>
  <c r="K2182" i="21"/>
  <c r="L2182" i="21" s="1"/>
  <c r="O2182" i="21"/>
  <c r="R2182" i="21"/>
  <c r="T2182" i="21"/>
  <c r="U2182" i="21"/>
  <c r="W2182" i="21"/>
  <c r="X2182" i="21"/>
  <c r="I2183" i="21"/>
  <c r="Q2183" i="21" s="1"/>
  <c r="K2183" i="21"/>
  <c r="L2183" i="21" s="1"/>
  <c r="O2183" i="21"/>
  <c r="R2183" i="21"/>
  <c r="T2183" i="21"/>
  <c r="U2183" i="21"/>
  <c r="W2183" i="21"/>
  <c r="X2183" i="21"/>
  <c r="I2184" i="21"/>
  <c r="J2184" i="21" s="1"/>
  <c r="K2184" i="21"/>
  <c r="L2184" i="21" s="1"/>
  <c r="M2184" i="21"/>
  <c r="O2184" i="21"/>
  <c r="R2184" i="21"/>
  <c r="T2184" i="21"/>
  <c r="U2184" i="21"/>
  <c r="W2184" i="21"/>
  <c r="X2184" i="21"/>
  <c r="I2185" i="21"/>
  <c r="Q2185" i="21" s="1"/>
  <c r="K2185" i="21"/>
  <c r="M2185" i="21" s="1"/>
  <c r="O2185" i="21"/>
  <c r="R2185" i="21"/>
  <c r="T2185" i="21"/>
  <c r="U2185" i="21"/>
  <c r="W2185" i="21"/>
  <c r="X2185" i="21"/>
  <c r="I2186" i="21"/>
  <c r="J2186" i="21" s="1"/>
  <c r="K2186" i="21"/>
  <c r="L2186" i="21" s="1"/>
  <c r="O2186" i="21"/>
  <c r="R2186" i="21"/>
  <c r="T2186" i="21"/>
  <c r="U2186" i="21"/>
  <c r="W2186" i="21"/>
  <c r="X2186" i="21"/>
  <c r="I2187" i="21"/>
  <c r="Q2187" i="21" s="1"/>
  <c r="K2187" i="21"/>
  <c r="M2187" i="21" s="1"/>
  <c r="L2187" i="21"/>
  <c r="O2187" i="21"/>
  <c r="R2187" i="21"/>
  <c r="T2187" i="21"/>
  <c r="U2187" i="21"/>
  <c r="W2187" i="21"/>
  <c r="X2187" i="21"/>
  <c r="I2188" i="21"/>
  <c r="J2188" i="21" s="1"/>
  <c r="K2188" i="21"/>
  <c r="L2188" i="21" s="1"/>
  <c r="O2188" i="21"/>
  <c r="R2188" i="21"/>
  <c r="T2188" i="21"/>
  <c r="U2188" i="21"/>
  <c r="W2188" i="21"/>
  <c r="X2188" i="21"/>
  <c r="I2189" i="21"/>
  <c r="Q2189" i="21" s="1"/>
  <c r="K2189" i="21"/>
  <c r="L2189" i="21" s="1"/>
  <c r="M2189" i="21"/>
  <c r="O2189" i="21"/>
  <c r="R2189" i="21"/>
  <c r="T2189" i="21"/>
  <c r="U2189" i="21"/>
  <c r="W2189" i="21"/>
  <c r="X2189" i="21"/>
  <c r="I2190" i="21"/>
  <c r="J2190" i="21" s="1"/>
  <c r="K2190" i="21"/>
  <c r="L2190" i="21" s="1"/>
  <c r="M2190" i="21"/>
  <c r="O2190" i="21"/>
  <c r="R2190" i="21"/>
  <c r="T2190" i="21"/>
  <c r="U2190" i="21"/>
  <c r="W2190" i="21"/>
  <c r="X2190" i="21"/>
  <c r="I2191" i="21"/>
  <c r="Q2191" i="21" s="1"/>
  <c r="K2191" i="21"/>
  <c r="L2191" i="21" s="1"/>
  <c r="O2191" i="21"/>
  <c r="R2191" i="21"/>
  <c r="T2191" i="21"/>
  <c r="U2191" i="21"/>
  <c r="W2191" i="21"/>
  <c r="X2191" i="21"/>
  <c r="I2192" i="21"/>
  <c r="J2192" i="21" s="1"/>
  <c r="K2192" i="21"/>
  <c r="L2192" i="21" s="1"/>
  <c r="M2192" i="21"/>
  <c r="O2192" i="21"/>
  <c r="R2192" i="21"/>
  <c r="T2192" i="21"/>
  <c r="U2192" i="21"/>
  <c r="W2192" i="21"/>
  <c r="X2192" i="21"/>
  <c r="I2193" i="21"/>
  <c r="Q2193" i="21" s="1"/>
  <c r="K2193" i="21"/>
  <c r="L2193" i="21"/>
  <c r="M2193" i="21"/>
  <c r="O2193" i="21"/>
  <c r="R2193" i="21"/>
  <c r="T2193" i="21"/>
  <c r="U2193" i="21"/>
  <c r="W2193" i="21"/>
  <c r="X2193" i="21"/>
  <c r="I2194" i="21"/>
  <c r="J2194" i="21" s="1"/>
  <c r="K2194" i="21"/>
  <c r="L2194" i="21" s="1"/>
  <c r="O2194" i="21"/>
  <c r="R2194" i="21"/>
  <c r="T2194" i="21"/>
  <c r="U2194" i="21"/>
  <c r="W2194" i="21"/>
  <c r="X2194" i="21"/>
  <c r="I2195" i="21"/>
  <c r="Q2195" i="21" s="1"/>
  <c r="K2195" i="21"/>
  <c r="L2195" i="21"/>
  <c r="M2195" i="21"/>
  <c r="O2195" i="21"/>
  <c r="R2195" i="21"/>
  <c r="T2195" i="21"/>
  <c r="U2195" i="21"/>
  <c r="W2195" i="21"/>
  <c r="X2195" i="21"/>
  <c r="I2196" i="21"/>
  <c r="J2196" i="21" s="1"/>
  <c r="K2196" i="21"/>
  <c r="L2196" i="21" s="1"/>
  <c r="O2196" i="21"/>
  <c r="R2196" i="21"/>
  <c r="T2196" i="21"/>
  <c r="U2196" i="21"/>
  <c r="W2196" i="21"/>
  <c r="X2196" i="21"/>
  <c r="I2197" i="21"/>
  <c r="Q2197" i="21" s="1"/>
  <c r="K2197" i="21"/>
  <c r="L2197" i="21"/>
  <c r="M2197" i="21"/>
  <c r="O2197" i="21"/>
  <c r="R2197" i="21"/>
  <c r="T2197" i="21"/>
  <c r="U2197" i="21"/>
  <c r="W2197" i="21"/>
  <c r="X2197" i="21"/>
  <c r="I2198" i="21"/>
  <c r="J2198" i="21" s="1"/>
  <c r="K2198" i="21"/>
  <c r="L2198" i="21" s="1"/>
  <c r="M2198" i="21"/>
  <c r="O2198" i="21"/>
  <c r="R2198" i="21"/>
  <c r="T2198" i="21"/>
  <c r="U2198" i="21"/>
  <c r="W2198" i="21"/>
  <c r="X2198" i="21"/>
  <c r="I2199" i="21"/>
  <c r="Q2199" i="21" s="1"/>
  <c r="K2199" i="21"/>
  <c r="L2199" i="21" s="1"/>
  <c r="O2199" i="21"/>
  <c r="R2199" i="21"/>
  <c r="T2199" i="21"/>
  <c r="U2199" i="21"/>
  <c r="W2199" i="21"/>
  <c r="X2199" i="21"/>
  <c r="I2200" i="21"/>
  <c r="J2200" i="21" s="1"/>
  <c r="K2200" i="21"/>
  <c r="L2200" i="21" s="1"/>
  <c r="M2200" i="21"/>
  <c r="O2200" i="21"/>
  <c r="R2200" i="21"/>
  <c r="T2200" i="21"/>
  <c r="U2200" i="21"/>
  <c r="W2200" i="21"/>
  <c r="X2200" i="21"/>
  <c r="I2201" i="21"/>
  <c r="Q2201" i="21" s="1"/>
  <c r="K2201" i="21"/>
  <c r="L2201" i="21"/>
  <c r="M2201" i="21"/>
  <c r="O2201" i="21"/>
  <c r="R2201" i="21"/>
  <c r="T2201" i="21"/>
  <c r="U2201" i="21"/>
  <c r="W2201" i="21"/>
  <c r="X2201" i="21"/>
  <c r="I2202" i="21"/>
  <c r="J2202" i="21" s="1"/>
  <c r="K2202" i="21"/>
  <c r="L2202" i="21" s="1"/>
  <c r="M2202" i="21"/>
  <c r="O2202" i="21"/>
  <c r="R2202" i="21"/>
  <c r="T2202" i="21"/>
  <c r="U2202" i="21"/>
  <c r="W2202" i="21"/>
  <c r="X2202" i="21"/>
  <c r="I2203" i="21"/>
  <c r="Q2203" i="21" s="1"/>
  <c r="K2203" i="21"/>
  <c r="M2203" i="21" s="1"/>
  <c r="L2203" i="21"/>
  <c r="O2203" i="21"/>
  <c r="R2203" i="21"/>
  <c r="T2203" i="21"/>
  <c r="U2203" i="21"/>
  <c r="W2203" i="21"/>
  <c r="X2203" i="21"/>
  <c r="I2204" i="21"/>
  <c r="J2204" i="21" s="1"/>
  <c r="K2204" i="21"/>
  <c r="L2204" i="21" s="1"/>
  <c r="O2204" i="21"/>
  <c r="R2204" i="21"/>
  <c r="T2204" i="21"/>
  <c r="U2204" i="21"/>
  <c r="W2204" i="21"/>
  <c r="X2204" i="21"/>
  <c r="I2205" i="21"/>
  <c r="Q2205" i="21" s="1"/>
  <c r="K2205" i="21"/>
  <c r="L2205" i="21" s="1"/>
  <c r="O2205" i="21"/>
  <c r="R2205" i="21"/>
  <c r="T2205" i="21"/>
  <c r="U2205" i="21"/>
  <c r="W2205" i="21"/>
  <c r="X2205" i="21"/>
  <c r="I2206" i="21"/>
  <c r="J2206" i="21" s="1"/>
  <c r="K2206" i="21"/>
  <c r="L2206" i="21" s="1"/>
  <c r="M2206" i="21"/>
  <c r="O2206" i="21"/>
  <c r="R2206" i="21"/>
  <c r="T2206" i="21"/>
  <c r="U2206" i="21"/>
  <c r="W2206" i="21"/>
  <c r="X2206" i="21"/>
  <c r="I2207" i="21"/>
  <c r="Q2207" i="21" s="1"/>
  <c r="K2207" i="21"/>
  <c r="L2207" i="21" s="1"/>
  <c r="M2207" i="21"/>
  <c r="O2207" i="21"/>
  <c r="R2207" i="21"/>
  <c r="T2207" i="21"/>
  <c r="U2207" i="21"/>
  <c r="W2207" i="21"/>
  <c r="X2207" i="21"/>
  <c r="I2208" i="21"/>
  <c r="J2208" i="21" s="1"/>
  <c r="K2208" i="21"/>
  <c r="L2208" i="21" s="1"/>
  <c r="M2208" i="21"/>
  <c r="O2208" i="21"/>
  <c r="R2208" i="21"/>
  <c r="T2208" i="21"/>
  <c r="U2208" i="21"/>
  <c r="W2208" i="21"/>
  <c r="X2208" i="21"/>
  <c r="I2209" i="21"/>
  <c r="Q2209" i="21" s="1"/>
  <c r="K2209" i="21"/>
  <c r="M2209" i="21" s="1"/>
  <c r="L2209" i="21"/>
  <c r="O2209" i="21"/>
  <c r="R2209" i="21"/>
  <c r="T2209" i="21"/>
  <c r="U2209" i="21"/>
  <c r="W2209" i="21"/>
  <c r="X2209" i="21"/>
  <c r="I2210" i="21"/>
  <c r="J2210" i="21" s="1"/>
  <c r="K2210" i="21"/>
  <c r="L2210" i="21" s="1"/>
  <c r="O2210" i="21"/>
  <c r="R2210" i="21"/>
  <c r="T2210" i="21"/>
  <c r="U2210" i="21"/>
  <c r="W2210" i="21"/>
  <c r="X2210" i="21"/>
  <c r="I2211" i="21"/>
  <c r="Q2211" i="21" s="1"/>
  <c r="K2211" i="21"/>
  <c r="L2211" i="21"/>
  <c r="M2211" i="21"/>
  <c r="O2211" i="21"/>
  <c r="R2211" i="21"/>
  <c r="T2211" i="21"/>
  <c r="U2211" i="21"/>
  <c r="W2211" i="21"/>
  <c r="X2211" i="21"/>
  <c r="I2212" i="21"/>
  <c r="J2212" i="21" s="1"/>
  <c r="K2212" i="21"/>
  <c r="L2212" i="21" s="1"/>
  <c r="O2212" i="21"/>
  <c r="R2212" i="21"/>
  <c r="T2212" i="21"/>
  <c r="U2212" i="21"/>
  <c r="W2212" i="21"/>
  <c r="X2212" i="21"/>
  <c r="I2213" i="21"/>
  <c r="Q2213" i="21" s="1"/>
  <c r="K2213" i="21"/>
  <c r="L2213" i="21" s="1"/>
  <c r="O2213" i="21"/>
  <c r="R2213" i="21"/>
  <c r="T2213" i="21"/>
  <c r="U2213" i="21"/>
  <c r="W2213" i="21"/>
  <c r="X2213" i="21"/>
  <c r="I2214" i="21"/>
  <c r="J2214" i="21" s="1"/>
  <c r="K2214" i="21"/>
  <c r="L2214" i="21" s="1"/>
  <c r="O2214" i="21"/>
  <c r="R2214" i="21"/>
  <c r="T2214" i="21"/>
  <c r="U2214" i="21"/>
  <c r="W2214" i="21"/>
  <c r="X2214" i="21"/>
  <c r="I2215" i="21"/>
  <c r="Q2215" i="21" s="1"/>
  <c r="K2215" i="21"/>
  <c r="L2215" i="21" s="1"/>
  <c r="O2215" i="21"/>
  <c r="R2215" i="21"/>
  <c r="T2215" i="21"/>
  <c r="U2215" i="21"/>
  <c r="W2215" i="21"/>
  <c r="X2215" i="21"/>
  <c r="I2216" i="21"/>
  <c r="J2216" i="21" s="1"/>
  <c r="K2216" i="21"/>
  <c r="L2216" i="21" s="1"/>
  <c r="M2216" i="21"/>
  <c r="O2216" i="21"/>
  <c r="R2216" i="21"/>
  <c r="T2216" i="21"/>
  <c r="U2216" i="21"/>
  <c r="W2216" i="21"/>
  <c r="X2216" i="21"/>
  <c r="I2217" i="21"/>
  <c r="Q2217" i="21" s="1"/>
  <c r="K2217" i="21"/>
  <c r="M2217" i="21" s="1"/>
  <c r="L2217" i="21"/>
  <c r="O2217" i="21"/>
  <c r="R2217" i="21"/>
  <c r="T2217" i="21"/>
  <c r="U2217" i="21"/>
  <c r="W2217" i="21"/>
  <c r="X2217" i="21"/>
  <c r="I2218" i="21"/>
  <c r="J2218" i="21" s="1"/>
  <c r="K2218" i="21"/>
  <c r="L2218" i="21" s="1"/>
  <c r="O2218" i="21"/>
  <c r="R2218" i="21"/>
  <c r="T2218" i="21"/>
  <c r="U2218" i="21"/>
  <c r="W2218" i="21"/>
  <c r="X2218" i="21"/>
  <c r="I2219" i="21"/>
  <c r="Q2219" i="21" s="1"/>
  <c r="K2219" i="21"/>
  <c r="L2219" i="21" s="1"/>
  <c r="O2219" i="21"/>
  <c r="R2219" i="21"/>
  <c r="T2219" i="21"/>
  <c r="U2219" i="21"/>
  <c r="W2219" i="21"/>
  <c r="X2219" i="21"/>
  <c r="I2220" i="21"/>
  <c r="J2220" i="21" s="1"/>
  <c r="K2220" i="21"/>
  <c r="L2220" i="21" s="1"/>
  <c r="O2220" i="21"/>
  <c r="R2220" i="21"/>
  <c r="T2220" i="21"/>
  <c r="U2220" i="21"/>
  <c r="W2220" i="21"/>
  <c r="X2220" i="21"/>
  <c r="I2221" i="21"/>
  <c r="Q2221" i="21" s="1"/>
  <c r="K2221" i="21"/>
  <c r="M2221" i="21" s="1"/>
  <c r="L2221" i="21"/>
  <c r="O2221" i="21"/>
  <c r="R2221" i="21"/>
  <c r="T2221" i="21"/>
  <c r="U2221" i="21"/>
  <c r="W2221" i="21"/>
  <c r="X2221" i="21"/>
  <c r="I2222" i="21"/>
  <c r="J2222" i="21" s="1"/>
  <c r="K2222" i="21"/>
  <c r="L2222" i="21" s="1"/>
  <c r="O2222" i="21"/>
  <c r="R2222" i="21"/>
  <c r="T2222" i="21"/>
  <c r="U2222" i="21"/>
  <c r="W2222" i="21"/>
  <c r="X2222" i="21"/>
  <c r="I2223" i="21"/>
  <c r="Q2223" i="21" s="1"/>
  <c r="K2223" i="21"/>
  <c r="L2223" i="21" s="1"/>
  <c r="O2223" i="21"/>
  <c r="R2223" i="21"/>
  <c r="T2223" i="21"/>
  <c r="U2223" i="21"/>
  <c r="W2223" i="21"/>
  <c r="X2223" i="21"/>
  <c r="I2224" i="21"/>
  <c r="J2224" i="21" s="1"/>
  <c r="K2224" i="21"/>
  <c r="L2224" i="21" s="1"/>
  <c r="M2224" i="21"/>
  <c r="O2224" i="21"/>
  <c r="R2224" i="21"/>
  <c r="T2224" i="21"/>
  <c r="U2224" i="21"/>
  <c r="W2224" i="21"/>
  <c r="X2224" i="21"/>
  <c r="I2225" i="21"/>
  <c r="Q2225" i="21" s="1"/>
  <c r="K2225" i="21"/>
  <c r="M2225" i="21" s="1"/>
  <c r="L2225" i="21"/>
  <c r="O2225" i="21"/>
  <c r="R2225" i="21"/>
  <c r="T2225" i="21"/>
  <c r="U2225" i="21"/>
  <c r="W2225" i="21"/>
  <c r="X2225" i="21"/>
  <c r="I2226" i="21"/>
  <c r="J2226" i="21" s="1"/>
  <c r="K2226" i="21"/>
  <c r="L2226" i="21" s="1"/>
  <c r="O2226" i="21"/>
  <c r="R2226" i="21"/>
  <c r="T2226" i="21"/>
  <c r="U2226" i="21"/>
  <c r="W2226" i="21"/>
  <c r="X2226" i="21"/>
  <c r="I2227" i="21"/>
  <c r="Q2227" i="21" s="1"/>
  <c r="K2227" i="21"/>
  <c r="L2227" i="21"/>
  <c r="M2227" i="21"/>
  <c r="O2227" i="21"/>
  <c r="R2227" i="21"/>
  <c r="T2227" i="21"/>
  <c r="U2227" i="21"/>
  <c r="W2227" i="21"/>
  <c r="X2227" i="21"/>
  <c r="I2228" i="21"/>
  <c r="J2228" i="21" s="1"/>
  <c r="K2228" i="21"/>
  <c r="L2228" i="21" s="1"/>
  <c r="O2228" i="21"/>
  <c r="R2228" i="21"/>
  <c r="T2228" i="21"/>
  <c r="U2228" i="21"/>
  <c r="W2228" i="21"/>
  <c r="X2228" i="21"/>
  <c r="I2229" i="21"/>
  <c r="Q2229" i="21" s="1"/>
  <c r="K2229" i="21"/>
  <c r="L2229" i="21" s="1"/>
  <c r="O2229" i="21"/>
  <c r="R2229" i="21"/>
  <c r="T2229" i="21"/>
  <c r="U2229" i="21"/>
  <c r="W2229" i="21"/>
  <c r="X2229" i="21"/>
  <c r="I2230" i="21"/>
  <c r="J2230" i="21" s="1"/>
  <c r="K2230" i="21"/>
  <c r="L2230" i="21" s="1"/>
  <c r="M2230" i="21"/>
  <c r="O2230" i="21"/>
  <c r="R2230" i="21"/>
  <c r="T2230" i="21"/>
  <c r="U2230" i="21"/>
  <c r="W2230" i="21"/>
  <c r="X2230" i="21"/>
  <c r="I2231" i="21"/>
  <c r="Q2231" i="21" s="1"/>
  <c r="K2231" i="21"/>
  <c r="L2231" i="21" s="1"/>
  <c r="O2231" i="21"/>
  <c r="R2231" i="21"/>
  <c r="T2231" i="21"/>
  <c r="U2231" i="21"/>
  <c r="W2231" i="21"/>
  <c r="X2231" i="21"/>
  <c r="I2232" i="21"/>
  <c r="J2232" i="21" s="1"/>
  <c r="K2232" i="21"/>
  <c r="L2232" i="21"/>
  <c r="M2232" i="21"/>
  <c r="O2232" i="21"/>
  <c r="R2232" i="21"/>
  <c r="T2232" i="21"/>
  <c r="U2232" i="21"/>
  <c r="W2232" i="21"/>
  <c r="X2232" i="21"/>
  <c r="I2233" i="21"/>
  <c r="Q2233" i="21" s="1"/>
  <c r="K2233" i="21"/>
  <c r="L2233" i="21" s="1"/>
  <c r="O2233" i="21"/>
  <c r="R2233" i="21"/>
  <c r="T2233" i="21"/>
  <c r="U2233" i="21"/>
  <c r="W2233" i="21"/>
  <c r="X2233" i="21"/>
  <c r="I2234" i="21"/>
  <c r="J2234" i="21" s="1"/>
  <c r="K2234" i="21"/>
  <c r="L2234" i="21"/>
  <c r="M2234" i="21"/>
  <c r="O2234" i="21"/>
  <c r="R2234" i="21"/>
  <c r="T2234" i="21"/>
  <c r="U2234" i="21"/>
  <c r="W2234" i="21"/>
  <c r="X2234" i="21"/>
  <c r="I2235" i="21"/>
  <c r="Q2235" i="21" s="1"/>
  <c r="K2235" i="21"/>
  <c r="L2235" i="21" s="1"/>
  <c r="O2235" i="21"/>
  <c r="R2235" i="21"/>
  <c r="T2235" i="21"/>
  <c r="U2235" i="21"/>
  <c r="W2235" i="21"/>
  <c r="X2235" i="21"/>
  <c r="I2236" i="21"/>
  <c r="J2236" i="21" s="1"/>
  <c r="K2236" i="21"/>
  <c r="L2236" i="21"/>
  <c r="M2236" i="21"/>
  <c r="O2236" i="21"/>
  <c r="R2236" i="21"/>
  <c r="T2236" i="21"/>
  <c r="U2236" i="21"/>
  <c r="W2236" i="21"/>
  <c r="X2236" i="21"/>
  <c r="I2237" i="21"/>
  <c r="Q2237" i="21" s="1"/>
  <c r="K2237" i="21"/>
  <c r="L2237" i="21" s="1"/>
  <c r="M2237" i="21"/>
  <c r="O2237" i="21"/>
  <c r="R2237" i="21"/>
  <c r="T2237" i="21"/>
  <c r="U2237" i="21"/>
  <c r="W2237" i="21"/>
  <c r="X2237" i="21"/>
  <c r="I2238" i="21"/>
  <c r="J2238" i="21" s="1"/>
  <c r="K2238" i="21"/>
  <c r="M2238" i="21" s="1"/>
  <c r="L2238" i="21"/>
  <c r="O2238" i="21"/>
  <c r="R2238" i="21"/>
  <c r="T2238" i="21"/>
  <c r="U2238" i="21"/>
  <c r="W2238" i="21"/>
  <c r="X2238" i="21"/>
  <c r="I2239" i="21"/>
  <c r="Q2239" i="21" s="1"/>
  <c r="K2239" i="21"/>
  <c r="L2239" i="21" s="1"/>
  <c r="O2239" i="21"/>
  <c r="R2239" i="21"/>
  <c r="T2239" i="21"/>
  <c r="U2239" i="21"/>
  <c r="W2239" i="21"/>
  <c r="X2239" i="21"/>
  <c r="I2240" i="21"/>
  <c r="J2240" i="21" s="1"/>
  <c r="K2240" i="21"/>
  <c r="L2240" i="21"/>
  <c r="M2240" i="21"/>
  <c r="O2240" i="21"/>
  <c r="R2240" i="21"/>
  <c r="T2240" i="21"/>
  <c r="U2240" i="21"/>
  <c r="W2240" i="21"/>
  <c r="X2240" i="21"/>
  <c r="I2241" i="21"/>
  <c r="Q2241" i="21" s="1"/>
  <c r="K2241" i="21"/>
  <c r="L2241" i="21" s="1"/>
  <c r="O2241" i="21"/>
  <c r="R2241" i="21"/>
  <c r="T2241" i="21"/>
  <c r="U2241" i="21"/>
  <c r="W2241" i="21"/>
  <c r="X2241" i="21"/>
  <c r="I2242" i="21"/>
  <c r="J2242" i="21" s="1"/>
  <c r="K2242" i="21"/>
  <c r="M2242" i="21" s="1"/>
  <c r="L2242" i="21"/>
  <c r="O2242" i="21"/>
  <c r="R2242" i="21"/>
  <c r="T2242" i="21"/>
  <c r="U2242" i="21"/>
  <c r="W2242" i="21"/>
  <c r="X2242" i="21"/>
  <c r="I2243" i="21"/>
  <c r="Q2243" i="21" s="1"/>
  <c r="K2243" i="21"/>
  <c r="L2243" i="21" s="1"/>
  <c r="M2243" i="21"/>
  <c r="O2243" i="21"/>
  <c r="R2243" i="21"/>
  <c r="T2243" i="21"/>
  <c r="U2243" i="21"/>
  <c r="W2243" i="21"/>
  <c r="X2243" i="21"/>
  <c r="I2244" i="21"/>
  <c r="J2244" i="21" s="1"/>
  <c r="K2244" i="21"/>
  <c r="L2244" i="21" s="1"/>
  <c r="O2244" i="21"/>
  <c r="R2244" i="21"/>
  <c r="T2244" i="21"/>
  <c r="U2244" i="21"/>
  <c r="W2244" i="21"/>
  <c r="X2244" i="21"/>
  <c r="I2245" i="21"/>
  <c r="Q2245" i="21" s="1"/>
  <c r="K2245" i="21"/>
  <c r="L2245" i="21" s="1"/>
  <c r="O2245" i="21"/>
  <c r="R2245" i="21"/>
  <c r="T2245" i="21"/>
  <c r="U2245" i="21"/>
  <c r="W2245" i="21"/>
  <c r="X2245" i="21"/>
  <c r="I2246" i="21"/>
  <c r="J2246" i="21" s="1"/>
  <c r="K2246" i="21"/>
  <c r="M2246" i="21" s="1"/>
  <c r="O2246" i="21"/>
  <c r="R2246" i="21"/>
  <c r="T2246" i="21"/>
  <c r="U2246" i="21"/>
  <c r="W2246" i="21"/>
  <c r="X2246" i="21"/>
  <c r="I2247" i="21"/>
  <c r="Q2247" i="21" s="1"/>
  <c r="K2247" i="21"/>
  <c r="L2247" i="21" s="1"/>
  <c r="O2247" i="21"/>
  <c r="R2247" i="21"/>
  <c r="T2247" i="21"/>
  <c r="U2247" i="21"/>
  <c r="W2247" i="21"/>
  <c r="X2247" i="21"/>
  <c r="I2248" i="21"/>
  <c r="J2248" i="21" s="1"/>
  <c r="K2248" i="21"/>
  <c r="L2248" i="21" s="1"/>
  <c r="O2248" i="21"/>
  <c r="R2248" i="21"/>
  <c r="T2248" i="21"/>
  <c r="U2248" i="21"/>
  <c r="W2248" i="21"/>
  <c r="X2248" i="21"/>
  <c r="I2249" i="21"/>
  <c r="Q2249" i="21" s="1"/>
  <c r="K2249" i="21"/>
  <c r="L2249" i="21" s="1"/>
  <c r="M2249" i="21"/>
  <c r="O2249" i="21"/>
  <c r="R2249" i="21"/>
  <c r="T2249" i="21"/>
  <c r="U2249" i="21"/>
  <c r="W2249" i="21"/>
  <c r="X2249" i="21"/>
  <c r="I2250" i="21"/>
  <c r="J2250" i="21" s="1"/>
  <c r="K2250" i="21"/>
  <c r="L2250" i="21"/>
  <c r="M2250" i="21"/>
  <c r="O2250" i="21"/>
  <c r="R2250" i="21"/>
  <c r="T2250" i="21"/>
  <c r="U2250" i="21"/>
  <c r="W2250" i="21"/>
  <c r="X2250" i="21"/>
  <c r="I2251" i="21"/>
  <c r="Q2251" i="21" s="1"/>
  <c r="K2251" i="21"/>
  <c r="L2251" i="21" s="1"/>
  <c r="O2251" i="21"/>
  <c r="R2251" i="21"/>
  <c r="T2251" i="21"/>
  <c r="U2251" i="21"/>
  <c r="W2251" i="21"/>
  <c r="X2251" i="21"/>
  <c r="I2252" i="21"/>
  <c r="J2252" i="21" s="1"/>
  <c r="K2252" i="21"/>
  <c r="L2252" i="21"/>
  <c r="M2252" i="21"/>
  <c r="O2252" i="21"/>
  <c r="R2252" i="21"/>
  <c r="T2252" i="21"/>
  <c r="U2252" i="21"/>
  <c r="W2252" i="21"/>
  <c r="X2252" i="21"/>
  <c r="I2253" i="21"/>
  <c r="Q2253" i="21" s="1"/>
  <c r="K2253" i="21"/>
  <c r="L2253" i="21" s="1"/>
  <c r="O2253" i="21"/>
  <c r="R2253" i="21"/>
  <c r="T2253" i="21"/>
  <c r="U2253" i="21"/>
  <c r="W2253" i="21"/>
  <c r="X2253" i="21"/>
  <c r="I2254" i="21"/>
  <c r="J2254" i="21" s="1"/>
  <c r="K2254" i="21"/>
  <c r="L2254" i="21"/>
  <c r="M2254" i="21"/>
  <c r="O2254" i="21"/>
  <c r="R2254" i="21"/>
  <c r="T2254" i="21"/>
  <c r="U2254" i="21"/>
  <c r="W2254" i="21"/>
  <c r="X2254" i="21"/>
  <c r="I2255" i="21"/>
  <c r="Q2255" i="21" s="1"/>
  <c r="K2255" i="21"/>
  <c r="L2255" i="21" s="1"/>
  <c r="M2255" i="21"/>
  <c r="O2255" i="21"/>
  <c r="R2255" i="21"/>
  <c r="T2255" i="21"/>
  <c r="U2255" i="21"/>
  <c r="W2255" i="21"/>
  <c r="X2255" i="21"/>
  <c r="I2256" i="21"/>
  <c r="J2256" i="21" s="1"/>
  <c r="K2256" i="21"/>
  <c r="L2256" i="21" s="1"/>
  <c r="O2256" i="21"/>
  <c r="R2256" i="21"/>
  <c r="T2256" i="21"/>
  <c r="U2256" i="21"/>
  <c r="W2256" i="21"/>
  <c r="X2256" i="21"/>
  <c r="I2257" i="21"/>
  <c r="Q2257" i="21" s="1"/>
  <c r="K2257" i="21"/>
  <c r="L2257" i="21" s="1"/>
  <c r="O2257" i="21"/>
  <c r="R2257" i="21"/>
  <c r="T2257" i="21"/>
  <c r="U2257" i="21"/>
  <c r="W2257" i="21"/>
  <c r="X2257" i="21"/>
  <c r="I2258" i="21"/>
  <c r="J2258" i="21" s="1"/>
  <c r="K2258" i="21"/>
  <c r="M2258" i="21" s="1"/>
  <c r="L2258" i="21"/>
  <c r="O2258" i="21"/>
  <c r="R2258" i="21"/>
  <c r="T2258" i="21"/>
  <c r="U2258" i="21"/>
  <c r="W2258" i="21"/>
  <c r="X2258" i="21"/>
  <c r="I2259" i="21"/>
  <c r="Q2259" i="21" s="1"/>
  <c r="K2259" i="21"/>
  <c r="L2259" i="21" s="1"/>
  <c r="O2259" i="21"/>
  <c r="R2259" i="21"/>
  <c r="T2259" i="21"/>
  <c r="U2259" i="21"/>
  <c r="W2259" i="21"/>
  <c r="X2259" i="21"/>
  <c r="I2260" i="21"/>
  <c r="J2260" i="21" s="1"/>
  <c r="K2260" i="21"/>
  <c r="L2260" i="21" s="1"/>
  <c r="O2260" i="21"/>
  <c r="R2260" i="21"/>
  <c r="T2260" i="21"/>
  <c r="U2260" i="21"/>
  <c r="W2260" i="21"/>
  <c r="X2260" i="21"/>
  <c r="I2261" i="21"/>
  <c r="Q2261" i="21" s="1"/>
  <c r="K2261" i="21"/>
  <c r="L2261" i="21" s="1"/>
  <c r="O2261" i="21"/>
  <c r="R2261" i="21"/>
  <c r="T2261" i="21"/>
  <c r="U2261" i="21"/>
  <c r="W2261" i="21"/>
  <c r="X2261" i="21"/>
  <c r="I2262" i="21"/>
  <c r="J2262" i="21" s="1"/>
  <c r="K2262" i="21"/>
  <c r="L2262" i="21" s="1"/>
  <c r="O2262" i="21"/>
  <c r="R2262" i="21"/>
  <c r="T2262" i="21"/>
  <c r="U2262" i="21"/>
  <c r="W2262" i="21"/>
  <c r="X2262" i="21"/>
  <c r="I2263" i="21"/>
  <c r="Q2263" i="21" s="1"/>
  <c r="K2263" i="21"/>
  <c r="L2263" i="21" s="1"/>
  <c r="O2263" i="21"/>
  <c r="R2263" i="21"/>
  <c r="T2263" i="21"/>
  <c r="U2263" i="21"/>
  <c r="W2263" i="21"/>
  <c r="X2263" i="21"/>
  <c r="I2264" i="21"/>
  <c r="J2264" i="21" s="1"/>
  <c r="K2264" i="21"/>
  <c r="L2264" i="21"/>
  <c r="M2264" i="21"/>
  <c r="O2264" i="21"/>
  <c r="R2264" i="21"/>
  <c r="T2264" i="21"/>
  <c r="U2264" i="21"/>
  <c r="W2264" i="21"/>
  <c r="X2264" i="21"/>
  <c r="I2265" i="21"/>
  <c r="Q2265" i="21" s="1"/>
  <c r="K2265" i="21"/>
  <c r="L2265" i="21" s="1"/>
  <c r="O2265" i="21"/>
  <c r="R2265" i="21"/>
  <c r="T2265" i="21"/>
  <c r="U2265" i="21"/>
  <c r="W2265" i="21"/>
  <c r="X2265" i="21"/>
  <c r="I2266" i="21"/>
  <c r="J2266" i="21" s="1"/>
  <c r="K2266" i="21"/>
  <c r="L2266" i="21" s="1"/>
  <c r="O2266" i="21"/>
  <c r="R2266" i="21"/>
  <c r="T2266" i="21"/>
  <c r="U2266" i="21"/>
  <c r="W2266" i="21"/>
  <c r="X2266" i="21"/>
  <c r="I2267" i="21"/>
  <c r="Q2267" i="21" s="1"/>
  <c r="K2267" i="21"/>
  <c r="L2267" i="21" s="1"/>
  <c r="M2267" i="21"/>
  <c r="O2267" i="21"/>
  <c r="R2267" i="21"/>
  <c r="T2267" i="21"/>
  <c r="U2267" i="21"/>
  <c r="W2267" i="21"/>
  <c r="X2267" i="21"/>
  <c r="I2268" i="21"/>
  <c r="J2268" i="21" s="1"/>
  <c r="K2268" i="21"/>
  <c r="L2268" i="21"/>
  <c r="M2268" i="21"/>
  <c r="O2268" i="21"/>
  <c r="R2268" i="21"/>
  <c r="T2268" i="21"/>
  <c r="U2268" i="21"/>
  <c r="W2268" i="21"/>
  <c r="X2268" i="21"/>
  <c r="I2269" i="21"/>
  <c r="Q2269" i="21" s="1"/>
  <c r="K2269" i="21"/>
  <c r="L2269" i="21" s="1"/>
  <c r="O2269" i="21"/>
  <c r="R2269" i="21"/>
  <c r="T2269" i="21"/>
  <c r="U2269" i="21"/>
  <c r="W2269" i="21"/>
  <c r="X2269" i="21"/>
  <c r="I2270" i="21"/>
  <c r="J2270" i="21" s="1"/>
  <c r="K2270" i="21"/>
  <c r="L2270" i="21"/>
  <c r="M2270" i="21"/>
  <c r="O2270" i="21"/>
  <c r="R2270" i="21"/>
  <c r="T2270" i="21"/>
  <c r="U2270" i="21"/>
  <c r="W2270" i="21"/>
  <c r="X2270" i="21"/>
  <c r="I2271" i="21"/>
  <c r="Q2271" i="21" s="1"/>
  <c r="K2271" i="21"/>
  <c r="L2271" i="21" s="1"/>
  <c r="O2271" i="21"/>
  <c r="R2271" i="21"/>
  <c r="T2271" i="21"/>
  <c r="U2271" i="21"/>
  <c r="W2271" i="21"/>
  <c r="X2271" i="21"/>
  <c r="I2272" i="21"/>
  <c r="J2272" i="21" s="1"/>
  <c r="K2272" i="21"/>
  <c r="L2272" i="21"/>
  <c r="M2272" i="21"/>
  <c r="O2272" i="21"/>
  <c r="R2272" i="21"/>
  <c r="T2272" i="21"/>
  <c r="U2272" i="21"/>
  <c r="W2272" i="21"/>
  <c r="X2272" i="21"/>
  <c r="I2273" i="21"/>
  <c r="Q2273" i="21" s="1"/>
  <c r="K2273" i="21"/>
  <c r="L2273" i="21" s="1"/>
  <c r="O2273" i="21"/>
  <c r="R2273" i="21"/>
  <c r="T2273" i="21"/>
  <c r="U2273" i="21"/>
  <c r="W2273" i="21"/>
  <c r="X2273" i="21"/>
  <c r="I2274" i="21"/>
  <c r="J2274" i="21" s="1"/>
  <c r="K2274" i="21"/>
  <c r="L2274" i="21"/>
  <c r="M2274" i="21"/>
  <c r="O2274" i="21"/>
  <c r="R2274" i="21"/>
  <c r="T2274" i="21"/>
  <c r="U2274" i="21"/>
  <c r="W2274" i="21"/>
  <c r="X2274" i="21"/>
  <c r="I2275" i="21"/>
  <c r="Q2275" i="21" s="1"/>
  <c r="K2275" i="21"/>
  <c r="L2275" i="21" s="1"/>
  <c r="O2275" i="21"/>
  <c r="R2275" i="21"/>
  <c r="T2275" i="21"/>
  <c r="U2275" i="21"/>
  <c r="W2275" i="21"/>
  <c r="X2275" i="21"/>
  <c r="I2276" i="21"/>
  <c r="J2276" i="21" s="1"/>
  <c r="K2276" i="21"/>
  <c r="M2276" i="21" s="1"/>
  <c r="L2276" i="21"/>
  <c r="O2276" i="21"/>
  <c r="R2276" i="21"/>
  <c r="T2276" i="21"/>
  <c r="U2276" i="21"/>
  <c r="W2276" i="21"/>
  <c r="X2276" i="21"/>
  <c r="I2277" i="21"/>
  <c r="Q2277" i="21" s="1"/>
  <c r="K2277" i="21"/>
  <c r="L2277" i="21" s="1"/>
  <c r="O2277" i="21"/>
  <c r="R2277" i="21"/>
  <c r="T2277" i="21"/>
  <c r="U2277" i="21"/>
  <c r="W2277" i="21"/>
  <c r="X2277" i="21"/>
  <c r="I2278" i="21"/>
  <c r="J2278" i="21" s="1"/>
  <c r="K2278" i="21"/>
  <c r="L2278" i="21"/>
  <c r="M2278" i="21"/>
  <c r="O2278" i="21"/>
  <c r="R2278" i="21"/>
  <c r="T2278" i="21"/>
  <c r="U2278" i="21"/>
  <c r="W2278" i="21"/>
  <c r="X2278" i="21"/>
  <c r="I2279" i="21"/>
  <c r="Q2279" i="21" s="1"/>
  <c r="K2279" i="21"/>
  <c r="L2279" i="21" s="1"/>
  <c r="O2279" i="21"/>
  <c r="R2279" i="21"/>
  <c r="T2279" i="21"/>
  <c r="U2279" i="21"/>
  <c r="W2279" i="21"/>
  <c r="X2279" i="21"/>
  <c r="I2280" i="21"/>
  <c r="J2280" i="21" s="1"/>
  <c r="K2280" i="21"/>
  <c r="M2280" i="21" s="1"/>
  <c r="O2280" i="21"/>
  <c r="R2280" i="21"/>
  <c r="T2280" i="21"/>
  <c r="U2280" i="21"/>
  <c r="W2280" i="21"/>
  <c r="X2280" i="21"/>
  <c r="I2281" i="21"/>
  <c r="Q2281" i="21" s="1"/>
  <c r="K2281" i="21"/>
  <c r="L2281" i="21" s="1"/>
  <c r="O2281" i="21"/>
  <c r="R2281" i="21"/>
  <c r="T2281" i="21"/>
  <c r="U2281" i="21"/>
  <c r="W2281" i="21"/>
  <c r="X2281" i="21"/>
  <c r="I2282" i="21"/>
  <c r="J2282" i="21" s="1"/>
  <c r="K2282" i="21"/>
  <c r="L2282" i="21" s="1"/>
  <c r="O2282" i="21"/>
  <c r="R2282" i="21"/>
  <c r="T2282" i="21"/>
  <c r="U2282" i="21"/>
  <c r="W2282" i="21"/>
  <c r="X2282" i="21"/>
  <c r="I2283" i="21"/>
  <c r="Q2283" i="21" s="1"/>
  <c r="K2283" i="21"/>
  <c r="M2283" i="21" s="1"/>
  <c r="L2283" i="21"/>
  <c r="O2283" i="21"/>
  <c r="R2283" i="21"/>
  <c r="T2283" i="21"/>
  <c r="U2283" i="21"/>
  <c r="W2283" i="21"/>
  <c r="X2283" i="21"/>
  <c r="I2284" i="21"/>
  <c r="J2284" i="21" s="1"/>
  <c r="K2284" i="21"/>
  <c r="L2284" i="21"/>
  <c r="M2284" i="21"/>
  <c r="O2284" i="21"/>
  <c r="R2284" i="21"/>
  <c r="T2284" i="21"/>
  <c r="U2284" i="21"/>
  <c r="W2284" i="21"/>
  <c r="X2284" i="21"/>
  <c r="I2285" i="21"/>
  <c r="Q2285" i="21" s="1"/>
  <c r="K2285" i="21"/>
  <c r="L2285" i="21" s="1"/>
  <c r="M2285" i="21"/>
  <c r="O2285" i="21"/>
  <c r="R2285" i="21"/>
  <c r="T2285" i="21"/>
  <c r="U2285" i="21"/>
  <c r="W2285" i="21"/>
  <c r="X2285" i="21"/>
  <c r="I2286" i="21"/>
  <c r="J2286" i="21" s="1"/>
  <c r="K2286" i="21"/>
  <c r="L2286" i="21" s="1"/>
  <c r="O2286" i="21"/>
  <c r="R2286" i="21"/>
  <c r="T2286" i="21"/>
  <c r="U2286" i="21"/>
  <c r="W2286" i="21"/>
  <c r="X2286" i="21"/>
  <c r="I2287" i="21"/>
  <c r="Q2287" i="21" s="1"/>
  <c r="K2287" i="21"/>
  <c r="L2287" i="21" s="1"/>
  <c r="O2287" i="21"/>
  <c r="R2287" i="21"/>
  <c r="T2287" i="21"/>
  <c r="U2287" i="21"/>
  <c r="W2287" i="21"/>
  <c r="X2287" i="21"/>
  <c r="I2288" i="21"/>
  <c r="J2288" i="21" s="1"/>
  <c r="K2288" i="21"/>
  <c r="M2288" i="21" s="1"/>
  <c r="L2288" i="21"/>
  <c r="O2288" i="21"/>
  <c r="R2288" i="21"/>
  <c r="T2288" i="21"/>
  <c r="U2288" i="21"/>
  <c r="W2288" i="21"/>
  <c r="X2288" i="21"/>
  <c r="I2289" i="21"/>
  <c r="Q2289" i="21" s="1"/>
  <c r="K2289" i="21"/>
  <c r="M2289" i="21" s="1"/>
  <c r="O2289" i="21"/>
  <c r="R2289" i="21"/>
  <c r="T2289" i="21"/>
  <c r="U2289" i="21"/>
  <c r="W2289" i="21"/>
  <c r="X2289" i="21"/>
  <c r="I2290" i="21"/>
  <c r="J2290" i="21" s="1"/>
  <c r="K2290" i="21"/>
  <c r="L2290" i="21"/>
  <c r="M2290" i="21"/>
  <c r="O2290" i="21"/>
  <c r="R2290" i="21"/>
  <c r="T2290" i="21"/>
  <c r="U2290" i="21"/>
  <c r="W2290" i="21"/>
  <c r="X2290" i="21"/>
  <c r="I2291" i="21"/>
  <c r="Q2291" i="21" s="1"/>
  <c r="K2291" i="21"/>
  <c r="L2291" i="21" s="1"/>
  <c r="M2291" i="21"/>
  <c r="O2291" i="21"/>
  <c r="R2291" i="21"/>
  <c r="T2291" i="21"/>
  <c r="U2291" i="21"/>
  <c r="W2291" i="21"/>
  <c r="X2291" i="21"/>
  <c r="I2292" i="21"/>
  <c r="J2292" i="21" s="1"/>
  <c r="K2292" i="21"/>
  <c r="L2292" i="21"/>
  <c r="M2292" i="21"/>
  <c r="O2292" i="21"/>
  <c r="R2292" i="21"/>
  <c r="T2292" i="21"/>
  <c r="U2292" i="21"/>
  <c r="W2292" i="21"/>
  <c r="X2292" i="21"/>
  <c r="I2293" i="21"/>
  <c r="Q2293" i="21" s="1"/>
  <c r="K2293" i="21"/>
  <c r="L2293" i="21" s="1"/>
  <c r="O2293" i="21"/>
  <c r="R2293" i="21"/>
  <c r="T2293" i="21"/>
  <c r="U2293" i="21"/>
  <c r="W2293" i="21"/>
  <c r="X2293" i="21"/>
  <c r="I2294" i="21"/>
  <c r="J2294" i="21" s="1"/>
  <c r="K2294" i="21"/>
  <c r="L2294" i="21"/>
  <c r="M2294" i="21"/>
  <c r="O2294" i="21"/>
  <c r="R2294" i="21"/>
  <c r="T2294" i="21"/>
  <c r="U2294" i="21"/>
  <c r="W2294" i="21"/>
  <c r="X2294" i="21"/>
  <c r="I2295" i="21"/>
  <c r="Q2295" i="21" s="1"/>
  <c r="K2295" i="21"/>
  <c r="M2295" i="21" s="1"/>
  <c r="O2295" i="21"/>
  <c r="R2295" i="21"/>
  <c r="T2295" i="21"/>
  <c r="U2295" i="21"/>
  <c r="W2295" i="21"/>
  <c r="X2295" i="21"/>
  <c r="I2296" i="21"/>
  <c r="J2296" i="21" s="1"/>
  <c r="K2296" i="21"/>
  <c r="L2296" i="21"/>
  <c r="M2296" i="21"/>
  <c r="O2296" i="21"/>
  <c r="R2296" i="21"/>
  <c r="T2296" i="21"/>
  <c r="U2296" i="21"/>
  <c r="W2296" i="21"/>
  <c r="X2296" i="21"/>
  <c r="I2297" i="21"/>
  <c r="Q2297" i="21" s="1"/>
  <c r="K2297" i="21"/>
  <c r="L2297" i="21" s="1"/>
  <c r="O2297" i="21"/>
  <c r="R2297" i="21"/>
  <c r="T2297" i="21"/>
  <c r="U2297" i="21"/>
  <c r="W2297" i="21"/>
  <c r="X2297" i="21"/>
  <c r="I2298" i="21"/>
  <c r="J2298" i="21" s="1"/>
  <c r="K2298" i="21"/>
  <c r="M2298" i="21" s="1"/>
  <c r="O2298" i="21"/>
  <c r="R2298" i="21"/>
  <c r="T2298" i="21"/>
  <c r="U2298" i="21"/>
  <c r="W2298" i="21"/>
  <c r="X2298" i="21"/>
  <c r="I2299" i="21"/>
  <c r="Q2299" i="21" s="1"/>
  <c r="K2299" i="21"/>
  <c r="L2299" i="21" s="1"/>
  <c r="O2299" i="21"/>
  <c r="R2299" i="21"/>
  <c r="T2299" i="21"/>
  <c r="U2299" i="21"/>
  <c r="W2299" i="21"/>
  <c r="X2299" i="21"/>
  <c r="I2300" i="21"/>
  <c r="J2300" i="21" s="1"/>
  <c r="K2300" i="21"/>
  <c r="L2300" i="21" s="1"/>
  <c r="O2300" i="21"/>
  <c r="R2300" i="21"/>
  <c r="T2300" i="21"/>
  <c r="U2300" i="21"/>
  <c r="W2300" i="21"/>
  <c r="X2300" i="21"/>
  <c r="I2301" i="21"/>
  <c r="Q2301" i="21" s="1"/>
  <c r="K2301" i="21"/>
  <c r="M2301" i="21" s="1"/>
  <c r="L2301" i="21"/>
  <c r="O2301" i="21"/>
  <c r="R2301" i="21"/>
  <c r="T2301" i="21"/>
  <c r="U2301" i="21"/>
  <c r="W2301" i="21"/>
  <c r="X2301" i="21"/>
  <c r="I2302" i="21"/>
  <c r="J2302" i="21" s="1"/>
  <c r="K2302" i="21"/>
  <c r="L2302" i="21"/>
  <c r="M2302" i="21"/>
  <c r="O2302" i="21"/>
  <c r="R2302" i="21"/>
  <c r="T2302" i="21"/>
  <c r="U2302" i="21"/>
  <c r="W2302" i="21"/>
  <c r="X2302" i="21"/>
  <c r="X2167" i="21"/>
  <c r="W2167" i="21"/>
  <c r="U2167" i="21"/>
  <c r="T2167" i="21"/>
  <c r="R2167" i="21"/>
  <c r="O2167" i="21"/>
  <c r="K2167" i="21"/>
  <c r="M2167" i="21" s="1"/>
  <c r="I2167" i="21"/>
  <c r="J2167" i="21" s="1"/>
  <c r="H65" i="17"/>
  <c r="N2337" i="19"/>
  <c r="N2338" i="19"/>
  <c r="O2337" i="19"/>
  <c r="O2338" i="19"/>
  <c r="P2337" i="19"/>
  <c r="P2338" i="19"/>
  <c r="T2337" i="19"/>
  <c r="T2338" i="19"/>
  <c r="U2337" i="19"/>
  <c r="U2338" i="19"/>
  <c r="W2337" i="19"/>
  <c r="W2338" i="19"/>
  <c r="X2337" i="19"/>
  <c r="X2338" i="19"/>
  <c r="I2165" i="21"/>
  <c r="J2165" i="21" s="1"/>
  <c r="K2165" i="21"/>
  <c r="M2165" i="21" s="1"/>
  <c r="O2165" i="21"/>
  <c r="R2165" i="21"/>
  <c r="T2165" i="21"/>
  <c r="U2165" i="21"/>
  <c r="W2165" i="21"/>
  <c r="X2165" i="21"/>
  <c r="I2166" i="21"/>
  <c r="Q2166" i="21" s="1"/>
  <c r="K2166" i="21"/>
  <c r="L2166" i="21" s="1"/>
  <c r="O2166" i="21"/>
  <c r="R2166" i="21"/>
  <c r="T2166" i="21"/>
  <c r="U2166" i="21"/>
  <c r="W2166" i="21"/>
  <c r="X2166" i="21"/>
  <c r="N2315" i="19"/>
  <c r="N2316" i="19"/>
  <c r="N2317" i="19"/>
  <c r="N2318" i="19"/>
  <c r="N2319" i="19"/>
  <c r="N2320" i="19"/>
  <c r="N2321" i="19"/>
  <c r="N2322" i="19"/>
  <c r="N2323" i="19"/>
  <c r="N2324" i="19"/>
  <c r="N2325" i="19"/>
  <c r="N2326" i="19"/>
  <c r="N2327" i="19"/>
  <c r="N2328" i="19"/>
  <c r="N2329" i="19"/>
  <c r="N2330" i="19"/>
  <c r="N2331" i="19"/>
  <c r="N2332" i="19"/>
  <c r="N2333" i="19"/>
  <c r="N2334" i="19"/>
  <c r="N2335" i="19"/>
  <c r="N2336" i="19"/>
  <c r="O2315" i="19"/>
  <c r="O2316" i="19"/>
  <c r="O2317" i="19"/>
  <c r="O2318" i="19"/>
  <c r="O2319" i="19"/>
  <c r="O2320" i="19"/>
  <c r="O2321" i="19"/>
  <c r="O2322" i="19"/>
  <c r="O2323" i="19"/>
  <c r="O2324" i="19"/>
  <c r="O2325" i="19"/>
  <c r="O2326" i="19"/>
  <c r="O2327" i="19"/>
  <c r="O2328" i="19"/>
  <c r="O2329" i="19"/>
  <c r="O2330" i="19"/>
  <c r="O2331" i="19"/>
  <c r="O2332" i="19"/>
  <c r="O2333" i="19"/>
  <c r="O2334" i="19"/>
  <c r="O2335" i="19"/>
  <c r="O2336" i="19"/>
  <c r="P2315" i="19"/>
  <c r="P2316" i="19"/>
  <c r="P2317" i="19"/>
  <c r="P2318" i="19"/>
  <c r="P2319" i="19"/>
  <c r="P2320" i="19"/>
  <c r="P2321" i="19"/>
  <c r="P2322" i="19"/>
  <c r="P2323" i="19"/>
  <c r="P2324" i="19"/>
  <c r="P2325" i="19"/>
  <c r="P2326" i="19"/>
  <c r="P2327" i="19"/>
  <c r="P2328" i="19"/>
  <c r="P2329" i="19"/>
  <c r="P2330" i="19"/>
  <c r="P2331" i="19"/>
  <c r="P2332" i="19"/>
  <c r="P2333" i="19"/>
  <c r="P2334" i="19"/>
  <c r="P2335" i="19"/>
  <c r="P2336" i="19"/>
  <c r="T2315" i="19"/>
  <c r="T2316" i="19"/>
  <c r="T2317" i="19"/>
  <c r="T2318" i="19"/>
  <c r="T2319" i="19"/>
  <c r="T2320" i="19"/>
  <c r="T2321" i="19"/>
  <c r="T2322" i="19"/>
  <c r="T2323" i="19"/>
  <c r="T2324" i="19"/>
  <c r="T2325" i="19"/>
  <c r="T2326" i="19"/>
  <c r="T2327" i="19"/>
  <c r="T2328" i="19"/>
  <c r="T2329" i="19"/>
  <c r="T2330" i="19"/>
  <c r="T2331" i="19"/>
  <c r="T2332" i="19"/>
  <c r="T2333" i="19"/>
  <c r="T2334" i="19"/>
  <c r="T2335" i="19"/>
  <c r="T2336" i="19"/>
  <c r="U2315" i="19"/>
  <c r="U2316" i="19"/>
  <c r="U2317" i="19"/>
  <c r="U2318" i="19"/>
  <c r="U2319" i="19"/>
  <c r="U2320" i="19"/>
  <c r="U2321" i="19"/>
  <c r="U2322" i="19"/>
  <c r="U2323" i="19"/>
  <c r="U2324" i="19"/>
  <c r="U2325" i="19"/>
  <c r="U2326" i="19"/>
  <c r="U2327" i="19"/>
  <c r="U2328" i="19"/>
  <c r="U2329" i="19"/>
  <c r="U2330" i="19"/>
  <c r="U2331" i="19"/>
  <c r="U2332" i="19"/>
  <c r="U2333" i="19"/>
  <c r="U2334" i="19"/>
  <c r="U2335" i="19"/>
  <c r="U2336" i="19"/>
  <c r="W2315" i="19"/>
  <c r="W2316" i="19"/>
  <c r="W2317" i="19"/>
  <c r="W2318" i="19"/>
  <c r="W2319" i="19"/>
  <c r="W2320" i="19"/>
  <c r="W2321" i="19"/>
  <c r="W2322" i="19"/>
  <c r="W2323" i="19"/>
  <c r="W2324" i="19"/>
  <c r="W2325" i="19"/>
  <c r="W2326" i="19"/>
  <c r="W2327" i="19"/>
  <c r="W2328" i="19"/>
  <c r="W2329" i="19"/>
  <c r="W2330" i="19"/>
  <c r="W2331" i="19"/>
  <c r="W2332" i="19"/>
  <c r="W2333" i="19"/>
  <c r="W2334" i="19"/>
  <c r="W2335" i="19"/>
  <c r="W2336" i="19"/>
  <c r="X2315" i="19"/>
  <c r="X2316" i="19"/>
  <c r="X2317" i="19"/>
  <c r="X2318" i="19"/>
  <c r="X2319" i="19"/>
  <c r="X2320" i="19"/>
  <c r="X2321" i="19"/>
  <c r="X2322" i="19"/>
  <c r="X2323" i="19"/>
  <c r="X2324" i="19"/>
  <c r="X2325" i="19"/>
  <c r="X2326" i="19"/>
  <c r="X2327" i="19"/>
  <c r="X2328" i="19"/>
  <c r="X2329" i="19"/>
  <c r="X2330" i="19"/>
  <c r="X2331" i="19"/>
  <c r="X2332" i="19"/>
  <c r="X2333" i="19"/>
  <c r="X2334" i="19"/>
  <c r="X2335" i="19"/>
  <c r="X2336" i="19"/>
  <c r="N2314" i="19"/>
  <c r="O2314" i="19"/>
  <c r="G44" i="17" s="1"/>
  <c r="P2314" i="19"/>
  <c r="D44" i="17" s="1"/>
  <c r="T2314" i="19"/>
  <c r="U2314" i="19"/>
  <c r="W2314" i="19"/>
  <c r="X2314" i="19"/>
  <c r="I2313" i="19"/>
  <c r="N2313" i="19"/>
  <c r="O2313" i="19"/>
  <c r="P2313" i="19"/>
  <c r="T2313" i="19"/>
  <c r="U2313" i="19"/>
  <c r="W2313" i="19"/>
  <c r="X2313" i="19"/>
  <c r="I2312" i="19"/>
  <c r="N2312" i="19"/>
  <c r="O2312" i="19"/>
  <c r="P2312" i="19"/>
  <c r="T2312" i="19"/>
  <c r="U2312" i="19"/>
  <c r="W2312" i="19"/>
  <c r="X2312" i="19"/>
  <c r="I2144" i="21"/>
  <c r="J2144" i="21" s="1"/>
  <c r="K2144" i="21"/>
  <c r="L2144" i="21"/>
  <c r="M2144" i="21"/>
  <c r="O2144" i="21"/>
  <c r="R2144" i="21"/>
  <c r="T2144" i="21"/>
  <c r="U2144" i="21"/>
  <c r="W2144" i="21"/>
  <c r="X2144" i="21"/>
  <c r="I2145" i="21"/>
  <c r="Q2145" i="21" s="1"/>
  <c r="K2145" i="21"/>
  <c r="L2145" i="21"/>
  <c r="M2145" i="21"/>
  <c r="O2145" i="21"/>
  <c r="R2145" i="21"/>
  <c r="T2145" i="21"/>
  <c r="U2145" i="21"/>
  <c r="W2145" i="21"/>
  <c r="X2145" i="21"/>
  <c r="I2146" i="21"/>
  <c r="J2146" i="21" s="1"/>
  <c r="K2146" i="21"/>
  <c r="L2146" i="21"/>
  <c r="M2146" i="21"/>
  <c r="O2146" i="21"/>
  <c r="R2146" i="21"/>
  <c r="T2146" i="21"/>
  <c r="U2146" i="21"/>
  <c r="W2146" i="21"/>
  <c r="X2146" i="21"/>
  <c r="I2147" i="21"/>
  <c r="Q2147" i="21" s="1"/>
  <c r="K2147" i="21"/>
  <c r="L2147" i="21"/>
  <c r="M2147" i="21"/>
  <c r="O2147" i="21"/>
  <c r="R2147" i="21"/>
  <c r="T2147" i="21"/>
  <c r="U2147" i="21"/>
  <c r="W2147" i="21"/>
  <c r="X2147" i="21"/>
  <c r="I2148" i="21"/>
  <c r="J2148" i="21" s="1"/>
  <c r="K2148" i="21"/>
  <c r="L2148" i="21"/>
  <c r="M2148" i="21"/>
  <c r="O2148" i="21"/>
  <c r="R2148" i="21"/>
  <c r="T2148" i="21"/>
  <c r="U2148" i="21"/>
  <c r="W2148" i="21"/>
  <c r="X2148" i="21"/>
  <c r="I2149" i="21"/>
  <c r="Q2149" i="21" s="1"/>
  <c r="K2149" i="21"/>
  <c r="L2149" i="21"/>
  <c r="M2149" i="21"/>
  <c r="O2149" i="21"/>
  <c r="R2149" i="21"/>
  <c r="T2149" i="21"/>
  <c r="U2149" i="21"/>
  <c r="W2149" i="21"/>
  <c r="X2149" i="21"/>
  <c r="I2150" i="21"/>
  <c r="J2150" i="21" s="1"/>
  <c r="K2150" i="21"/>
  <c r="L2150" i="21"/>
  <c r="M2150" i="21"/>
  <c r="O2150" i="21"/>
  <c r="R2150" i="21"/>
  <c r="T2150" i="21"/>
  <c r="U2150" i="21"/>
  <c r="W2150" i="21"/>
  <c r="X2150" i="21"/>
  <c r="I2151" i="21"/>
  <c r="Q2151" i="21" s="1"/>
  <c r="K2151" i="21"/>
  <c r="L2151" i="21"/>
  <c r="M2151" i="21"/>
  <c r="O2151" i="21"/>
  <c r="R2151" i="21"/>
  <c r="T2151" i="21"/>
  <c r="U2151" i="21"/>
  <c r="W2151" i="21"/>
  <c r="X2151" i="21"/>
  <c r="I2152" i="21"/>
  <c r="J2152" i="21" s="1"/>
  <c r="K2152" i="21"/>
  <c r="L2152" i="21"/>
  <c r="M2152" i="21"/>
  <c r="O2152" i="21"/>
  <c r="R2152" i="21"/>
  <c r="T2152" i="21"/>
  <c r="U2152" i="21"/>
  <c r="W2152" i="21"/>
  <c r="X2152" i="21"/>
  <c r="I2153" i="21"/>
  <c r="Q2153" i="21" s="1"/>
  <c r="K2153" i="21"/>
  <c r="L2153" i="21"/>
  <c r="M2153" i="21"/>
  <c r="O2153" i="21"/>
  <c r="R2153" i="21"/>
  <c r="T2153" i="21"/>
  <c r="U2153" i="21"/>
  <c r="W2153" i="21"/>
  <c r="X2153" i="21"/>
  <c r="I2154" i="21"/>
  <c r="J2154" i="21" s="1"/>
  <c r="K2154" i="21"/>
  <c r="L2154" i="21"/>
  <c r="M2154" i="21"/>
  <c r="O2154" i="21"/>
  <c r="R2154" i="21"/>
  <c r="T2154" i="21"/>
  <c r="U2154" i="21"/>
  <c r="W2154" i="21"/>
  <c r="X2154" i="21"/>
  <c r="I2155" i="21"/>
  <c r="Q2155" i="21" s="1"/>
  <c r="K2155" i="21"/>
  <c r="L2155" i="21"/>
  <c r="M2155" i="21"/>
  <c r="O2155" i="21"/>
  <c r="R2155" i="21"/>
  <c r="T2155" i="21"/>
  <c r="U2155" i="21"/>
  <c r="W2155" i="21"/>
  <c r="X2155" i="21"/>
  <c r="I2156" i="21"/>
  <c r="J2156" i="21" s="1"/>
  <c r="K2156" i="21"/>
  <c r="L2156" i="21"/>
  <c r="M2156" i="21"/>
  <c r="O2156" i="21"/>
  <c r="R2156" i="21"/>
  <c r="T2156" i="21"/>
  <c r="U2156" i="21"/>
  <c r="W2156" i="21"/>
  <c r="X2156" i="21"/>
  <c r="I2157" i="21"/>
  <c r="Q2157" i="21" s="1"/>
  <c r="K2157" i="21"/>
  <c r="L2157" i="21"/>
  <c r="M2157" i="21"/>
  <c r="O2157" i="21"/>
  <c r="R2157" i="21"/>
  <c r="T2157" i="21"/>
  <c r="U2157" i="21"/>
  <c r="W2157" i="21"/>
  <c r="X2157" i="21"/>
  <c r="I2158" i="21"/>
  <c r="J2158" i="21" s="1"/>
  <c r="K2158" i="21"/>
  <c r="L2158" i="21"/>
  <c r="M2158" i="21"/>
  <c r="O2158" i="21"/>
  <c r="R2158" i="21"/>
  <c r="T2158" i="21"/>
  <c r="U2158" i="21"/>
  <c r="W2158" i="21"/>
  <c r="X2158" i="21"/>
  <c r="I2159" i="21"/>
  <c r="Q2159" i="21" s="1"/>
  <c r="K2159" i="21"/>
  <c r="L2159" i="21"/>
  <c r="M2159" i="21"/>
  <c r="O2159" i="21"/>
  <c r="R2159" i="21"/>
  <c r="T2159" i="21"/>
  <c r="U2159" i="21"/>
  <c r="W2159" i="21"/>
  <c r="X2159" i="21"/>
  <c r="I2160" i="21"/>
  <c r="J2160" i="21" s="1"/>
  <c r="K2160" i="21"/>
  <c r="L2160" i="21"/>
  <c r="M2160" i="21"/>
  <c r="O2160" i="21"/>
  <c r="R2160" i="21"/>
  <c r="T2160" i="21"/>
  <c r="U2160" i="21"/>
  <c r="W2160" i="21"/>
  <c r="X2160" i="21"/>
  <c r="I2161" i="21"/>
  <c r="Q2161" i="21" s="1"/>
  <c r="K2161" i="21"/>
  <c r="L2161" i="21"/>
  <c r="M2161" i="21"/>
  <c r="O2161" i="21"/>
  <c r="R2161" i="21"/>
  <c r="T2161" i="21"/>
  <c r="U2161" i="21"/>
  <c r="W2161" i="21"/>
  <c r="X2161" i="21"/>
  <c r="I2162" i="21"/>
  <c r="J2162" i="21" s="1"/>
  <c r="K2162" i="21"/>
  <c r="L2162" i="21"/>
  <c r="M2162" i="21"/>
  <c r="O2162" i="21"/>
  <c r="R2162" i="21"/>
  <c r="T2162" i="21"/>
  <c r="U2162" i="21"/>
  <c r="W2162" i="21"/>
  <c r="X2162" i="21"/>
  <c r="I2163" i="21"/>
  <c r="Q2163" i="21" s="1"/>
  <c r="K2163" i="21"/>
  <c r="L2163" i="21"/>
  <c r="M2163" i="21"/>
  <c r="O2163" i="21"/>
  <c r="R2163" i="21"/>
  <c r="T2163" i="21"/>
  <c r="U2163" i="21"/>
  <c r="W2163" i="21"/>
  <c r="X2163" i="21"/>
  <c r="I2164" i="21"/>
  <c r="J2164" i="21" s="1"/>
  <c r="K2164" i="21"/>
  <c r="L2164" i="21"/>
  <c r="M2164" i="21"/>
  <c r="O2164" i="21"/>
  <c r="R2164" i="21"/>
  <c r="T2164" i="21"/>
  <c r="U2164" i="21"/>
  <c r="W2164" i="21"/>
  <c r="X2164" i="21"/>
  <c r="X2143" i="21"/>
  <c r="W2143" i="21"/>
  <c r="U2143" i="21"/>
  <c r="T2143" i="21"/>
  <c r="R2143" i="21"/>
  <c r="O2143" i="21"/>
  <c r="M2143" i="21"/>
  <c r="L2143" i="21"/>
  <c r="K2143" i="21"/>
  <c r="I2143" i="21"/>
  <c r="J2143" i="21" s="1"/>
  <c r="N2310" i="19"/>
  <c r="N2311" i="19"/>
  <c r="O2310" i="19"/>
  <c r="O2311" i="19"/>
  <c r="P2310" i="19"/>
  <c r="P2311" i="19"/>
  <c r="T2310" i="19"/>
  <c r="T2311" i="19"/>
  <c r="U2310" i="19"/>
  <c r="U2311" i="19"/>
  <c r="W2310" i="19"/>
  <c r="W2311" i="19"/>
  <c r="X2310" i="19"/>
  <c r="X2311" i="19"/>
  <c r="F163" i="22"/>
  <c r="I163" i="22" s="1"/>
  <c r="G163" i="22"/>
  <c r="N163" i="22" s="1"/>
  <c r="L163" i="22"/>
  <c r="P163" i="22"/>
  <c r="Q163" i="22"/>
  <c r="F164" i="22"/>
  <c r="I164" i="22" s="1"/>
  <c r="G164" i="22"/>
  <c r="N164" i="22" s="1"/>
  <c r="L164" i="22"/>
  <c r="P164" i="22"/>
  <c r="Q164" i="22"/>
  <c r="Q162" i="22"/>
  <c r="P162" i="22"/>
  <c r="L162" i="22"/>
  <c r="G162" i="22"/>
  <c r="N162" i="22" s="1"/>
  <c r="F162" i="22"/>
  <c r="J162" i="22" s="1"/>
  <c r="N2176" i="19"/>
  <c r="N2177" i="19"/>
  <c r="N2178" i="19"/>
  <c r="N2179" i="19"/>
  <c r="N2180" i="19"/>
  <c r="N2181" i="19"/>
  <c r="N2182" i="19"/>
  <c r="N2183" i="19"/>
  <c r="N2184" i="19"/>
  <c r="N2185" i="19"/>
  <c r="N2186" i="19"/>
  <c r="N2187" i="19"/>
  <c r="N2188" i="19"/>
  <c r="N2189" i="19"/>
  <c r="N2190" i="19"/>
  <c r="N2191" i="19"/>
  <c r="N2192" i="19"/>
  <c r="N2193" i="19"/>
  <c r="N2194" i="19"/>
  <c r="N2195" i="19"/>
  <c r="N2196" i="19"/>
  <c r="N2197" i="19"/>
  <c r="N2198" i="19"/>
  <c r="N2199" i="19"/>
  <c r="N2200" i="19"/>
  <c r="N2201" i="19"/>
  <c r="N2202" i="19"/>
  <c r="N2203" i="19"/>
  <c r="N2204" i="19"/>
  <c r="N2205" i="19"/>
  <c r="N2206" i="19"/>
  <c r="N2207" i="19"/>
  <c r="N2208" i="19"/>
  <c r="N2209" i="19"/>
  <c r="N2210" i="19"/>
  <c r="N2211" i="19"/>
  <c r="N2212" i="19"/>
  <c r="N2213" i="19"/>
  <c r="N2214" i="19"/>
  <c r="N2215" i="19"/>
  <c r="N2216" i="19"/>
  <c r="N2217" i="19"/>
  <c r="N2218" i="19"/>
  <c r="N2219" i="19"/>
  <c r="N2220" i="19"/>
  <c r="N2221" i="19"/>
  <c r="N2222" i="19"/>
  <c r="N2223" i="19"/>
  <c r="N2224" i="19"/>
  <c r="N2225" i="19"/>
  <c r="N2226" i="19"/>
  <c r="N2227" i="19"/>
  <c r="N2228" i="19"/>
  <c r="N2229" i="19"/>
  <c r="N2230" i="19"/>
  <c r="N2231" i="19"/>
  <c r="N2232" i="19"/>
  <c r="N2233" i="19"/>
  <c r="N2234" i="19"/>
  <c r="N2235" i="19"/>
  <c r="N2236" i="19"/>
  <c r="N2237" i="19"/>
  <c r="N2238" i="19"/>
  <c r="N2239" i="19"/>
  <c r="N2240" i="19"/>
  <c r="N2241" i="19"/>
  <c r="N2242" i="19"/>
  <c r="N2243" i="19"/>
  <c r="N2244" i="19"/>
  <c r="N2245" i="19"/>
  <c r="N2246" i="19"/>
  <c r="N2247" i="19"/>
  <c r="N2248" i="19"/>
  <c r="N2249" i="19"/>
  <c r="N2250" i="19"/>
  <c r="N2251" i="19"/>
  <c r="N2252" i="19"/>
  <c r="N2253" i="19"/>
  <c r="N2254" i="19"/>
  <c r="N2255" i="19"/>
  <c r="N2256" i="19"/>
  <c r="N2257" i="19"/>
  <c r="N2258" i="19"/>
  <c r="N2259" i="19"/>
  <c r="N2260" i="19"/>
  <c r="N2261" i="19"/>
  <c r="N2262" i="19"/>
  <c r="N2263" i="19"/>
  <c r="N2264" i="19"/>
  <c r="N2265" i="19"/>
  <c r="N2266" i="19"/>
  <c r="N2267" i="19"/>
  <c r="N2268" i="19"/>
  <c r="N2269" i="19"/>
  <c r="N2270" i="19"/>
  <c r="N2271" i="19"/>
  <c r="N2272" i="19"/>
  <c r="N2273" i="19"/>
  <c r="N2274" i="19"/>
  <c r="N2275" i="19"/>
  <c r="N2276" i="19"/>
  <c r="N2277" i="19"/>
  <c r="N2278" i="19"/>
  <c r="N2279" i="19"/>
  <c r="N2280" i="19"/>
  <c r="N2281" i="19"/>
  <c r="N2282" i="19"/>
  <c r="N2283" i="19"/>
  <c r="N2284" i="19"/>
  <c r="N2285" i="19"/>
  <c r="N2286" i="19"/>
  <c r="N2287" i="19"/>
  <c r="N2288" i="19"/>
  <c r="N2289" i="19"/>
  <c r="N2290" i="19"/>
  <c r="N2291" i="19"/>
  <c r="N2292" i="19"/>
  <c r="N2293" i="19"/>
  <c r="N2294" i="19"/>
  <c r="N2295" i="19"/>
  <c r="N2296" i="19"/>
  <c r="N2297" i="19"/>
  <c r="N2298" i="19"/>
  <c r="N2299" i="19"/>
  <c r="N2300" i="19"/>
  <c r="N2301" i="19"/>
  <c r="N2302" i="19"/>
  <c r="N2303" i="19"/>
  <c r="N2304" i="19"/>
  <c r="N2305" i="19"/>
  <c r="N2306" i="19"/>
  <c r="N2307" i="19"/>
  <c r="N2308" i="19"/>
  <c r="N2309" i="19"/>
  <c r="O2176" i="19"/>
  <c r="O2177" i="19"/>
  <c r="O2178" i="19"/>
  <c r="O2179" i="19"/>
  <c r="O2180" i="19"/>
  <c r="O2181" i="19"/>
  <c r="O2182" i="19"/>
  <c r="O2183" i="19"/>
  <c r="O2184" i="19"/>
  <c r="O2185" i="19"/>
  <c r="O2186" i="19"/>
  <c r="O2187" i="19"/>
  <c r="O2188" i="19"/>
  <c r="O2189" i="19"/>
  <c r="O2190" i="19"/>
  <c r="O2191" i="19"/>
  <c r="O2192" i="19"/>
  <c r="O2193" i="19"/>
  <c r="O2194" i="19"/>
  <c r="O2195" i="19"/>
  <c r="O2196" i="19"/>
  <c r="O2197" i="19"/>
  <c r="O2198" i="19"/>
  <c r="O2199" i="19"/>
  <c r="O2200" i="19"/>
  <c r="O2201" i="19"/>
  <c r="O2202" i="19"/>
  <c r="O2203" i="19"/>
  <c r="O2204" i="19"/>
  <c r="O2205" i="19"/>
  <c r="O2206" i="19"/>
  <c r="O2207" i="19"/>
  <c r="O2208" i="19"/>
  <c r="O2209" i="19"/>
  <c r="O2210" i="19"/>
  <c r="O2211" i="19"/>
  <c r="O2212" i="19"/>
  <c r="O2213" i="19"/>
  <c r="O2214" i="19"/>
  <c r="O2215" i="19"/>
  <c r="O2216" i="19"/>
  <c r="O2217" i="19"/>
  <c r="O2218" i="19"/>
  <c r="O2219" i="19"/>
  <c r="O2220" i="19"/>
  <c r="O2221" i="19"/>
  <c r="O2222" i="19"/>
  <c r="O2223" i="19"/>
  <c r="O2224" i="19"/>
  <c r="O2225" i="19"/>
  <c r="O2226" i="19"/>
  <c r="O2227" i="19"/>
  <c r="O2228" i="19"/>
  <c r="O2229" i="19"/>
  <c r="O2230" i="19"/>
  <c r="O2231" i="19"/>
  <c r="O2232" i="19"/>
  <c r="O2233" i="19"/>
  <c r="O2234" i="19"/>
  <c r="O2235" i="19"/>
  <c r="O2236" i="19"/>
  <c r="O2237" i="19"/>
  <c r="O2238" i="19"/>
  <c r="O2239" i="19"/>
  <c r="O2240" i="19"/>
  <c r="O2241" i="19"/>
  <c r="O2242" i="19"/>
  <c r="O2243" i="19"/>
  <c r="O2244" i="19"/>
  <c r="O2245" i="19"/>
  <c r="O2246" i="19"/>
  <c r="O2247" i="19"/>
  <c r="O2248" i="19"/>
  <c r="O2249" i="19"/>
  <c r="O2250" i="19"/>
  <c r="O2251" i="19"/>
  <c r="O2252" i="19"/>
  <c r="O2253" i="19"/>
  <c r="O2254" i="19"/>
  <c r="O2255" i="19"/>
  <c r="O2256" i="19"/>
  <c r="O2257" i="19"/>
  <c r="O2258" i="19"/>
  <c r="O2259" i="19"/>
  <c r="O2260" i="19"/>
  <c r="O2261" i="19"/>
  <c r="O2262" i="19"/>
  <c r="O2263" i="19"/>
  <c r="O2264" i="19"/>
  <c r="O2265" i="19"/>
  <c r="O2266" i="19"/>
  <c r="O2267" i="19"/>
  <c r="O2268" i="19"/>
  <c r="O2269" i="19"/>
  <c r="O2270" i="19"/>
  <c r="O2271" i="19"/>
  <c r="O2272" i="19"/>
  <c r="O2273" i="19"/>
  <c r="O2274" i="19"/>
  <c r="O2275" i="19"/>
  <c r="O2276" i="19"/>
  <c r="O2277" i="19"/>
  <c r="O2278" i="19"/>
  <c r="O2279" i="19"/>
  <c r="O2280" i="19"/>
  <c r="O2281" i="19"/>
  <c r="O2282" i="19"/>
  <c r="O2283" i="19"/>
  <c r="O2284" i="19"/>
  <c r="O2285" i="19"/>
  <c r="O2286" i="19"/>
  <c r="O2287" i="19"/>
  <c r="O2288" i="19"/>
  <c r="O2289" i="19"/>
  <c r="O2290" i="19"/>
  <c r="O2291" i="19"/>
  <c r="O2292" i="19"/>
  <c r="O2293" i="19"/>
  <c r="O2294" i="19"/>
  <c r="O2295" i="19"/>
  <c r="O2296" i="19"/>
  <c r="O2297" i="19"/>
  <c r="O2298" i="19"/>
  <c r="O2299" i="19"/>
  <c r="O2300" i="19"/>
  <c r="O2301" i="19"/>
  <c r="O2302" i="19"/>
  <c r="O2303" i="19"/>
  <c r="O2304" i="19"/>
  <c r="O2305" i="19"/>
  <c r="O2306" i="19"/>
  <c r="O2307" i="19"/>
  <c r="O2308" i="19"/>
  <c r="O2309" i="19"/>
  <c r="P2176" i="19"/>
  <c r="P2177" i="19"/>
  <c r="P2178" i="19"/>
  <c r="P2179" i="19"/>
  <c r="P2180" i="19"/>
  <c r="P2181" i="19"/>
  <c r="P2182" i="19"/>
  <c r="P2183" i="19"/>
  <c r="P2184" i="19"/>
  <c r="P2185" i="19"/>
  <c r="P2186" i="19"/>
  <c r="P2187" i="19"/>
  <c r="P2188" i="19"/>
  <c r="P2189" i="19"/>
  <c r="P2190" i="19"/>
  <c r="P2191" i="19"/>
  <c r="P2192" i="19"/>
  <c r="P2193" i="19"/>
  <c r="P2194" i="19"/>
  <c r="P2195" i="19"/>
  <c r="P2196" i="19"/>
  <c r="P2197" i="19"/>
  <c r="P2198" i="19"/>
  <c r="P2199" i="19"/>
  <c r="P2200" i="19"/>
  <c r="P2201" i="19"/>
  <c r="P2202" i="19"/>
  <c r="P2203" i="19"/>
  <c r="P2204" i="19"/>
  <c r="P2205" i="19"/>
  <c r="P2206" i="19"/>
  <c r="P2207" i="19"/>
  <c r="P2208" i="19"/>
  <c r="P2209" i="19"/>
  <c r="P2210" i="19"/>
  <c r="P2211" i="19"/>
  <c r="P2212" i="19"/>
  <c r="P2213" i="19"/>
  <c r="P2214" i="19"/>
  <c r="P2215" i="19"/>
  <c r="P2216" i="19"/>
  <c r="P2217" i="19"/>
  <c r="P2218" i="19"/>
  <c r="P2219" i="19"/>
  <c r="P2220" i="19"/>
  <c r="P2221" i="19"/>
  <c r="P2222" i="19"/>
  <c r="P2223" i="19"/>
  <c r="P2224" i="19"/>
  <c r="P2225" i="19"/>
  <c r="P2226" i="19"/>
  <c r="P2227" i="19"/>
  <c r="P2228" i="19"/>
  <c r="P2229" i="19"/>
  <c r="P2230" i="19"/>
  <c r="P2231" i="19"/>
  <c r="P2232" i="19"/>
  <c r="P2233" i="19"/>
  <c r="P2234" i="19"/>
  <c r="P2235" i="19"/>
  <c r="P2236" i="19"/>
  <c r="P2237" i="19"/>
  <c r="P2238" i="19"/>
  <c r="P2239" i="19"/>
  <c r="P2240" i="19"/>
  <c r="P2241" i="19"/>
  <c r="P2242" i="19"/>
  <c r="P2243" i="19"/>
  <c r="P2244" i="19"/>
  <c r="P2245" i="19"/>
  <c r="P2246" i="19"/>
  <c r="P2247" i="19"/>
  <c r="P2248" i="19"/>
  <c r="P2249" i="19"/>
  <c r="P2250" i="19"/>
  <c r="P2251" i="19"/>
  <c r="P2252" i="19"/>
  <c r="P2253" i="19"/>
  <c r="P2254" i="19"/>
  <c r="P2255" i="19"/>
  <c r="P2256" i="19"/>
  <c r="P2257" i="19"/>
  <c r="P2258" i="19"/>
  <c r="P2259" i="19"/>
  <c r="P2260" i="19"/>
  <c r="P2261" i="19"/>
  <c r="P2262" i="19"/>
  <c r="P2263" i="19"/>
  <c r="P2264" i="19"/>
  <c r="P2265" i="19"/>
  <c r="P2266" i="19"/>
  <c r="P2267" i="19"/>
  <c r="P2268" i="19"/>
  <c r="P2269" i="19"/>
  <c r="P2270" i="19"/>
  <c r="P2271" i="19"/>
  <c r="P2272" i="19"/>
  <c r="P2273" i="19"/>
  <c r="P2274" i="19"/>
  <c r="P2275" i="19"/>
  <c r="P2276" i="19"/>
  <c r="P2277" i="19"/>
  <c r="P2278" i="19"/>
  <c r="P2279" i="19"/>
  <c r="P2280" i="19"/>
  <c r="P2281" i="19"/>
  <c r="P2282" i="19"/>
  <c r="P2283" i="19"/>
  <c r="P2284" i="19"/>
  <c r="P2285" i="19"/>
  <c r="P2286" i="19"/>
  <c r="P2287" i="19"/>
  <c r="P2288" i="19"/>
  <c r="P2289" i="19"/>
  <c r="P2290" i="19"/>
  <c r="P2291" i="19"/>
  <c r="P2292" i="19"/>
  <c r="P2293" i="19"/>
  <c r="P2294" i="19"/>
  <c r="P2295" i="19"/>
  <c r="P2296" i="19"/>
  <c r="P2297" i="19"/>
  <c r="P2298" i="19"/>
  <c r="P2299" i="19"/>
  <c r="P2300" i="19"/>
  <c r="P2301" i="19"/>
  <c r="P2302" i="19"/>
  <c r="P2303" i="19"/>
  <c r="P2304" i="19"/>
  <c r="P2305" i="19"/>
  <c r="P2306" i="19"/>
  <c r="P2307" i="19"/>
  <c r="P2308" i="19"/>
  <c r="P2309" i="19"/>
  <c r="T2176" i="19"/>
  <c r="T2177" i="19"/>
  <c r="T2178" i="19"/>
  <c r="T2179" i="19"/>
  <c r="T2180" i="19"/>
  <c r="T2181" i="19"/>
  <c r="T2182" i="19"/>
  <c r="T2183" i="19"/>
  <c r="T2184" i="19"/>
  <c r="T2185" i="19"/>
  <c r="T2186" i="19"/>
  <c r="T2187" i="19"/>
  <c r="T2188" i="19"/>
  <c r="T2189" i="19"/>
  <c r="T2190" i="19"/>
  <c r="T2191" i="19"/>
  <c r="T2192" i="19"/>
  <c r="T2193" i="19"/>
  <c r="T2194" i="19"/>
  <c r="T2195" i="19"/>
  <c r="T2196" i="19"/>
  <c r="T2197" i="19"/>
  <c r="T2198" i="19"/>
  <c r="T2199" i="19"/>
  <c r="T2200" i="19"/>
  <c r="T2201" i="19"/>
  <c r="T2202" i="19"/>
  <c r="T2203" i="19"/>
  <c r="T2204" i="19"/>
  <c r="T2205" i="19"/>
  <c r="T2206" i="19"/>
  <c r="T2207" i="19"/>
  <c r="T2208" i="19"/>
  <c r="T2209" i="19"/>
  <c r="T2210" i="19"/>
  <c r="T2211" i="19"/>
  <c r="T2212" i="19"/>
  <c r="T2213" i="19"/>
  <c r="T2214" i="19"/>
  <c r="T2215" i="19"/>
  <c r="T2216" i="19"/>
  <c r="T2217" i="19"/>
  <c r="T2218" i="19"/>
  <c r="T2219" i="19"/>
  <c r="T2220" i="19"/>
  <c r="T2221" i="19"/>
  <c r="T2222" i="19"/>
  <c r="T2223" i="19"/>
  <c r="T2224" i="19"/>
  <c r="T2225" i="19"/>
  <c r="T2226" i="19"/>
  <c r="T2227" i="19"/>
  <c r="T2228" i="19"/>
  <c r="T2229" i="19"/>
  <c r="T2230" i="19"/>
  <c r="T2231" i="19"/>
  <c r="T2232" i="19"/>
  <c r="T2233" i="19"/>
  <c r="T2234" i="19"/>
  <c r="T2235" i="19"/>
  <c r="T2236" i="19"/>
  <c r="T2237" i="19"/>
  <c r="T2238" i="19"/>
  <c r="T2239" i="19"/>
  <c r="T2240" i="19"/>
  <c r="T2241" i="19"/>
  <c r="T2242" i="19"/>
  <c r="T2243" i="19"/>
  <c r="T2244" i="19"/>
  <c r="T2245" i="19"/>
  <c r="T2246" i="19"/>
  <c r="T2247" i="19"/>
  <c r="T2248" i="19"/>
  <c r="T2249" i="19"/>
  <c r="T2250" i="19"/>
  <c r="T2251" i="19"/>
  <c r="T2252" i="19"/>
  <c r="T2253" i="19"/>
  <c r="T2254" i="19"/>
  <c r="T2255" i="19"/>
  <c r="T2256" i="19"/>
  <c r="T2257" i="19"/>
  <c r="T2258" i="19"/>
  <c r="T2259" i="19"/>
  <c r="T2260" i="19"/>
  <c r="T2261" i="19"/>
  <c r="T2262" i="19"/>
  <c r="T2263" i="19"/>
  <c r="T2264" i="19"/>
  <c r="T2265" i="19"/>
  <c r="T2266" i="19"/>
  <c r="T2267" i="19"/>
  <c r="T2268" i="19"/>
  <c r="T2269" i="19"/>
  <c r="T2270" i="19"/>
  <c r="T2271" i="19"/>
  <c r="T2272" i="19"/>
  <c r="T2273" i="19"/>
  <c r="T2274" i="19"/>
  <c r="T2275" i="19"/>
  <c r="T2276" i="19"/>
  <c r="T2277" i="19"/>
  <c r="T2278" i="19"/>
  <c r="T2279" i="19"/>
  <c r="T2280" i="19"/>
  <c r="T2281" i="19"/>
  <c r="T2282" i="19"/>
  <c r="T2283" i="19"/>
  <c r="T2284" i="19"/>
  <c r="T2285" i="19"/>
  <c r="T2286" i="19"/>
  <c r="T2287" i="19"/>
  <c r="T2288" i="19"/>
  <c r="T2289" i="19"/>
  <c r="T2290" i="19"/>
  <c r="T2291" i="19"/>
  <c r="T2292" i="19"/>
  <c r="T2293" i="19"/>
  <c r="T2294" i="19"/>
  <c r="T2295" i="19"/>
  <c r="T2296" i="19"/>
  <c r="T2297" i="19"/>
  <c r="T2298" i="19"/>
  <c r="T2299" i="19"/>
  <c r="T2300" i="19"/>
  <c r="T2301" i="19"/>
  <c r="T2302" i="19"/>
  <c r="T2303" i="19"/>
  <c r="T2304" i="19"/>
  <c r="T2305" i="19"/>
  <c r="T2306" i="19"/>
  <c r="T2307" i="19"/>
  <c r="T2308" i="19"/>
  <c r="T2309" i="19"/>
  <c r="U2176" i="19"/>
  <c r="U2177" i="19"/>
  <c r="U2178" i="19"/>
  <c r="U2179" i="19"/>
  <c r="U2180" i="19"/>
  <c r="U2181" i="19"/>
  <c r="U2182" i="19"/>
  <c r="U2183" i="19"/>
  <c r="U2184" i="19"/>
  <c r="U2185" i="19"/>
  <c r="U2186" i="19"/>
  <c r="U2187" i="19"/>
  <c r="U2188" i="19"/>
  <c r="U2189" i="19"/>
  <c r="U2190" i="19"/>
  <c r="U2191" i="19"/>
  <c r="U2192" i="19"/>
  <c r="U2193" i="19"/>
  <c r="U2194" i="19"/>
  <c r="U2195" i="19"/>
  <c r="U2196" i="19"/>
  <c r="U2197" i="19"/>
  <c r="U2198" i="19"/>
  <c r="U2199" i="19"/>
  <c r="U2200" i="19"/>
  <c r="U2201" i="19"/>
  <c r="U2202" i="19"/>
  <c r="U2203" i="19"/>
  <c r="U2204" i="19"/>
  <c r="U2205" i="19"/>
  <c r="U2206" i="19"/>
  <c r="U2207" i="19"/>
  <c r="U2208" i="19"/>
  <c r="U2209" i="19"/>
  <c r="U2210" i="19"/>
  <c r="U2211" i="19"/>
  <c r="U2212" i="19"/>
  <c r="U2213" i="19"/>
  <c r="U2214" i="19"/>
  <c r="U2215" i="19"/>
  <c r="U2216" i="19"/>
  <c r="U2217" i="19"/>
  <c r="U2218" i="19"/>
  <c r="U2219" i="19"/>
  <c r="U2220" i="19"/>
  <c r="U2221" i="19"/>
  <c r="U2222" i="19"/>
  <c r="U2223" i="19"/>
  <c r="U2224" i="19"/>
  <c r="U2225" i="19"/>
  <c r="U2226" i="19"/>
  <c r="U2227" i="19"/>
  <c r="U2228" i="19"/>
  <c r="U2229" i="19"/>
  <c r="U2230" i="19"/>
  <c r="U2231" i="19"/>
  <c r="U2232" i="19"/>
  <c r="U2233" i="19"/>
  <c r="U2234" i="19"/>
  <c r="U2235" i="19"/>
  <c r="U2236" i="19"/>
  <c r="U2237" i="19"/>
  <c r="U2238" i="19"/>
  <c r="U2239" i="19"/>
  <c r="U2240" i="19"/>
  <c r="U2241" i="19"/>
  <c r="U2242" i="19"/>
  <c r="U2243" i="19"/>
  <c r="U2244" i="19"/>
  <c r="U2245" i="19"/>
  <c r="U2246" i="19"/>
  <c r="U2247" i="19"/>
  <c r="U2248" i="19"/>
  <c r="U2249" i="19"/>
  <c r="U2250" i="19"/>
  <c r="U2251" i="19"/>
  <c r="U2252" i="19"/>
  <c r="U2253" i="19"/>
  <c r="U2254" i="19"/>
  <c r="U2255" i="19"/>
  <c r="U2256" i="19"/>
  <c r="U2257" i="19"/>
  <c r="U2258" i="19"/>
  <c r="U2259" i="19"/>
  <c r="U2260" i="19"/>
  <c r="U2261" i="19"/>
  <c r="U2262" i="19"/>
  <c r="U2263" i="19"/>
  <c r="U2264" i="19"/>
  <c r="U2265" i="19"/>
  <c r="U2266" i="19"/>
  <c r="U2267" i="19"/>
  <c r="U2268" i="19"/>
  <c r="U2269" i="19"/>
  <c r="U2270" i="19"/>
  <c r="U2271" i="19"/>
  <c r="U2272" i="19"/>
  <c r="U2273" i="19"/>
  <c r="U2274" i="19"/>
  <c r="U2275" i="19"/>
  <c r="U2276" i="19"/>
  <c r="U2277" i="19"/>
  <c r="U2278" i="19"/>
  <c r="U2279" i="19"/>
  <c r="U2280" i="19"/>
  <c r="U2281" i="19"/>
  <c r="U2282" i="19"/>
  <c r="U2283" i="19"/>
  <c r="U2284" i="19"/>
  <c r="U2285" i="19"/>
  <c r="U2286" i="19"/>
  <c r="U2287" i="19"/>
  <c r="U2288" i="19"/>
  <c r="U2289" i="19"/>
  <c r="U2290" i="19"/>
  <c r="U2291" i="19"/>
  <c r="U2292" i="19"/>
  <c r="U2293" i="19"/>
  <c r="U2294" i="19"/>
  <c r="U2295" i="19"/>
  <c r="U2296" i="19"/>
  <c r="U2297" i="19"/>
  <c r="U2298" i="19"/>
  <c r="U2299" i="19"/>
  <c r="U2300" i="19"/>
  <c r="U2301" i="19"/>
  <c r="U2302" i="19"/>
  <c r="U2303" i="19"/>
  <c r="U2304" i="19"/>
  <c r="U2305" i="19"/>
  <c r="U2306" i="19"/>
  <c r="U2307" i="19"/>
  <c r="U2308" i="19"/>
  <c r="U2309" i="19"/>
  <c r="W2176" i="19"/>
  <c r="W2177" i="19"/>
  <c r="W2178" i="19"/>
  <c r="W2179" i="19"/>
  <c r="W2180" i="19"/>
  <c r="W2181" i="19"/>
  <c r="W2182" i="19"/>
  <c r="W2183" i="19"/>
  <c r="W2184" i="19"/>
  <c r="W2185" i="19"/>
  <c r="W2186" i="19"/>
  <c r="W2187" i="19"/>
  <c r="W2188" i="19"/>
  <c r="W2189" i="19"/>
  <c r="W2190" i="19"/>
  <c r="W2191" i="19"/>
  <c r="W2192" i="19"/>
  <c r="W2193" i="19"/>
  <c r="W2194" i="19"/>
  <c r="W2195" i="19"/>
  <c r="W2196" i="19"/>
  <c r="W2197" i="19"/>
  <c r="W2198" i="19"/>
  <c r="W2199" i="19"/>
  <c r="W2200" i="19"/>
  <c r="W2201" i="19"/>
  <c r="W2202" i="19"/>
  <c r="W2203" i="19"/>
  <c r="W2204" i="19"/>
  <c r="W2205" i="19"/>
  <c r="W2206" i="19"/>
  <c r="W2207" i="19"/>
  <c r="W2208" i="19"/>
  <c r="W2209" i="19"/>
  <c r="W2210" i="19"/>
  <c r="W2211" i="19"/>
  <c r="W2212" i="19"/>
  <c r="W2213" i="19"/>
  <c r="W2214" i="19"/>
  <c r="W2215" i="19"/>
  <c r="W2216" i="19"/>
  <c r="W2217" i="19"/>
  <c r="W2218" i="19"/>
  <c r="W2219" i="19"/>
  <c r="W2220" i="19"/>
  <c r="W2221" i="19"/>
  <c r="W2222" i="19"/>
  <c r="W2223" i="19"/>
  <c r="W2224" i="19"/>
  <c r="W2225" i="19"/>
  <c r="W2226" i="19"/>
  <c r="W2227" i="19"/>
  <c r="W2228" i="19"/>
  <c r="W2229" i="19"/>
  <c r="W2230" i="19"/>
  <c r="W2231" i="19"/>
  <c r="W2232" i="19"/>
  <c r="W2233" i="19"/>
  <c r="W2234" i="19"/>
  <c r="W2235" i="19"/>
  <c r="W2236" i="19"/>
  <c r="W2237" i="19"/>
  <c r="W2238" i="19"/>
  <c r="W2239" i="19"/>
  <c r="W2240" i="19"/>
  <c r="W2241" i="19"/>
  <c r="W2242" i="19"/>
  <c r="W2243" i="19"/>
  <c r="W2244" i="19"/>
  <c r="W2245" i="19"/>
  <c r="W2246" i="19"/>
  <c r="W2247" i="19"/>
  <c r="W2248" i="19"/>
  <c r="W2249" i="19"/>
  <c r="W2250" i="19"/>
  <c r="W2251" i="19"/>
  <c r="W2252" i="19"/>
  <c r="W2253" i="19"/>
  <c r="W2254" i="19"/>
  <c r="W2255" i="19"/>
  <c r="W2256" i="19"/>
  <c r="W2257" i="19"/>
  <c r="W2258" i="19"/>
  <c r="W2259" i="19"/>
  <c r="W2260" i="19"/>
  <c r="W2261" i="19"/>
  <c r="W2262" i="19"/>
  <c r="W2263" i="19"/>
  <c r="W2264" i="19"/>
  <c r="W2265" i="19"/>
  <c r="W2266" i="19"/>
  <c r="W2267" i="19"/>
  <c r="W2268" i="19"/>
  <c r="W2269" i="19"/>
  <c r="W2270" i="19"/>
  <c r="W2271" i="19"/>
  <c r="W2272" i="19"/>
  <c r="W2273" i="19"/>
  <c r="W2274" i="19"/>
  <c r="W2275" i="19"/>
  <c r="W2276" i="19"/>
  <c r="W2277" i="19"/>
  <c r="W2278" i="19"/>
  <c r="W2279" i="19"/>
  <c r="W2280" i="19"/>
  <c r="W2281" i="19"/>
  <c r="W2282" i="19"/>
  <c r="W2283" i="19"/>
  <c r="W2284" i="19"/>
  <c r="W2285" i="19"/>
  <c r="W2286" i="19"/>
  <c r="W2287" i="19"/>
  <c r="W2288" i="19"/>
  <c r="W2289" i="19"/>
  <c r="W2290" i="19"/>
  <c r="W2291" i="19"/>
  <c r="W2292" i="19"/>
  <c r="W2293" i="19"/>
  <c r="W2294" i="19"/>
  <c r="W2295" i="19"/>
  <c r="W2296" i="19"/>
  <c r="W2297" i="19"/>
  <c r="W2298" i="19"/>
  <c r="W2299" i="19"/>
  <c r="W2300" i="19"/>
  <c r="W2301" i="19"/>
  <c r="W2302" i="19"/>
  <c r="W2303" i="19"/>
  <c r="W2304" i="19"/>
  <c r="W2305" i="19"/>
  <c r="W2306" i="19"/>
  <c r="W2307" i="19"/>
  <c r="W2308" i="19"/>
  <c r="W2309" i="19"/>
  <c r="X2176" i="19"/>
  <c r="X2177" i="19"/>
  <c r="X2178" i="19"/>
  <c r="X2179" i="19"/>
  <c r="X2180" i="19"/>
  <c r="X2181" i="19"/>
  <c r="X2182" i="19"/>
  <c r="X2183" i="19"/>
  <c r="X2184" i="19"/>
  <c r="X2185" i="19"/>
  <c r="X2186" i="19"/>
  <c r="X2187" i="19"/>
  <c r="X2188" i="19"/>
  <c r="X2189" i="19"/>
  <c r="X2190" i="19"/>
  <c r="X2191" i="19"/>
  <c r="X2192" i="19"/>
  <c r="X2193" i="19"/>
  <c r="X2194" i="19"/>
  <c r="X2195" i="19"/>
  <c r="X2196" i="19"/>
  <c r="X2197" i="19"/>
  <c r="X2198" i="19"/>
  <c r="X2199" i="19"/>
  <c r="X2200" i="19"/>
  <c r="X2201" i="19"/>
  <c r="X2202" i="19"/>
  <c r="X2203" i="19"/>
  <c r="X2204" i="19"/>
  <c r="X2205" i="19"/>
  <c r="X2206" i="19"/>
  <c r="X2207" i="19"/>
  <c r="X2208" i="19"/>
  <c r="X2209" i="19"/>
  <c r="X2210" i="19"/>
  <c r="X2211" i="19"/>
  <c r="X2212" i="19"/>
  <c r="X2213" i="19"/>
  <c r="X2214" i="19"/>
  <c r="X2215" i="19"/>
  <c r="X2216" i="19"/>
  <c r="X2217" i="19"/>
  <c r="X2218" i="19"/>
  <c r="X2219" i="19"/>
  <c r="X2220" i="19"/>
  <c r="X2221" i="19"/>
  <c r="X2222" i="19"/>
  <c r="X2223" i="19"/>
  <c r="X2224" i="19"/>
  <c r="X2225" i="19"/>
  <c r="X2226" i="19"/>
  <c r="X2227" i="19"/>
  <c r="X2228" i="19"/>
  <c r="X2229" i="19"/>
  <c r="X2230" i="19"/>
  <c r="X2231" i="19"/>
  <c r="X2232" i="19"/>
  <c r="X2233" i="19"/>
  <c r="X2234" i="19"/>
  <c r="X2235" i="19"/>
  <c r="X2236" i="19"/>
  <c r="X2237" i="19"/>
  <c r="X2238" i="19"/>
  <c r="X2239" i="19"/>
  <c r="X2240" i="19"/>
  <c r="X2241" i="19"/>
  <c r="X2242" i="19"/>
  <c r="X2243" i="19"/>
  <c r="X2244" i="19"/>
  <c r="X2245" i="19"/>
  <c r="X2246" i="19"/>
  <c r="X2247" i="19"/>
  <c r="X2248" i="19"/>
  <c r="X2249" i="19"/>
  <c r="X2250" i="19"/>
  <c r="X2251" i="19"/>
  <c r="X2252" i="19"/>
  <c r="X2253" i="19"/>
  <c r="X2254" i="19"/>
  <c r="X2255" i="19"/>
  <c r="X2256" i="19"/>
  <c r="X2257" i="19"/>
  <c r="X2258" i="19"/>
  <c r="X2259" i="19"/>
  <c r="X2260" i="19"/>
  <c r="X2261" i="19"/>
  <c r="X2262" i="19"/>
  <c r="X2263" i="19"/>
  <c r="X2264" i="19"/>
  <c r="X2265" i="19"/>
  <c r="X2266" i="19"/>
  <c r="X2267" i="19"/>
  <c r="X2268" i="19"/>
  <c r="X2269" i="19"/>
  <c r="X2270" i="19"/>
  <c r="X2271" i="19"/>
  <c r="X2272" i="19"/>
  <c r="X2273" i="19"/>
  <c r="X2274" i="19"/>
  <c r="X2275" i="19"/>
  <c r="X2276" i="19"/>
  <c r="X2277" i="19"/>
  <c r="X2278" i="19"/>
  <c r="X2279" i="19"/>
  <c r="X2280" i="19"/>
  <c r="X2281" i="19"/>
  <c r="X2282" i="19"/>
  <c r="X2283" i="19"/>
  <c r="X2284" i="19"/>
  <c r="X2285" i="19"/>
  <c r="X2286" i="19"/>
  <c r="X2287" i="19"/>
  <c r="X2288" i="19"/>
  <c r="X2289" i="19"/>
  <c r="X2290" i="19"/>
  <c r="X2291" i="19"/>
  <c r="X2292" i="19"/>
  <c r="X2293" i="19"/>
  <c r="X2294" i="19"/>
  <c r="X2295" i="19"/>
  <c r="X2296" i="19"/>
  <c r="X2297" i="19"/>
  <c r="X2298" i="19"/>
  <c r="X2299" i="19"/>
  <c r="X2300" i="19"/>
  <c r="X2301" i="19"/>
  <c r="X2302" i="19"/>
  <c r="X2303" i="19"/>
  <c r="X2304" i="19"/>
  <c r="X2305" i="19"/>
  <c r="X2306" i="19"/>
  <c r="X2307" i="19"/>
  <c r="X2308" i="19"/>
  <c r="X2309" i="19"/>
  <c r="I2010" i="21"/>
  <c r="J2010" i="21" s="1"/>
  <c r="K2010" i="21"/>
  <c r="L2010" i="21"/>
  <c r="M2010" i="21"/>
  <c r="O2010" i="21"/>
  <c r="R2010" i="21"/>
  <c r="T2010" i="21"/>
  <c r="U2010" i="21"/>
  <c r="W2010" i="21"/>
  <c r="X2010" i="21"/>
  <c r="I2011" i="21"/>
  <c r="Q2011" i="21" s="1"/>
  <c r="K2011" i="21"/>
  <c r="L2011" i="21"/>
  <c r="M2011" i="21"/>
  <c r="O2011" i="21"/>
  <c r="R2011" i="21"/>
  <c r="T2011" i="21"/>
  <c r="U2011" i="21"/>
  <c r="W2011" i="21"/>
  <c r="X2011" i="21"/>
  <c r="I2012" i="21"/>
  <c r="J2012" i="21" s="1"/>
  <c r="K2012" i="21"/>
  <c r="L2012" i="21"/>
  <c r="M2012" i="21"/>
  <c r="O2012" i="21"/>
  <c r="R2012" i="21"/>
  <c r="T2012" i="21"/>
  <c r="U2012" i="21"/>
  <c r="W2012" i="21"/>
  <c r="X2012" i="21"/>
  <c r="I2013" i="21"/>
  <c r="Q2013" i="21" s="1"/>
  <c r="K2013" i="21"/>
  <c r="L2013" i="21"/>
  <c r="M2013" i="21"/>
  <c r="O2013" i="21"/>
  <c r="R2013" i="21"/>
  <c r="T2013" i="21"/>
  <c r="U2013" i="21"/>
  <c r="W2013" i="21"/>
  <c r="X2013" i="21"/>
  <c r="I2014" i="21"/>
  <c r="J2014" i="21" s="1"/>
  <c r="K2014" i="21"/>
  <c r="L2014" i="21"/>
  <c r="M2014" i="21"/>
  <c r="O2014" i="21"/>
  <c r="R2014" i="21"/>
  <c r="T2014" i="21"/>
  <c r="U2014" i="21"/>
  <c r="W2014" i="21"/>
  <c r="X2014" i="21"/>
  <c r="I2015" i="21"/>
  <c r="Q2015" i="21" s="1"/>
  <c r="K2015" i="21"/>
  <c r="L2015" i="21"/>
  <c r="M2015" i="21"/>
  <c r="O2015" i="21"/>
  <c r="R2015" i="21"/>
  <c r="T2015" i="21"/>
  <c r="U2015" i="21"/>
  <c r="W2015" i="21"/>
  <c r="X2015" i="21"/>
  <c r="I2016" i="21"/>
  <c r="J2016" i="21" s="1"/>
  <c r="K2016" i="21"/>
  <c r="L2016" i="21"/>
  <c r="M2016" i="21"/>
  <c r="O2016" i="21"/>
  <c r="R2016" i="21"/>
  <c r="T2016" i="21"/>
  <c r="U2016" i="21"/>
  <c r="W2016" i="21"/>
  <c r="X2016" i="21"/>
  <c r="I2017" i="21"/>
  <c r="Q2017" i="21" s="1"/>
  <c r="K2017" i="21"/>
  <c r="L2017" i="21"/>
  <c r="M2017" i="21"/>
  <c r="O2017" i="21"/>
  <c r="R2017" i="21"/>
  <c r="T2017" i="21"/>
  <c r="U2017" i="21"/>
  <c r="W2017" i="21"/>
  <c r="X2017" i="21"/>
  <c r="I2018" i="21"/>
  <c r="J2018" i="21" s="1"/>
  <c r="K2018" i="21"/>
  <c r="L2018" i="21"/>
  <c r="M2018" i="21"/>
  <c r="O2018" i="21"/>
  <c r="R2018" i="21"/>
  <c r="T2018" i="21"/>
  <c r="U2018" i="21"/>
  <c r="W2018" i="21"/>
  <c r="X2018" i="21"/>
  <c r="I2019" i="21"/>
  <c r="Q2019" i="21" s="1"/>
  <c r="K2019" i="21"/>
  <c r="L2019" i="21"/>
  <c r="M2019" i="21"/>
  <c r="O2019" i="21"/>
  <c r="R2019" i="21"/>
  <c r="T2019" i="21"/>
  <c r="U2019" i="21"/>
  <c r="W2019" i="21"/>
  <c r="X2019" i="21"/>
  <c r="I2020" i="21"/>
  <c r="J2020" i="21" s="1"/>
  <c r="K2020" i="21"/>
  <c r="L2020" i="21"/>
  <c r="M2020" i="21"/>
  <c r="O2020" i="21"/>
  <c r="R2020" i="21"/>
  <c r="T2020" i="21"/>
  <c r="U2020" i="21"/>
  <c r="W2020" i="21"/>
  <c r="X2020" i="21"/>
  <c r="I2021" i="21"/>
  <c r="Q2021" i="21" s="1"/>
  <c r="K2021" i="21"/>
  <c r="L2021" i="21"/>
  <c r="M2021" i="21"/>
  <c r="O2021" i="21"/>
  <c r="R2021" i="21"/>
  <c r="T2021" i="21"/>
  <c r="U2021" i="21"/>
  <c r="W2021" i="21"/>
  <c r="X2021" i="21"/>
  <c r="I2022" i="21"/>
  <c r="J2022" i="21" s="1"/>
  <c r="K2022" i="21"/>
  <c r="L2022" i="21"/>
  <c r="M2022" i="21"/>
  <c r="O2022" i="21"/>
  <c r="R2022" i="21"/>
  <c r="T2022" i="21"/>
  <c r="U2022" i="21"/>
  <c r="W2022" i="21"/>
  <c r="X2022" i="21"/>
  <c r="I2023" i="21"/>
  <c r="Q2023" i="21" s="1"/>
  <c r="K2023" i="21"/>
  <c r="L2023" i="21"/>
  <c r="M2023" i="21"/>
  <c r="O2023" i="21"/>
  <c r="R2023" i="21"/>
  <c r="T2023" i="21"/>
  <c r="U2023" i="21"/>
  <c r="W2023" i="21"/>
  <c r="X2023" i="21"/>
  <c r="I2024" i="21"/>
  <c r="J2024" i="21" s="1"/>
  <c r="K2024" i="21"/>
  <c r="L2024" i="21"/>
  <c r="M2024" i="21"/>
  <c r="O2024" i="21"/>
  <c r="R2024" i="21"/>
  <c r="T2024" i="21"/>
  <c r="U2024" i="21"/>
  <c r="W2024" i="21"/>
  <c r="X2024" i="21"/>
  <c r="I2025" i="21"/>
  <c r="Q2025" i="21" s="1"/>
  <c r="K2025" i="21"/>
  <c r="L2025" i="21"/>
  <c r="M2025" i="21"/>
  <c r="O2025" i="21"/>
  <c r="R2025" i="21"/>
  <c r="T2025" i="21"/>
  <c r="U2025" i="21"/>
  <c r="W2025" i="21"/>
  <c r="X2025" i="21"/>
  <c r="I2026" i="21"/>
  <c r="J2026" i="21" s="1"/>
  <c r="K2026" i="21"/>
  <c r="L2026" i="21"/>
  <c r="M2026" i="21"/>
  <c r="O2026" i="21"/>
  <c r="R2026" i="21"/>
  <c r="T2026" i="21"/>
  <c r="U2026" i="21"/>
  <c r="W2026" i="21"/>
  <c r="X2026" i="21"/>
  <c r="I2027" i="21"/>
  <c r="Q2027" i="21" s="1"/>
  <c r="K2027" i="21"/>
  <c r="L2027" i="21"/>
  <c r="M2027" i="21"/>
  <c r="O2027" i="21"/>
  <c r="R2027" i="21"/>
  <c r="T2027" i="21"/>
  <c r="U2027" i="21"/>
  <c r="W2027" i="21"/>
  <c r="X2027" i="21"/>
  <c r="I2028" i="21"/>
  <c r="J2028" i="21" s="1"/>
  <c r="K2028" i="21"/>
  <c r="L2028" i="21"/>
  <c r="M2028" i="21"/>
  <c r="O2028" i="21"/>
  <c r="R2028" i="21"/>
  <c r="T2028" i="21"/>
  <c r="U2028" i="21"/>
  <c r="W2028" i="21"/>
  <c r="X2028" i="21"/>
  <c r="I2029" i="21"/>
  <c r="Q2029" i="21" s="1"/>
  <c r="K2029" i="21"/>
  <c r="L2029" i="21"/>
  <c r="M2029" i="21"/>
  <c r="O2029" i="21"/>
  <c r="R2029" i="21"/>
  <c r="T2029" i="21"/>
  <c r="U2029" i="21"/>
  <c r="W2029" i="21"/>
  <c r="X2029" i="21"/>
  <c r="I2030" i="21"/>
  <c r="J2030" i="21" s="1"/>
  <c r="K2030" i="21"/>
  <c r="L2030" i="21"/>
  <c r="M2030" i="21"/>
  <c r="O2030" i="21"/>
  <c r="R2030" i="21"/>
  <c r="T2030" i="21"/>
  <c r="U2030" i="21"/>
  <c r="W2030" i="21"/>
  <c r="X2030" i="21"/>
  <c r="I2031" i="21"/>
  <c r="Q2031" i="21" s="1"/>
  <c r="K2031" i="21"/>
  <c r="L2031" i="21"/>
  <c r="M2031" i="21"/>
  <c r="O2031" i="21"/>
  <c r="R2031" i="21"/>
  <c r="T2031" i="21"/>
  <c r="U2031" i="21"/>
  <c r="W2031" i="21"/>
  <c r="X2031" i="21"/>
  <c r="I2032" i="21"/>
  <c r="J2032" i="21" s="1"/>
  <c r="K2032" i="21"/>
  <c r="L2032" i="21"/>
  <c r="M2032" i="21"/>
  <c r="O2032" i="21"/>
  <c r="R2032" i="21"/>
  <c r="T2032" i="21"/>
  <c r="U2032" i="21"/>
  <c r="W2032" i="21"/>
  <c r="X2032" i="21"/>
  <c r="I2033" i="21"/>
  <c r="Q2033" i="21" s="1"/>
  <c r="K2033" i="21"/>
  <c r="L2033" i="21"/>
  <c r="M2033" i="21"/>
  <c r="O2033" i="21"/>
  <c r="R2033" i="21"/>
  <c r="T2033" i="21"/>
  <c r="U2033" i="21"/>
  <c r="W2033" i="21"/>
  <c r="X2033" i="21"/>
  <c r="I2034" i="21"/>
  <c r="J2034" i="21" s="1"/>
  <c r="K2034" i="21"/>
  <c r="L2034" i="21"/>
  <c r="M2034" i="21"/>
  <c r="O2034" i="21"/>
  <c r="R2034" i="21"/>
  <c r="T2034" i="21"/>
  <c r="U2034" i="21"/>
  <c r="W2034" i="21"/>
  <c r="X2034" i="21"/>
  <c r="I2035" i="21"/>
  <c r="Q2035" i="21" s="1"/>
  <c r="K2035" i="21"/>
  <c r="L2035" i="21"/>
  <c r="M2035" i="21"/>
  <c r="O2035" i="21"/>
  <c r="R2035" i="21"/>
  <c r="T2035" i="21"/>
  <c r="U2035" i="21"/>
  <c r="W2035" i="21"/>
  <c r="X2035" i="21"/>
  <c r="I2036" i="21"/>
  <c r="J2036" i="21" s="1"/>
  <c r="K2036" i="21"/>
  <c r="L2036" i="21"/>
  <c r="M2036" i="21"/>
  <c r="O2036" i="21"/>
  <c r="R2036" i="21"/>
  <c r="T2036" i="21"/>
  <c r="U2036" i="21"/>
  <c r="W2036" i="21"/>
  <c r="X2036" i="21"/>
  <c r="I2037" i="21"/>
  <c r="Q2037" i="21" s="1"/>
  <c r="K2037" i="21"/>
  <c r="L2037" i="21"/>
  <c r="M2037" i="21"/>
  <c r="O2037" i="21"/>
  <c r="R2037" i="21"/>
  <c r="T2037" i="21"/>
  <c r="U2037" i="21"/>
  <c r="W2037" i="21"/>
  <c r="X2037" i="21"/>
  <c r="I2038" i="21"/>
  <c r="J2038" i="21" s="1"/>
  <c r="K2038" i="21"/>
  <c r="L2038" i="21"/>
  <c r="M2038" i="21"/>
  <c r="O2038" i="21"/>
  <c r="R2038" i="21"/>
  <c r="T2038" i="21"/>
  <c r="U2038" i="21"/>
  <c r="W2038" i="21"/>
  <c r="X2038" i="21"/>
  <c r="I2039" i="21"/>
  <c r="Q2039" i="21" s="1"/>
  <c r="K2039" i="21"/>
  <c r="L2039" i="21"/>
  <c r="M2039" i="21"/>
  <c r="O2039" i="21"/>
  <c r="R2039" i="21"/>
  <c r="T2039" i="21"/>
  <c r="U2039" i="21"/>
  <c r="W2039" i="21"/>
  <c r="X2039" i="21"/>
  <c r="I2040" i="21"/>
  <c r="J2040" i="21" s="1"/>
  <c r="K2040" i="21"/>
  <c r="L2040" i="21"/>
  <c r="M2040" i="21"/>
  <c r="O2040" i="21"/>
  <c r="R2040" i="21"/>
  <c r="T2040" i="21"/>
  <c r="U2040" i="21"/>
  <c r="W2040" i="21"/>
  <c r="X2040" i="21"/>
  <c r="I2041" i="21"/>
  <c r="Q2041" i="21" s="1"/>
  <c r="K2041" i="21"/>
  <c r="L2041" i="21"/>
  <c r="M2041" i="21"/>
  <c r="O2041" i="21"/>
  <c r="R2041" i="21"/>
  <c r="T2041" i="21"/>
  <c r="U2041" i="21"/>
  <c r="W2041" i="21"/>
  <c r="X2041" i="21"/>
  <c r="I2042" i="21"/>
  <c r="J2042" i="21" s="1"/>
  <c r="K2042" i="21"/>
  <c r="L2042" i="21"/>
  <c r="M2042" i="21"/>
  <c r="O2042" i="21"/>
  <c r="R2042" i="21"/>
  <c r="T2042" i="21"/>
  <c r="U2042" i="21"/>
  <c r="W2042" i="21"/>
  <c r="X2042" i="21"/>
  <c r="I2043" i="21"/>
  <c r="Q2043" i="21" s="1"/>
  <c r="K2043" i="21"/>
  <c r="L2043" i="21"/>
  <c r="M2043" i="21"/>
  <c r="O2043" i="21"/>
  <c r="R2043" i="21"/>
  <c r="T2043" i="21"/>
  <c r="U2043" i="21"/>
  <c r="W2043" i="21"/>
  <c r="X2043" i="21"/>
  <c r="I2044" i="21"/>
  <c r="J2044" i="21" s="1"/>
  <c r="K2044" i="21"/>
  <c r="L2044" i="21"/>
  <c r="M2044" i="21"/>
  <c r="O2044" i="21"/>
  <c r="R2044" i="21"/>
  <c r="T2044" i="21"/>
  <c r="U2044" i="21"/>
  <c r="W2044" i="21"/>
  <c r="X2044" i="21"/>
  <c r="I2045" i="21"/>
  <c r="Q2045" i="21" s="1"/>
  <c r="K2045" i="21"/>
  <c r="L2045" i="21"/>
  <c r="M2045" i="21"/>
  <c r="O2045" i="21"/>
  <c r="R2045" i="21"/>
  <c r="T2045" i="21"/>
  <c r="U2045" i="21"/>
  <c r="W2045" i="21"/>
  <c r="X2045" i="21"/>
  <c r="I2046" i="21"/>
  <c r="J2046" i="21" s="1"/>
  <c r="K2046" i="21"/>
  <c r="L2046" i="21"/>
  <c r="M2046" i="21"/>
  <c r="O2046" i="21"/>
  <c r="R2046" i="21"/>
  <c r="T2046" i="21"/>
  <c r="U2046" i="21"/>
  <c r="W2046" i="21"/>
  <c r="X2046" i="21"/>
  <c r="I2047" i="21"/>
  <c r="Q2047" i="21" s="1"/>
  <c r="K2047" i="21"/>
  <c r="L2047" i="21"/>
  <c r="M2047" i="21"/>
  <c r="O2047" i="21"/>
  <c r="R2047" i="21"/>
  <c r="T2047" i="21"/>
  <c r="U2047" i="21"/>
  <c r="W2047" i="21"/>
  <c r="X2047" i="21"/>
  <c r="I2048" i="21"/>
  <c r="J2048" i="21" s="1"/>
  <c r="K2048" i="21"/>
  <c r="L2048" i="21"/>
  <c r="M2048" i="21"/>
  <c r="O2048" i="21"/>
  <c r="R2048" i="21"/>
  <c r="T2048" i="21"/>
  <c r="U2048" i="21"/>
  <c r="W2048" i="21"/>
  <c r="X2048" i="21"/>
  <c r="I2049" i="21"/>
  <c r="Q2049" i="21" s="1"/>
  <c r="K2049" i="21"/>
  <c r="L2049" i="21"/>
  <c r="M2049" i="21"/>
  <c r="O2049" i="21"/>
  <c r="R2049" i="21"/>
  <c r="T2049" i="21"/>
  <c r="U2049" i="21"/>
  <c r="W2049" i="21"/>
  <c r="X2049" i="21"/>
  <c r="I2050" i="21"/>
  <c r="J2050" i="21" s="1"/>
  <c r="K2050" i="21"/>
  <c r="L2050" i="21"/>
  <c r="M2050" i="21"/>
  <c r="O2050" i="21"/>
  <c r="R2050" i="21"/>
  <c r="T2050" i="21"/>
  <c r="U2050" i="21"/>
  <c r="W2050" i="21"/>
  <c r="X2050" i="21"/>
  <c r="I2051" i="21"/>
  <c r="Q2051" i="21" s="1"/>
  <c r="K2051" i="21"/>
  <c r="L2051" i="21"/>
  <c r="M2051" i="21"/>
  <c r="O2051" i="21"/>
  <c r="R2051" i="21"/>
  <c r="T2051" i="21"/>
  <c r="U2051" i="21"/>
  <c r="W2051" i="21"/>
  <c r="X2051" i="21"/>
  <c r="I2052" i="21"/>
  <c r="J2052" i="21" s="1"/>
  <c r="K2052" i="21"/>
  <c r="L2052" i="21"/>
  <c r="M2052" i="21"/>
  <c r="O2052" i="21"/>
  <c r="R2052" i="21"/>
  <c r="T2052" i="21"/>
  <c r="U2052" i="21"/>
  <c r="W2052" i="21"/>
  <c r="X2052" i="21"/>
  <c r="I2053" i="21"/>
  <c r="Q2053" i="21" s="1"/>
  <c r="K2053" i="21"/>
  <c r="L2053" i="21"/>
  <c r="M2053" i="21"/>
  <c r="O2053" i="21"/>
  <c r="R2053" i="21"/>
  <c r="T2053" i="21"/>
  <c r="U2053" i="21"/>
  <c r="W2053" i="21"/>
  <c r="X2053" i="21"/>
  <c r="I2054" i="21"/>
  <c r="J2054" i="21" s="1"/>
  <c r="K2054" i="21"/>
  <c r="L2054" i="21"/>
  <c r="M2054" i="21"/>
  <c r="O2054" i="21"/>
  <c r="R2054" i="21"/>
  <c r="T2054" i="21"/>
  <c r="U2054" i="21"/>
  <c r="W2054" i="21"/>
  <c r="X2054" i="21"/>
  <c r="I2055" i="21"/>
  <c r="Q2055" i="21" s="1"/>
  <c r="K2055" i="21"/>
  <c r="L2055" i="21"/>
  <c r="M2055" i="21"/>
  <c r="O2055" i="21"/>
  <c r="R2055" i="21"/>
  <c r="T2055" i="21"/>
  <c r="U2055" i="21"/>
  <c r="W2055" i="21"/>
  <c r="X2055" i="21"/>
  <c r="I2056" i="21"/>
  <c r="J2056" i="21" s="1"/>
  <c r="K2056" i="21"/>
  <c r="L2056" i="21"/>
  <c r="M2056" i="21"/>
  <c r="O2056" i="21"/>
  <c r="R2056" i="21"/>
  <c r="T2056" i="21"/>
  <c r="U2056" i="21"/>
  <c r="W2056" i="21"/>
  <c r="X2056" i="21"/>
  <c r="I2057" i="21"/>
  <c r="Q2057" i="21" s="1"/>
  <c r="K2057" i="21"/>
  <c r="L2057" i="21"/>
  <c r="M2057" i="21"/>
  <c r="O2057" i="21"/>
  <c r="R2057" i="21"/>
  <c r="T2057" i="21"/>
  <c r="U2057" i="21"/>
  <c r="W2057" i="21"/>
  <c r="X2057" i="21"/>
  <c r="I2058" i="21"/>
  <c r="J2058" i="21" s="1"/>
  <c r="K2058" i="21"/>
  <c r="L2058" i="21"/>
  <c r="M2058" i="21"/>
  <c r="O2058" i="21"/>
  <c r="R2058" i="21"/>
  <c r="T2058" i="21"/>
  <c r="U2058" i="21"/>
  <c r="W2058" i="21"/>
  <c r="X2058" i="21"/>
  <c r="I2059" i="21"/>
  <c r="Q2059" i="21" s="1"/>
  <c r="K2059" i="21"/>
  <c r="L2059" i="21"/>
  <c r="M2059" i="21"/>
  <c r="O2059" i="21"/>
  <c r="R2059" i="21"/>
  <c r="T2059" i="21"/>
  <c r="U2059" i="21"/>
  <c r="W2059" i="21"/>
  <c r="X2059" i="21"/>
  <c r="I2060" i="21"/>
  <c r="J2060" i="21" s="1"/>
  <c r="K2060" i="21"/>
  <c r="L2060" i="21"/>
  <c r="M2060" i="21"/>
  <c r="O2060" i="21"/>
  <c r="R2060" i="21"/>
  <c r="T2060" i="21"/>
  <c r="U2060" i="21"/>
  <c r="W2060" i="21"/>
  <c r="X2060" i="21"/>
  <c r="I2061" i="21"/>
  <c r="Q2061" i="21" s="1"/>
  <c r="K2061" i="21"/>
  <c r="L2061" i="21"/>
  <c r="M2061" i="21"/>
  <c r="O2061" i="21"/>
  <c r="R2061" i="21"/>
  <c r="T2061" i="21"/>
  <c r="U2061" i="21"/>
  <c r="W2061" i="21"/>
  <c r="X2061" i="21"/>
  <c r="I2062" i="21"/>
  <c r="J2062" i="21" s="1"/>
  <c r="K2062" i="21"/>
  <c r="L2062" i="21"/>
  <c r="M2062" i="21"/>
  <c r="O2062" i="21"/>
  <c r="R2062" i="21"/>
  <c r="T2062" i="21"/>
  <c r="U2062" i="21"/>
  <c r="W2062" i="21"/>
  <c r="X2062" i="21"/>
  <c r="I2063" i="21"/>
  <c r="Q2063" i="21" s="1"/>
  <c r="K2063" i="21"/>
  <c r="L2063" i="21"/>
  <c r="M2063" i="21"/>
  <c r="O2063" i="21"/>
  <c r="R2063" i="21"/>
  <c r="T2063" i="21"/>
  <c r="U2063" i="21"/>
  <c r="W2063" i="21"/>
  <c r="X2063" i="21"/>
  <c r="I2064" i="21"/>
  <c r="J2064" i="21" s="1"/>
  <c r="K2064" i="21"/>
  <c r="L2064" i="21"/>
  <c r="M2064" i="21"/>
  <c r="O2064" i="21"/>
  <c r="R2064" i="21"/>
  <c r="T2064" i="21"/>
  <c r="U2064" i="21"/>
  <c r="W2064" i="21"/>
  <c r="X2064" i="21"/>
  <c r="I2065" i="21"/>
  <c r="Q2065" i="21" s="1"/>
  <c r="K2065" i="21"/>
  <c r="L2065" i="21"/>
  <c r="M2065" i="21"/>
  <c r="O2065" i="21"/>
  <c r="R2065" i="21"/>
  <c r="T2065" i="21"/>
  <c r="U2065" i="21"/>
  <c r="W2065" i="21"/>
  <c r="X2065" i="21"/>
  <c r="I2066" i="21"/>
  <c r="J2066" i="21" s="1"/>
  <c r="K2066" i="21"/>
  <c r="L2066" i="21"/>
  <c r="M2066" i="21"/>
  <c r="O2066" i="21"/>
  <c r="R2066" i="21"/>
  <c r="T2066" i="21"/>
  <c r="U2066" i="21"/>
  <c r="W2066" i="21"/>
  <c r="X2066" i="21"/>
  <c r="I2067" i="21"/>
  <c r="Q2067" i="21" s="1"/>
  <c r="K2067" i="21"/>
  <c r="L2067" i="21"/>
  <c r="M2067" i="21"/>
  <c r="O2067" i="21"/>
  <c r="R2067" i="21"/>
  <c r="T2067" i="21"/>
  <c r="U2067" i="21"/>
  <c r="W2067" i="21"/>
  <c r="X2067" i="21"/>
  <c r="I2068" i="21"/>
  <c r="J2068" i="21" s="1"/>
  <c r="K2068" i="21"/>
  <c r="L2068" i="21"/>
  <c r="M2068" i="21"/>
  <c r="O2068" i="21"/>
  <c r="R2068" i="21"/>
  <c r="T2068" i="21"/>
  <c r="U2068" i="21"/>
  <c r="W2068" i="21"/>
  <c r="X2068" i="21"/>
  <c r="I2069" i="21"/>
  <c r="Q2069" i="21" s="1"/>
  <c r="K2069" i="21"/>
  <c r="L2069" i="21"/>
  <c r="M2069" i="21"/>
  <c r="O2069" i="21"/>
  <c r="R2069" i="21"/>
  <c r="T2069" i="21"/>
  <c r="U2069" i="21"/>
  <c r="W2069" i="21"/>
  <c r="X2069" i="21"/>
  <c r="I2070" i="21"/>
  <c r="J2070" i="21" s="1"/>
  <c r="K2070" i="21"/>
  <c r="L2070" i="21"/>
  <c r="M2070" i="21"/>
  <c r="O2070" i="21"/>
  <c r="R2070" i="21"/>
  <c r="T2070" i="21"/>
  <c r="U2070" i="21"/>
  <c r="W2070" i="21"/>
  <c r="X2070" i="21"/>
  <c r="I2071" i="21"/>
  <c r="Q2071" i="21" s="1"/>
  <c r="K2071" i="21"/>
  <c r="L2071" i="21"/>
  <c r="M2071" i="21"/>
  <c r="O2071" i="21"/>
  <c r="R2071" i="21"/>
  <c r="T2071" i="21"/>
  <c r="U2071" i="21"/>
  <c r="W2071" i="21"/>
  <c r="X2071" i="21"/>
  <c r="I2072" i="21"/>
  <c r="J2072" i="21" s="1"/>
  <c r="K2072" i="21"/>
  <c r="L2072" i="21"/>
  <c r="M2072" i="21"/>
  <c r="O2072" i="21"/>
  <c r="R2072" i="21"/>
  <c r="T2072" i="21"/>
  <c r="U2072" i="21"/>
  <c r="W2072" i="21"/>
  <c r="X2072" i="21"/>
  <c r="I2073" i="21"/>
  <c r="Q2073" i="21" s="1"/>
  <c r="K2073" i="21"/>
  <c r="L2073" i="21"/>
  <c r="M2073" i="21"/>
  <c r="O2073" i="21"/>
  <c r="R2073" i="21"/>
  <c r="T2073" i="21"/>
  <c r="U2073" i="21"/>
  <c r="W2073" i="21"/>
  <c r="X2073" i="21"/>
  <c r="I2074" i="21"/>
  <c r="J2074" i="21" s="1"/>
  <c r="K2074" i="21"/>
  <c r="L2074" i="21"/>
  <c r="M2074" i="21"/>
  <c r="O2074" i="21"/>
  <c r="R2074" i="21"/>
  <c r="T2074" i="21"/>
  <c r="U2074" i="21"/>
  <c r="W2074" i="21"/>
  <c r="X2074" i="21"/>
  <c r="I2075" i="21"/>
  <c r="Q2075" i="21" s="1"/>
  <c r="K2075" i="21"/>
  <c r="L2075" i="21"/>
  <c r="M2075" i="21"/>
  <c r="O2075" i="21"/>
  <c r="R2075" i="21"/>
  <c r="T2075" i="21"/>
  <c r="U2075" i="21"/>
  <c r="W2075" i="21"/>
  <c r="X2075" i="21"/>
  <c r="I2076" i="21"/>
  <c r="J2076" i="21" s="1"/>
  <c r="K2076" i="21"/>
  <c r="L2076" i="21"/>
  <c r="M2076" i="21"/>
  <c r="O2076" i="21"/>
  <c r="R2076" i="21"/>
  <c r="T2076" i="21"/>
  <c r="U2076" i="21"/>
  <c r="W2076" i="21"/>
  <c r="X2076" i="21"/>
  <c r="I2077" i="21"/>
  <c r="Q2077" i="21" s="1"/>
  <c r="K2077" i="21"/>
  <c r="L2077" i="21"/>
  <c r="M2077" i="21"/>
  <c r="O2077" i="21"/>
  <c r="R2077" i="21"/>
  <c r="T2077" i="21"/>
  <c r="U2077" i="21"/>
  <c r="W2077" i="21"/>
  <c r="X2077" i="21"/>
  <c r="I2078" i="21"/>
  <c r="J2078" i="21" s="1"/>
  <c r="K2078" i="21"/>
  <c r="L2078" i="21"/>
  <c r="M2078" i="21"/>
  <c r="O2078" i="21"/>
  <c r="R2078" i="21"/>
  <c r="T2078" i="21"/>
  <c r="U2078" i="21"/>
  <c r="W2078" i="21"/>
  <c r="X2078" i="21"/>
  <c r="I2079" i="21"/>
  <c r="Q2079" i="21" s="1"/>
  <c r="K2079" i="21"/>
  <c r="L2079" i="21"/>
  <c r="M2079" i="21"/>
  <c r="O2079" i="21"/>
  <c r="R2079" i="21"/>
  <c r="T2079" i="21"/>
  <c r="U2079" i="21"/>
  <c r="W2079" i="21"/>
  <c r="X2079" i="21"/>
  <c r="I2080" i="21"/>
  <c r="J2080" i="21" s="1"/>
  <c r="K2080" i="21"/>
  <c r="L2080" i="21"/>
  <c r="M2080" i="21"/>
  <c r="O2080" i="21"/>
  <c r="R2080" i="21"/>
  <c r="T2080" i="21"/>
  <c r="U2080" i="21"/>
  <c r="W2080" i="21"/>
  <c r="X2080" i="21"/>
  <c r="I2081" i="21"/>
  <c r="Q2081" i="21" s="1"/>
  <c r="K2081" i="21"/>
  <c r="L2081" i="21"/>
  <c r="M2081" i="21"/>
  <c r="O2081" i="21"/>
  <c r="R2081" i="21"/>
  <c r="T2081" i="21"/>
  <c r="U2081" i="21"/>
  <c r="W2081" i="21"/>
  <c r="X2081" i="21"/>
  <c r="I2082" i="21"/>
  <c r="J2082" i="21" s="1"/>
  <c r="K2082" i="21"/>
  <c r="L2082" i="21"/>
  <c r="M2082" i="21"/>
  <c r="O2082" i="21"/>
  <c r="R2082" i="21"/>
  <c r="T2082" i="21"/>
  <c r="U2082" i="21"/>
  <c r="W2082" i="21"/>
  <c r="X2082" i="21"/>
  <c r="I2083" i="21"/>
  <c r="Q2083" i="21" s="1"/>
  <c r="K2083" i="21"/>
  <c r="L2083" i="21"/>
  <c r="M2083" i="21"/>
  <c r="O2083" i="21"/>
  <c r="R2083" i="21"/>
  <c r="T2083" i="21"/>
  <c r="U2083" i="21"/>
  <c r="W2083" i="21"/>
  <c r="X2083" i="21"/>
  <c r="I2084" i="21"/>
  <c r="J2084" i="21" s="1"/>
  <c r="K2084" i="21"/>
  <c r="L2084" i="21"/>
  <c r="M2084" i="21"/>
  <c r="O2084" i="21"/>
  <c r="R2084" i="21"/>
  <c r="T2084" i="21"/>
  <c r="U2084" i="21"/>
  <c r="W2084" i="21"/>
  <c r="X2084" i="21"/>
  <c r="I2085" i="21"/>
  <c r="Q2085" i="21" s="1"/>
  <c r="K2085" i="21"/>
  <c r="L2085" i="21"/>
  <c r="M2085" i="21"/>
  <c r="O2085" i="21"/>
  <c r="R2085" i="21"/>
  <c r="T2085" i="21"/>
  <c r="U2085" i="21"/>
  <c r="W2085" i="21"/>
  <c r="X2085" i="21"/>
  <c r="I2086" i="21"/>
  <c r="J2086" i="21" s="1"/>
  <c r="K2086" i="21"/>
  <c r="L2086" i="21"/>
  <c r="M2086" i="21"/>
  <c r="O2086" i="21"/>
  <c r="R2086" i="21"/>
  <c r="T2086" i="21"/>
  <c r="U2086" i="21"/>
  <c r="W2086" i="21"/>
  <c r="X2086" i="21"/>
  <c r="I2087" i="21"/>
  <c r="Q2087" i="21" s="1"/>
  <c r="K2087" i="21"/>
  <c r="L2087" i="21"/>
  <c r="M2087" i="21"/>
  <c r="O2087" i="21"/>
  <c r="R2087" i="21"/>
  <c r="T2087" i="21"/>
  <c r="U2087" i="21"/>
  <c r="W2087" i="21"/>
  <c r="X2087" i="21"/>
  <c r="I2088" i="21"/>
  <c r="J2088" i="21" s="1"/>
  <c r="K2088" i="21"/>
  <c r="L2088" i="21"/>
  <c r="M2088" i="21"/>
  <c r="O2088" i="21"/>
  <c r="R2088" i="21"/>
  <c r="T2088" i="21"/>
  <c r="U2088" i="21"/>
  <c r="W2088" i="21"/>
  <c r="X2088" i="21"/>
  <c r="I2089" i="21"/>
  <c r="Q2089" i="21" s="1"/>
  <c r="K2089" i="21"/>
  <c r="L2089" i="21"/>
  <c r="M2089" i="21"/>
  <c r="O2089" i="21"/>
  <c r="R2089" i="21"/>
  <c r="T2089" i="21"/>
  <c r="U2089" i="21"/>
  <c r="W2089" i="21"/>
  <c r="X2089" i="21"/>
  <c r="I2090" i="21"/>
  <c r="J2090" i="21" s="1"/>
  <c r="K2090" i="21"/>
  <c r="L2090" i="21"/>
  <c r="M2090" i="21"/>
  <c r="O2090" i="21"/>
  <c r="R2090" i="21"/>
  <c r="T2090" i="21"/>
  <c r="U2090" i="21"/>
  <c r="W2090" i="21"/>
  <c r="X2090" i="21"/>
  <c r="I2091" i="21"/>
  <c r="Q2091" i="21" s="1"/>
  <c r="K2091" i="21"/>
  <c r="L2091" i="21"/>
  <c r="M2091" i="21"/>
  <c r="O2091" i="21"/>
  <c r="R2091" i="21"/>
  <c r="T2091" i="21"/>
  <c r="U2091" i="21"/>
  <c r="W2091" i="21"/>
  <c r="X2091" i="21"/>
  <c r="I2092" i="21"/>
  <c r="J2092" i="21" s="1"/>
  <c r="K2092" i="21"/>
  <c r="L2092" i="21"/>
  <c r="M2092" i="21"/>
  <c r="O2092" i="21"/>
  <c r="R2092" i="21"/>
  <c r="T2092" i="21"/>
  <c r="U2092" i="21"/>
  <c r="W2092" i="21"/>
  <c r="X2092" i="21"/>
  <c r="I2093" i="21"/>
  <c r="Q2093" i="21" s="1"/>
  <c r="K2093" i="21"/>
  <c r="L2093" i="21"/>
  <c r="M2093" i="21"/>
  <c r="O2093" i="21"/>
  <c r="R2093" i="21"/>
  <c r="T2093" i="21"/>
  <c r="U2093" i="21"/>
  <c r="W2093" i="21"/>
  <c r="X2093" i="21"/>
  <c r="I2094" i="21"/>
  <c r="J2094" i="21" s="1"/>
  <c r="K2094" i="21"/>
  <c r="L2094" i="21"/>
  <c r="M2094" i="21"/>
  <c r="O2094" i="21"/>
  <c r="R2094" i="21"/>
  <c r="T2094" i="21"/>
  <c r="U2094" i="21"/>
  <c r="W2094" i="21"/>
  <c r="X2094" i="21"/>
  <c r="I2095" i="21"/>
  <c r="Q2095" i="21" s="1"/>
  <c r="K2095" i="21"/>
  <c r="L2095" i="21"/>
  <c r="M2095" i="21"/>
  <c r="O2095" i="21"/>
  <c r="R2095" i="21"/>
  <c r="T2095" i="21"/>
  <c r="U2095" i="21"/>
  <c r="W2095" i="21"/>
  <c r="X2095" i="21"/>
  <c r="I2096" i="21"/>
  <c r="J2096" i="21" s="1"/>
  <c r="K2096" i="21"/>
  <c r="L2096" i="21"/>
  <c r="M2096" i="21"/>
  <c r="O2096" i="21"/>
  <c r="R2096" i="21"/>
  <c r="T2096" i="21"/>
  <c r="U2096" i="21"/>
  <c r="W2096" i="21"/>
  <c r="X2096" i="21"/>
  <c r="I2097" i="21"/>
  <c r="Q2097" i="21" s="1"/>
  <c r="K2097" i="21"/>
  <c r="L2097" i="21"/>
  <c r="M2097" i="21"/>
  <c r="O2097" i="21"/>
  <c r="R2097" i="21"/>
  <c r="T2097" i="21"/>
  <c r="U2097" i="21"/>
  <c r="W2097" i="21"/>
  <c r="X2097" i="21"/>
  <c r="I2098" i="21"/>
  <c r="J2098" i="21" s="1"/>
  <c r="K2098" i="21"/>
  <c r="L2098" i="21"/>
  <c r="M2098" i="21"/>
  <c r="O2098" i="21"/>
  <c r="R2098" i="21"/>
  <c r="T2098" i="21"/>
  <c r="U2098" i="21"/>
  <c r="W2098" i="21"/>
  <c r="X2098" i="21"/>
  <c r="I2099" i="21"/>
  <c r="Q2099" i="21" s="1"/>
  <c r="K2099" i="21"/>
  <c r="L2099" i="21"/>
  <c r="M2099" i="21"/>
  <c r="O2099" i="21"/>
  <c r="R2099" i="21"/>
  <c r="T2099" i="21"/>
  <c r="U2099" i="21"/>
  <c r="W2099" i="21"/>
  <c r="X2099" i="21"/>
  <c r="I2100" i="21"/>
  <c r="J2100" i="21" s="1"/>
  <c r="K2100" i="21"/>
  <c r="L2100" i="21"/>
  <c r="M2100" i="21"/>
  <c r="O2100" i="21"/>
  <c r="R2100" i="21"/>
  <c r="T2100" i="21"/>
  <c r="U2100" i="21"/>
  <c r="W2100" i="21"/>
  <c r="X2100" i="21"/>
  <c r="I2101" i="21"/>
  <c r="Q2101" i="21" s="1"/>
  <c r="K2101" i="21"/>
  <c r="L2101" i="21"/>
  <c r="M2101" i="21"/>
  <c r="O2101" i="21"/>
  <c r="R2101" i="21"/>
  <c r="T2101" i="21"/>
  <c r="U2101" i="21"/>
  <c r="W2101" i="21"/>
  <c r="X2101" i="21"/>
  <c r="I2102" i="21"/>
  <c r="J2102" i="21" s="1"/>
  <c r="K2102" i="21"/>
  <c r="L2102" i="21"/>
  <c r="M2102" i="21"/>
  <c r="O2102" i="21"/>
  <c r="R2102" i="21"/>
  <c r="T2102" i="21"/>
  <c r="U2102" i="21"/>
  <c r="W2102" i="21"/>
  <c r="X2102" i="21"/>
  <c r="I2103" i="21"/>
  <c r="Q2103" i="21" s="1"/>
  <c r="K2103" i="21"/>
  <c r="L2103" i="21"/>
  <c r="M2103" i="21"/>
  <c r="O2103" i="21"/>
  <c r="R2103" i="21"/>
  <c r="T2103" i="21"/>
  <c r="U2103" i="21"/>
  <c r="W2103" i="21"/>
  <c r="X2103" i="21"/>
  <c r="I2104" i="21"/>
  <c r="J2104" i="21" s="1"/>
  <c r="K2104" i="21"/>
  <c r="L2104" i="21"/>
  <c r="M2104" i="21"/>
  <c r="O2104" i="21"/>
  <c r="R2104" i="21"/>
  <c r="T2104" i="21"/>
  <c r="U2104" i="21"/>
  <c r="W2104" i="21"/>
  <c r="X2104" i="21"/>
  <c r="I2105" i="21"/>
  <c r="Q2105" i="21" s="1"/>
  <c r="K2105" i="21"/>
  <c r="L2105" i="21"/>
  <c r="M2105" i="21"/>
  <c r="O2105" i="21"/>
  <c r="R2105" i="21"/>
  <c r="T2105" i="21"/>
  <c r="U2105" i="21"/>
  <c r="W2105" i="21"/>
  <c r="X2105" i="21"/>
  <c r="I2106" i="21"/>
  <c r="J2106" i="21" s="1"/>
  <c r="K2106" i="21"/>
  <c r="L2106" i="21"/>
  <c r="M2106" i="21"/>
  <c r="O2106" i="21"/>
  <c r="R2106" i="21"/>
  <c r="T2106" i="21"/>
  <c r="U2106" i="21"/>
  <c r="W2106" i="21"/>
  <c r="X2106" i="21"/>
  <c r="I2107" i="21"/>
  <c r="Q2107" i="21" s="1"/>
  <c r="K2107" i="21"/>
  <c r="L2107" i="21"/>
  <c r="M2107" i="21"/>
  <c r="O2107" i="21"/>
  <c r="R2107" i="21"/>
  <c r="T2107" i="21"/>
  <c r="U2107" i="21"/>
  <c r="W2107" i="21"/>
  <c r="X2107" i="21"/>
  <c r="I2108" i="21"/>
  <c r="J2108" i="21" s="1"/>
  <c r="K2108" i="21"/>
  <c r="L2108" i="21"/>
  <c r="M2108" i="21"/>
  <c r="O2108" i="21"/>
  <c r="R2108" i="21"/>
  <c r="T2108" i="21"/>
  <c r="U2108" i="21"/>
  <c r="W2108" i="21"/>
  <c r="X2108" i="21"/>
  <c r="I2109" i="21"/>
  <c r="Q2109" i="21" s="1"/>
  <c r="K2109" i="21"/>
  <c r="L2109" i="21"/>
  <c r="M2109" i="21"/>
  <c r="O2109" i="21"/>
  <c r="R2109" i="21"/>
  <c r="T2109" i="21"/>
  <c r="U2109" i="21"/>
  <c r="W2109" i="21"/>
  <c r="X2109" i="21"/>
  <c r="I2110" i="21"/>
  <c r="J2110" i="21" s="1"/>
  <c r="K2110" i="21"/>
  <c r="L2110" i="21"/>
  <c r="M2110" i="21"/>
  <c r="O2110" i="21"/>
  <c r="R2110" i="21"/>
  <c r="T2110" i="21"/>
  <c r="U2110" i="21"/>
  <c r="W2110" i="21"/>
  <c r="X2110" i="21"/>
  <c r="I2111" i="21"/>
  <c r="Q2111" i="21" s="1"/>
  <c r="K2111" i="21"/>
  <c r="L2111" i="21"/>
  <c r="M2111" i="21"/>
  <c r="O2111" i="21"/>
  <c r="R2111" i="21"/>
  <c r="T2111" i="21"/>
  <c r="U2111" i="21"/>
  <c r="W2111" i="21"/>
  <c r="X2111" i="21"/>
  <c r="I2112" i="21"/>
  <c r="J2112" i="21" s="1"/>
  <c r="K2112" i="21"/>
  <c r="L2112" i="21"/>
  <c r="M2112" i="21"/>
  <c r="O2112" i="21"/>
  <c r="R2112" i="21"/>
  <c r="T2112" i="21"/>
  <c r="U2112" i="21"/>
  <c r="W2112" i="21"/>
  <c r="X2112" i="21"/>
  <c r="I2113" i="21"/>
  <c r="Q2113" i="21" s="1"/>
  <c r="K2113" i="21"/>
  <c r="L2113" i="21"/>
  <c r="M2113" i="21"/>
  <c r="O2113" i="21"/>
  <c r="R2113" i="21"/>
  <c r="T2113" i="21"/>
  <c r="U2113" i="21"/>
  <c r="W2113" i="21"/>
  <c r="X2113" i="21"/>
  <c r="I2114" i="21"/>
  <c r="J2114" i="21" s="1"/>
  <c r="K2114" i="21"/>
  <c r="L2114" i="21"/>
  <c r="M2114" i="21"/>
  <c r="O2114" i="21"/>
  <c r="R2114" i="21"/>
  <c r="T2114" i="21"/>
  <c r="U2114" i="21"/>
  <c r="W2114" i="21"/>
  <c r="X2114" i="21"/>
  <c r="I2115" i="21"/>
  <c r="Q2115" i="21" s="1"/>
  <c r="K2115" i="21"/>
  <c r="L2115" i="21"/>
  <c r="M2115" i="21"/>
  <c r="O2115" i="21"/>
  <c r="R2115" i="21"/>
  <c r="T2115" i="21"/>
  <c r="U2115" i="21"/>
  <c r="W2115" i="21"/>
  <c r="X2115" i="21"/>
  <c r="I2116" i="21"/>
  <c r="J2116" i="21" s="1"/>
  <c r="K2116" i="21"/>
  <c r="L2116" i="21"/>
  <c r="M2116" i="21"/>
  <c r="O2116" i="21"/>
  <c r="R2116" i="21"/>
  <c r="T2116" i="21"/>
  <c r="U2116" i="21"/>
  <c r="W2116" i="21"/>
  <c r="X2116" i="21"/>
  <c r="I2117" i="21"/>
  <c r="Q2117" i="21" s="1"/>
  <c r="K2117" i="21"/>
  <c r="L2117" i="21"/>
  <c r="M2117" i="21"/>
  <c r="O2117" i="21"/>
  <c r="R2117" i="21"/>
  <c r="T2117" i="21"/>
  <c r="U2117" i="21"/>
  <c r="W2117" i="21"/>
  <c r="X2117" i="21"/>
  <c r="I2118" i="21"/>
  <c r="J2118" i="21" s="1"/>
  <c r="K2118" i="21"/>
  <c r="L2118" i="21"/>
  <c r="M2118" i="21"/>
  <c r="O2118" i="21"/>
  <c r="R2118" i="21"/>
  <c r="T2118" i="21"/>
  <c r="U2118" i="21"/>
  <c r="W2118" i="21"/>
  <c r="X2118" i="21"/>
  <c r="I2119" i="21"/>
  <c r="Q2119" i="21" s="1"/>
  <c r="K2119" i="21"/>
  <c r="L2119" i="21"/>
  <c r="M2119" i="21"/>
  <c r="O2119" i="21"/>
  <c r="R2119" i="21"/>
  <c r="T2119" i="21"/>
  <c r="U2119" i="21"/>
  <c r="W2119" i="21"/>
  <c r="X2119" i="21"/>
  <c r="I2120" i="21"/>
  <c r="J2120" i="21" s="1"/>
  <c r="K2120" i="21"/>
  <c r="L2120" i="21"/>
  <c r="M2120" i="21"/>
  <c r="O2120" i="21"/>
  <c r="R2120" i="21"/>
  <c r="T2120" i="21"/>
  <c r="U2120" i="21"/>
  <c r="W2120" i="21"/>
  <c r="X2120" i="21"/>
  <c r="I2121" i="21"/>
  <c r="Q2121" i="21" s="1"/>
  <c r="K2121" i="21"/>
  <c r="L2121" i="21"/>
  <c r="M2121" i="21"/>
  <c r="O2121" i="21"/>
  <c r="R2121" i="21"/>
  <c r="T2121" i="21"/>
  <c r="U2121" i="21"/>
  <c r="W2121" i="21"/>
  <c r="X2121" i="21"/>
  <c r="I2122" i="21"/>
  <c r="J2122" i="21" s="1"/>
  <c r="K2122" i="21"/>
  <c r="L2122" i="21"/>
  <c r="M2122" i="21"/>
  <c r="O2122" i="21"/>
  <c r="R2122" i="21"/>
  <c r="T2122" i="21"/>
  <c r="U2122" i="21"/>
  <c r="W2122" i="21"/>
  <c r="X2122" i="21"/>
  <c r="I2123" i="21"/>
  <c r="Q2123" i="21" s="1"/>
  <c r="K2123" i="21"/>
  <c r="L2123" i="21"/>
  <c r="M2123" i="21"/>
  <c r="O2123" i="21"/>
  <c r="R2123" i="21"/>
  <c r="T2123" i="21"/>
  <c r="U2123" i="21"/>
  <c r="W2123" i="21"/>
  <c r="X2123" i="21"/>
  <c r="I2124" i="21"/>
  <c r="J2124" i="21" s="1"/>
  <c r="K2124" i="21"/>
  <c r="L2124" i="21"/>
  <c r="M2124" i="21"/>
  <c r="O2124" i="21"/>
  <c r="R2124" i="21"/>
  <c r="T2124" i="21"/>
  <c r="U2124" i="21"/>
  <c r="W2124" i="21"/>
  <c r="X2124" i="21"/>
  <c r="I2125" i="21"/>
  <c r="Q2125" i="21" s="1"/>
  <c r="K2125" i="21"/>
  <c r="L2125" i="21"/>
  <c r="M2125" i="21"/>
  <c r="O2125" i="21"/>
  <c r="R2125" i="21"/>
  <c r="T2125" i="21"/>
  <c r="U2125" i="21"/>
  <c r="W2125" i="21"/>
  <c r="X2125" i="21"/>
  <c r="I2126" i="21"/>
  <c r="J2126" i="21" s="1"/>
  <c r="K2126" i="21"/>
  <c r="L2126" i="21"/>
  <c r="M2126" i="21"/>
  <c r="O2126" i="21"/>
  <c r="R2126" i="21"/>
  <c r="T2126" i="21"/>
  <c r="U2126" i="21"/>
  <c r="W2126" i="21"/>
  <c r="X2126" i="21"/>
  <c r="I2127" i="21"/>
  <c r="Q2127" i="21" s="1"/>
  <c r="K2127" i="21"/>
  <c r="L2127" i="21"/>
  <c r="M2127" i="21"/>
  <c r="O2127" i="21"/>
  <c r="R2127" i="21"/>
  <c r="T2127" i="21"/>
  <c r="U2127" i="21"/>
  <c r="W2127" i="21"/>
  <c r="X2127" i="21"/>
  <c r="I2128" i="21"/>
  <c r="J2128" i="21" s="1"/>
  <c r="K2128" i="21"/>
  <c r="L2128" i="21"/>
  <c r="M2128" i="21"/>
  <c r="O2128" i="21"/>
  <c r="R2128" i="21"/>
  <c r="T2128" i="21"/>
  <c r="U2128" i="21"/>
  <c r="W2128" i="21"/>
  <c r="X2128" i="21"/>
  <c r="I2129" i="21"/>
  <c r="Q2129" i="21" s="1"/>
  <c r="K2129" i="21"/>
  <c r="L2129" i="21"/>
  <c r="M2129" i="21"/>
  <c r="O2129" i="21"/>
  <c r="R2129" i="21"/>
  <c r="T2129" i="21"/>
  <c r="U2129" i="21"/>
  <c r="W2129" i="21"/>
  <c r="X2129" i="21"/>
  <c r="I2130" i="21"/>
  <c r="J2130" i="21" s="1"/>
  <c r="K2130" i="21"/>
  <c r="L2130" i="21"/>
  <c r="M2130" i="21"/>
  <c r="O2130" i="21"/>
  <c r="R2130" i="21"/>
  <c r="T2130" i="21"/>
  <c r="U2130" i="21"/>
  <c r="W2130" i="21"/>
  <c r="X2130" i="21"/>
  <c r="I2131" i="21"/>
  <c r="Q2131" i="21" s="1"/>
  <c r="K2131" i="21"/>
  <c r="L2131" i="21"/>
  <c r="M2131" i="21"/>
  <c r="O2131" i="21"/>
  <c r="R2131" i="21"/>
  <c r="T2131" i="21"/>
  <c r="U2131" i="21"/>
  <c r="W2131" i="21"/>
  <c r="X2131" i="21"/>
  <c r="I2132" i="21"/>
  <c r="J2132" i="21" s="1"/>
  <c r="K2132" i="21"/>
  <c r="L2132" i="21"/>
  <c r="M2132" i="21"/>
  <c r="O2132" i="21"/>
  <c r="R2132" i="21"/>
  <c r="T2132" i="21"/>
  <c r="U2132" i="21"/>
  <c r="W2132" i="21"/>
  <c r="X2132" i="21"/>
  <c r="I2133" i="21"/>
  <c r="Q2133" i="21" s="1"/>
  <c r="K2133" i="21"/>
  <c r="L2133" i="21"/>
  <c r="M2133" i="21"/>
  <c r="O2133" i="21"/>
  <c r="R2133" i="21"/>
  <c r="T2133" i="21"/>
  <c r="U2133" i="21"/>
  <c r="W2133" i="21"/>
  <c r="X2133" i="21"/>
  <c r="I2134" i="21"/>
  <c r="J2134" i="21" s="1"/>
  <c r="K2134" i="21"/>
  <c r="L2134" i="21"/>
  <c r="M2134" i="21"/>
  <c r="O2134" i="21"/>
  <c r="R2134" i="21"/>
  <c r="T2134" i="21"/>
  <c r="U2134" i="21"/>
  <c r="W2134" i="21"/>
  <c r="X2134" i="21"/>
  <c r="I2135" i="21"/>
  <c r="Q2135" i="21" s="1"/>
  <c r="K2135" i="21"/>
  <c r="L2135" i="21"/>
  <c r="M2135" i="21"/>
  <c r="O2135" i="21"/>
  <c r="R2135" i="21"/>
  <c r="T2135" i="21"/>
  <c r="U2135" i="21"/>
  <c r="W2135" i="21"/>
  <c r="X2135" i="21"/>
  <c r="I2136" i="21"/>
  <c r="J2136" i="21" s="1"/>
  <c r="K2136" i="21"/>
  <c r="L2136" i="21"/>
  <c r="M2136" i="21"/>
  <c r="O2136" i="21"/>
  <c r="R2136" i="21"/>
  <c r="T2136" i="21"/>
  <c r="U2136" i="21"/>
  <c r="W2136" i="21"/>
  <c r="X2136" i="21"/>
  <c r="I2137" i="21"/>
  <c r="Q2137" i="21" s="1"/>
  <c r="K2137" i="21"/>
  <c r="L2137" i="21"/>
  <c r="M2137" i="21"/>
  <c r="O2137" i="21"/>
  <c r="R2137" i="21"/>
  <c r="T2137" i="21"/>
  <c r="U2137" i="21"/>
  <c r="W2137" i="21"/>
  <c r="X2137" i="21"/>
  <c r="I2138" i="21"/>
  <c r="J2138" i="21" s="1"/>
  <c r="K2138" i="21"/>
  <c r="L2138" i="21"/>
  <c r="M2138" i="21"/>
  <c r="O2138" i="21"/>
  <c r="R2138" i="21"/>
  <c r="T2138" i="21"/>
  <c r="U2138" i="21"/>
  <c r="W2138" i="21"/>
  <c r="X2138" i="21"/>
  <c r="I2139" i="21"/>
  <c r="Q2139" i="21" s="1"/>
  <c r="K2139" i="21"/>
  <c r="L2139" i="21"/>
  <c r="M2139" i="21"/>
  <c r="O2139" i="21"/>
  <c r="R2139" i="21"/>
  <c r="T2139" i="21"/>
  <c r="U2139" i="21"/>
  <c r="W2139" i="21"/>
  <c r="X2139" i="21"/>
  <c r="I2140" i="21"/>
  <c r="J2140" i="21" s="1"/>
  <c r="K2140" i="21"/>
  <c r="L2140" i="21"/>
  <c r="M2140" i="21"/>
  <c r="O2140" i="21"/>
  <c r="R2140" i="21"/>
  <c r="T2140" i="21"/>
  <c r="U2140" i="21"/>
  <c r="W2140" i="21"/>
  <c r="X2140" i="21"/>
  <c r="I2141" i="21"/>
  <c r="Q2141" i="21" s="1"/>
  <c r="K2141" i="21"/>
  <c r="L2141" i="21"/>
  <c r="M2141" i="21"/>
  <c r="O2141" i="21"/>
  <c r="R2141" i="21"/>
  <c r="T2141" i="21"/>
  <c r="U2141" i="21"/>
  <c r="W2141" i="21"/>
  <c r="X2141" i="21"/>
  <c r="I2142" i="21"/>
  <c r="J2142" i="21" s="1"/>
  <c r="K2142" i="21"/>
  <c r="L2142" i="21"/>
  <c r="M2142" i="21"/>
  <c r="O2142" i="21"/>
  <c r="R2142" i="21"/>
  <c r="T2142" i="21"/>
  <c r="U2142" i="21"/>
  <c r="W2142" i="21"/>
  <c r="X2142" i="21"/>
  <c r="X2009" i="21"/>
  <c r="W2009" i="21"/>
  <c r="U2009" i="21"/>
  <c r="T2009" i="21"/>
  <c r="R2009" i="21"/>
  <c r="O2009" i="21"/>
  <c r="M2009" i="21"/>
  <c r="L2009" i="21"/>
  <c r="K2009" i="21"/>
  <c r="I2009" i="21"/>
  <c r="J2009" i="21" s="1"/>
  <c r="I5" i="17" l="1"/>
  <c r="I28" i="17"/>
  <c r="L2298" i="21"/>
  <c r="L2289" i="21"/>
  <c r="L2280" i="21"/>
  <c r="L2246" i="21"/>
  <c r="M2226" i="21"/>
  <c r="M2222" i="21"/>
  <c r="M2214" i="21"/>
  <c r="M2183" i="21"/>
  <c r="L2171" i="21"/>
  <c r="L2409" i="21"/>
  <c r="L2400" i="21"/>
  <c r="L2391" i="21"/>
  <c r="M2324" i="21"/>
  <c r="M2286" i="21"/>
  <c r="M2260" i="21"/>
  <c r="M2256" i="21"/>
  <c r="M2219" i="21"/>
  <c r="Q2370" i="21"/>
  <c r="L2295" i="21"/>
  <c r="M2273" i="21"/>
  <c r="M2385" i="21"/>
  <c r="Q2382" i="21"/>
  <c r="Q2374" i="21"/>
  <c r="M2356" i="21"/>
  <c r="M2311" i="21"/>
  <c r="M2300" i="21"/>
  <c r="M2282" i="21"/>
  <c r="M2248" i="21"/>
  <c r="M2244" i="21"/>
  <c r="M2177" i="21"/>
  <c r="M2173" i="21"/>
  <c r="M2412" i="21"/>
  <c r="M2304" i="21"/>
  <c r="M2261" i="21"/>
  <c r="L2185" i="21"/>
  <c r="M2374" i="21"/>
  <c r="M2360" i="21"/>
  <c r="M2319" i="21"/>
  <c r="M2266" i="21"/>
  <c r="M2262" i="21"/>
  <c r="M2174" i="21"/>
  <c r="L2413" i="21"/>
  <c r="M2403" i="21"/>
  <c r="M2305" i="21"/>
  <c r="L2167" i="21"/>
  <c r="M2297" i="21"/>
  <c r="M2279" i="21"/>
  <c r="M2213" i="21"/>
  <c r="M2182" i="21"/>
  <c r="M2170" i="21"/>
  <c r="M2399" i="21"/>
  <c r="M2361" i="21"/>
  <c r="L2395" i="21"/>
  <c r="M2354" i="21"/>
  <c r="M2337" i="21"/>
  <c r="M2327" i="21"/>
  <c r="M2309" i="21"/>
  <c r="M2299" i="21"/>
  <c r="M2293" i="21"/>
  <c r="M2287" i="21"/>
  <c r="M2281" i="21"/>
  <c r="M2275" i="21"/>
  <c r="M2269" i="21"/>
  <c r="M2263" i="21"/>
  <c r="M2257" i="21"/>
  <c r="M2251" i="21"/>
  <c r="M2245" i="21"/>
  <c r="M2239" i="21"/>
  <c r="M2233" i="21"/>
  <c r="M2223" i="21"/>
  <c r="M2218" i="21"/>
  <c r="M2199" i="21"/>
  <c r="M2194" i="21"/>
  <c r="M2175" i="21"/>
  <c r="L2384" i="21"/>
  <c r="L2379" i="21"/>
  <c r="M2363" i="21"/>
  <c r="M2344" i="21"/>
  <c r="Q2337" i="21"/>
  <c r="Q2333" i="21"/>
  <c r="M2310" i="21"/>
  <c r="M2228" i="21"/>
  <c r="M2204" i="21"/>
  <c r="M2180" i="21"/>
  <c r="M2367" i="21"/>
  <c r="M2352" i="21"/>
  <c r="M2348" i="21"/>
  <c r="M2322" i="21"/>
  <c r="M2306" i="21"/>
  <c r="M2229" i="21"/>
  <c r="M2205" i="21"/>
  <c r="M2181" i="21"/>
  <c r="M2414" i="21"/>
  <c r="M2408" i="21"/>
  <c r="M2402" i="21"/>
  <c r="M2396" i="21"/>
  <c r="M2390" i="21"/>
  <c r="M2277" i="21"/>
  <c r="M2271" i="21"/>
  <c r="M2265" i="21"/>
  <c r="M2259" i="21"/>
  <c r="M2253" i="21"/>
  <c r="M2247" i="21"/>
  <c r="M2241" i="21"/>
  <c r="M2235" i="21"/>
  <c r="M2215" i="21"/>
  <c r="M2210" i="21"/>
  <c r="M2191" i="21"/>
  <c r="M2186" i="21"/>
  <c r="M2372" i="21"/>
  <c r="M2368" i="21"/>
  <c r="M2349" i="21"/>
  <c r="M2334" i="21"/>
  <c r="M2330" i="21"/>
  <c r="M2220" i="21"/>
  <c r="M2196" i="21"/>
  <c r="M2172" i="21"/>
  <c r="M2381" i="21"/>
  <c r="M2377" i="21"/>
  <c r="M2357" i="21"/>
  <c r="M2307" i="21"/>
  <c r="M2308" i="21"/>
  <c r="M2231" i="21"/>
  <c r="M2212" i="21"/>
  <c r="M2188" i="21"/>
  <c r="M2383" i="21"/>
  <c r="M2362" i="21"/>
  <c r="M2343" i="21"/>
  <c r="M2328" i="21"/>
  <c r="M2317" i="21"/>
  <c r="M2313" i="21"/>
  <c r="I17" i="17"/>
  <c r="I14" i="17" s="1"/>
  <c r="I47" i="17" s="1"/>
  <c r="I35" i="17"/>
  <c r="I18" i="17"/>
  <c r="I21" i="17"/>
  <c r="J173" i="22"/>
  <c r="I171" i="22"/>
  <c r="J169" i="22"/>
  <c r="J168" i="22"/>
  <c r="J170" i="22"/>
  <c r="J167" i="22"/>
  <c r="Q2455" i="21"/>
  <c r="Q2454" i="21"/>
  <c r="Q2453" i="21"/>
  <c r="Q2452" i="21"/>
  <c r="Q2451" i="21"/>
  <c r="Q2450" i="21"/>
  <c r="Q2449" i="21"/>
  <c r="Q2448" i="21"/>
  <c r="Q2447" i="21"/>
  <c r="Q2446" i="21"/>
  <c r="Q2445" i="21"/>
  <c r="Q2444" i="21"/>
  <c r="Q2443" i="21"/>
  <c r="Q2442" i="21"/>
  <c r="Q2441" i="21"/>
  <c r="Q2440" i="21"/>
  <c r="Q2439" i="21"/>
  <c r="Q2438" i="21"/>
  <c r="Q2437" i="21"/>
  <c r="Q2436" i="21"/>
  <c r="Q2435" i="21"/>
  <c r="Q2434" i="21"/>
  <c r="Q2433" i="21"/>
  <c r="Q2432" i="21"/>
  <c r="Q2431" i="21"/>
  <c r="Q2430" i="21"/>
  <c r="Q2429" i="21"/>
  <c r="Q2428" i="21"/>
  <c r="Q2427" i="21"/>
  <c r="Q2426" i="21"/>
  <c r="Q2425" i="21"/>
  <c r="Q2424" i="21"/>
  <c r="Q2423" i="21"/>
  <c r="Q2422" i="21"/>
  <c r="Q2421" i="21"/>
  <c r="Q2420" i="21"/>
  <c r="Q2419" i="21"/>
  <c r="Q2418" i="21"/>
  <c r="Q2417" i="21"/>
  <c r="Q2416" i="21"/>
  <c r="M2455" i="21"/>
  <c r="M2454" i="21"/>
  <c r="M2453" i="21"/>
  <c r="M2452" i="21"/>
  <c r="M2451" i="21"/>
  <c r="M2450" i="21"/>
  <c r="M2449" i="21"/>
  <c r="M2448" i="21"/>
  <c r="M2447" i="21"/>
  <c r="M2446" i="21"/>
  <c r="M2445" i="21"/>
  <c r="M2444" i="21"/>
  <c r="M2443" i="21"/>
  <c r="M2442" i="21"/>
  <c r="M2441" i="21"/>
  <c r="M2440" i="21"/>
  <c r="M2439" i="21"/>
  <c r="M2438" i="21"/>
  <c r="M2437" i="21"/>
  <c r="M2436" i="21"/>
  <c r="M2435" i="21"/>
  <c r="M2434" i="21"/>
  <c r="M2433" i="21"/>
  <c r="M2432" i="21"/>
  <c r="M2431" i="21"/>
  <c r="M2430" i="21"/>
  <c r="M2429" i="21"/>
  <c r="M2428" i="21"/>
  <c r="M2427" i="21"/>
  <c r="M2426" i="21"/>
  <c r="M2425" i="21"/>
  <c r="M2424" i="21"/>
  <c r="M2423" i="21"/>
  <c r="M2422" i="21"/>
  <c r="M2421" i="21"/>
  <c r="M2420" i="21"/>
  <c r="M2419" i="21"/>
  <c r="M2418" i="21"/>
  <c r="M2417" i="21"/>
  <c r="M2416" i="21"/>
  <c r="J2415" i="21"/>
  <c r="L2415" i="21"/>
  <c r="Q2381" i="21"/>
  <c r="Q2364" i="21"/>
  <c r="Q2356" i="21"/>
  <c r="Q2352" i="21"/>
  <c r="Q2308" i="21"/>
  <c r="Q2383" i="21"/>
  <c r="Q2349" i="21"/>
  <c r="Q2346" i="21"/>
  <c r="Q2315" i="21"/>
  <c r="Q2367" i="21"/>
  <c r="Q2331" i="21"/>
  <c r="Q2327" i="21"/>
  <c r="Q2338" i="21"/>
  <c r="Q2385" i="21"/>
  <c r="Q2379" i="21"/>
  <c r="Q2361" i="21"/>
  <c r="Q2343" i="21"/>
  <c r="Q2339" i="21"/>
  <c r="Q2326" i="21"/>
  <c r="Q2313" i="21"/>
  <c r="Q2362" i="21"/>
  <c r="Q2344" i="21"/>
  <c r="Q2358" i="21"/>
  <c r="Q2314" i="21"/>
  <c r="Q2319" i="21"/>
  <c r="Q2387" i="21"/>
  <c r="Q2332" i="21"/>
  <c r="Q2368" i="21"/>
  <c r="Q2350" i="21"/>
  <c r="Q2320" i="21"/>
  <c r="Q2373" i="21"/>
  <c r="Q2355" i="21"/>
  <c r="Q2325" i="21"/>
  <c r="Q2321" i="21"/>
  <c r="J2414" i="21"/>
  <c r="J2413" i="21"/>
  <c r="J2412" i="21"/>
  <c r="J2411" i="21"/>
  <c r="J2410" i="21"/>
  <c r="J2409" i="21"/>
  <c r="J2408" i="21"/>
  <c r="J2407" i="21"/>
  <c r="J2406" i="21"/>
  <c r="J2405" i="21"/>
  <c r="J2404" i="21"/>
  <c r="J2403" i="21"/>
  <c r="J2402" i="21"/>
  <c r="J2401" i="21"/>
  <c r="J2400" i="21"/>
  <c r="J2399" i="21"/>
  <c r="J2398" i="21"/>
  <c r="J2397" i="21"/>
  <c r="J2396" i="21"/>
  <c r="J2395" i="21"/>
  <c r="J2394" i="21"/>
  <c r="J2393" i="21"/>
  <c r="J2392" i="21"/>
  <c r="J2391" i="21"/>
  <c r="J2390" i="21"/>
  <c r="J2389" i="21"/>
  <c r="L2378" i="21"/>
  <c r="Q2372" i="21"/>
  <c r="M2371" i="21"/>
  <c r="Q2366" i="21"/>
  <c r="M2365" i="21"/>
  <c r="Q2360" i="21"/>
  <c r="M2359" i="21"/>
  <c r="Q2354" i="21"/>
  <c r="M2353" i="21"/>
  <c r="Q2348" i="21"/>
  <c r="M2347" i="21"/>
  <c r="Q2342" i="21"/>
  <c r="M2341" i="21"/>
  <c r="Q2336" i="21"/>
  <c r="M2335" i="21"/>
  <c r="Q2330" i="21"/>
  <c r="M2329" i="21"/>
  <c r="Q2324" i="21"/>
  <c r="M2323" i="21"/>
  <c r="Q2318" i="21"/>
  <c r="Q2312" i="21"/>
  <c r="Q2306" i="21"/>
  <c r="Q2384" i="21"/>
  <c r="Q2386" i="21"/>
  <c r="Q2375" i="21"/>
  <c r="Q2369" i="21"/>
  <c r="Q2363" i="21"/>
  <c r="Q2357" i="21"/>
  <c r="Q2351" i="21"/>
  <c r="Q2345" i="21"/>
  <c r="M2338" i="21"/>
  <c r="M2332" i="21"/>
  <c r="M2326" i="21"/>
  <c r="M2320" i="21"/>
  <c r="Q2388" i="21"/>
  <c r="Q2376" i="21"/>
  <c r="M2387" i="21"/>
  <c r="Q2377" i="21"/>
  <c r="Q2340" i="21"/>
  <c r="Q2334" i="21"/>
  <c r="Q2328" i="21"/>
  <c r="Q2322" i="21"/>
  <c r="Q2316" i="21"/>
  <c r="Q2310" i="21"/>
  <c r="Q2378" i="21"/>
  <c r="Q2371" i="21"/>
  <c r="Q2365" i="21"/>
  <c r="Q2359" i="21"/>
  <c r="Q2353" i="21"/>
  <c r="Q2347" i="21"/>
  <c r="Q2341" i="21"/>
  <c r="Q2335" i="21"/>
  <c r="Q2329" i="21"/>
  <c r="Q2323" i="21"/>
  <c r="Q2317" i="21"/>
  <c r="Q2311" i="21"/>
  <c r="Q2305" i="21"/>
  <c r="Q2380" i="21"/>
  <c r="Q2304" i="21"/>
  <c r="J2303" i="21"/>
  <c r="L2303" i="21"/>
  <c r="J166" i="22"/>
  <c r="J165" i="22"/>
  <c r="Q2302" i="21"/>
  <c r="Q2300" i="21"/>
  <c r="Q2298" i="21"/>
  <c r="Q2296" i="21"/>
  <c r="Q2292" i="21"/>
  <c r="Q2290" i="21"/>
  <c r="Q2288" i="21"/>
  <c r="Q2286" i="21"/>
  <c r="Q2284" i="21"/>
  <c r="Q2282" i="21"/>
  <c r="Q2280" i="21"/>
  <c r="Q2278" i="21"/>
  <c r="Q2276" i="21"/>
  <c r="Q2274" i="21"/>
  <c r="Q2272" i="21"/>
  <c r="Q2270" i="21"/>
  <c r="Q2268" i="21"/>
  <c r="Q2266" i="21"/>
  <c r="Q2264" i="21"/>
  <c r="Q2262" i="21"/>
  <c r="Q2260" i="21"/>
  <c r="Q2258" i="21"/>
  <c r="Q2256" i="21"/>
  <c r="Q2254" i="21"/>
  <c r="Q2252" i="21"/>
  <c r="Q2250" i="21"/>
  <c r="Q2248" i="21"/>
  <c r="Q2246" i="21"/>
  <c r="Q2244" i="21"/>
  <c r="Q2242" i="21"/>
  <c r="Q2240" i="21"/>
  <c r="Q2238" i="21"/>
  <c r="Q2236" i="21"/>
  <c r="Q2234" i="21"/>
  <c r="Q2232" i="21"/>
  <c r="Q2230" i="21"/>
  <c r="Q2228" i="21"/>
  <c r="Q2226" i="21"/>
  <c r="Q2224" i="21"/>
  <c r="Q2222" i="21"/>
  <c r="Q2220" i="21"/>
  <c r="Q2218" i="21"/>
  <c r="Q2216" i="21"/>
  <c r="Q2214" i="21"/>
  <c r="Q2212" i="21"/>
  <c r="Q2210" i="21"/>
  <c r="Q2208" i="21"/>
  <c r="Q2206" i="21"/>
  <c r="Q2204" i="21"/>
  <c r="Q2202" i="21"/>
  <c r="Q2200" i="21"/>
  <c r="Q2198" i="21"/>
  <c r="Q2196" i="21"/>
  <c r="Q2194" i="21"/>
  <c r="Q2192" i="21"/>
  <c r="Q2190" i="21"/>
  <c r="Q2188" i="21"/>
  <c r="Q2186" i="21"/>
  <c r="Q2184" i="21"/>
  <c r="Q2182" i="21"/>
  <c r="Q2180" i="21"/>
  <c r="Q2178" i="21"/>
  <c r="Q2176" i="21"/>
  <c r="Q2174" i="21"/>
  <c r="Q2172" i="21"/>
  <c r="Q2170" i="21"/>
  <c r="Q2168" i="21"/>
  <c r="Q2294" i="21"/>
  <c r="J2301" i="21"/>
  <c r="J2299" i="21"/>
  <c r="J2297" i="21"/>
  <c r="J2295" i="21"/>
  <c r="J2293" i="21"/>
  <c r="J2291" i="21"/>
  <c r="J2289" i="21"/>
  <c r="J2287" i="21"/>
  <c r="J2285" i="21"/>
  <c r="J2283" i="21"/>
  <c r="J2281" i="21"/>
  <c r="J2279" i="21"/>
  <c r="J2277" i="21"/>
  <c r="J2275" i="21"/>
  <c r="J2273" i="21"/>
  <c r="J2271" i="21"/>
  <c r="J2269" i="21"/>
  <c r="J2267" i="21"/>
  <c r="J2265" i="21"/>
  <c r="J2263" i="21"/>
  <c r="J2261" i="21"/>
  <c r="J2259" i="21"/>
  <c r="J2257" i="21"/>
  <c r="J2255" i="21"/>
  <c r="J2253" i="21"/>
  <c r="J2251" i="21"/>
  <c r="J2249" i="21"/>
  <c r="J2247" i="21"/>
  <c r="J2245" i="21"/>
  <c r="J2243" i="21"/>
  <c r="J2241" i="21"/>
  <c r="J2239" i="21"/>
  <c r="J2237" i="21"/>
  <c r="J2235" i="21"/>
  <c r="J2233" i="21"/>
  <c r="J2231" i="21"/>
  <c r="J2229" i="21"/>
  <c r="J2227" i="21"/>
  <c r="J2225" i="21"/>
  <c r="J2223" i="21"/>
  <c r="J2221" i="21"/>
  <c r="J2219" i="21"/>
  <c r="J2217" i="21"/>
  <c r="J2215" i="21"/>
  <c r="J2213" i="21"/>
  <c r="J2211" i="21"/>
  <c r="J2209" i="21"/>
  <c r="J2207" i="21"/>
  <c r="J2205" i="21"/>
  <c r="J2203" i="21"/>
  <c r="J2201" i="21"/>
  <c r="J2199" i="21"/>
  <c r="J2197" i="21"/>
  <c r="J2195" i="21"/>
  <c r="J2193" i="21"/>
  <c r="J2191" i="21"/>
  <c r="J2189" i="21"/>
  <c r="J2187" i="21"/>
  <c r="J2185" i="21"/>
  <c r="J2183" i="21"/>
  <c r="J2181" i="21"/>
  <c r="J2179" i="21"/>
  <c r="J2177" i="21"/>
  <c r="J2175" i="21"/>
  <c r="J2173" i="21"/>
  <c r="J2171" i="21"/>
  <c r="J2169" i="21"/>
  <c r="M2168" i="21"/>
  <c r="Q2167" i="21"/>
  <c r="L2165" i="21"/>
  <c r="M2166" i="21"/>
  <c r="Q2165" i="21"/>
  <c r="J2166" i="21"/>
  <c r="Q2144" i="21"/>
  <c r="Q2154" i="21"/>
  <c r="Q2150" i="21"/>
  <c r="Q2146" i="21"/>
  <c r="Q2152" i="21"/>
  <c r="Q2148" i="21"/>
  <c r="E44" i="17"/>
  <c r="F44" i="17"/>
  <c r="H44" i="17"/>
  <c r="Q2164" i="21"/>
  <c r="Q2162" i="21"/>
  <c r="Q2160" i="21"/>
  <c r="Q2158" i="21"/>
  <c r="Q2156" i="21"/>
  <c r="J2163" i="21"/>
  <c r="J2161" i="21"/>
  <c r="J2159" i="21"/>
  <c r="J2157" i="21"/>
  <c r="J2155" i="21"/>
  <c r="J2153" i="21"/>
  <c r="J2151" i="21"/>
  <c r="J2149" i="21"/>
  <c r="J2147" i="21"/>
  <c r="J2145" i="21"/>
  <c r="Q2143" i="21"/>
  <c r="J164" i="22"/>
  <c r="J163" i="22"/>
  <c r="I162" i="22"/>
  <c r="Q2110" i="21"/>
  <c r="Q2108" i="21"/>
  <c r="Q2106" i="21"/>
  <c r="Q2104" i="21"/>
  <c r="Q2102" i="21"/>
  <c r="Q2100" i="21"/>
  <c r="Q2098" i="21"/>
  <c r="Q2096" i="21"/>
  <c r="Q2094" i="21"/>
  <c r="Q2092" i="21"/>
  <c r="Q2090" i="21"/>
  <c r="Q2088" i="21"/>
  <c r="Q2086" i="21"/>
  <c r="Q2084" i="21"/>
  <c r="Q2082" i="21"/>
  <c r="Q2080" i="21"/>
  <c r="Q2078" i="21"/>
  <c r="Q2076" i="21"/>
  <c r="Q2074" i="21"/>
  <c r="Q2072" i="21"/>
  <c r="Q2070" i="21"/>
  <c r="Q2068" i="21"/>
  <c r="Q2066" i="21"/>
  <c r="Q2064" i="21"/>
  <c r="Q2062" i="21"/>
  <c r="Q2060" i="21"/>
  <c r="Q2058" i="21"/>
  <c r="Q2056" i="21"/>
  <c r="Q2054" i="21"/>
  <c r="Q2052" i="21"/>
  <c r="Q2050" i="21"/>
  <c r="Q2048" i="21"/>
  <c r="Q2046" i="21"/>
  <c r="Q2044" i="21"/>
  <c r="Q2042" i="21"/>
  <c r="Q2040" i="21"/>
  <c r="Q2038" i="21"/>
  <c r="Q2036" i="21"/>
  <c r="Q2034" i="21"/>
  <c r="Q2032" i="21"/>
  <c r="Q2030" i="21"/>
  <c r="Q2028" i="21"/>
  <c r="Q2026" i="21"/>
  <c r="Q2024" i="21"/>
  <c r="Q2022" i="21"/>
  <c r="Q2020" i="21"/>
  <c r="Q2018" i="21"/>
  <c r="Q2016" i="21"/>
  <c r="Q2014" i="21"/>
  <c r="Q2012" i="21"/>
  <c r="Q2010" i="21"/>
  <c r="Q2142" i="21"/>
  <c r="Q2140" i="21"/>
  <c r="Q2138" i="21"/>
  <c r="Q2136" i="21"/>
  <c r="Q2134" i="21"/>
  <c r="Q2132" i="21"/>
  <c r="Q2130" i="21"/>
  <c r="Q2128" i="21"/>
  <c r="Q2126" i="21"/>
  <c r="Q2124" i="21"/>
  <c r="Q2122" i="21"/>
  <c r="Q2120" i="21"/>
  <c r="Q2118" i="21"/>
  <c r="Q2116" i="21"/>
  <c r="Q2114" i="21"/>
  <c r="Q2112" i="21"/>
  <c r="J2141" i="21"/>
  <c r="J2139" i="21"/>
  <c r="J2137" i="21"/>
  <c r="J2135" i="21"/>
  <c r="J2133" i="21"/>
  <c r="J2131" i="21"/>
  <c r="J2129" i="21"/>
  <c r="J2127" i="21"/>
  <c r="J2125" i="21"/>
  <c r="J2123" i="21"/>
  <c r="J2121" i="21"/>
  <c r="J2119" i="21"/>
  <c r="J2117" i="21"/>
  <c r="J2115" i="21"/>
  <c r="J2113" i="21"/>
  <c r="J2111" i="21"/>
  <c r="J2109" i="21"/>
  <c r="J2107" i="21"/>
  <c r="J2105" i="21"/>
  <c r="J2103" i="21"/>
  <c r="J2101" i="21"/>
  <c r="J2099" i="21"/>
  <c r="J2097" i="21"/>
  <c r="J2095" i="21"/>
  <c r="J2093" i="21"/>
  <c r="J2091" i="21"/>
  <c r="J2089" i="21"/>
  <c r="J2087" i="21"/>
  <c r="J2085" i="21"/>
  <c r="J2083" i="21"/>
  <c r="J2081" i="21"/>
  <c r="J2079" i="21"/>
  <c r="J2077" i="21"/>
  <c r="J2075" i="21"/>
  <c r="J2073" i="21"/>
  <c r="J2071" i="21"/>
  <c r="J2069" i="21"/>
  <c r="J2067" i="21"/>
  <c r="J2065" i="21"/>
  <c r="J2063" i="21"/>
  <c r="J2061" i="21"/>
  <c r="J2059" i="21"/>
  <c r="J2057" i="21"/>
  <c r="J2055" i="21"/>
  <c r="J2053" i="21"/>
  <c r="J2051" i="21"/>
  <c r="J2049" i="21"/>
  <c r="J2047" i="21"/>
  <c r="J2045" i="21"/>
  <c r="J2043" i="21"/>
  <c r="J2041" i="21"/>
  <c r="J2039" i="21"/>
  <c r="J2037" i="21"/>
  <c r="J2035" i="21"/>
  <c r="J2033" i="21"/>
  <c r="J2031" i="21"/>
  <c r="J2029" i="21"/>
  <c r="J2027" i="21"/>
  <c r="J2025" i="21"/>
  <c r="J2023" i="21"/>
  <c r="J2021" i="21"/>
  <c r="J2019" i="21"/>
  <c r="J2017" i="21"/>
  <c r="J2015" i="21"/>
  <c r="J2013" i="21"/>
  <c r="J2011" i="21"/>
  <c r="Q2009" i="21"/>
  <c r="N29" i="24"/>
  <c r="M29" i="24"/>
  <c r="L29" i="24"/>
  <c r="K29" i="24"/>
  <c r="J29" i="24"/>
  <c r="I29" i="24"/>
  <c r="H29" i="24"/>
  <c r="C29" i="24"/>
  <c r="N25" i="24"/>
  <c r="M25" i="24"/>
  <c r="L25" i="24"/>
  <c r="K25" i="24"/>
  <c r="J25" i="24"/>
  <c r="I25" i="24"/>
  <c r="H25" i="24"/>
  <c r="C25" i="24"/>
  <c r="N18" i="24"/>
  <c r="M18" i="24"/>
  <c r="L18" i="24"/>
  <c r="K18" i="24"/>
  <c r="J18" i="24"/>
  <c r="I18" i="24"/>
  <c r="H18" i="24"/>
  <c r="C18" i="24"/>
  <c r="N6" i="24"/>
  <c r="M6" i="24"/>
  <c r="L6" i="24"/>
  <c r="K6" i="24"/>
  <c r="J6" i="24"/>
  <c r="I6" i="24"/>
  <c r="H6" i="24"/>
  <c r="C6" i="24"/>
  <c r="C5" i="24"/>
  <c r="N4" i="24"/>
  <c r="M4" i="24"/>
  <c r="L4" i="24"/>
  <c r="K4" i="24"/>
  <c r="J4" i="24"/>
  <c r="I4" i="24"/>
  <c r="H4" i="24"/>
  <c r="G4" i="24"/>
  <c r="F4" i="24"/>
  <c r="E4" i="24"/>
  <c r="D4" i="24"/>
  <c r="C4" i="24"/>
  <c r="N2175" i="19"/>
  <c r="O2175" i="19"/>
  <c r="P2175" i="19"/>
  <c r="T2175" i="19"/>
  <c r="U2175" i="19"/>
  <c r="W2175" i="19"/>
  <c r="X2175" i="19"/>
  <c r="N2152" i="19"/>
  <c r="N2153" i="19"/>
  <c r="N2154" i="19"/>
  <c r="N2155" i="19"/>
  <c r="N2156" i="19"/>
  <c r="N2157" i="19"/>
  <c r="N2158" i="19"/>
  <c r="N2159" i="19"/>
  <c r="N2160" i="19"/>
  <c r="N2161" i="19"/>
  <c r="N2162" i="19"/>
  <c r="N2163" i="19"/>
  <c r="N2164" i="19"/>
  <c r="N2165" i="19"/>
  <c r="N2166" i="19"/>
  <c r="N2167" i="19"/>
  <c r="N2168" i="19"/>
  <c r="N2169" i="19"/>
  <c r="N2170" i="19"/>
  <c r="N2171" i="19"/>
  <c r="N2172" i="19"/>
  <c r="N2173" i="19"/>
  <c r="N2174" i="19"/>
  <c r="O2152" i="19"/>
  <c r="O2153" i="19"/>
  <c r="O2154" i="19"/>
  <c r="O2155" i="19"/>
  <c r="O2156" i="19"/>
  <c r="O2157" i="19"/>
  <c r="O2158" i="19"/>
  <c r="O2159" i="19"/>
  <c r="O2160" i="19"/>
  <c r="O2161" i="19"/>
  <c r="F12" i="24" s="1"/>
  <c r="O2162" i="19"/>
  <c r="O2163" i="19"/>
  <c r="O2164" i="19"/>
  <c r="O2165" i="19"/>
  <c r="O2166" i="19"/>
  <c r="O2167" i="19"/>
  <c r="O2168" i="19"/>
  <c r="O2169" i="19"/>
  <c r="O2170" i="19"/>
  <c r="O2171" i="19"/>
  <c r="O2172" i="19"/>
  <c r="O2173" i="19"/>
  <c r="O2174" i="19"/>
  <c r="P2152" i="19"/>
  <c r="P2153" i="19"/>
  <c r="P2154" i="19"/>
  <c r="P2155" i="19"/>
  <c r="P2156" i="19"/>
  <c r="P2157" i="19"/>
  <c r="P2158" i="19"/>
  <c r="P2159" i="19"/>
  <c r="P2160" i="19"/>
  <c r="P2161" i="19"/>
  <c r="P2162" i="19"/>
  <c r="P2163" i="19"/>
  <c r="P2164" i="19"/>
  <c r="P2165" i="19"/>
  <c r="P2166" i="19"/>
  <c r="P2167" i="19"/>
  <c r="P2168" i="19"/>
  <c r="P2169" i="19"/>
  <c r="P2170" i="19"/>
  <c r="P2171" i="19"/>
  <c r="P2172" i="19"/>
  <c r="P2173" i="19"/>
  <c r="P2174" i="19"/>
  <c r="T2152" i="19"/>
  <c r="T2153" i="19"/>
  <c r="T2154" i="19"/>
  <c r="T2155" i="19"/>
  <c r="T2156" i="19"/>
  <c r="T2157" i="19"/>
  <c r="T2158" i="19"/>
  <c r="T2159" i="19"/>
  <c r="T2160" i="19"/>
  <c r="T2161" i="19"/>
  <c r="T2162" i="19"/>
  <c r="T2163" i="19"/>
  <c r="T2164" i="19"/>
  <c r="T2165" i="19"/>
  <c r="T2166" i="19"/>
  <c r="T2167" i="19"/>
  <c r="T2168" i="19"/>
  <c r="T2169" i="19"/>
  <c r="T2170" i="19"/>
  <c r="T2171" i="19"/>
  <c r="T2172" i="19"/>
  <c r="T2173" i="19"/>
  <c r="T2174" i="19"/>
  <c r="U2152" i="19"/>
  <c r="U2153" i="19"/>
  <c r="U2154" i="19"/>
  <c r="U2155" i="19"/>
  <c r="U2156" i="19"/>
  <c r="U2157" i="19"/>
  <c r="U2158" i="19"/>
  <c r="U2159" i="19"/>
  <c r="U2160" i="19"/>
  <c r="U2161" i="19"/>
  <c r="U2162" i="19"/>
  <c r="U2163" i="19"/>
  <c r="U2164" i="19"/>
  <c r="U2165" i="19"/>
  <c r="U2166" i="19"/>
  <c r="U2167" i="19"/>
  <c r="U2168" i="19"/>
  <c r="U2169" i="19"/>
  <c r="U2170" i="19"/>
  <c r="U2171" i="19"/>
  <c r="U2172" i="19"/>
  <c r="U2173" i="19"/>
  <c r="U2174" i="19"/>
  <c r="W2152" i="19"/>
  <c r="W2153" i="19"/>
  <c r="W2154" i="19"/>
  <c r="W2155" i="19"/>
  <c r="W2156" i="19"/>
  <c r="W2157" i="19"/>
  <c r="W2158" i="19"/>
  <c r="W2159" i="19"/>
  <c r="W2160" i="19"/>
  <c r="W2161" i="19"/>
  <c r="W2162" i="19"/>
  <c r="W2163" i="19"/>
  <c r="W2164" i="19"/>
  <c r="W2165" i="19"/>
  <c r="W2166" i="19"/>
  <c r="W2167" i="19"/>
  <c r="W2168" i="19"/>
  <c r="W2169" i="19"/>
  <c r="W2170" i="19"/>
  <c r="W2171" i="19"/>
  <c r="W2172" i="19"/>
  <c r="W2173" i="19"/>
  <c r="W2174" i="19"/>
  <c r="X2152" i="19"/>
  <c r="X2153" i="19"/>
  <c r="X2154" i="19"/>
  <c r="X2155" i="19"/>
  <c r="X2156" i="19"/>
  <c r="X2157" i="19"/>
  <c r="X2158" i="19"/>
  <c r="X2159" i="19"/>
  <c r="X2160" i="19"/>
  <c r="X2161" i="19"/>
  <c r="X2162" i="19"/>
  <c r="X2163" i="19"/>
  <c r="X2164" i="19"/>
  <c r="X2165" i="19"/>
  <c r="X2166" i="19"/>
  <c r="X2167" i="19"/>
  <c r="X2168" i="19"/>
  <c r="X2169" i="19"/>
  <c r="X2170" i="19"/>
  <c r="X2171" i="19"/>
  <c r="X2172" i="19"/>
  <c r="X2173" i="19"/>
  <c r="X2174" i="19"/>
  <c r="F159" i="22"/>
  <c r="I159" i="22" s="1"/>
  <c r="F160" i="22"/>
  <c r="I160" i="22" s="1"/>
  <c r="F161" i="22"/>
  <c r="I161" i="22" s="1"/>
  <c r="F158" i="22"/>
  <c r="J158" i="22" s="1"/>
  <c r="F141" i="22"/>
  <c r="I141" i="22" s="1"/>
  <c r="F142" i="22"/>
  <c r="I142" i="22" s="1"/>
  <c r="F143" i="22"/>
  <c r="J143" i="22" s="1"/>
  <c r="F144" i="22"/>
  <c r="J144" i="22" s="1"/>
  <c r="F145" i="22"/>
  <c r="I145" i="22" s="1"/>
  <c r="F146" i="22"/>
  <c r="I146" i="22" s="1"/>
  <c r="F147" i="22"/>
  <c r="I147" i="22" s="1"/>
  <c r="F148" i="22"/>
  <c r="I148" i="22" s="1"/>
  <c r="F149" i="22"/>
  <c r="I149" i="22" s="1"/>
  <c r="F150" i="22"/>
  <c r="I150" i="22" s="1"/>
  <c r="F151" i="22"/>
  <c r="I151" i="22" s="1"/>
  <c r="F152" i="22"/>
  <c r="I152" i="22" s="1"/>
  <c r="F153" i="22"/>
  <c r="I153" i="22" s="1"/>
  <c r="F154" i="22"/>
  <c r="J154" i="22" s="1"/>
  <c r="F155" i="22"/>
  <c r="I155" i="22" s="1"/>
  <c r="F156" i="22"/>
  <c r="J156" i="22" s="1"/>
  <c r="F157" i="22"/>
  <c r="I157" i="22" s="1"/>
  <c r="F140" i="22"/>
  <c r="J140" i="22" s="1"/>
  <c r="L161" i="22"/>
  <c r="P161" i="22"/>
  <c r="Q161" i="22"/>
  <c r="L141" i="22"/>
  <c r="P141" i="22"/>
  <c r="Q141" i="22"/>
  <c r="L142" i="22"/>
  <c r="P142" i="22"/>
  <c r="Q142" i="22"/>
  <c r="L143" i="22"/>
  <c r="P143" i="22"/>
  <c r="Q143" i="22"/>
  <c r="L144" i="22"/>
  <c r="P144" i="22"/>
  <c r="Q144" i="22"/>
  <c r="L145" i="22"/>
  <c r="P145" i="22"/>
  <c r="Q145" i="22"/>
  <c r="L146" i="22"/>
  <c r="P146" i="22"/>
  <c r="Q146" i="22"/>
  <c r="L147" i="22"/>
  <c r="P147" i="22"/>
  <c r="Q147" i="22"/>
  <c r="L148" i="22"/>
  <c r="P148" i="22"/>
  <c r="Q148" i="22"/>
  <c r="L149" i="22"/>
  <c r="P149" i="22"/>
  <c r="Q149" i="22"/>
  <c r="L150" i="22"/>
  <c r="P150" i="22"/>
  <c r="Q150" i="22"/>
  <c r="L151" i="22"/>
  <c r="P151" i="22"/>
  <c r="Q151" i="22"/>
  <c r="L152" i="22"/>
  <c r="P152" i="22"/>
  <c r="Q152" i="22"/>
  <c r="L153" i="22"/>
  <c r="P153" i="22"/>
  <c r="Q153" i="22"/>
  <c r="L154" i="22"/>
  <c r="P154" i="22"/>
  <c r="Q154" i="22"/>
  <c r="L155" i="22"/>
  <c r="P155" i="22"/>
  <c r="Q155" i="22"/>
  <c r="L156" i="22"/>
  <c r="P156" i="22"/>
  <c r="Q156" i="22"/>
  <c r="L157" i="22"/>
  <c r="P157" i="22"/>
  <c r="Q157" i="22"/>
  <c r="I158" i="22"/>
  <c r="L158" i="22"/>
  <c r="P158" i="22"/>
  <c r="Q158" i="22"/>
  <c r="L159" i="22"/>
  <c r="P159" i="22"/>
  <c r="Q159" i="22"/>
  <c r="L160" i="22"/>
  <c r="P160" i="22"/>
  <c r="Q160" i="22"/>
  <c r="Q140" i="22"/>
  <c r="P140" i="22"/>
  <c r="L140" i="22"/>
  <c r="G157" i="22"/>
  <c r="N157" i="22" s="1"/>
  <c r="G158" i="22"/>
  <c r="N158" i="22" s="1"/>
  <c r="G159" i="22"/>
  <c r="N159" i="22" s="1"/>
  <c r="G160" i="22"/>
  <c r="N160" i="22" s="1"/>
  <c r="G161" i="22"/>
  <c r="N161" i="22" s="1"/>
  <c r="G153" i="22"/>
  <c r="N153" i="22" s="1"/>
  <c r="G154" i="22"/>
  <c r="N154" i="22" s="1"/>
  <c r="G155" i="22"/>
  <c r="N155" i="22" s="1"/>
  <c r="G156" i="22"/>
  <c r="N156" i="22" s="1"/>
  <c r="G141" i="22"/>
  <c r="N141" i="22" s="1"/>
  <c r="G142" i="22"/>
  <c r="N142" i="22" s="1"/>
  <c r="G143" i="22"/>
  <c r="N143" i="22" s="1"/>
  <c r="G144" i="22"/>
  <c r="N144" i="22" s="1"/>
  <c r="G145" i="22"/>
  <c r="N145" i="22" s="1"/>
  <c r="G146" i="22"/>
  <c r="N146" i="22" s="1"/>
  <c r="G147" i="22"/>
  <c r="N147" i="22" s="1"/>
  <c r="G148" i="22"/>
  <c r="N148" i="22" s="1"/>
  <c r="G149" i="22"/>
  <c r="N149" i="22" s="1"/>
  <c r="G150" i="22"/>
  <c r="N150" i="22" s="1"/>
  <c r="G151" i="22"/>
  <c r="N151" i="22" s="1"/>
  <c r="G152" i="22"/>
  <c r="N152" i="22" s="1"/>
  <c r="G140" i="22"/>
  <c r="N140" i="22" s="1"/>
  <c r="U2" i="19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26" i="19"/>
  <c r="U127" i="19"/>
  <c r="U128" i="19"/>
  <c r="U129" i="19"/>
  <c r="U130" i="19"/>
  <c r="U131" i="19"/>
  <c r="U132" i="19"/>
  <c r="U133" i="19"/>
  <c r="U134" i="19"/>
  <c r="U135" i="19"/>
  <c r="U136" i="19"/>
  <c r="U137" i="19"/>
  <c r="U138" i="19"/>
  <c r="U139" i="19"/>
  <c r="U140" i="19"/>
  <c r="U141" i="19"/>
  <c r="U142" i="19"/>
  <c r="U143" i="19"/>
  <c r="U144" i="19"/>
  <c r="U145" i="19"/>
  <c r="U146" i="19"/>
  <c r="U147" i="19"/>
  <c r="U148" i="19"/>
  <c r="U149" i="19"/>
  <c r="U150" i="19"/>
  <c r="U151" i="19"/>
  <c r="U152" i="19"/>
  <c r="U153" i="19"/>
  <c r="U154" i="19"/>
  <c r="U155" i="19"/>
  <c r="U156" i="19"/>
  <c r="U157" i="19"/>
  <c r="U158" i="19"/>
  <c r="U159" i="19"/>
  <c r="U160" i="19"/>
  <c r="U161" i="19"/>
  <c r="U162" i="19"/>
  <c r="U163" i="19"/>
  <c r="U164" i="19"/>
  <c r="U165" i="19"/>
  <c r="U166" i="19"/>
  <c r="U167" i="19"/>
  <c r="U168" i="19"/>
  <c r="U169" i="19"/>
  <c r="U170" i="19"/>
  <c r="U171" i="19"/>
  <c r="U172" i="19"/>
  <c r="U173" i="19"/>
  <c r="U174" i="19"/>
  <c r="U175" i="19"/>
  <c r="U176" i="19"/>
  <c r="U177" i="19"/>
  <c r="U178" i="19"/>
  <c r="U179" i="19"/>
  <c r="U180" i="19"/>
  <c r="U181" i="19"/>
  <c r="U182" i="19"/>
  <c r="U183" i="19"/>
  <c r="U184" i="19"/>
  <c r="U185" i="19"/>
  <c r="U186" i="19"/>
  <c r="U187" i="19"/>
  <c r="U188" i="19"/>
  <c r="U189" i="19"/>
  <c r="U190" i="19"/>
  <c r="U191" i="19"/>
  <c r="U192" i="19"/>
  <c r="U193" i="19"/>
  <c r="U194" i="19"/>
  <c r="U195" i="19"/>
  <c r="U196" i="19"/>
  <c r="U197" i="19"/>
  <c r="U198" i="19"/>
  <c r="U199" i="19"/>
  <c r="U200" i="19"/>
  <c r="U201" i="19"/>
  <c r="U202" i="19"/>
  <c r="U203" i="19"/>
  <c r="U204" i="19"/>
  <c r="U205" i="19"/>
  <c r="U206" i="19"/>
  <c r="U207" i="19"/>
  <c r="U208" i="19"/>
  <c r="U209" i="19"/>
  <c r="U210" i="19"/>
  <c r="U211" i="19"/>
  <c r="U212" i="19"/>
  <c r="U213" i="19"/>
  <c r="U214" i="19"/>
  <c r="U215" i="19"/>
  <c r="U216" i="19"/>
  <c r="U217" i="19"/>
  <c r="U218" i="19"/>
  <c r="U219" i="19"/>
  <c r="U220" i="19"/>
  <c r="U221" i="19"/>
  <c r="U222" i="19"/>
  <c r="U223" i="19"/>
  <c r="U224" i="19"/>
  <c r="U225" i="19"/>
  <c r="U226" i="19"/>
  <c r="U227" i="19"/>
  <c r="U228" i="19"/>
  <c r="U229" i="19"/>
  <c r="U230" i="19"/>
  <c r="U231" i="19"/>
  <c r="U232" i="19"/>
  <c r="U233" i="19"/>
  <c r="U234" i="19"/>
  <c r="U235" i="19"/>
  <c r="U236" i="19"/>
  <c r="U237" i="19"/>
  <c r="U238" i="19"/>
  <c r="U239" i="19"/>
  <c r="U240" i="19"/>
  <c r="U241" i="19"/>
  <c r="U242" i="19"/>
  <c r="U243" i="19"/>
  <c r="U244" i="19"/>
  <c r="U245" i="19"/>
  <c r="U246" i="19"/>
  <c r="U247" i="19"/>
  <c r="U248" i="19"/>
  <c r="U249" i="19"/>
  <c r="U250" i="19"/>
  <c r="U251" i="19"/>
  <c r="U252" i="19"/>
  <c r="U253" i="19"/>
  <c r="U254" i="19"/>
  <c r="U255" i="19"/>
  <c r="U256" i="19"/>
  <c r="U257" i="19"/>
  <c r="U258" i="19"/>
  <c r="U259" i="19"/>
  <c r="U260" i="19"/>
  <c r="U261" i="19"/>
  <c r="U262" i="19"/>
  <c r="U263" i="19"/>
  <c r="U264" i="19"/>
  <c r="U265" i="19"/>
  <c r="U266" i="19"/>
  <c r="U267" i="19"/>
  <c r="U268" i="19"/>
  <c r="U269" i="19"/>
  <c r="U270" i="19"/>
  <c r="U271" i="19"/>
  <c r="U272" i="19"/>
  <c r="U273" i="19"/>
  <c r="U274" i="19"/>
  <c r="U275" i="19"/>
  <c r="U276" i="19"/>
  <c r="U277" i="19"/>
  <c r="U278" i="19"/>
  <c r="U279" i="19"/>
  <c r="U280" i="19"/>
  <c r="U281" i="19"/>
  <c r="U282" i="19"/>
  <c r="U283" i="19"/>
  <c r="U284" i="19"/>
  <c r="U285" i="19"/>
  <c r="U286" i="19"/>
  <c r="U287" i="19"/>
  <c r="U288" i="19"/>
  <c r="U289" i="19"/>
  <c r="U290" i="19"/>
  <c r="U291" i="19"/>
  <c r="U292" i="19"/>
  <c r="U293" i="19"/>
  <c r="U294" i="19"/>
  <c r="U295" i="19"/>
  <c r="U296" i="19"/>
  <c r="U297" i="19"/>
  <c r="U298" i="19"/>
  <c r="U299" i="19"/>
  <c r="U300" i="19"/>
  <c r="U301" i="19"/>
  <c r="U302" i="19"/>
  <c r="U303" i="19"/>
  <c r="U304" i="19"/>
  <c r="U305" i="19"/>
  <c r="U306" i="19"/>
  <c r="U307" i="19"/>
  <c r="U308" i="19"/>
  <c r="U309" i="19"/>
  <c r="U310" i="19"/>
  <c r="U311" i="19"/>
  <c r="U312" i="19"/>
  <c r="U313" i="19"/>
  <c r="U314" i="19"/>
  <c r="U315" i="19"/>
  <c r="U316" i="19"/>
  <c r="U317" i="19"/>
  <c r="U318" i="19"/>
  <c r="U319" i="19"/>
  <c r="U320" i="19"/>
  <c r="U321" i="19"/>
  <c r="U322" i="19"/>
  <c r="U323" i="19"/>
  <c r="U324" i="19"/>
  <c r="U325" i="19"/>
  <c r="U326" i="19"/>
  <c r="U327" i="19"/>
  <c r="U328" i="19"/>
  <c r="U329" i="19"/>
  <c r="U330" i="19"/>
  <c r="U331" i="19"/>
  <c r="U332" i="19"/>
  <c r="U333" i="19"/>
  <c r="U334" i="19"/>
  <c r="U335" i="19"/>
  <c r="U336" i="19"/>
  <c r="U337" i="19"/>
  <c r="U338" i="19"/>
  <c r="U339" i="19"/>
  <c r="U340" i="19"/>
  <c r="U341" i="19"/>
  <c r="U342" i="19"/>
  <c r="U343" i="19"/>
  <c r="U344" i="19"/>
  <c r="U345" i="19"/>
  <c r="U346" i="19"/>
  <c r="U347" i="19"/>
  <c r="U348" i="19"/>
  <c r="U349" i="19"/>
  <c r="U350" i="19"/>
  <c r="U351" i="19"/>
  <c r="U352" i="19"/>
  <c r="U353" i="19"/>
  <c r="U354" i="19"/>
  <c r="U355" i="19"/>
  <c r="U356" i="19"/>
  <c r="U357" i="19"/>
  <c r="U358" i="19"/>
  <c r="U359" i="19"/>
  <c r="U360" i="19"/>
  <c r="U361" i="19"/>
  <c r="U362" i="19"/>
  <c r="U363" i="19"/>
  <c r="U364" i="19"/>
  <c r="U365" i="19"/>
  <c r="U366" i="19"/>
  <c r="U367" i="19"/>
  <c r="U368" i="19"/>
  <c r="U369" i="19"/>
  <c r="U370" i="19"/>
  <c r="U371" i="19"/>
  <c r="U372" i="19"/>
  <c r="U373" i="19"/>
  <c r="U374" i="19"/>
  <c r="U375" i="19"/>
  <c r="U376" i="19"/>
  <c r="U377" i="19"/>
  <c r="U378" i="19"/>
  <c r="U379" i="19"/>
  <c r="U380" i="19"/>
  <c r="U381" i="19"/>
  <c r="U382" i="19"/>
  <c r="U383" i="19"/>
  <c r="U384" i="19"/>
  <c r="U385" i="19"/>
  <c r="U386" i="19"/>
  <c r="U387" i="19"/>
  <c r="U388" i="19"/>
  <c r="U389" i="19"/>
  <c r="U390" i="19"/>
  <c r="U391" i="19"/>
  <c r="U392" i="19"/>
  <c r="U393" i="19"/>
  <c r="U394" i="19"/>
  <c r="U395" i="19"/>
  <c r="U396" i="19"/>
  <c r="U397" i="19"/>
  <c r="U398" i="19"/>
  <c r="U399" i="19"/>
  <c r="U400" i="19"/>
  <c r="U401" i="19"/>
  <c r="U402" i="19"/>
  <c r="U403" i="19"/>
  <c r="U404" i="19"/>
  <c r="U405" i="19"/>
  <c r="U406" i="19"/>
  <c r="U407" i="19"/>
  <c r="U408" i="19"/>
  <c r="U409" i="19"/>
  <c r="U410" i="19"/>
  <c r="U411" i="19"/>
  <c r="U412" i="19"/>
  <c r="U413" i="19"/>
  <c r="U414" i="19"/>
  <c r="U415" i="19"/>
  <c r="U416" i="19"/>
  <c r="U417" i="19"/>
  <c r="U418" i="19"/>
  <c r="U419" i="19"/>
  <c r="U420" i="19"/>
  <c r="U421" i="19"/>
  <c r="U422" i="19"/>
  <c r="U423" i="19"/>
  <c r="U424" i="19"/>
  <c r="U425" i="19"/>
  <c r="U426" i="19"/>
  <c r="U427" i="19"/>
  <c r="U428" i="19"/>
  <c r="U429" i="19"/>
  <c r="U430" i="19"/>
  <c r="U431" i="19"/>
  <c r="U432" i="19"/>
  <c r="U433" i="19"/>
  <c r="U434" i="19"/>
  <c r="U435" i="19"/>
  <c r="U436" i="19"/>
  <c r="U437" i="19"/>
  <c r="U438" i="19"/>
  <c r="U439" i="19"/>
  <c r="U440" i="19"/>
  <c r="U441" i="19"/>
  <c r="U442" i="19"/>
  <c r="U443" i="19"/>
  <c r="U444" i="19"/>
  <c r="U445" i="19"/>
  <c r="U446" i="19"/>
  <c r="U447" i="19"/>
  <c r="U448" i="19"/>
  <c r="U449" i="19"/>
  <c r="U450" i="19"/>
  <c r="U451" i="19"/>
  <c r="U452" i="19"/>
  <c r="U453" i="19"/>
  <c r="U454" i="19"/>
  <c r="U455" i="19"/>
  <c r="U456" i="19"/>
  <c r="U457" i="19"/>
  <c r="U458" i="19"/>
  <c r="U459" i="19"/>
  <c r="U460" i="19"/>
  <c r="U461" i="19"/>
  <c r="U462" i="19"/>
  <c r="U463" i="19"/>
  <c r="U464" i="19"/>
  <c r="U465" i="19"/>
  <c r="U466" i="19"/>
  <c r="U467" i="19"/>
  <c r="U468" i="19"/>
  <c r="U469" i="19"/>
  <c r="U470" i="19"/>
  <c r="U471" i="19"/>
  <c r="U472" i="19"/>
  <c r="U473" i="19"/>
  <c r="U474" i="19"/>
  <c r="U475" i="19"/>
  <c r="U476" i="19"/>
  <c r="U477" i="19"/>
  <c r="U478" i="19"/>
  <c r="U479" i="19"/>
  <c r="U480" i="19"/>
  <c r="U481" i="19"/>
  <c r="U482" i="19"/>
  <c r="U483" i="19"/>
  <c r="U484" i="19"/>
  <c r="U485" i="19"/>
  <c r="U486" i="19"/>
  <c r="U487" i="19"/>
  <c r="U488" i="19"/>
  <c r="U489" i="19"/>
  <c r="U490" i="19"/>
  <c r="U491" i="19"/>
  <c r="U492" i="19"/>
  <c r="U493" i="19"/>
  <c r="U494" i="19"/>
  <c r="U495" i="19"/>
  <c r="U496" i="19"/>
  <c r="U497" i="19"/>
  <c r="U498" i="19"/>
  <c r="U499" i="19"/>
  <c r="U500" i="19"/>
  <c r="U501" i="19"/>
  <c r="U502" i="19"/>
  <c r="U503" i="19"/>
  <c r="U504" i="19"/>
  <c r="U505" i="19"/>
  <c r="U506" i="19"/>
  <c r="U507" i="19"/>
  <c r="U508" i="19"/>
  <c r="U509" i="19"/>
  <c r="U510" i="19"/>
  <c r="U511" i="19"/>
  <c r="U512" i="19"/>
  <c r="U513" i="19"/>
  <c r="U514" i="19"/>
  <c r="U515" i="19"/>
  <c r="U516" i="19"/>
  <c r="U517" i="19"/>
  <c r="U518" i="19"/>
  <c r="U519" i="19"/>
  <c r="U520" i="19"/>
  <c r="U521" i="19"/>
  <c r="U522" i="19"/>
  <c r="U523" i="19"/>
  <c r="U524" i="19"/>
  <c r="U525" i="19"/>
  <c r="U526" i="19"/>
  <c r="U527" i="19"/>
  <c r="U528" i="19"/>
  <c r="U529" i="19"/>
  <c r="U530" i="19"/>
  <c r="U531" i="19"/>
  <c r="U532" i="19"/>
  <c r="U533" i="19"/>
  <c r="U534" i="19"/>
  <c r="U535" i="19"/>
  <c r="U536" i="19"/>
  <c r="U537" i="19"/>
  <c r="U538" i="19"/>
  <c r="U539" i="19"/>
  <c r="U540" i="19"/>
  <c r="U541" i="19"/>
  <c r="U542" i="19"/>
  <c r="U543" i="19"/>
  <c r="U544" i="19"/>
  <c r="U545" i="19"/>
  <c r="U546" i="19"/>
  <c r="U547" i="19"/>
  <c r="U548" i="19"/>
  <c r="U549" i="19"/>
  <c r="U550" i="19"/>
  <c r="U551" i="19"/>
  <c r="U552" i="19"/>
  <c r="U553" i="19"/>
  <c r="U554" i="19"/>
  <c r="U555" i="19"/>
  <c r="U556" i="19"/>
  <c r="U557" i="19"/>
  <c r="U558" i="19"/>
  <c r="U559" i="19"/>
  <c r="U560" i="19"/>
  <c r="U561" i="19"/>
  <c r="U562" i="19"/>
  <c r="U563" i="19"/>
  <c r="U564" i="19"/>
  <c r="U565" i="19"/>
  <c r="U566" i="19"/>
  <c r="U567" i="19"/>
  <c r="U568" i="19"/>
  <c r="U569" i="19"/>
  <c r="U570" i="19"/>
  <c r="U571" i="19"/>
  <c r="U572" i="19"/>
  <c r="U573" i="19"/>
  <c r="U574" i="19"/>
  <c r="U575" i="19"/>
  <c r="U576" i="19"/>
  <c r="U577" i="19"/>
  <c r="U578" i="19"/>
  <c r="U579" i="19"/>
  <c r="U580" i="19"/>
  <c r="U581" i="19"/>
  <c r="U582" i="19"/>
  <c r="U583" i="19"/>
  <c r="U584" i="19"/>
  <c r="U585" i="19"/>
  <c r="U586" i="19"/>
  <c r="U587" i="19"/>
  <c r="U588" i="19"/>
  <c r="U589" i="19"/>
  <c r="U590" i="19"/>
  <c r="U591" i="19"/>
  <c r="U592" i="19"/>
  <c r="U593" i="19"/>
  <c r="U594" i="19"/>
  <c r="U595" i="19"/>
  <c r="U596" i="19"/>
  <c r="U597" i="19"/>
  <c r="U598" i="19"/>
  <c r="U599" i="19"/>
  <c r="U600" i="19"/>
  <c r="U601" i="19"/>
  <c r="U602" i="19"/>
  <c r="U603" i="19"/>
  <c r="U604" i="19"/>
  <c r="U605" i="19"/>
  <c r="U606" i="19"/>
  <c r="U607" i="19"/>
  <c r="U608" i="19"/>
  <c r="U609" i="19"/>
  <c r="U610" i="19"/>
  <c r="U611" i="19"/>
  <c r="U612" i="19"/>
  <c r="U613" i="19"/>
  <c r="U614" i="19"/>
  <c r="U615" i="19"/>
  <c r="U616" i="19"/>
  <c r="U617" i="19"/>
  <c r="U618" i="19"/>
  <c r="U619" i="19"/>
  <c r="U620" i="19"/>
  <c r="U621" i="19"/>
  <c r="U622" i="19"/>
  <c r="U623" i="19"/>
  <c r="U624" i="19"/>
  <c r="U625" i="19"/>
  <c r="U626" i="19"/>
  <c r="U627" i="19"/>
  <c r="U628" i="19"/>
  <c r="U629" i="19"/>
  <c r="U630" i="19"/>
  <c r="U631" i="19"/>
  <c r="U632" i="19"/>
  <c r="U633" i="19"/>
  <c r="U634" i="19"/>
  <c r="U635" i="19"/>
  <c r="U636" i="19"/>
  <c r="U637" i="19"/>
  <c r="U638" i="19"/>
  <c r="U639" i="19"/>
  <c r="U640" i="19"/>
  <c r="U641" i="19"/>
  <c r="U642" i="19"/>
  <c r="U643" i="19"/>
  <c r="U644" i="19"/>
  <c r="U645" i="19"/>
  <c r="U646" i="19"/>
  <c r="U647" i="19"/>
  <c r="U648" i="19"/>
  <c r="U649" i="19"/>
  <c r="U650" i="19"/>
  <c r="U651" i="19"/>
  <c r="U652" i="19"/>
  <c r="U653" i="19"/>
  <c r="U654" i="19"/>
  <c r="U655" i="19"/>
  <c r="U656" i="19"/>
  <c r="U657" i="19"/>
  <c r="U658" i="19"/>
  <c r="U659" i="19"/>
  <c r="U660" i="19"/>
  <c r="U661" i="19"/>
  <c r="U662" i="19"/>
  <c r="U663" i="19"/>
  <c r="U664" i="19"/>
  <c r="U665" i="19"/>
  <c r="U666" i="19"/>
  <c r="U667" i="19"/>
  <c r="U668" i="19"/>
  <c r="U669" i="19"/>
  <c r="U670" i="19"/>
  <c r="U671" i="19"/>
  <c r="U672" i="19"/>
  <c r="U673" i="19"/>
  <c r="U674" i="19"/>
  <c r="U675" i="19"/>
  <c r="U676" i="19"/>
  <c r="U677" i="19"/>
  <c r="U678" i="19"/>
  <c r="U679" i="19"/>
  <c r="U680" i="19"/>
  <c r="U681" i="19"/>
  <c r="U682" i="19"/>
  <c r="U683" i="19"/>
  <c r="U684" i="19"/>
  <c r="U685" i="19"/>
  <c r="U686" i="19"/>
  <c r="U687" i="19"/>
  <c r="U688" i="19"/>
  <c r="U689" i="19"/>
  <c r="U690" i="19"/>
  <c r="U691" i="19"/>
  <c r="U692" i="19"/>
  <c r="U693" i="19"/>
  <c r="U694" i="19"/>
  <c r="U695" i="19"/>
  <c r="U696" i="19"/>
  <c r="U697" i="19"/>
  <c r="U698" i="19"/>
  <c r="U699" i="19"/>
  <c r="U700" i="19"/>
  <c r="U701" i="19"/>
  <c r="U702" i="19"/>
  <c r="U703" i="19"/>
  <c r="U704" i="19"/>
  <c r="U705" i="19"/>
  <c r="U706" i="19"/>
  <c r="U707" i="19"/>
  <c r="U708" i="19"/>
  <c r="U709" i="19"/>
  <c r="U710" i="19"/>
  <c r="U711" i="19"/>
  <c r="U712" i="19"/>
  <c r="U713" i="19"/>
  <c r="U714" i="19"/>
  <c r="U715" i="19"/>
  <c r="U716" i="19"/>
  <c r="U717" i="19"/>
  <c r="U718" i="19"/>
  <c r="U719" i="19"/>
  <c r="U720" i="19"/>
  <c r="U721" i="19"/>
  <c r="U722" i="19"/>
  <c r="U723" i="19"/>
  <c r="U724" i="19"/>
  <c r="U725" i="19"/>
  <c r="U726" i="19"/>
  <c r="U727" i="19"/>
  <c r="U728" i="19"/>
  <c r="U729" i="19"/>
  <c r="U730" i="19"/>
  <c r="U731" i="19"/>
  <c r="U732" i="19"/>
  <c r="U733" i="19"/>
  <c r="U734" i="19"/>
  <c r="U735" i="19"/>
  <c r="U736" i="19"/>
  <c r="U737" i="19"/>
  <c r="U738" i="19"/>
  <c r="U739" i="19"/>
  <c r="U740" i="19"/>
  <c r="U741" i="19"/>
  <c r="U742" i="19"/>
  <c r="U743" i="19"/>
  <c r="U744" i="19"/>
  <c r="U745" i="19"/>
  <c r="U746" i="19"/>
  <c r="U747" i="19"/>
  <c r="U748" i="19"/>
  <c r="U749" i="19"/>
  <c r="U750" i="19"/>
  <c r="U751" i="19"/>
  <c r="U752" i="19"/>
  <c r="U753" i="19"/>
  <c r="U754" i="19"/>
  <c r="U755" i="19"/>
  <c r="U756" i="19"/>
  <c r="U757" i="19"/>
  <c r="U758" i="19"/>
  <c r="U759" i="19"/>
  <c r="U760" i="19"/>
  <c r="U761" i="19"/>
  <c r="U762" i="19"/>
  <c r="U763" i="19"/>
  <c r="U764" i="19"/>
  <c r="U765" i="19"/>
  <c r="U766" i="19"/>
  <c r="U767" i="19"/>
  <c r="U768" i="19"/>
  <c r="U769" i="19"/>
  <c r="U770" i="19"/>
  <c r="U771" i="19"/>
  <c r="U772" i="19"/>
  <c r="U773" i="19"/>
  <c r="U774" i="19"/>
  <c r="U775" i="19"/>
  <c r="U776" i="19"/>
  <c r="U777" i="19"/>
  <c r="U778" i="19"/>
  <c r="U779" i="19"/>
  <c r="U780" i="19"/>
  <c r="U781" i="19"/>
  <c r="U782" i="19"/>
  <c r="U783" i="19"/>
  <c r="U784" i="19"/>
  <c r="U785" i="19"/>
  <c r="U786" i="19"/>
  <c r="U787" i="19"/>
  <c r="U788" i="19"/>
  <c r="U789" i="19"/>
  <c r="U790" i="19"/>
  <c r="U791" i="19"/>
  <c r="U792" i="19"/>
  <c r="U793" i="19"/>
  <c r="U794" i="19"/>
  <c r="U795" i="19"/>
  <c r="U796" i="19"/>
  <c r="U797" i="19"/>
  <c r="U798" i="19"/>
  <c r="U799" i="19"/>
  <c r="U800" i="19"/>
  <c r="U801" i="19"/>
  <c r="U802" i="19"/>
  <c r="U803" i="19"/>
  <c r="U804" i="19"/>
  <c r="U805" i="19"/>
  <c r="U806" i="19"/>
  <c r="U807" i="19"/>
  <c r="U808" i="19"/>
  <c r="U809" i="19"/>
  <c r="U810" i="19"/>
  <c r="U811" i="19"/>
  <c r="U812" i="19"/>
  <c r="U813" i="19"/>
  <c r="U814" i="19"/>
  <c r="U815" i="19"/>
  <c r="U816" i="19"/>
  <c r="U817" i="19"/>
  <c r="U818" i="19"/>
  <c r="U819" i="19"/>
  <c r="U820" i="19"/>
  <c r="U821" i="19"/>
  <c r="U822" i="19"/>
  <c r="U823" i="19"/>
  <c r="U824" i="19"/>
  <c r="U825" i="19"/>
  <c r="U826" i="19"/>
  <c r="U827" i="19"/>
  <c r="U828" i="19"/>
  <c r="U829" i="19"/>
  <c r="U830" i="19"/>
  <c r="U831" i="19"/>
  <c r="U832" i="19"/>
  <c r="U833" i="19"/>
  <c r="U834" i="19"/>
  <c r="U835" i="19"/>
  <c r="U836" i="19"/>
  <c r="U837" i="19"/>
  <c r="U838" i="19"/>
  <c r="U839" i="19"/>
  <c r="U840" i="19"/>
  <c r="U841" i="19"/>
  <c r="U842" i="19"/>
  <c r="U843" i="19"/>
  <c r="U844" i="19"/>
  <c r="U845" i="19"/>
  <c r="U846" i="19"/>
  <c r="U847" i="19"/>
  <c r="U848" i="19"/>
  <c r="U849" i="19"/>
  <c r="U850" i="19"/>
  <c r="U851" i="19"/>
  <c r="U852" i="19"/>
  <c r="U853" i="19"/>
  <c r="U854" i="19"/>
  <c r="U855" i="19"/>
  <c r="U856" i="19"/>
  <c r="U857" i="19"/>
  <c r="U858" i="19"/>
  <c r="U859" i="19"/>
  <c r="U860" i="19"/>
  <c r="U861" i="19"/>
  <c r="U862" i="19"/>
  <c r="U863" i="19"/>
  <c r="U864" i="19"/>
  <c r="U865" i="19"/>
  <c r="U866" i="19"/>
  <c r="U867" i="19"/>
  <c r="U868" i="19"/>
  <c r="U869" i="19"/>
  <c r="U870" i="19"/>
  <c r="U871" i="19"/>
  <c r="U872" i="19"/>
  <c r="U873" i="19"/>
  <c r="U874" i="19"/>
  <c r="U875" i="19"/>
  <c r="U876" i="19"/>
  <c r="U877" i="19"/>
  <c r="U878" i="19"/>
  <c r="U879" i="19"/>
  <c r="U880" i="19"/>
  <c r="U881" i="19"/>
  <c r="U882" i="19"/>
  <c r="U883" i="19"/>
  <c r="U884" i="19"/>
  <c r="U885" i="19"/>
  <c r="U886" i="19"/>
  <c r="U887" i="19"/>
  <c r="U888" i="19"/>
  <c r="U889" i="19"/>
  <c r="U890" i="19"/>
  <c r="U891" i="19"/>
  <c r="U892" i="19"/>
  <c r="U893" i="19"/>
  <c r="U894" i="19"/>
  <c r="U895" i="19"/>
  <c r="U896" i="19"/>
  <c r="U897" i="19"/>
  <c r="U898" i="19"/>
  <c r="U899" i="19"/>
  <c r="U900" i="19"/>
  <c r="U901" i="19"/>
  <c r="U902" i="19"/>
  <c r="U903" i="19"/>
  <c r="U904" i="19"/>
  <c r="U905" i="19"/>
  <c r="U906" i="19"/>
  <c r="U907" i="19"/>
  <c r="U908" i="19"/>
  <c r="U909" i="19"/>
  <c r="U910" i="19"/>
  <c r="U911" i="19"/>
  <c r="U912" i="19"/>
  <c r="U913" i="19"/>
  <c r="U914" i="19"/>
  <c r="U915" i="19"/>
  <c r="U916" i="19"/>
  <c r="U917" i="19"/>
  <c r="U918" i="19"/>
  <c r="U919" i="19"/>
  <c r="U920" i="19"/>
  <c r="U921" i="19"/>
  <c r="U922" i="19"/>
  <c r="U923" i="19"/>
  <c r="U924" i="19"/>
  <c r="U925" i="19"/>
  <c r="U926" i="19"/>
  <c r="U927" i="19"/>
  <c r="U928" i="19"/>
  <c r="U929" i="19"/>
  <c r="U930" i="19"/>
  <c r="U931" i="19"/>
  <c r="U932" i="19"/>
  <c r="U933" i="19"/>
  <c r="U934" i="19"/>
  <c r="U935" i="19"/>
  <c r="U936" i="19"/>
  <c r="U937" i="19"/>
  <c r="U938" i="19"/>
  <c r="U939" i="19"/>
  <c r="U940" i="19"/>
  <c r="U941" i="19"/>
  <c r="U942" i="19"/>
  <c r="U943" i="19"/>
  <c r="U944" i="19"/>
  <c r="U945" i="19"/>
  <c r="U946" i="19"/>
  <c r="U947" i="19"/>
  <c r="U948" i="19"/>
  <c r="U949" i="19"/>
  <c r="U950" i="19"/>
  <c r="U951" i="19"/>
  <c r="U952" i="19"/>
  <c r="U953" i="19"/>
  <c r="U954" i="19"/>
  <c r="U955" i="19"/>
  <c r="U956" i="19"/>
  <c r="U957" i="19"/>
  <c r="U958" i="19"/>
  <c r="U959" i="19"/>
  <c r="U960" i="19"/>
  <c r="U961" i="19"/>
  <c r="U962" i="19"/>
  <c r="U963" i="19"/>
  <c r="U964" i="19"/>
  <c r="U965" i="19"/>
  <c r="U966" i="19"/>
  <c r="U967" i="19"/>
  <c r="U968" i="19"/>
  <c r="U969" i="19"/>
  <c r="U970" i="19"/>
  <c r="U971" i="19"/>
  <c r="U972" i="19"/>
  <c r="U973" i="19"/>
  <c r="U974" i="19"/>
  <c r="U975" i="19"/>
  <c r="U976" i="19"/>
  <c r="U977" i="19"/>
  <c r="U978" i="19"/>
  <c r="U979" i="19"/>
  <c r="U980" i="19"/>
  <c r="U981" i="19"/>
  <c r="U982" i="19"/>
  <c r="U983" i="19"/>
  <c r="U984" i="19"/>
  <c r="U985" i="19"/>
  <c r="U986" i="19"/>
  <c r="U987" i="19"/>
  <c r="U988" i="19"/>
  <c r="U989" i="19"/>
  <c r="U990" i="19"/>
  <c r="U991" i="19"/>
  <c r="U992" i="19"/>
  <c r="U993" i="19"/>
  <c r="U994" i="19"/>
  <c r="U995" i="19"/>
  <c r="U996" i="19"/>
  <c r="U997" i="19"/>
  <c r="U998" i="19"/>
  <c r="U999" i="19"/>
  <c r="U1000" i="19"/>
  <c r="U1001" i="19"/>
  <c r="U1002" i="19"/>
  <c r="U1003" i="19"/>
  <c r="U1004" i="19"/>
  <c r="U1005" i="19"/>
  <c r="U1006" i="19"/>
  <c r="U1007" i="19"/>
  <c r="U1008" i="19"/>
  <c r="U1009" i="19"/>
  <c r="U1010" i="19"/>
  <c r="U1011" i="19"/>
  <c r="U1012" i="19"/>
  <c r="U1013" i="19"/>
  <c r="U1014" i="19"/>
  <c r="U1015" i="19"/>
  <c r="U1016" i="19"/>
  <c r="U1017" i="19"/>
  <c r="U1018" i="19"/>
  <c r="U1019" i="19"/>
  <c r="U1020" i="19"/>
  <c r="U1021" i="19"/>
  <c r="U1022" i="19"/>
  <c r="U1023" i="19"/>
  <c r="U1024" i="19"/>
  <c r="U1025" i="19"/>
  <c r="U1026" i="19"/>
  <c r="U1027" i="19"/>
  <c r="U1028" i="19"/>
  <c r="U1029" i="19"/>
  <c r="U1030" i="19"/>
  <c r="U1031" i="19"/>
  <c r="U1032" i="19"/>
  <c r="U1033" i="19"/>
  <c r="U1034" i="19"/>
  <c r="U1035" i="19"/>
  <c r="U1036" i="19"/>
  <c r="U1037" i="19"/>
  <c r="U1038" i="19"/>
  <c r="U1039" i="19"/>
  <c r="U1040" i="19"/>
  <c r="U1041" i="19"/>
  <c r="U1042" i="19"/>
  <c r="U1043" i="19"/>
  <c r="U1044" i="19"/>
  <c r="U1045" i="19"/>
  <c r="U1046" i="19"/>
  <c r="U1047" i="19"/>
  <c r="U1048" i="19"/>
  <c r="U1049" i="19"/>
  <c r="U1050" i="19"/>
  <c r="U1051" i="19"/>
  <c r="U1052" i="19"/>
  <c r="U1053" i="19"/>
  <c r="U1054" i="19"/>
  <c r="U1055" i="19"/>
  <c r="U1056" i="19"/>
  <c r="U1057" i="19"/>
  <c r="U1058" i="19"/>
  <c r="U1059" i="19"/>
  <c r="U1060" i="19"/>
  <c r="U1061" i="19"/>
  <c r="U1062" i="19"/>
  <c r="U1063" i="19"/>
  <c r="U1064" i="19"/>
  <c r="U1065" i="19"/>
  <c r="U1066" i="19"/>
  <c r="U1067" i="19"/>
  <c r="U1068" i="19"/>
  <c r="U1069" i="19"/>
  <c r="U1070" i="19"/>
  <c r="U1071" i="19"/>
  <c r="U1072" i="19"/>
  <c r="U1073" i="19"/>
  <c r="U1074" i="19"/>
  <c r="U1075" i="19"/>
  <c r="U1076" i="19"/>
  <c r="U1077" i="19"/>
  <c r="U1078" i="19"/>
  <c r="U1079" i="19"/>
  <c r="U1080" i="19"/>
  <c r="U1081" i="19"/>
  <c r="U1082" i="19"/>
  <c r="U1083" i="19"/>
  <c r="U1084" i="19"/>
  <c r="U1085" i="19"/>
  <c r="U1086" i="19"/>
  <c r="U1087" i="19"/>
  <c r="U1088" i="19"/>
  <c r="U1089" i="19"/>
  <c r="U1090" i="19"/>
  <c r="U1091" i="19"/>
  <c r="U1092" i="19"/>
  <c r="U1093" i="19"/>
  <c r="U1094" i="19"/>
  <c r="U1095" i="19"/>
  <c r="U1096" i="19"/>
  <c r="U1097" i="19"/>
  <c r="U1098" i="19"/>
  <c r="U1099" i="19"/>
  <c r="U1100" i="19"/>
  <c r="U1101" i="19"/>
  <c r="U1102" i="19"/>
  <c r="U1103" i="19"/>
  <c r="U1104" i="19"/>
  <c r="U1105" i="19"/>
  <c r="U1106" i="19"/>
  <c r="U1107" i="19"/>
  <c r="U1108" i="19"/>
  <c r="U1109" i="19"/>
  <c r="U1110" i="19"/>
  <c r="U1111" i="19"/>
  <c r="U1112" i="19"/>
  <c r="U1113" i="19"/>
  <c r="U1114" i="19"/>
  <c r="U1115" i="19"/>
  <c r="U1116" i="19"/>
  <c r="U1117" i="19"/>
  <c r="U1118" i="19"/>
  <c r="U1119" i="19"/>
  <c r="U1120" i="19"/>
  <c r="U1121" i="19"/>
  <c r="U1122" i="19"/>
  <c r="U1123" i="19"/>
  <c r="U1124" i="19"/>
  <c r="U1125" i="19"/>
  <c r="U1126" i="19"/>
  <c r="U1127" i="19"/>
  <c r="U1128" i="19"/>
  <c r="U1129" i="19"/>
  <c r="U1130" i="19"/>
  <c r="U1131" i="19"/>
  <c r="U1132" i="19"/>
  <c r="U1133" i="19"/>
  <c r="U1134" i="19"/>
  <c r="U1135" i="19"/>
  <c r="U1136" i="19"/>
  <c r="U1137" i="19"/>
  <c r="U1138" i="19"/>
  <c r="U1139" i="19"/>
  <c r="U1140" i="19"/>
  <c r="U1141" i="19"/>
  <c r="U1142" i="19"/>
  <c r="U1143" i="19"/>
  <c r="U1144" i="19"/>
  <c r="U1145" i="19"/>
  <c r="U1146" i="19"/>
  <c r="U1147" i="19"/>
  <c r="U1148" i="19"/>
  <c r="U1149" i="19"/>
  <c r="U1150" i="19"/>
  <c r="U1151" i="19"/>
  <c r="U1152" i="19"/>
  <c r="U1153" i="19"/>
  <c r="U1154" i="19"/>
  <c r="U1155" i="19"/>
  <c r="U1156" i="19"/>
  <c r="U1157" i="19"/>
  <c r="U1158" i="19"/>
  <c r="U1159" i="19"/>
  <c r="U1160" i="19"/>
  <c r="U1161" i="19"/>
  <c r="U1162" i="19"/>
  <c r="U1163" i="19"/>
  <c r="U1164" i="19"/>
  <c r="U1165" i="19"/>
  <c r="U1166" i="19"/>
  <c r="U1167" i="19"/>
  <c r="U1168" i="19"/>
  <c r="U1169" i="19"/>
  <c r="U1170" i="19"/>
  <c r="U1171" i="19"/>
  <c r="U1172" i="19"/>
  <c r="U1173" i="19"/>
  <c r="U1174" i="19"/>
  <c r="U1175" i="19"/>
  <c r="U1176" i="19"/>
  <c r="U1177" i="19"/>
  <c r="U1178" i="19"/>
  <c r="U1179" i="19"/>
  <c r="U1180" i="19"/>
  <c r="U1181" i="19"/>
  <c r="U1182" i="19"/>
  <c r="U1183" i="19"/>
  <c r="U1184" i="19"/>
  <c r="U1185" i="19"/>
  <c r="U1186" i="19"/>
  <c r="U1187" i="19"/>
  <c r="U1188" i="19"/>
  <c r="U1189" i="19"/>
  <c r="U1190" i="19"/>
  <c r="U1191" i="19"/>
  <c r="U1192" i="19"/>
  <c r="U1193" i="19"/>
  <c r="U1194" i="19"/>
  <c r="U1195" i="19"/>
  <c r="U1196" i="19"/>
  <c r="U1197" i="19"/>
  <c r="U1198" i="19"/>
  <c r="U1199" i="19"/>
  <c r="U1200" i="19"/>
  <c r="U1201" i="19"/>
  <c r="U1202" i="19"/>
  <c r="U1203" i="19"/>
  <c r="U1204" i="19"/>
  <c r="U1205" i="19"/>
  <c r="U1206" i="19"/>
  <c r="U1207" i="19"/>
  <c r="U1208" i="19"/>
  <c r="U1209" i="19"/>
  <c r="U1210" i="19"/>
  <c r="U1211" i="19"/>
  <c r="U1212" i="19"/>
  <c r="U1213" i="19"/>
  <c r="U1214" i="19"/>
  <c r="U1215" i="19"/>
  <c r="U1216" i="19"/>
  <c r="U1217" i="19"/>
  <c r="U1218" i="19"/>
  <c r="U1219" i="19"/>
  <c r="U1220" i="19"/>
  <c r="U1221" i="19"/>
  <c r="U1222" i="19"/>
  <c r="U1223" i="19"/>
  <c r="U1224" i="19"/>
  <c r="U1225" i="19"/>
  <c r="U1226" i="19"/>
  <c r="U1227" i="19"/>
  <c r="U1228" i="19"/>
  <c r="U1229" i="19"/>
  <c r="U1230" i="19"/>
  <c r="U1231" i="19"/>
  <c r="U1232" i="19"/>
  <c r="U1233" i="19"/>
  <c r="U1234" i="19"/>
  <c r="U1235" i="19"/>
  <c r="U1236" i="19"/>
  <c r="U1237" i="19"/>
  <c r="U1238" i="19"/>
  <c r="U1239" i="19"/>
  <c r="U1240" i="19"/>
  <c r="U1241" i="19"/>
  <c r="U1242" i="19"/>
  <c r="U1243" i="19"/>
  <c r="U1244" i="19"/>
  <c r="U1245" i="19"/>
  <c r="U1246" i="19"/>
  <c r="U1247" i="19"/>
  <c r="U1248" i="19"/>
  <c r="U1249" i="19"/>
  <c r="U1250" i="19"/>
  <c r="U1251" i="19"/>
  <c r="U1252" i="19"/>
  <c r="U1253" i="19"/>
  <c r="U1254" i="19"/>
  <c r="U1255" i="19"/>
  <c r="U1256" i="19"/>
  <c r="U1257" i="19"/>
  <c r="U1258" i="19"/>
  <c r="U1259" i="19"/>
  <c r="U1260" i="19"/>
  <c r="U1261" i="19"/>
  <c r="U1262" i="19"/>
  <c r="U1263" i="19"/>
  <c r="U1264" i="19"/>
  <c r="U1265" i="19"/>
  <c r="U1266" i="19"/>
  <c r="U1267" i="19"/>
  <c r="U1268" i="19"/>
  <c r="U1269" i="19"/>
  <c r="U1270" i="19"/>
  <c r="U1271" i="19"/>
  <c r="U1272" i="19"/>
  <c r="U1273" i="19"/>
  <c r="U1274" i="19"/>
  <c r="U1275" i="19"/>
  <c r="U1276" i="19"/>
  <c r="U1277" i="19"/>
  <c r="U1278" i="19"/>
  <c r="U1279" i="19"/>
  <c r="U1280" i="19"/>
  <c r="U1281" i="19"/>
  <c r="U1282" i="19"/>
  <c r="U1283" i="19"/>
  <c r="U1284" i="19"/>
  <c r="U1285" i="19"/>
  <c r="U1286" i="19"/>
  <c r="U1287" i="19"/>
  <c r="U1288" i="19"/>
  <c r="U1289" i="19"/>
  <c r="U1290" i="19"/>
  <c r="U1291" i="19"/>
  <c r="U1292" i="19"/>
  <c r="U1293" i="19"/>
  <c r="U1294" i="19"/>
  <c r="U1295" i="19"/>
  <c r="U1296" i="19"/>
  <c r="U1297" i="19"/>
  <c r="U1298" i="19"/>
  <c r="U1299" i="19"/>
  <c r="U1300" i="19"/>
  <c r="U1301" i="19"/>
  <c r="U1302" i="19"/>
  <c r="U1303" i="19"/>
  <c r="U1304" i="19"/>
  <c r="U1305" i="19"/>
  <c r="U1306" i="19"/>
  <c r="U1307" i="19"/>
  <c r="U1308" i="19"/>
  <c r="U1309" i="19"/>
  <c r="U1310" i="19"/>
  <c r="U1311" i="19"/>
  <c r="U1312" i="19"/>
  <c r="U1313" i="19"/>
  <c r="U1314" i="19"/>
  <c r="U1315" i="19"/>
  <c r="U1316" i="19"/>
  <c r="U1317" i="19"/>
  <c r="U1318" i="19"/>
  <c r="U1319" i="19"/>
  <c r="U1320" i="19"/>
  <c r="U1321" i="19"/>
  <c r="U1322" i="19"/>
  <c r="U1323" i="19"/>
  <c r="U1324" i="19"/>
  <c r="U1325" i="19"/>
  <c r="U1326" i="19"/>
  <c r="U1327" i="19"/>
  <c r="U1328" i="19"/>
  <c r="U1329" i="19"/>
  <c r="U1330" i="19"/>
  <c r="U1331" i="19"/>
  <c r="U1332" i="19"/>
  <c r="U1333" i="19"/>
  <c r="U1334" i="19"/>
  <c r="U1335" i="19"/>
  <c r="U1336" i="19"/>
  <c r="U1337" i="19"/>
  <c r="U1338" i="19"/>
  <c r="U1339" i="19"/>
  <c r="U1340" i="19"/>
  <c r="U1341" i="19"/>
  <c r="U1342" i="19"/>
  <c r="U1343" i="19"/>
  <c r="U1344" i="19"/>
  <c r="U1345" i="19"/>
  <c r="U1346" i="19"/>
  <c r="U1347" i="19"/>
  <c r="U1348" i="19"/>
  <c r="U1349" i="19"/>
  <c r="U1350" i="19"/>
  <c r="U1351" i="19"/>
  <c r="U1352" i="19"/>
  <c r="U1353" i="19"/>
  <c r="U1354" i="19"/>
  <c r="U1355" i="19"/>
  <c r="U1356" i="19"/>
  <c r="U1357" i="19"/>
  <c r="U1358" i="19"/>
  <c r="U1359" i="19"/>
  <c r="U1360" i="19"/>
  <c r="U1361" i="19"/>
  <c r="U1362" i="19"/>
  <c r="U1363" i="19"/>
  <c r="U1364" i="19"/>
  <c r="U1365" i="19"/>
  <c r="U1366" i="19"/>
  <c r="U1367" i="19"/>
  <c r="U1368" i="19"/>
  <c r="U1369" i="19"/>
  <c r="U1370" i="19"/>
  <c r="U1371" i="19"/>
  <c r="U1372" i="19"/>
  <c r="U1373" i="19"/>
  <c r="U1374" i="19"/>
  <c r="U1375" i="19"/>
  <c r="U1376" i="19"/>
  <c r="U1377" i="19"/>
  <c r="U1378" i="19"/>
  <c r="U1379" i="19"/>
  <c r="U1380" i="19"/>
  <c r="U1381" i="19"/>
  <c r="U1382" i="19"/>
  <c r="U1383" i="19"/>
  <c r="U1384" i="19"/>
  <c r="U1385" i="19"/>
  <c r="U1386" i="19"/>
  <c r="U1387" i="19"/>
  <c r="U1388" i="19"/>
  <c r="U1389" i="19"/>
  <c r="U1390" i="19"/>
  <c r="U1391" i="19"/>
  <c r="U1392" i="19"/>
  <c r="U1393" i="19"/>
  <c r="U1394" i="19"/>
  <c r="U1395" i="19"/>
  <c r="U1396" i="19"/>
  <c r="U1397" i="19"/>
  <c r="U1398" i="19"/>
  <c r="U1399" i="19"/>
  <c r="U1400" i="19"/>
  <c r="U1401" i="19"/>
  <c r="U1402" i="19"/>
  <c r="U1403" i="19"/>
  <c r="U1404" i="19"/>
  <c r="U1405" i="19"/>
  <c r="U1406" i="19"/>
  <c r="U1407" i="19"/>
  <c r="U1408" i="19"/>
  <c r="U1409" i="19"/>
  <c r="U1410" i="19"/>
  <c r="U1411" i="19"/>
  <c r="U1412" i="19"/>
  <c r="U1413" i="19"/>
  <c r="U1414" i="19"/>
  <c r="U1415" i="19"/>
  <c r="U1416" i="19"/>
  <c r="U1417" i="19"/>
  <c r="U1418" i="19"/>
  <c r="U1419" i="19"/>
  <c r="U1420" i="19"/>
  <c r="U1421" i="19"/>
  <c r="U1422" i="19"/>
  <c r="U1423" i="19"/>
  <c r="U1424" i="19"/>
  <c r="U1425" i="19"/>
  <c r="U1426" i="19"/>
  <c r="U1427" i="19"/>
  <c r="U1428" i="19"/>
  <c r="U1429" i="19"/>
  <c r="U1430" i="19"/>
  <c r="U1431" i="19"/>
  <c r="U1432" i="19"/>
  <c r="U1433" i="19"/>
  <c r="U1434" i="19"/>
  <c r="U1435" i="19"/>
  <c r="U1436" i="19"/>
  <c r="U1437" i="19"/>
  <c r="U1438" i="19"/>
  <c r="U1439" i="19"/>
  <c r="U1440" i="19"/>
  <c r="U1441" i="19"/>
  <c r="U1442" i="19"/>
  <c r="U1443" i="19"/>
  <c r="U1444" i="19"/>
  <c r="U1445" i="19"/>
  <c r="U1446" i="19"/>
  <c r="U1447" i="19"/>
  <c r="U1448" i="19"/>
  <c r="U1449" i="19"/>
  <c r="U1450" i="19"/>
  <c r="U1451" i="19"/>
  <c r="U1452" i="19"/>
  <c r="U1453" i="19"/>
  <c r="U1454" i="19"/>
  <c r="U1455" i="19"/>
  <c r="U1456" i="19"/>
  <c r="U1457" i="19"/>
  <c r="U1458" i="19"/>
  <c r="U1459" i="19"/>
  <c r="U1460" i="19"/>
  <c r="U1461" i="19"/>
  <c r="U1462" i="19"/>
  <c r="U1463" i="19"/>
  <c r="U1464" i="19"/>
  <c r="U1465" i="19"/>
  <c r="U1466" i="19"/>
  <c r="U1467" i="19"/>
  <c r="U1468" i="19"/>
  <c r="U1469" i="19"/>
  <c r="U1470" i="19"/>
  <c r="U1471" i="19"/>
  <c r="U1472" i="19"/>
  <c r="U1473" i="19"/>
  <c r="U1474" i="19"/>
  <c r="U1475" i="19"/>
  <c r="U1476" i="19"/>
  <c r="U1477" i="19"/>
  <c r="U1478" i="19"/>
  <c r="U1479" i="19"/>
  <c r="U1480" i="19"/>
  <c r="U1481" i="19"/>
  <c r="U1482" i="19"/>
  <c r="U1483" i="19"/>
  <c r="U1484" i="19"/>
  <c r="U1485" i="19"/>
  <c r="U1486" i="19"/>
  <c r="U1487" i="19"/>
  <c r="U1488" i="19"/>
  <c r="U1489" i="19"/>
  <c r="U1490" i="19"/>
  <c r="U1491" i="19"/>
  <c r="U1492" i="19"/>
  <c r="U1493" i="19"/>
  <c r="U1494" i="19"/>
  <c r="U1495" i="19"/>
  <c r="U1496" i="19"/>
  <c r="U1497" i="19"/>
  <c r="U1498" i="19"/>
  <c r="U1499" i="19"/>
  <c r="U1500" i="19"/>
  <c r="U1501" i="19"/>
  <c r="U1502" i="19"/>
  <c r="U1503" i="19"/>
  <c r="U1504" i="19"/>
  <c r="U1505" i="19"/>
  <c r="U1506" i="19"/>
  <c r="U1507" i="19"/>
  <c r="U1508" i="19"/>
  <c r="U1509" i="19"/>
  <c r="U1510" i="19"/>
  <c r="U1511" i="19"/>
  <c r="U1512" i="19"/>
  <c r="U1513" i="19"/>
  <c r="U1514" i="19"/>
  <c r="U1515" i="19"/>
  <c r="U1516" i="19"/>
  <c r="U1517" i="19"/>
  <c r="U1518" i="19"/>
  <c r="U1519" i="19"/>
  <c r="U1520" i="19"/>
  <c r="U1521" i="19"/>
  <c r="U1522" i="19"/>
  <c r="U1523" i="19"/>
  <c r="U1524" i="19"/>
  <c r="U1525" i="19"/>
  <c r="U1526" i="19"/>
  <c r="U1527" i="19"/>
  <c r="U1528" i="19"/>
  <c r="U1529" i="19"/>
  <c r="U1530" i="19"/>
  <c r="U1531" i="19"/>
  <c r="U1532" i="19"/>
  <c r="U1533" i="19"/>
  <c r="U1534" i="19"/>
  <c r="U1535" i="19"/>
  <c r="U1536" i="19"/>
  <c r="U1537" i="19"/>
  <c r="U1538" i="19"/>
  <c r="U1539" i="19"/>
  <c r="U1540" i="19"/>
  <c r="U1541" i="19"/>
  <c r="U1542" i="19"/>
  <c r="U1543" i="19"/>
  <c r="U1544" i="19"/>
  <c r="U1545" i="19"/>
  <c r="U1546" i="19"/>
  <c r="U1547" i="19"/>
  <c r="U1548" i="19"/>
  <c r="U1549" i="19"/>
  <c r="U1550" i="19"/>
  <c r="U1551" i="19"/>
  <c r="U1552" i="19"/>
  <c r="U1553" i="19"/>
  <c r="U1554" i="19"/>
  <c r="U1555" i="19"/>
  <c r="U1556" i="19"/>
  <c r="U1557" i="19"/>
  <c r="U1558" i="19"/>
  <c r="U1559" i="19"/>
  <c r="U1560" i="19"/>
  <c r="U1561" i="19"/>
  <c r="U1562" i="19"/>
  <c r="U1563" i="19"/>
  <c r="U1564" i="19"/>
  <c r="U1565" i="19"/>
  <c r="U1566" i="19"/>
  <c r="U1567" i="19"/>
  <c r="U1568" i="19"/>
  <c r="U1569" i="19"/>
  <c r="U1570" i="19"/>
  <c r="U1571" i="19"/>
  <c r="U1572" i="19"/>
  <c r="U1573" i="19"/>
  <c r="U1574" i="19"/>
  <c r="U1575" i="19"/>
  <c r="U1576" i="19"/>
  <c r="U1577" i="19"/>
  <c r="U1578" i="19"/>
  <c r="U1579" i="19"/>
  <c r="U1580" i="19"/>
  <c r="U1581" i="19"/>
  <c r="U1582" i="19"/>
  <c r="U1583" i="19"/>
  <c r="U1584" i="19"/>
  <c r="U1585" i="19"/>
  <c r="U1586" i="19"/>
  <c r="U1587" i="19"/>
  <c r="U1588" i="19"/>
  <c r="U1589" i="19"/>
  <c r="U1590" i="19"/>
  <c r="U1591" i="19"/>
  <c r="U1592" i="19"/>
  <c r="U1593" i="19"/>
  <c r="U1594" i="19"/>
  <c r="U1595" i="19"/>
  <c r="U1596" i="19"/>
  <c r="U1597" i="19"/>
  <c r="U1598" i="19"/>
  <c r="U1599" i="19"/>
  <c r="U1600" i="19"/>
  <c r="U1601" i="19"/>
  <c r="U1602" i="19"/>
  <c r="U1603" i="19"/>
  <c r="U1604" i="19"/>
  <c r="U1605" i="19"/>
  <c r="U1606" i="19"/>
  <c r="U1607" i="19"/>
  <c r="U1608" i="19"/>
  <c r="U1609" i="19"/>
  <c r="U1610" i="19"/>
  <c r="U1611" i="19"/>
  <c r="U1612" i="19"/>
  <c r="U1613" i="19"/>
  <c r="U1614" i="19"/>
  <c r="U1615" i="19"/>
  <c r="U1616" i="19"/>
  <c r="U1617" i="19"/>
  <c r="U1618" i="19"/>
  <c r="U1619" i="19"/>
  <c r="U1620" i="19"/>
  <c r="U1621" i="19"/>
  <c r="U1622" i="19"/>
  <c r="U1623" i="19"/>
  <c r="U1624" i="19"/>
  <c r="U1625" i="19"/>
  <c r="U1626" i="19"/>
  <c r="U1627" i="19"/>
  <c r="U1628" i="19"/>
  <c r="U1629" i="19"/>
  <c r="U1630" i="19"/>
  <c r="U1631" i="19"/>
  <c r="U1632" i="19"/>
  <c r="U1633" i="19"/>
  <c r="U1634" i="19"/>
  <c r="U1635" i="19"/>
  <c r="U1636" i="19"/>
  <c r="U1637" i="19"/>
  <c r="U1638" i="19"/>
  <c r="U1639" i="19"/>
  <c r="U1640" i="19"/>
  <c r="U1641" i="19"/>
  <c r="U1642" i="19"/>
  <c r="U1643" i="19"/>
  <c r="U1644" i="19"/>
  <c r="U1645" i="19"/>
  <c r="U1646" i="19"/>
  <c r="U1647" i="19"/>
  <c r="U1648" i="19"/>
  <c r="U1649" i="19"/>
  <c r="U1650" i="19"/>
  <c r="U1651" i="19"/>
  <c r="U1652" i="19"/>
  <c r="U1653" i="19"/>
  <c r="U1654" i="19"/>
  <c r="U1655" i="19"/>
  <c r="U1656" i="19"/>
  <c r="U1657" i="19"/>
  <c r="U1658" i="19"/>
  <c r="U1659" i="19"/>
  <c r="U1660" i="19"/>
  <c r="U1661" i="19"/>
  <c r="U1662" i="19"/>
  <c r="U1663" i="19"/>
  <c r="U1664" i="19"/>
  <c r="U1665" i="19"/>
  <c r="U1666" i="19"/>
  <c r="U1667" i="19"/>
  <c r="U1668" i="19"/>
  <c r="U1669" i="19"/>
  <c r="U1670" i="19"/>
  <c r="U1671" i="19"/>
  <c r="U1672" i="19"/>
  <c r="U1673" i="19"/>
  <c r="U1674" i="19"/>
  <c r="U1675" i="19"/>
  <c r="U1676" i="19"/>
  <c r="U1677" i="19"/>
  <c r="U1678" i="19"/>
  <c r="U1679" i="19"/>
  <c r="U1680" i="19"/>
  <c r="U1681" i="19"/>
  <c r="U1682" i="19"/>
  <c r="U1683" i="19"/>
  <c r="U1684" i="19"/>
  <c r="U1685" i="19"/>
  <c r="U1686" i="19"/>
  <c r="U1687" i="19"/>
  <c r="U1688" i="19"/>
  <c r="U1689" i="19"/>
  <c r="U1690" i="19"/>
  <c r="U1691" i="19"/>
  <c r="U1692" i="19"/>
  <c r="U1693" i="19"/>
  <c r="U1694" i="19"/>
  <c r="U1695" i="19"/>
  <c r="U1696" i="19"/>
  <c r="U1697" i="19"/>
  <c r="U1698" i="19"/>
  <c r="U1699" i="19"/>
  <c r="U1700" i="19"/>
  <c r="U1701" i="19"/>
  <c r="U1702" i="19"/>
  <c r="U1703" i="19"/>
  <c r="U1704" i="19"/>
  <c r="U1705" i="19"/>
  <c r="U1706" i="19"/>
  <c r="U1707" i="19"/>
  <c r="U1708" i="19"/>
  <c r="U1709" i="19"/>
  <c r="U1710" i="19"/>
  <c r="U1711" i="19"/>
  <c r="U1712" i="19"/>
  <c r="U1713" i="19"/>
  <c r="U1714" i="19"/>
  <c r="U1715" i="19"/>
  <c r="U1716" i="19"/>
  <c r="U1717" i="19"/>
  <c r="U1718" i="19"/>
  <c r="U1719" i="19"/>
  <c r="U1720" i="19"/>
  <c r="U1721" i="19"/>
  <c r="U1722" i="19"/>
  <c r="U1723" i="19"/>
  <c r="U1724" i="19"/>
  <c r="U1725" i="19"/>
  <c r="U1726" i="19"/>
  <c r="U1727" i="19"/>
  <c r="U1728" i="19"/>
  <c r="U1729" i="19"/>
  <c r="U1730" i="19"/>
  <c r="U1731" i="19"/>
  <c r="U1732" i="19"/>
  <c r="U1733" i="19"/>
  <c r="U1734" i="19"/>
  <c r="U1735" i="19"/>
  <c r="U1736" i="19"/>
  <c r="U1737" i="19"/>
  <c r="U1738" i="19"/>
  <c r="U1739" i="19"/>
  <c r="U1740" i="19"/>
  <c r="U1741" i="19"/>
  <c r="U1742" i="19"/>
  <c r="U1743" i="19"/>
  <c r="U1744" i="19"/>
  <c r="U1745" i="19"/>
  <c r="U1746" i="19"/>
  <c r="U1747" i="19"/>
  <c r="U1748" i="19"/>
  <c r="U1749" i="19"/>
  <c r="U1750" i="19"/>
  <c r="U1751" i="19"/>
  <c r="U1752" i="19"/>
  <c r="U1753" i="19"/>
  <c r="U1754" i="19"/>
  <c r="U1755" i="19"/>
  <c r="U1756" i="19"/>
  <c r="U1757" i="19"/>
  <c r="U1758" i="19"/>
  <c r="U1759" i="19"/>
  <c r="U1760" i="19"/>
  <c r="U1761" i="19"/>
  <c r="U1762" i="19"/>
  <c r="U1763" i="19"/>
  <c r="U1764" i="19"/>
  <c r="U1765" i="19"/>
  <c r="U1766" i="19"/>
  <c r="U1767" i="19"/>
  <c r="U1768" i="19"/>
  <c r="U1769" i="19"/>
  <c r="U1770" i="19"/>
  <c r="U1771" i="19"/>
  <c r="U1772" i="19"/>
  <c r="U1773" i="19"/>
  <c r="U1774" i="19"/>
  <c r="U1775" i="19"/>
  <c r="U1776" i="19"/>
  <c r="U1777" i="19"/>
  <c r="U1778" i="19"/>
  <c r="U1779" i="19"/>
  <c r="U1780" i="19"/>
  <c r="U1781" i="19"/>
  <c r="U1782" i="19"/>
  <c r="U1783" i="19"/>
  <c r="U1784" i="19"/>
  <c r="U1785" i="19"/>
  <c r="U1786" i="19"/>
  <c r="U1787" i="19"/>
  <c r="U1788" i="19"/>
  <c r="U1789" i="19"/>
  <c r="U1790" i="19"/>
  <c r="U1791" i="19"/>
  <c r="U1792" i="19"/>
  <c r="U1793" i="19"/>
  <c r="U1794" i="19"/>
  <c r="U1795" i="19"/>
  <c r="U1796" i="19"/>
  <c r="U1797" i="19"/>
  <c r="U1798" i="19"/>
  <c r="U1799" i="19"/>
  <c r="U1800" i="19"/>
  <c r="U1801" i="19"/>
  <c r="U1802" i="19"/>
  <c r="U1803" i="19"/>
  <c r="U1804" i="19"/>
  <c r="U1805" i="19"/>
  <c r="U1806" i="19"/>
  <c r="U1807" i="19"/>
  <c r="U1808" i="19"/>
  <c r="U1809" i="19"/>
  <c r="U1810" i="19"/>
  <c r="U1811" i="19"/>
  <c r="U1812" i="19"/>
  <c r="U1813" i="19"/>
  <c r="U1814" i="19"/>
  <c r="U1815" i="19"/>
  <c r="U1816" i="19"/>
  <c r="U1817" i="19"/>
  <c r="U1818" i="19"/>
  <c r="U1819" i="19"/>
  <c r="U1820" i="19"/>
  <c r="U1821" i="19"/>
  <c r="U1822" i="19"/>
  <c r="U1823" i="19"/>
  <c r="U1824" i="19"/>
  <c r="U1825" i="19"/>
  <c r="U1826" i="19"/>
  <c r="U1827" i="19"/>
  <c r="U1828" i="19"/>
  <c r="U1829" i="19"/>
  <c r="U1830" i="19"/>
  <c r="U1831" i="19"/>
  <c r="U1832" i="19"/>
  <c r="U1833" i="19"/>
  <c r="U1834" i="19"/>
  <c r="U1835" i="19"/>
  <c r="U1836" i="19"/>
  <c r="U1837" i="19"/>
  <c r="U1838" i="19"/>
  <c r="U1839" i="19"/>
  <c r="U1840" i="19"/>
  <c r="U1841" i="19"/>
  <c r="U1842" i="19"/>
  <c r="U1843" i="19"/>
  <c r="U1844" i="19"/>
  <c r="U1845" i="19"/>
  <c r="U1846" i="19"/>
  <c r="U1847" i="19"/>
  <c r="U1848" i="19"/>
  <c r="U1849" i="19"/>
  <c r="U1850" i="19"/>
  <c r="U1851" i="19"/>
  <c r="U1852" i="19"/>
  <c r="U1853" i="19"/>
  <c r="U1854" i="19"/>
  <c r="U1855" i="19"/>
  <c r="U1856" i="19"/>
  <c r="U1857" i="19"/>
  <c r="U1858" i="19"/>
  <c r="U1859" i="19"/>
  <c r="U1860" i="19"/>
  <c r="U1861" i="19"/>
  <c r="U1862" i="19"/>
  <c r="U1863" i="19"/>
  <c r="U1864" i="19"/>
  <c r="U1865" i="19"/>
  <c r="U1866" i="19"/>
  <c r="U1867" i="19"/>
  <c r="U1868" i="19"/>
  <c r="U1869" i="19"/>
  <c r="U1870" i="19"/>
  <c r="U1871" i="19"/>
  <c r="U1872" i="19"/>
  <c r="U1873" i="19"/>
  <c r="U1874" i="19"/>
  <c r="U1875" i="19"/>
  <c r="U1876" i="19"/>
  <c r="U1877" i="19"/>
  <c r="U1878" i="19"/>
  <c r="U1879" i="19"/>
  <c r="U1880" i="19"/>
  <c r="U1881" i="19"/>
  <c r="U1882" i="19"/>
  <c r="U1883" i="19"/>
  <c r="U1884" i="19"/>
  <c r="U1885" i="19"/>
  <c r="U1886" i="19"/>
  <c r="U1887" i="19"/>
  <c r="U1888" i="19"/>
  <c r="U1889" i="19"/>
  <c r="U1890" i="19"/>
  <c r="U1891" i="19"/>
  <c r="U1892" i="19"/>
  <c r="U1893" i="19"/>
  <c r="U1894" i="19"/>
  <c r="U1895" i="19"/>
  <c r="U1896" i="19"/>
  <c r="U1897" i="19"/>
  <c r="U1898" i="19"/>
  <c r="U1899" i="19"/>
  <c r="U1900" i="19"/>
  <c r="U1901" i="19"/>
  <c r="U1902" i="19"/>
  <c r="U1903" i="19"/>
  <c r="U1904" i="19"/>
  <c r="U1905" i="19"/>
  <c r="U1906" i="19"/>
  <c r="U1907" i="19"/>
  <c r="U1908" i="19"/>
  <c r="U1909" i="19"/>
  <c r="U1910" i="19"/>
  <c r="U1911" i="19"/>
  <c r="U1912" i="19"/>
  <c r="U1913" i="19"/>
  <c r="U1914" i="19"/>
  <c r="U1915" i="19"/>
  <c r="U1916" i="19"/>
  <c r="U1917" i="19"/>
  <c r="U1918" i="19"/>
  <c r="U1919" i="19"/>
  <c r="U1920" i="19"/>
  <c r="U1921" i="19"/>
  <c r="U1922" i="19"/>
  <c r="U1923" i="19"/>
  <c r="U1924" i="19"/>
  <c r="U1925" i="19"/>
  <c r="U1926" i="19"/>
  <c r="U1927" i="19"/>
  <c r="U1928" i="19"/>
  <c r="U1929" i="19"/>
  <c r="U1930" i="19"/>
  <c r="U1931" i="19"/>
  <c r="U1932" i="19"/>
  <c r="U1933" i="19"/>
  <c r="U1934" i="19"/>
  <c r="U1935" i="19"/>
  <c r="U1936" i="19"/>
  <c r="U1937" i="19"/>
  <c r="U1938" i="19"/>
  <c r="U1939" i="19"/>
  <c r="U1940" i="19"/>
  <c r="U1941" i="19"/>
  <c r="U1942" i="19"/>
  <c r="U1943" i="19"/>
  <c r="U1944" i="19"/>
  <c r="U1945" i="19"/>
  <c r="U1946" i="19"/>
  <c r="U1947" i="19"/>
  <c r="U1948" i="19"/>
  <c r="U1949" i="19"/>
  <c r="U1950" i="19"/>
  <c r="U1951" i="19"/>
  <c r="U1952" i="19"/>
  <c r="U1953" i="19"/>
  <c r="U1954" i="19"/>
  <c r="U1955" i="19"/>
  <c r="U1956" i="19"/>
  <c r="U1957" i="19"/>
  <c r="U1958" i="19"/>
  <c r="U1959" i="19"/>
  <c r="U1960" i="19"/>
  <c r="U1961" i="19"/>
  <c r="U1962" i="19"/>
  <c r="U1963" i="19"/>
  <c r="U1964" i="19"/>
  <c r="U1965" i="19"/>
  <c r="U1966" i="19"/>
  <c r="U1967" i="19"/>
  <c r="U1968" i="19"/>
  <c r="U1969" i="19"/>
  <c r="U1970" i="19"/>
  <c r="U1971" i="19"/>
  <c r="U1972" i="19"/>
  <c r="U1973" i="19"/>
  <c r="U1974" i="19"/>
  <c r="U1975" i="19"/>
  <c r="U1976" i="19"/>
  <c r="U1977" i="19"/>
  <c r="U1978" i="19"/>
  <c r="U1979" i="19"/>
  <c r="U1980" i="19"/>
  <c r="U1981" i="19"/>
  <c r="U1982" i="19"/>
  <c r="U1983" i="19"/>
  <c r="U1984" i="19"/>
  <c r="U1985" i="19"/>
  <c r="U1986" i="19"/>
  <c r="U1987" i="19"/>
  <c r="U1988" i="19"/>
  <c r="U1989" i="19"/>
  <c r="U1990" i="19"/>
  <c r="U1991" i="19"/>
  <c r="U1992" i="19"/>
  <c r="U1993" i="19"/>
  <c r="U1994" i="19"/>
  <c r="U1995" i="19"/>
  <c r="U1996" i="19"/>
  <c r="U1997" i="19"/>
  <c r="U1998" i="19"/>
  <c r="U1999" i="19"/>
  <c r="U2000" i="19"/>
  <c r="U2001" i="19"/>
  <c r="U2002" i="19"/>
  <c r="U2003" i="19"/>
  <c r="U2004" i="19"/>
  <c r="U2005" i="19"/>
  <c r="U2006" i="19"/>
  <c r="U2007" i="19"/>
  <c r="U2008" i="19"/>
  <c r="U2009" i="19"/>
  <c r="U2010" i="19"/>
  <c r="U2011" i="19"/>
  <c r="U2012" i="19"/>
  <c r="U2013" i="19"/>
  <c r="U2014" i="19"/>
  <c r="U2015" i="19"/>
  <c r="U2016" i="19"/>
  <c r="U2017" i="19"/>
  <c r="U2018" i="19"/>
  <c r="U2019" i="19"/>
  <c r="U2020" i="19"/>
  <c r="U2021" i="19"/>
  <c r="U2022" i="19"/>
  <c r="U2023" i="19"/>
  <c r="U2024" i="19"/>
  <c r="U2025" i="19"/>
  <c r="U2026" i="19"/>
  <c r="U2027" i="19"/>
  <c r="U2028" i="19"/>
  <c r="U2029" i="19"/>
  <c r="U2030" i="19"/>
  <c r="U2031" i="19"/>
  <c r="U2032" i="19"/>
  <c r="U2033" i="19"/>
  <c r="U2034" i="19"/>
  <c r="U2035" i="19"/>
  <c r="U2036" i="19"/>
  <c r="U2037" i="19"/>
  <c r="U2038" i="19"/>
  <c r="U2039" i="19"/>
  <c r="U2040" i="19"/>
  <c r="U2041" i="19"/>
  <c r="U2042" i="19"/>
  <c r="U2043" i="19"/>
  <c r="U2044" i="19"/>
  <c r="U2045" i="19"/>
  <c r="U2046" i="19"/>
  <c r="U2047" i="19"/>
  <c r="U2048" i="19"/>
  <c r="U2049" i="19"/>
  <c r="U2050" i="19"/>
  <c r="U2051" i="19"/>
  <c r="U2052" i="19"/>
  <c r="U2053" i="19"/>
  <c r="U2054" i="19"/>
  <c r="U2055" i="19"/>
  <c r="U2056" i="19"/>
  <c r="U2057" i="19"/>
  <c r="U2058" i="19"/>
  <c r="U2059" i="19"/>
  <c r="U2060" i="19"/>
  <c r="U2061" i="19"/>
  <c r="U2062" i="19"/>
  <c r="U2063" i="19"/>
  <c r="U2064" i="19"/>
  <c r="U2065" i="19"/>
  <c r="U2066" i="19"/>
  <c r="U2067" i="19"/>
  <c r="U2068" i="19"/>
  <c r="U2069" i="19"/>
  <c r="U2070" i="19"/>
  <c r="U2071" i="19"/>
  <c r="U2072" i="19"/>
  <c r="U2073" i="19"/>
  <c r="U2074" i="19"/>
  <c r="U2075" i="19"/>
  <c r="U2076" i="19"/>
  <c r="U2077" i="19"/>
  <c r="U2078" i="19"/>
  <c r="U2079" i="19"/>
  <c r="U2080" i="19"/>
  <c r="U2081" i="19"/>
  <c r="U2082" i="19"/>
  <c r="U2083" i="19"/>
  <c r="U2084" i="19"/>
  <c r="U2085" i="19"/>
  <c r="U2086" i="19"/>
  <c r="U2087" i="19"/>
  <c r="U2088" i="19"/>
  <c r="U2089" i="19"/>
  <c r="U2090" i="19"/>
  <c r="U2091" i="19"/>
  <c r="U2092" i="19"/>
  <c r="U2093" i="19"/>
  <c r="U2094" i="19"/>
  <c r="U2095" i="19"/>
  <c r="U2096" i="19"/>
  <c r="U2097" i="19"/>
  <c r="U2098" i="19"/>
  <c r="U2099" i="19"/>
  <c r="U2100" i="19"/>
  <c r="U2101" i="19"/>
  <c r="U2102" i="19"/>
  <c r="U2103" i="19"/>
  <c r="U2104" i="19"/>
  <c r="U2105" i="19"/>
  <c r="U2106" i="19"/>
  <c r="U2107" i="19"/>
  <c r="U2108" i="19"/>
  <c r="U2109" i="19"/>
  <c r="U2110" i="19"/>
  <c r="U2111" i="19"/>
  <c r="U2112" i="19"/>
  <c r="U2113" i="19"/>
  <c r="U2114" i="19"/>
  <c r="U2115" i="19"/>
  <c r="U2116" i="19"/>
  <c r="U2117" i="19"/>
  <c r="U2118" i="19"/>
  <c r="U2119" i="19"/>
  <c r="U2120" i="19"/>
  <c r="U2121" i="19"/>
  <c r="U2122" i="19"/>
  <c r="U2123" i="19"/>
  <c r="U2124" i="19"/>
  <c r="U2125" i="19"/>
  <c r="U2126" i="19"/>
  <c r="U2127" i="19"/>
  <c r="U2128" i="19"/>
  <c r="U2129" i="19"/>
  <c r="U2130" i="19"/>
  <c r="U2131" i="19"/>
  <c r="U2132" i="19"/>
  <c r="U2133" i="19"/>
  <c r="U2134" i="19"/>
  <c r="U2135" i="19"/>
  <c r="U2136" i="19"/>
  <c r="U2137" i="19"/>
  <c r="U2138" i="19"/>
  <c r="U2139" i="19"/>
  <c r="U2140" i="19"/>
  <c r="U2141" i="19"/>
  <c r="U2142" i="19"/>
  <c r="U2143" i="19"/>
  <c r="U2144" i="19"/>
  <c r="U2145" i="19"/>
  <c r="U2146" i="19"/>
  <c r="U2147" i="19"/>
  <c r="U2148" i="19"/>
  <c r="U2149" i="19"/>
  <c r="U2150" i="19"/>
  <c r="U2151" i="19"/>
  <c r="I1712" i="21"/>
  <c r="I1713" i="21"/>
  <c r="P1713" i="21" s="1"/>
  <c r="I1714" i="21"/>
  <c r="P1714" i="21" s="1"/>
  <c r="I1715" i="21"/>
  <c r="J1715" i="21" s="1"/>
  <c r="I1716" i="21"/>
  <c r="J1716" i="21" s="1"/>
  <c r="I1717" i="21"/>
  <c r="I1718" i="21"/>
  <c r="J1718" i="21" s="1"/>
  <c r="I1719" i="21"/>
  <c r="J1719" i="21" s="1"/>
  <c r="I1720" i="21"/>
  <c r="I1721" i="21"/>
  <c r="J1721" i="21" s="1"/>
  <c r="I1722" i="21"/>
  <c r="J1722" i="21" s="1"/>
  <c r="I1723" i="21"/>
  <c r="J1723" i="21" s="1"/>
  <c r="I1724" i="21"/>
  <c r="J1724" i="21" s="1"/>
  <c r="I1725" i="21"/>
  <c r="J1725" i="21" s="1"/>
  <c r="I1726" i="21"/>
  <c r="J1726" i="21" s="1"/>
  <c r="I1727" i="21"/>
  <c r="J1727" i="21" s="1"/>
  <c r="I1728" i="21"/>
  <c r="I1729" i="21"/>
  <c r="J1729" i="21" s="1"/>
  <c r="I1730" i="21"/>
  <c r="J1730" i="21" s="1"/>
  <c r="I1731" i="21"/>
  <c r="J1731" i="21" s="1"/>
  <c r="I1732" i="21"/>
  <c r="J1732" i="21" s="1"/>
  <c r="I1733" i="21"/>
  <c r="J1733" i="21" s="1"/>
  <c r="I1734" i="21"/>
  <c r="J1734" i="21" s="1"/>
  <c r="I1735" i="21"/>
  <c r="J1735" i="21" s="1"/>
  <c r="I1736" i="21"/>
  <c r="I1737" i="21"/>
  <c r="J1737" i="21" s="1"/>
  <c r="I1738" i="21"/>
  <c r="J1738" i="21" s="1"/>
  <c r="I1739" i="21"/>
  <c r="J1739" i="21" s="1"/>
  <c r="I1740" i="21"/>
  <c r="I1741" i="21"/>
  <c r="J1741" i="21" s="1"/>
  <c r="I1742" i="21"/>
  <c r="J1742" i="21" s="1"/>
  <c r="I1743" i="21"/>
  <c r="J1743" i="21" s="1"/>
  <c r="I1744" i="21"/>
  <c r="I1745" i="21"/>
  <c r="J1745" i="21" s="1"/>
  <c r="I1746" i="21"/>
  <c r="J1746" i="21" s="1"/>
  <c r="I1747" i="21"/>
  <c r="J1747" i="21" s="1"/>
  <c r="I1748" i="21"/>
  <c r="J1748" i="21" s="1"/>
  <c r="I1749" i="21"/>
  <c r="Q1749" i="21" s="1"/>
  <c r="I1750" i="21"/>
  <c r="J1750" i="21" s="1"/>
  <c r="I1751" i="21"/>
  <c r="J1751" i="21" s="1"/>
  <c r="I1752" i="21"/>
  <c r="I1753" i="21"/>
  <c r="J1753" i="21" s="1"/>
  <c r="I1754" i="21"/>
  <c r="J1754" i="21" s="1"/>
  <c r="I1755" i="21"/>
  <c r="J1755" i="21" s="1"/>
  <c r="I1756" i="21"/>
  <c r="J1756" i="21" s="1"/>
  <c r="I1757" i="21"/>
  <c r="Q1757" i="21" s="1"/>
  <c r="I1758" i="21"/>
  <c r="J1758" i="21" s="1"/>
  <c r="I1759" i="21"/>
  <c r="J1759" i="21" s="1"/>
  <c r="I1760" i="21"/>
  <c r="I1761" i="21"/>
  <c r="J1761" i="21" s="1"/>
  <c r="I1762" i="21"/>
  <c r="I1763" i="21"/>
  <c r="J1763" i="21" s="1"/>
  <c r="I1764" i="21"/>
  <c r="I1765" i="21"/>
  <c r="J1765" i="21" s="1"/>
  <c r="I1766" i="21"/>
  <c r="J1766" i="21" s="1"/>
  <c r="I1767" i="21"/>
  <c r="J1767" i="21" s="1"/>
  <c r="I1768" i="21"/>
  <c r="I1769" i="21"/>
  <c r="J1769" i="21" s="1"/>
  <c r="I1770" i="21"/>
  <c r="J1770" i="21" s="1"/>
  <c r="I1771" i="21"/>
  <c r="J1771" i="21" s="1"/>
  <c r="I1772" i="21"/>
  <c r="J1772" i="21" s="1"/>
  <c r="I1773" i="21"/>
  <c r="J1773" i="21" s="1"/>
  <c r="I1774" i="21"/>
  <c r="J1774" i="21" s="1"/>
  <c r="I1775" i="21"/>
  <c r="J1775" i="21" s="1"/>
  <c r="I1776" i="21"/>
  <c r="I1777" i="21"/>
  <c r="J1777" i="21" s="1"/>
  <c r="I1778" i="21"/>
  <c r="J1778" i="21" s="1"/>
  <c r="I1779" i="21"/>
  <c r="J1779" i="21" s="1"/>
  <c r="I1780" i="21"/>
  <c r="J1780" i="21" s="1"/>
  <c r="I1781" i="21"/>
  <c r="J1781" i="21" s="1"/>
  <c r="I1782" i="21"/>
  <c r="J1782" i="21" s="1"/>
  <c r="I1783" i="21"/>
  <c r="J1783" i="21" s="1"/>
  <c r="I1784" i="21"/>
  <c r="I1785" i="21"/>
  <c r="J1785" i="21" s="1"/>
  <c r="I1786" i="21"/>
  <c r="J1786" i="21" s="1"/>
  <c r="I1787" i="21"/>
  <c r="J1787" i="21" s="1"/>
  <c r="I1788" i="21"/>
  <c r="I1789" i="21"/>
  <c r="J1789" i="21" s="1"/>
  <c r="I1790" i="21"/>
  <c r="J1790" i="21" s="1"/>
  <c r="I1791" i="21"/>
  <c r="J1791" i="21" s="1"/>
  <c r="I1792" i="21"/>
  <c r="I1793" i="21"/>
  <c r="Q1793" i="21" s="1"/>
  <c r="I1794" i="21"/>
  <c r="J1794" i="21" s="1"/>
  <c r="I1795" i="21"/>
  <c r="J1795" i="21" s="1"/>
  <c r="I1796" i="21"/>
  <c r="J1796" i="21" s="1"/>
  <c r="I1797" i="21"/>
  <c r="J1797" i="21" s="1"/>
  <c r="I1798" i="21"/>
  <c r="J1798" i="21" s="1"/>
  <c r="I1799" i="21"/>
  <c r="J1799" i="21" s="1"/>
  <c r="I1800" i="21"/>
  <c r="I1801" i="21"/>
  <c r="Q1801" i="21" s="1"/>
  <c r="I1802" i="21"/>
  <c r="I1803" i="21"/>
  <c r="Q1803" i="21" s="1"/>
  <c r="I1804" i="21"/>
  <c r="Q1804" i="21" s="1"/>
  <c r="I1805" i="21"/>
  <c r="Q1805" i="21" s="1"/>
  <c r="I1806" i="21"/>
  <c r="Q1806" i="21" s="1"/>
  <c r="I1807" i="21"/>
  <c r="Q1807" i="21" s="1"/>
  <c r="I1808" i="21"/>
  <c r="I1809" i="21"/>
  <c r="Q1809" i="21" s="1"/>
  <c r="I1810" i="21"/>
  <c r="I1811" i="21"/>
  <c r="Q1811" i="21" s="1"/>
  <c r="I1812" i="21"/>
  <c r="Q1812" i="21" s="1"/>
  <c r="I1813" i="21"/>
  <c r="Q1813" i="21" s="1"/>
  <c r="I1814" i="21"/>
  <c r="Q1814" i="21" s="1"/>
  <c r="I1815" i="21"/>
  <c r="Q1815" i="21" s="1"/>
  <c r="I1816" i="21"/>
  <c r="I1817" i="21"/>
  <c r="Q1817" i="21" s="1"/>
  <c r="I1818" i="21"/>
  <c r="Q1818" i="21" s="1"/>
  <c r="I1819" i="21"/>
  <c r="Q1819" i="21" s="1"/>
  <c r="I1820" i="21"/>
  <c r="I1821" i="21"/>
  <c r="Q1821" i="21" s="1"/>
  <c r="I1822" i="21"/>
  <c r="Q1822" i="21" s="1"/>
  <c r="I1823" i="21"/>
  <c r="Q1823" i="21" s="1"/>
  <c r="I1824" i="21"/>
  <c r="I1825" i="21"/>
  <c r="Q1825" i="21" s="1"/>
  <c r="I1826" i="21"/>
  <c r="Q1826" i="21" s="1"/>
  <c r="I1827" i="21"/>
  <c r="Q1827" i="21" s="1"/>
  <c r="I1828" i="21"/>
  <c r="Q1828" i="21" s="1"/>
  <c r="I1829" i="21"/>
  <c r="Q1829" i="21" s="1"/>
  <c r="I1830" i="21"/>
  <c r="Q1830" i="21" s="1"/>
  <c r="I1831" i="21"/>
  <c r="Q1831" i="21" s="1"/>
  <c r="I1832" i="21"/>
  <c r="I1833" i="21"/>
  <c r="Q1833" i="21" s="1"/>
  <c r="I1834" i="21"/>
  <c r="Q1834" i="21" s="1"/>
  <c r="I1835" i="21"/>
  <c r="Q1835" i="21" s="1"/>
  <c r="I1836" i="21"/>
  <c r="Q1836" i="21" s="1"/>
  <c r="I1837" i="21"/>
  <c r="J1837" i="21" s="1"/>
  <c r="I1838" i="21"/>
  <c r="Q1838" i="21" s="1"/>
  <c r="I1839" i="21"/>
  <c r="Q1839" i="21" s="1"/>
  <c r="I1840" i="21"/>
  <c r="I1841" i="21"/>
  <c r="Q1841" i="21" s="1"/>
  <c r="I1842" i="21"/>
  <c r="Q1842" i="21" s="1"/>
  <c r="I1843" i="21"/>
  <c r="Q1843" i="21" s="1"/>
  <c r="I1844" i="21"/>
  <c r="I1845" i="21"/>
  <c r="Q1845" i="21" s="1"/>
  <c r="I1846" i="21"/>
  <c r="Q1846" i="21" s="1"/>
  <c r="I1847" i="21"/>
  <c r="Q1847" i="21" s="1"/>
  <c r="I1848" i="21"/>
  <c r="I1849" i="21"/>
  <c r="Q1849" i="21" s="1"/>
  <c r="I1850" i="21"/>
  <c r="Q1850" i="21" s="1"/>
  <c r="I1851" i="21"/>
  <c r="Q1851" i="21" s="1"/>
  <c r="I1852" i="21"/>
  <c r="I1853" i="21"/>
  <c r="Q1853" i="21" s="1"/>
  <c r="I1854" i="21"/>
  <c r="Q1854" i="21" s="1"/>
  <c r="I1855" i="21"/>
  <c r="Q1855" i="21" s="1"/>
  <c r="I1856" i="21"/>
  <c r="I1857" i="21"/>
  <c r="Q1857" i="21" s="1"/>
  <c r="I1858" i="21"/>
  <c r="Q1858" i="21" s="1"/>
  <c r="I1859" i="21"/>
  <c r="Q1859" i="21" s="1"/>
  <c r="I1860" i="21"/>
  <c r="Q1860" i="21" s="1"/>
  <c r="I1861" i="21"/>
  <c r="Q1861" i="21" s="1"/>
  <c r="I1862" i="21"/>
  <c r="Q1862" i="21" s="1"/>
  <c r="I1863" i="21"/>
  <c r="Q1863" i="21" s="1"/>
  <c r="I1864" i="21"/>
  <c r="I1865" i="21"/>
  <c r="Q1865" i="21" s="1"/>
  <c r="I1866" i="21"/>
  <c r="Q1866" i="21" s="1"/>
  <c r="I1867" i="21"/>
  <c r="Q1867" i="21" s="1"/>
  <c r="I1868" i="21"/>
  <c r="I1869" i="21"/>
  <c r="Q1869" i="21" s="1"/>
  <c r="I1870" i="21"/>
  <c r="Q1870" i="21" s="1"/>
  <c r="I1871" i="21"/>
  <c r="Q1871" i="21" s="1"/>
  <c r="I1872" i="21"/>
  <c r="I1873" i="21"/>
  <c r="J1873" i="21" s="1"/>
  <c r="I1874" i="21"/>
  <c r="I1875" i="21"/>
  <c r="I1876" i="21"/>
  <c r="Q1876" i="21" s="1"/>
  <c r="I1877" i="21"/>
  <c r="Q1877" i="21" s="1"/>
  <c r="I1878" i="21"/>
  <c r="Q1878" i="21" s="1"/>
  <c r="I1879" i="21"/>
  <c r="Q1879" i="21" s="1"/>
  <c r="I1880" i="21"/>
  <c r="I1881" i="21"/>
  <c r="I1882" i="21"/>
  <c r="I1883" i="21"/>
  <c r="I1884" i="21"/>
  <c r="I1885" i="21"/>
  <c r="I1886" i="21"/>
  <c r="I1887" i="21"/>
  <c r="I1888" i="21"/>
  <c r="I1889" i="21"/>
  <c r="I1890" i="21"/>
  <c r="I1891" i="21"/>
  <c r="I1892" i="21"/>
  <c r="I1893" i="21"/>
  <c r="I1894" i="21"/>
  <c r="I1895" i="21"/>
  <c r="I1896" i="21"/>
  <c r="I1897" i="21"/>
  <c r="I1898" i="21"/>
  <c r="I1899" i="21"/>
  <c r="I1900" i="21"/>
  <c r="I1901" i="21"/>
  <c r="I1902" i="21"/>
  <c r="I1903" i="21"/>
  <c r="I1904" i="21"/>
  <c r="I1905" i="21"/>
  <c r="I1906" i="21"/>
  <c r="I1907" i="21"/>
  <c r="I1908" i="21"/>
  <c r="I1909" i="21"/>
  <c r="I1910" i="21"/>
  <c r="I1911" i="21"/>
  <c r="I1912" i="21"/>
  <c r="I1913" i="21"/>
  <c r="I1914" i="21"/>
  <c r="I1915" i="21"/>
  <c r="I1916" i="21"/>
  <c r="I1917" i="21"/>
  <c r="I1918" i="21"/>
  <c r="I1919" i="21"/>
  <c r="I1920" i="21"/>
  <c r="I1921" i="21"/>
  <c r="I1922" i="21"/>
  <c r="I1923" i="21"/>
  <c r="I1924" i="21"/>
  <c r="I1925" i="21"/>
  <c r="I1926" i="21"/>
  <c r="I1927" i="21"/>
  <c r="I1928" i="21"/>
  <c r="I1929" i="21"/>
  <c r="I1930" i="21"/>
  <c r="I1931" i="21"/>
  <c r="I1932" i="21"/>
  <c r="Q1932" i="21" s="1"/>
  <c r="I1933" i="21"/>
  <c r="Q1933" i="21" s="1"/>
  <c r="I1934" i="21"/>
  <c r="Q1934" i="21" s="1"/>
  <c r="I1935" i="21"/>
  <c r="Q1935" i="21" s="1"/>
  <c r="I1936" i="21"/>
  <c r="I1937" i="21"/>
  <c r="Q1937" i="21" s="1"/>
  <c r="I1938" i="21"/>
  <c r="Q1938" i="21" s="1"/>
  <c r="I1939" i="21"/>
  <c r="Q1939" i="21" s="1"/>
  <c r="I1940" i="21"/>
  <c r="Q1940" i="21" s="1"/>
  <c r="I1941" i="21"/>
  <c r="Q1941" i="21" s="1"/>
  <c r="I1942" i="21"/>
  <c r="Q1942" i="21" s="1"/>
  <c r="I1943" i="21"/>
  <c r="Q1943" i="21" s="1"/>
  <c r="I1944" i="21"/>
  <c r="I1945" i="21"/>
  <c r="Q1945" i="21" s="1"/>
  <c r="I1946" i="21"/>
  <c r="Q1946" i="21" s="1"/>
  <c r="I1947" i="21"/>
  <c r="Q1947" i="21" s="1"/>
  <c r="I1948" i="21"/>
  <c r="Q1948" i="21" s="1"/>
  <c r="I1949" i="21"/>
  <c r="J1949" i="21" s="1"/>
  <c r="I1950" i="21"/>
  <c r="Q1950" i="21" s="1"/>
  <c r="I1951" i="21"/>
  <c r="Q1951" i="21" s="1"/>
  <c r="I1952" i="21"/>
  <c r="Q1952" i="21" s="1"/>
  <c r="I1953" i="21"/>
  <c r="Q1953" i="21" s="1"/>
  <c r="I1954" i="21"/>
  <c r="Q1954" i="21" s="1"/>
  <c r="I1955" i="21"/>
  <c r="Q1955" i="21" s="1"/>
  <c r="I1956" i="21"/>
  <c r="Q1956" i="21" s="1"/>
  <c r="I1957" i="21"/>
  <c r="Q1957" i="21" s="1"/>
  <c r="I1958" i="21"/>
  <c r="Q1958" i="21" s="1"/>
  <c r="I1959" i="21"/>
  <c r="Q1959" i="21" s="1"/>
  <c r="I1960" i="21"/>
  <c r="I1961" i="21"/>
  <c r="Q1961" i="21" s="1"/>
  <c r="I1962" i="21"/>
  <c r="Q1962" i="21" s="1"/>
  <c r="I1963" i="21"/>
  <c r="Q1963" i="21" s="1"/>
  <c r="I1964" i="21"/>
  <c r="Q1964" i="21" s="1"/>
  <c r="I1965" i="21"/>
  <c r="Q1965" i="21" s="1"/>
  <c r="I1966" i="21"/>
  <c r="Q1966" i="21" s="1"/>
  <c r="I1967" i="21"/>
  <c r="Q1967" i="21" s="1"/>
  <c r="I1968" i="21"/>
  <c r="Q1968" i="21" s="1"/>
  <c r="I1969" i="21"/>
  <c r="Q1969" i="21" s="1"/>
  <c r="I1970" i="21"/>
  <c r="Q1970" i="21" s="1"/>
  <c r="I1971" i="21"/>
  <c r="Q1971" i="21" s="1"/>
  <c r="I1972" i="21"/>
  <c r="Q1972" i="21" s="1"/>
  <c r="I1973" i="21"/>
  <c r="Q1973" i="21" s="1"/>
  <c r="I1974" i="21"/>
  <c r="Q1974" i="21" s="1"/>
  <c r="I1975" i="21"/>
  <c r="Q1975" i="21" s="1"/>
  <c r="I1976" i="21"/>
  <c r="Q1976" i="21" s="1"/>
  <c r="I1977" i="21"/>
  <c r="Q1977" i="21" s="1"/>
  <c r="I1978" i="21"/>
  <c r="Q1978" i="21" s="1"/>
  <c r="I1979" i="21"/>
  <c r="Q1979" i="21" s="1"/>
  <c r="I1980" i="21"/>
  <c r="Q1980" i="21" s="1"/>
  <c r="I1981" i="21"/>
  <c r="Q1981" i="21" s="1"/>
  <c r="I1982" i="21"/>
  <c r="Q1982" i="21" s="1"/>
  <c r="I1983" i="21"/>
  <c r="Q1983" i="21" s="1"/>
  <c r="I1984" i="21"/>
  <c r="I1985" i="21"/>
  <c r="Q1985" i="21" s="1"/>
  <c r="I1986" i="21"/>
  <c r="Q1986" i="21" s="1"/>
  <c r="I1987" i="21"/>
  <c r="J1987" i="21" s="1"/>
  <c r="I1988" i="21"/>
  <c r="Q1988" i="21" s="1"/>
  <c r="I1989" i="21"/>
  <c r="Q1989" i="21" s="1"/>
  <c r="I1990" i="21"/>
  <c r="Q1990" i="21" s="1"/>
  <c r="I1991" i="21"/>
  <c r="Q1991" i="21" s="1"/>
  <c r="I1992" i="21"/>
  <c r="I1993" i="21"/>
  <c r="Q1993" i="21" s="1"/>
  <c r="I1994" i="21"/>
  <c r="Q1994" i="21" s="1"/>
  <c r="I1995" i="21"/>
  <c r="Q1995" i="21" s="1"/>
  <c r="I1996" i="21"/>
  <c r="Q1996" i="21" s="1"/>
  <c r="I1997" i="21"/>
  <c r="Q1997" i="21" s="1"/>
  <c r="I1998" i="21"/>
  <c r="Q1998" i="21" s="1"/>
  <c r="I1999" i="21"/>
  <c r="Q1999" i="21" s="1"/>
  <c r="I2000" i="21"/>
  <c r="I2001" i="21"/>
  <c r="Q2001" i="21" s="1"/>
  <c r="I2002" i="21"/>
  <c r="Q2002" i="21" s="1"/>
  <c r="I2003" i="21"/>
  <c r="Q2003" i="21" s="1"/>
  <c r="I2004" i="21"/>
  <c r="Q2004" i="21" s="1"/>
  <c r="I2005" i="21"/>
  <c r="Q2005" i="21" s="1"/>
  <c r="I2006" i="21"/>
  <c r="Q2006" i="21" s="1"/>
  <c r="I2007" i="21"/>
  <c r="J2007" i="21" s="1"/>
  <c r="I2008" i="21"/>
  <c r="Q2008" i="21" s="1"/>
  <c r="I1711" i="21"/>
  <c r="P1711" i="21" s="1"/>
  <c r="N1858" i="19"/>
  <c r="N1859" i="19"/>
  <c r="N1860" i="19"/>
  <c r="N1861" i="19"/>
  <c r="N1862" i="19"/>
  <c r="N1863" i="19"/>
  <c r="N1864" i="19"/>
  <c r="N1865" i="19"/>
  <c r="N1866" i="19"/>
  <c r="N1867" i="19"/>
  <c r="N1868" i="19"/>
  <c r="N1869" i="19"/>
  <c r="N1870" i="19"/>
  <c r="N1871" i="19"/>
  <c r="N1872" i="19"/>
  <c r="N1873" i="19"/>
  <c r="N1874" i="19"/>
  <c r="N1875" i="19"/>
  <c r="N1876" i="19"/>
  <c r="N1877" i="19"/>
  <c r="N1878" i="19"/>
  <c r="N1879" i="19"/>
  <c r="N1880" i="19"/>
  <c r="N1881" i="19"/>
  <c r="N1882" i="19"/>
  <c r="N1883" i="19"/>
  <c r="N1884" i="19"/>
  <c r="N1885" i="19"/>
  <c r="N1886" i="19"/>
  <c r="N1887" i="19"/>
  <c r="N1888" i="19"/>
  <c r="N1889" i="19"/>
  <c r="N1890" i="19"/>
  <c r="N1891" i="19"/>
  <c r="N1892" i="19"/>
  <c r="N1893" i="19"/>
  <c r="N1894" i="19"/>
  <c r="N1895" i="19"/>
  <c r="N1896" i="19"/>
  <c r="N1897" i="19"/>
  <c r="N1898" i="19"/>
  <c r="N1899" i="19"/>
  <c r="N1900" i="19"/>
  <c r="N1901" i="19"/>
  <c r="N1902" i="19"/>
  <c r="N1903" i="19"/>
  <c r="N1904" i="19"/>
  <c r="N1905" i="19"/>
  <c r="N1906" i="19"/>
  <c r="N1907" i="19"/>
  <c r="N1908" i="19"/>
  <c r="N1909" i="19"/>
  <c r="N1910" i="19"/>
  <c r="N1911" i="19"/>
  <c r="N1912" i="19"/>
  <c r="N1913" i="19"/>
  <c r="N1914" i="19"/>
  <c r="N1915" i="19"/>
  <c r="N1916" i="19"/>
  <c r="N1917" i="19"/>
  <c r="N1918" i="19"/>
  <c r="N1919" i="19"/>
  <c r="N1920" i="19"/>
  <c r="N1921" i="19"/>
  <c r="N1922" i="19"/>
  <c r="N1923" i="19"/>
  <c r="N1924" i="19"/>
  <c r="N1925" i="19"/>
  <c r="N1926" i="19"/>
  <c r="N1927" i="19"/>
  <c r="N1928" i="19"/>
  <c r="N1929" i="19"/>
  <c r="N1930" i="19"/>
  <c r="N1931" i="19"/>
  <c r="N1932" i="19"/>
  <c r="N1933" i="19"/>
  <c r="N1934" i="19"/>
  <c r="N1935" i="19"/>
  <c r="N1936" i="19"/>
  <c r="N1937" i="19"/>
  <c r="N1938" i="19"/>
  <c r="N1939" i="19"/>
  <c r="N1940" i="19"/>
  <c r="N1941" i="19"/>
  <c r="N1942" i="19"/>
  <c r="N1943" i="19"/>
  <c r="N1944" i="19"/>
  <c r="N1945" i="19"/>
  <c r="N1946" i="19"/>
  <c r="N1947" i="19"/>
  <c r="N1948" i="19"/>
  <c r="N1949" i="19"/>
  <c r="N1950" i="19"/>
  <c r="N1951" i="19"/>
  <c r="N1952" i="19"/>
  <c r="N1953" i="19"/>
  <c r="N1954" i="19"/>
  <c r="N1955" i="19"/>
  <c r="N1956" i="19"/>
  <c r="N1957" i="19"/>
  <c r="N1958" i="19"/>
  <c r="N1959" i="19"/>
  <c r="N1960" i="19"/>
  <c r="N1961" i="19"/>
  <c r="N1962" i="19"/>
  <c r="N1963" i="19"/>
  <c r="N1964" i="19"/>
  <c r="N1965" i="19"/>
  <c r="N1966" i="19"/>
  <c r="N1967" i="19"/>
  <c r="N1968" i="19"/>
  <c r="N1969" i="19"/>
  <c r="N1970" i="19"/>
  <c r="N1971" i="19"/>
  <c r="N1972" i="19"/>
  <c r="N1973" i="19"/>
  <c r="N1974" i="19"/>
  <c r="N1975" i="19"/>
  <c r="N1976" i="19"/>
  <c r="N1977" i="19"/>
  <c r="N1978" i="19"/>
  <c r="N1979" i="19"/>
  <c r="N1980" i="19"/>
  <c r="N1981" i="19"/>
  <c r="N1982" i="19"/>
  <c r="N1983" i="19"/>
  <c r="N1984" i="19"/>
  <c r="N1985" i="19"/>
  <c r="N1986" i="19"/>
  <c r="N1987" i="19"/>
  <c r="N1988" i="19"/>
  <c r="N1989" i="19"/>
  <c r="N1990" i="19"/>
  <c r="N1991" i="19"/>
  <c r="N1992" i="19"/>
  <c r="N1993" i="19"/>
  <c r="N1994" i="19"/>
  <c r="N1995" i="19"/>
  <c r="N1996" i="19"/>
  <c r="N1997" i="19"/>
  <c r="N1998" i="19"/>
  <c r="N1999" i="19"/>
  <c r="N2000" i="19"/>
  <c r="N2001" i="19"/>
  <c r="N2002" i="19"/>
  <c r="N2003" i="19"/>
  <c r="N2004" i="19"/>
  <c r="N2005" i="19"/>
  <c r="N2006" i="19"/>
  <c r="N2007" i="19"/>
  <c r="N2008" i="19"/>
  <c r="N2009" i="19"/>
  <c r="N2010" i="19"/>
  <c r="N2011" i="19"/>
  <c r="N2012" i="19"/>
  <c r="N2013" i="19"/>
  <c r="N2014" i="19"/>
  <c r="N2015" i="19"/>
  <c r="N2016" i="19"/>
  <c r="N2017" i="19"/>
  <c r="N2018" i="19"/>
  <c r="N2019" i="19"/>
  <c r="N2020" i="19"/>
  <c r="N2021" i="19"/>
  <c r="N2022" i="19"/>
  <c r="N2023" i="19"/>
  <c r="N2024" i="19"/>
  <c r="N2025" i="19"/>
  <c r="N2026" i="19"/>
  <c r="N2027" i="19"/>
  <c r="N2028" i="19"/>
  <c r="N2029" i="19"/>
  <c r="N2030" i="19"/>
  <c r="N2031" i="19"/>
  <c r="N2032" i="19"/>
  <c r="N2033" i="19"/>
  <c r="N2034" i="19"/>
  <c r="N2035" i="19"/>
  <c r="N2036" i="19"/>
  <c r="N2037" i="19"/>
  <c r="N2038" i="19"/>
  <c r="N2039" i="19"/>
  <c r="N2040" i="19"/>
  <c r="N2041" i="19"/>
  <c r="N2042" i="19"/>
  <c r="N2043" i="19"/>
  <c r="N2044" i="19"/>
  <c r="N2045" i="19"/>
  <c r="N2046" i="19"/>
  <c r="N2047" i="19"/>
  <c r="N2048" i="19"/>
  <c r="N2049" i="19"/>
  <c r="N2050" i="19"/>
  <c r="N2051" i="19"/>
  <c r="N2052" i="19"/>
  <c r="N2053" i="19"/>
  <c r="N2054" i="19"/>
  <c r="N2055" i="19"/>
  <c r="N2056" i="19"/>
  <c r="N2057" i="19"/>
  <c r="N2058" i="19"/>
  <c r="N2059" i="19"/>
  <c r="N2060" i="19"/>
  <c r="N2061" i="19"/>
  <c r="N2062" i="19"/>
  <c r="N2063" i="19"/>
  <c r="N2064" i="19"/>
  <c r="N2065" i="19"/>
  <c r="N2066" i="19"/>
  <c r="N2067" i="19"/>
  <c r="N2068" i="19"/>
  <c r="N2069" i="19"/>
  <c r="N2070" i="19"/>
  <c r="N2071" i="19"/>
  <c r="N2072" i="19"/>
  <c r="N2073" i="19"/>
  <c r="N2074" i="19"/>
  <c r="N2075" i="19"/>
  <c r="N2076" i="19"/>
  <c r="N2077" i="19"/>
  <c r="N2078" i="19"/>
  <c r="N2079" i="19"/>
  <c r="N2080" i="19"/>
  <c r="N2081" i="19"/>
  <c r="N2082" i="19"/>
  <c r="N2083" i="19"/>
  <c r="N2084" i="19"/>
  <c r="N2085" i="19"/>
  <c r="N2086" i="19"/>
  <c r="N2087" i="19"/>
  <c r="N2088" i="19"/>
  <c r="N2089" i="19"/>
  <c r="N2090" i="19"/>
  <c r="N2091" i="19"/>
  <c r="N2092" i="19"/>
  <c r="N2093" i="19"/>
  <c r="N2094" i="19"/>
  <c r="N2095" i="19"/>
  <c r="N2096" i="19"/>
  <c r="N2097" i="19"/>
  <c r="N2098" i="19"/>
  <c r="N2099" i="19"/>
  <c r="N2100" i="19"/>
  <c r="N2101" i="19"/>
  <c r="N2102" i="19"/>
  <c r="N2103" i="19"/>
  <c r="N2104" i="19"/>
  <c r="N2105" i="19"/>
  <c r="N2106" i="19"/>
  <c r="N2107" i="19"/>
  <c r="N2108" i="19"/>
  <c r="N2109" i="19"/>
  <c r="N2110" i="19"/>
  <c r="N2111" i="19"/>
  <c r="N2112" i="19"/>
  <c r="N2113" i="19"/>
  <c r="N2114" i="19"/>
  <c r="N2115" i="19"/>
  <c r="N2116" i="19"/>
  <c r="N2117" i="19"/>
  <c r="N2118" i="19"/>
  <c r="N2119" i="19"/>
  <c r="N2120" i="19"/>
  <c r="N2121" i="19"/>
  <c r="N2122" i="19"/>
  <c r="N2123" i="19"/>
  <c r="N2124" i="19"/>
  <c r="N2125" i="19"/>
  <c r="N2126" i="19"/>
  <c r="N2127" i="19"/>
  <c r="N2128" i="19"/>
  <c r="N2129" i="19"/>
  <c r="N2130" i="19"/>
  <c r="N2131" i="19"/>
  <c r="N2132" i="19"/>
  <c r="N2133" i="19"/>
  <c r="N2134" i="19"/>
  <c r="N2135" i="19"/>
  <c r="N2136" i="19"/>
  <c r="N2137" i="19"/>
  <c r="N2138" i="19"/>
  <c r="N2139" i="19"/>
  <c r="N2140" i="19"/>
  <c r="N2141" i="19"/>
  <c r="N2142" i="19"/>
  <c r="N2143" i="19"/>
  <c r="N2144" i="19"/>
  <c r="N2145" i="19"/>
  <c r="N2146" i="19"/>
  <c r="N2147" i="19"/>
  <c r="N2148" i="19"/>
  <c r="N2149" i="19"/>
  <c r="N2150" i="19"/>
  <c r="N2151" i="19"/>
  <c r="O1858" i="19"/>
  <c r="O1859" i="19"/>
  <c r="O1860" i="19"/>
  <c r="O1861" i="19"/>
  <c r="O1862" i="19"/>
  <c r="O1863" i="19"/>
  <c r="O1864" i="19"/>
  <c r="O1865" i="19"/>
  <c r="O1866" i="19"/>
  <c r="O1867" i="19"/>
  <c r="O1868" i="19"/>
  <c r="O1869" i="19"/>
  <c r="O1870" i="19"/>
  <c r="O1871" i="19"/>
  <c r="O1872" i="19"/>
  <c r="O1873" i="19"/>
  <c r="O1874" i="19"/>
  <c r="O1875" i="19"/>
  <c r="O1876" i="19"/>
  <c r="O1877" i="19"/>
  <c r="O1878" i="19"/>
  <c r="O1879" i="19"/>
  <c r="O1880" i="19"/>
  <c r="O1881" i="19"/>
  <c r="O1882" i="19"/>
  <c r="O1883" i="19"/>
  <c r="O1884" i="19"/>
  <c r="O1885" i="19"/>
  <c r="O1886" i="19"/>
  <c r="O1887" i="19"/>
  <c r="O1888" i="19"/>
  <c r="O1889" i="19"/>
  <c r="O1890" i="19"/>
  <c r="O1891" i="19"/>
  <c r="O1892" i="19"/>
  <c r="O1893" i="19"/>
  <c r="O1894" i="19"/>
  <c r="O1895" i="19"/>
  <c r="O1896" i="19"/>
  <c r="O1897" i="19"/>
  <c r="O1898" i="19"/>
  <c r="O1899" i="19"/>
  <c r="O1900" i="19"/>
  <c r="O1901" i="19"/>
  <c r="O1902" i="19"/>
  <c r="O1903" i="19"/>
  <c r="O1904" i="19"/>
  <c r="O1905" i="19"/>
  <c r="O1906" i="19"/>
  <c r="O1907" i="19"/>
  <c r="O1908" i="19"/>
  <c r="O1909" i="19"/>
  <c r="O1910" i="19"/>
  <c r="O1911" i="19"/>
  <c r="O1912" i="19"/>
  <c r="O1913" i="19"/>
  <c r="O1914" i="19"/>
  <c r="O1915" i="19"/>
  <c r="O1916" i="19"/>
  <c r="O1917" i="19"/>
  <c r="O1918" i="19"/>
  <c r="O1919" i="19"/>
  <c r="O1920" i="19"/>
  <c r="O1921" i="19"/>
  <c r="O1922" i="19"/>
  <c r="O1923" i="19"/>
  <c r="O1924" i="19"/>
  <c r="O1925" i="19"/>
  <c r="O1926" i="19"/>
  <c r="O1927" i="19"/>
  <c r="O1928" i="19"/>
  <c r="O1929" i="19"/>
  <c r="O1930" i="19"/>
  <c r="O1931" i="19"/>
  <c r="O1932" i="19"/>
  <c r="O1933" i="19"/>
  <c r="O1934" i="19"/>
  <c r="O1935" i="19"/>
  <c r="O1936" i="19"/>
  <c r="O1937" i="19"/>
  <c r="O1938" i="19"/>
  <c r="O1939" i="19"/>
  <c r="O1940" i="19"/>
  <c r="O1941" i="19"/>
  <c r="O1942" i="19"/>
  <c r="O1943" i="19"/>
  <c r="O1944" i="19"/>
  <c r="O1945" i="19"/>
  <c r="O1946" i="19"/>
  <c r="O1947" i="19"/>
  <c r="O1948" i="19"/>
  <c r="O1949" i="19"/>
  <c r="O1950" i="19"/>
  <c r="O1951" i="19"/>
  <c r="O1952" i="19"/>
  <c r="O1953" i="19"/>
  <c r="O1954" i="19"/>
  <c r="O1955" i="19"/>
  <c r="O1956" i="19"/>
  <c r="O1957" i="19"/>
  <c r="O1958" i="19"/>
  <c r="O1959" i="19"/>
  <c r="O1960" i="19"/>
  <c r="O1961" i="19"/>
  <c r="O1962" i="19"/>
  <c r="O1963" i="19"/>
  <c r="O1964" i="19"/>
  <c r="O1965" i="19"/>
  <c r="O1966" i="19"/>
  <c r="O1967" i="19"/>
  <c r="O1968" i="19"/>
  <c r="O1969" i="19"/>
  <c r="O1970" i="19"/>
  <c r="O1971" i="19"/>
  <c r="O1972" i="19"/>
  <c r="O1973" i="19"/>
  <c r="O1974" i="19"/>
  <c r="O1975" i="19"/>
  <c r="O1976" i="19"/>
  <c r="O1977" i="19"/>
  <c r="O1978" i="19"/>
  <c r="O1979" i="19"/>
  <c r="O1980" i="19"/>
  <c r="O1981" i="19"/>
  <c r="O1982" i="19"/>
  <c r="O1983" i="19"/>
  <c r="O1984" i="19"/>
  <c r="O1985" i="19"/>
  <c r="O1986" i="19"/>
  <c r="O1987" i="19"/>
  <c r="O1988" i="19"/>
  <c r="O1989" i="19"/>
  <c r="O1990" i="19"/>
  <c r="O1991" i="19"/>
  <c r="O1992" i="19"/>
  <c r="O1993" i="19"/>
  <c r="O1994" i="19"/>
  <c r="O1995" i="19"/>
  <c r="O1996" i="19"/>
  <c r="O1997" i="19"/>
  <c r="O1998" i="19"/>
  <c r="O1999" i="19"/>
  <c r="O2000" i="19"/>
  <c r="O2001" i="19"/>
  <c r="O2002" i="19"/>
  <c r="O2003" i="19"/>
  <c r="O2004" i="19"/>
  <c r="O2005" i="19"/>
  <c r="O2006" i="19"/>
  <c r="O2007" i="19"/>
  <c r="O2008" i="19"/>
  <c r="O2009" i="19"/>
  <c r="O2010" i="19"/>
  <c r="O2011" i="19"/>
  <c r="O2012" i="19"/>
  <c r="O2013" i="19"/>
  <c r="O2014" i="19"/>
  <c r="O2015" i="19"/>
  <c r="O2016" i="19"/>
  <c r="O2017" i="19"/>
  <c r="O2018" i="19"/>
  <c r="O2019" i="19"/>
  <c r="O2020" i="19"/>
  <c r="O2021" i="19"/>
  <c r="O2022" i="19"/>
  <c r="O2023" i="19"/>
  <c r="O2024" i="19"/>
  <c r="O2025" i="19"/>
  <c r="O2026" i="19"/>
  <c r="O2027" i="19"/>
  <c r="O2028" i="19"/>
  <c r="O2029" i="19"/>
  <c r="O2030" i="19"/>
  <c r="O2031" i="19"/>
  <c r="O2032" i="19"/>
  <c r="O2033" i="19"/>
  <c r="O2034" i="19"/>
  <c r="O2035" i="19"/>
  <c r="O2036" i="19"/>
  <c r="O2037" i="19"/>
  <c r="O2038" i="19"/>
  <c r="O2039" i="19"/>
  <c r="O2040" i="19"/>
  <c r="O2041" i="19"/>
  <c r="O2042" i="19"/>
  <c r="O2043" i="19"/>
  <c r="O2044" i="19"/>
  <c r="O2045" i="19"/>
  <c r="O2046" i="19"/>
  <c r="O2047" i="19"/>
  <c r="O2048" i="19"/>
  <c r="O2049" i="19"/>
  <c r="O2050" i="19"/>
  <c r="O2051" i="19"/>
  <c r="O2052" i="19"/>
  <c r="O2053" i="19"/>
  <c r="O2054" i="19"/>
  <c r="O2055" i="19"/>
  <c r="O2056" i="19"/>
  <c r="O2057" i="19"/>
  <c r="O2058" i="19"/>
  <c r="O2059" i="19"/>
  <c r="O2060" i="19"/>
  <c r="O2061" i="19"/>
  <c r="O2062" i="19"/>
  <c r="O2063" i="19"/>
  <c r="O2064" i="19"/>
  <c r="O2065" i="19"/>
  <c r="O2066" i="19"/>
  <c r="O2067" i="19"/>
  <c r="O2068" i="19"/>
  <c r="O2069" i="19"/>
  <c r="O2070" i="19"/>
  <c r="O2071" i="19"/>
  <c r="O2072" i="19"/>
  <c r="O2073" i="19"/>
  <c r="O2074" i="19"/>
  <c r="O2075" i="19"/>
  <c r="O2076" i="19"/>
  <c r="O2077" i="19"/>
  <c r="O2078" i="19"/>
  <c r="O2079" i="19"/>
  <c r="O2080" i="19"/>
  <c r="O2081" i="19"/>
  <c r="O2082" i="19"/>
  <c r="O2083" i="19"/>
  <c r="O2084" i="19"/>
  <c r="O2085" i="19"/>
  <c r="O2086" i="19"/>
  <c r="O2087" i="19"/>
  <c r="O2088" i="19"/>
  <c r="O2089" i="19"/>
  <c r="O2090" i="19"/>
  <c r="O2091" i="19"/>
  <c r="O2092" i="19"/>
  <c r="O2093" i="19"/>
  <c r="O2094" i="19"/>
  <c r="O2095" i="19"/>
  <c r="O2096" i="19"/>
  <c r="O2097" i="19"/>
  <c r="O2098" i="19"/>
  <c r="O2099" i="19"/>
  <c r="O2100" i="19"/>
  <c r="O2101" i="19"/>
  <c r="O2102" i="19"/>
  <c r="O2103" i="19"/>
  <c r="O2104" i="19"/>
  <c r="O2105" i="19"/>
  <c r="O2106" i="19"/>
  <c r="O2107" i="19"/>
  <c r="O2108" i="19"/>
  <c r="O2109" i="19"/>
  <c r="O2110" i="19"/>
  <c r="O2111" i="19"/>
  <c r="O2112" i="19"/>
  <c r="O2113" i="19"/>
  <c r="O2114" i="19"/>
  <c r="O2115" i="19"/>
  <c r="O2116" i="19"/>
  <c r="O2117" i="19"/>
  <c r="O2118" i="19"/>
  <c r="O2119" i="19"/>
  <c r="O2120" i="19"/>
  <c r="O2121" i="19"/>
  <c r="O2122" i="19"/>
  <c r="O2123" i="19"/>
  <c r="O2124" i="19"/>
  <c r="O2125" i="19"/>
  <c r="O2126" i="19"/>
  <c r="O2127" i="19"/>
  <c r="O2128" i="19"/>
  <c r="O2129" i="19"/>
  <c r="O2130" i="19"/>
  <c r="O2131" i="19"/>
  <c r="O2132" i="19"/>
  <c r="O2133" i="19"/>
  <c r="O2134" i="19"/>
  <c r="O2135" i="19"/>
  <c r="O2136" i="19"/>
  <c r="O2137" i="19"/>
  <c r="O2138" i="19"/>
  <c r="O2139" i="19"/>
  <c r="O2140" i="19"/>
  <c r="O2141" i="19"/>
  <c r="O2142" i="19"/>
  <c r="O2143" i="19"/>
  <c r="O2144" i="19"/>
  <c r="O2145" i="19"/>
  <c r="O2146" i="19"/>
  <c r="O2147" i="19"/>
  <c r="O2148" i="19"/>
  <c r="O2149" i="19"/>
  <c r="O2150" i="19"/>
  <c r="O2151" i="19"/>
  <c r="P1858" i="19"/>
  <c r="P1859" i="19"/>
  <c r="P1860" i="19"/>
  <c r="P1861" i="19"/>
  <c r="P1862" i="19"/>
  <c r="P1863" i="19"/>
  <c r="P1864" i="19"/>
  <c r="P1865" i="19"/>
  <c r="P1866" i="19"/>
  <c r="P1867" i="19"/>
  <c r="P1868" i="19"/>
  <c r="P1869" i="19"/>
  <c r="P1870" i="19"/>
  <c r="P1871" i="19"/>
  <c r="P1872" i="19"/>
  <c r="P1873" i="19"/>
  <c r="P1874" i="19"/>
  <c r="P1875" i="19"/>
  <c r="P1876" i="19"/>
  <c r="P1877" i="19"/>
  <c r="P1878" i="19"/>
  <c r="P1879" i="19"/>
  <c r="P1880" i="19"/>
  <c r="P1881" i="19"/>
  <c r="P1882" i="19"/>
  <c r="P1883" i="19"/>
  <c r="P1884" i="19"/>
  <c r="P1885" i="19"/>
  <c r="P1886" i="19"/>
  <c r="P1887" i="19"/>
  <c r="P1888" i="19"/>
  <c r="P1889" i="19"/>
  <c r="P1890" i="19"/>
  <c r="P1891" i="19"/>
  <c r="P1892" i="19"/>
  <c r="P1893" i="19"/>
  <c r="P1894" i="19"/>
  <c r="P1895" i="19"/>
  <c r="P1896" i="19"/>
  <c r="P1897" i="19"/>
  <c r="P1898" i="19"/>
  <c r="P1899" i="19"/>
  <c r="P1900" i="19"/>
  <c r="P1901" i="19"/>
  <c r="P1902" i="19"/>
  <c r="P1903" i="19"/>
  <c r="P1904" i="19"/>
  <c r="P1905" i="19"/>
  <c r="P1906" i="19"/>
  <c r="P1907" i="19"/>
  <c r="P1908" i="19"/>
  <c r="P1909" i="19"/>
  <c r="P1910" i="19"/>
  <c r="P1911" i="19"/>
  <c r="P1912" i="19"/>
  <c r="P1913" i="19"/>
  <c r="P1914" i="19"/>
  <c r="P1915" i="19"/>
  <c r="P1916" i="19"/>
  <c r="P1917" i="19"/>
  <c r="P1918" i="19"/>
  <c r="P1919" i="19"/>
  <c r="P1920" i="19"/>
  <c r="P1921" i="19"/>
  <c r="P1922" i="19"/>
  <c r="P1923" i="19"/>
  <c r="P1924" i="19"/>
  <c r="P1925" i="19"/>
  <c r="P1926" i="19"/>
  <c r="P1927" i="19"/>
  <c r="P1928" i="19"/>
  <c r="P1929" i="19"/>
  <c r="P1930" i="19"/>
  <c r="P1931" i="19"/>
  <c r="P1932" i="19"/>
  <c r="P1933" i="19"/>
  <c r="P1934" i="19"/>
  <c r="P1935" i="19"/>
  <c r="P1936" i="19"/>
  <c r="P1937" i="19"/>
  <c r="P1938" i="19"/>
  <c r="P1939" i="19"/>
  <c r="P1940" i="19"/>
  <c r="P1941" i="19"/>
  <c r="P1942" i="19"/>
  <c r="P1943" i="19"/>
  <c r="P1944" i="19"/>
  <c r="P1945" i="19"/>
  <c r="P1946" i="19"/>
  <c r="P1947" i="19"/>
  <c r="P1948" i="19"/>
  <c r="P1949" i="19"/>
  <c r="P1950" i="19"/>
  <c r="P1951" i="19"/>
  <c r="P1952" i="19"/>
  <c r="P1953" i="19"/>
  <c r="P1954" i="19"/>
  <c r="P1955" i="19"/>
  <c r="P1956" i="19"/>
  <c r="P1957" i="19"/>
  <c r="P1958" i="19"/>
  <c r="P1959" i="19"/>
  <c r="P1960" i="19"/>
  <c r="P1961" i="19"/>
  <c r="P1962" i="19"/>
  <c r="P1963" i="19"/>
  <c r="P1964" i="19"/>
  <c r="P1965" i="19"/>
  <c r="P1966" i="19"/>
  <c r="P1967" i="19"/>
  <c r="P1968" i="19"/>
  <c r="P1969" i="19"/>
  <c r="P1970" i="19"/>
  <c r="P1971" i="19"/>
  <c r="P1972" i="19"/>
  <c r="P1973" i="19"/>
  <c r="P1974" i="19"/>
  <c r="P1975" i="19"/>
  <c r="P1976" i="19"/>
  <c r="P1977" i="19"/>
  <c r="P1978" i="19"/>
  <c r="P1979" i="19"/>
  <c r="P1980" i="19"/>
  <c r="P1981" i="19"/>
  <c r="P1982" i="19"/>
  <c r="P1983" i="19"/>
  <c r="P1984" i="19"/>
  <c r="P1985" i="19"/>
  <c r="P1986" i="19"/>
  <c r="P1987" i="19"/>
  <c r="P1988" i="19"/>
  <c r="P1989" i="19"/>
  <c r="P1990" i="19"/>
  <c r="P1991" i="19"/>
  <c r="P1992" i="19"/>
  <c r="P1993" i="19"/>
  <c r="P1994" i="19"/>
  <c r="P1995" i="19"/>
  <c r="P1996" i="19"/>
  <c r="P1997" i="19"/>
  <c r="P1998" i="19"/>
  <c r="P1999" i="19"/>
  <c r="P2000" i="19"/>
  <c r="P2001" i="19"/>
  <c r="P2002" i="19"/>
  <c r="P2003" i="19"/>
  <c r="P2004" i="19"/>
  <c r="P2005" i="19"/>
  <c r="P2006" i="19"/>
  <c r="P2007" i="19"/>
  <c r="P2008" i="19"/>
  <c r="P2009" i="19"/>
  <c r="P2010" i="19"/>
  <c r="P2011" i="19"/>
  <c r="P2012" i="19"/>
  <c r="P2013" i="19"/>
  <c r="P2014" i="19"/>
  <c r="P2015" i="19"/>
  <c r="P2016" i="19"/>
  <c r="P2017" i="19"/>
  <c r="P2018" i="19"/>
  <c r="P2019" i="19"/>
  <c r="P2020" i="19"/>
  <c r="P2021" i="19"/>
  <c r="P2022" i="19"/>
  <c r="P2023" i="19"/>
  <c r="P2024" i="19"/>
  <c r="P2025" i="19"/>
  <c r="P2026" i="19"/>
  <c r="P2027" i="19"/>
  <c r="P2028" i="19"/>
  <c r="P2029" i="19"/>
  <c r="P2030" i="19"/>
  <c r="P2031" i="19"/>
  <c r="P2032" i="19"/>
  <c r="P2033" i="19"/>
  <c r="P2034" i="19"/>
  <c r="P2035" i="19"/>
  <c r="P2036" i="19"/>
  <c r="P2037" i="19"/>
  <c r="P2038" i="19"/>
  <c r="P2039" i="19"/>
  <c r="P2040" i="19"/>
  <c r="P2041" i="19"/>
  <c r="P2042" i="19"/>
  <c r="P2043" i="19"/>
  <c r="P2044" i="19"/>
  <c r="P2045" i="19"/>
  <c r="P2046" i="19"/>
  <c r="P2047" i="19"/>
  <c r="P2048" i="19"/>
  <c r="P2049" i="19"/>
  <c r="P2050" i="19"/>
  <c r="P2051" i="19"/>
  <c r="P2052" i="19"/>
  <c r="P2053" i="19"/>
  <c r="P2054" i="19"/>
  <c r="P2055" i="19"/>
  <c r="P2056" i="19"/>
  <c r="P2057" i="19"/>
  <c r="P2058" i="19"/>
  <c r="P2059" i="19"/>
  <c r="P2060" i="19"/>
  <c r="P2061" i="19"/>
  <c r="P2062" i="19"/>
  <c r="P2063" i="19"/>
  <c r="P2064" i="19"/>
  <c r="P2065" i="19"/>
  <c r="P2066" i="19"/>
  <c r="P2067" i="19"/>
  <c r="P2068" i="19"/>
  <c r="P2069" i="19"/>
  <c r="P2070" i="19"/>
  <c r="P2071" i="19"/>
  <c r="P2072" i="19"/>
  <c r="P2073" i="19"/>
  <c r="P2074" i="19"/>
  <c r="P2075" i="19"/>
  <c r="P2076" i="19"/>
  <c r="P2077" i="19"/>
  <c r="P2078" i="19"/>
  <c r="P2079" i="19"/>
  <c r="P2080" i="19"/>
  <c r="P2081" i="19"/>
  <c r="P2082" i="19"/>
  <c r="P2083" i="19"/>
  <c r="P2084" i="19"/>
  <c r="P2085" i="19"/>
  <c r="P2086" i="19"/>
  <c r="P2087" i="19"/>
  <c r="P2088" i="19"/>
  <c r="P2089" i="19"/>
  <c r="P2090" i="19"/>
  <c r="P2091" i="19"/>
  <c r="P2092" i="19"/>
  <c r="P2093" i="19"/>
  <c r="P2094" i="19"/>
  <c r="P2095" i="19"/>
  <c r="P2096" i="19"/>
  <c r="P2097" i="19"/>
  <c r="P2098" i="19"/>
  <c r="P2099" i="19"/>
  <c r="P2100" i="19"/>
  <c r="P2101" i="19"/>
  <c r="P2102" i="19"/>
  <c r="P2103" i="19"/>
  <c r="P2104" i="19"/>
  <c r="P2105" i="19"/>
  <c r="P2106" i="19"/>
  <c r="P2107" i="19"/>
  <c r="P2108" i="19"/>
  <c r="P2109" i="19"/>
  <c r="P2110" i="19"/>
  <c r="P2111" i="19"/>
  <c r="P2112" i="19"/>
  <c r="P2113" i="19"/>
  <c r="P2114" i="19"/>
  <c r="P2115" i="19"/>
  <c r="P2116" i="19"/>
  <c r="P2117" i="19"/>
  <c r="P2118" i="19"/>
  <c r="P2119" i="19"/>
  <c r="P2120" i="19"/>
  <c r="P2121" i="19"/>
  <c r="P2122" i="19"/>
  <c r="P2123" i="19"/>
  <c r="P2124" i="19"/>
  <c r="P2125" i="19"/>
  <c r="P2126" i="19"/>
  <c r="P2127" i="19"/>
  <c r="P2128" i="19"/>
  <c r="P2129" i="19"/>
  <c r="P2130" i="19"/>
  <c r="P2131" i="19"/>
  <c r="P2132" i="19"/>
  <c r="P2133" i="19"/>
  <c r="P2134" i="19"/>
  <c r="P2135" i="19"/>
  <c r="P2136" i="19"/>
  <c r="P2137" i="19"/>
  <c r="P2138" i="19"/>
  <c r="P2139" i="19"/>
  <c r="P2140" i="19"/>
  <c r="P2141" i="19"/>
  <c r="P2142" i="19"/>
  <c r="P2143" i="19"/>
  <c r="P2144" i="19"/>
  <c r="P2145" i="19"/>
  <c r="P2146" i="19"/>
  <c r="P2147" i="19"/>
  <c r="P2148" i="19"/>
  <c r="P2149" i="19"/>
  <c r="P2150" i="19"/>
  <c r="P2151" i="19"/>
  <c r="T1858" i="19"/>
  <c r="T1859" i="19"/>
  <c r="T1860" i="19"/>
  <c r="T1861" i="19"/>
  <c r="T1862" i="19"/>
  <c r="T1863" i="19"/>
  <c r="T1864" i="19"/>
  <c r="T1865" i="19"/>
  <c r="T1866" i="19"/>
  <c r="T1867" i="19"/>
  <c r="T1868" i="19"/>
  <c r="T1869" i="19"/>
  <c r="T1870" i="19"/>
  <c r="T1871" i="19"/>
  <c r="T1872" i="19"/>
  <c r="T1873" i="19"/>
  <c r="T1874" i="19"/>
  <c r="T1875" i="19"/>
  <c r="T1876" i="19"/>
  <c r="T1877" i="19"/>
  <c r="T1878" i="19"/>
  <c r="T1879" i="19"/>
  <c r="T1880" i="19"/>
  <c r="T1881" i="19"/>
  <c r="T1882" i="19"/>
  <c r="T1883" i="19"/>
  <c r="T1884" i="19"/>
  <c r="T1885" i="19"/>
  <c r="T1886" i="19"/>
  <c r="T1887" i="19"/>
  <c r="T1888" i="19"/>
  <c r="T1889" i="19"/>
  <c r="T1890" i="19"/>
  <c r="T1891" i="19"/>
  <c r="T1892" i="19"/>
  <c r="T1893" i="19"/>
  <c r="T1894" i="19"/>
  <c r="T1895" i="19"/>
  <c r="T1896" i="19"/>
  <c r="T1897" i="19"/>
  <c r="T1898" i="19"/>
  <c r="T1899" i="19"/>
  <c r="T1900" i="19"/>
  <c r="T1901" i="19"/>
  <c r="T1902" i="19"/>
  <c r="T1903" i="19"/>
  <c r="T1904" i="19"/>
  <c r="T1905" i="19"/>
  <c r="T1906" i="19"/>
  <c r="T1907" i="19"/>
  <c r="T1908" i="19"/>
  <c r="T1909" i="19"/>
  <c r="T1910" i="19"/>
  <c r="T1911" i="19"/>
  <c r="T1912" i="19"/>
  <c r="T1913" i="19"/>
  <c r="T1914" i="19"/>
  <c r="T1915" i="19"/>
  <c r="T1916" i="19"/>
  <c r="T1917" i="19"/>
  <c r="T1918" i="19"/>
  <c r="T1919" i="19"/>
  <c r="T1920" i="19"/>
  <c r="T1921" i="19"/>
  <c r="T1922" i="19"/>
  <c r="T1923" i="19"/>
  <c r="T1924" i="19"/>
  <c r="T1925" i="19"/>
  <c r="T1926" i="19"/>
  <c r="T1927" i="19"/>
  <c r="T1928" i="19"/>
  <c r="T1929" i="19"/>
  <c r="T1930" i="19"/>
  <c r="T1931" i="19"/>
  <c r="T1932" i="19"/>
  <c r="T1933" i="19"/>
  <c r="T1934" i="19"/>
  <c r="T1935" i="19"/>
  <c r="T1936" i="19"/>
  <c r="T1937" i="19"/>
  <c r="T1938" i="19"/>
  <c r="T1939" i="19"/>
  <c r="T1940" i="19"/>
  <c r="T1941" i="19"/>
  <c r="T1942" i="19"/>
  <c r="T1943" i="19"/>
  <c r="T1944" i="19"/>
  <c r="T1945" i="19"/>
  <c r="T1946" i="19"/>
  <c r="T1947" i="19"/>
  <c r="T1948" i="19"/>
  <c r="T1949" i="19"/>
  <c r="T1950" i="19"/>
  <c r="T1951" i="19"/>
  <c r="T1952" i="19"/>
  <c r="T1953" i="19"/>
  <c r="T1954" i="19"/>
  <c r="T1955" i="19"/>
  <c r="T1956" i="19"/>
  <c r="T1957" i="19"/>
  <c r="T1958" i="19"/>
  <c r="T1959" i="19"/>
  <c r="T1960" i="19"/>
  <c r="T1961" i="19"/>
  <c r="T1962" i="19"/>
  <c r="T1963" i="19"/>
  <c r="T1964" i="19"/>
  <c r="T1965" i="19"/>
  <c r="T1966" i="19"/>
  <c r="T1967" i="19"/>
  <c r="T1968" i="19"/>
  <c r="T1969" i="19"/>
  <c r="T1970" i="19"/>
  <c r="T1971" i="19"/>
  <c r="T1972" i="19"/>
  <c r="T1973" i="19"/>
  <c r="T1974" i="19"/>
  <c r="T1975" i="19"/>
  <c r="T1976" i="19"/>
  <c r="T1977" i="19"/>
  <c r="T1978" i="19"/>
  <c r="T1979" i="19"/>
  <c r="T1980" i="19"/>
  <c r="T1981" i="19"/>
  <c r="T1982" i="19"/>
  <c r="T1983" i="19"/>
  <c r="T1984" i="19"/>
  <c r="T1985" i="19"/>
  <c r="T1986" i="19"/>
  <c r="T1987" i="19"/>
  <c r="T1988" i="19"/>
  <c r="T1989" i="19"/>
  <c r="T1990" i="19"/>
  <c r="T1991" i="19"/>
  <c r="T1992" i="19"/>
  <c r="T1993" i="19"/>
  <c r="T1994" i="19"/>
  <c r="T1995" i="19"/>
  <c r="T1996" i="19"/>
  <c r="T1997" i="19"/>
  <c r="T1998" i="19"/>
  <c r="T1999" i="19"/>
  <c r="T2000" i="19"/>
  <c r="T2001" i="19"/>
  <c r="T2002" i="19"/>
  <c r="T2003" i="19"/>
  <c r="T2004" i="19"/>
  <c r="T2005" i="19"/>
  <c r="T2006" i="19"/>
  <c r="T2007" i="19"/>
  <c r="T2008" i="19"/>
  <c r="T2009" i="19"/>
  <c r="T2010" i="19"/>
  <c r="T2011" i="19"/>
  <c r="T2012" i="19"/>
  <c r="T2013" i="19"/>
  <c r="T2014" i="19"/>
  <c r="T2015" i="19"/>
  <c r="T2016" i="19"/>
  <c r="T2017" i="19"/>
  <c r="T2018" i="19"/>
  <c r="T2019" i="19"/>
  <c r="T2020" i="19"/>
  <c r="T2021" i="19"/>
  <c r="T2022" i="19"/>
  <c r="T2023" i="19"/>
  <c r="T2024" i="19"/>
  <c r="T2025" i="19"/>
  <c r="T2026" i="19"/>
  <c r="T2027" i="19"/>
  <c r="T2028" i="19"/>
  <c r="T2029" i="19"/>
  <c r="T2030" i="19"/>
  <c r="T2031" i="19"/>
  <c r="T2032" i="19"/>
  <c r="T2033" i="19"/>
  <c r="T2034" i="19"/>
  <c r="T2035" i="19"/>
  <c r="T2036" i="19"/>
  <c r="T2037" i="19"/>
  <c r="T2038" i="19"/>
  <c r="T2039" i="19"/>
  <c r="T2040" i="19"/>
  <c r="T2041" i="19"/>
  <c r="T2042" i="19"/>
  <c r="T2043" i="19"/>
  <c r="T2044" i="19"/>
  <c r="T2045" i="19"/>
  <c r="T2046" i="19"/>
  <c r="T2047" i="19"/>
  <c r="T2048" i="19"/>
  <c r="T2049" i="19"/>
  <c r="T2050" i="19"/>
  <c r="T2051" i="19"/>
  <c r="T2052" i="19"/>
  <c r="T2053" i="19"/>
  <c r="T2054" i="19"/>
  <c r="T2055" i="19"/>
  <c r="T2056" i="19"/>
  <c r="T2057" i="19"/>
  <c r="T2058" i="19"/>
  <c r="T2059" i="19"/>
  <c r="T2060" i="19"/>
  <c r="T2061" i="19"/>
  <c r="T2062" i="19"/>
  <c r="T2063" i="19"/>
  <c r="T2064" i="19"/>
  <c r="T2065" i="19"/>
  <c r="T2066" i="19"/>
  <c r="T2067" i="19"/>
  <c r="T2068" i="19"/>
  <c r="T2069" i="19"/>
  <c r="T2070" i="19"/>
  <c r="T2071" i="19"/>
  <c r="T2072" i="19"/>
  <c r="T2073" i="19"/>
  <c r="T2074" i="19"/>
  <c r="T2075" i="19"/>
  <c r="T2076" i="19"/>
  <c r="T2077" i="19"/>
  <c r="T2078" i="19"/>
  <c r="T2079" i="19"/>
  <c r="T2080" i="19"/>
  <c r="T2081" i="19"/>
  <c r="T2082" i="19"/>
  <c r="T2083" i="19"/>
  <c r="T2084" i="19"/>
  <c r="T2085" i="19"/>
  <c r="T2086" i="19"/>
  <c r="T2087" i="19"/>
  <c r="T2088" i="19"/>
  <c r="T2089" i="19"/>
  <c r="T2090" i="19"/>
  <c r="T2091" i="19"/>
  <c r="T2092" i="19"/>
  <c r="T2093" i="19"/>
  <c r="T2094" i="19"/>
  <c r="T2095" i="19"/>
  <c r="T2096" i="19"/>
  <c r="T2097" i="19"/>
  <c r="T2098" i="19"/>
  <c r="T2099" i="19"/>
  <c r="T2100" i="19"/>
  <c r="T2101" i="19"/>
  <c r="T2102" i="19"/>
  <c r="T2103" i="19"/>
  <c r="T2104" i="19"/>
  <c r="T2105" i="19"/>
  <c r="T2106" i="19"/>
  <c r="T2107" i="19"/>
  <c r="T2108" i="19"/>
  <c r="T2109" i="19"/>
  <c r="T2110" i="19"/>
  <c r="T2111" i="19"/>
  <c r="T2112" i="19"/>
  <c r="T2113" i="19"/>
  <c r="T2114" i="19"/>
  <c r="T2115" i="19"/>
  <c r="T2116" i="19"/>
  <c r="T2117" i="19"/>
  <c r="T2118" i="19"/>
  <c r="T2119" i="19"/>
  <c r="T2120" i="19"/>
  <c r="T2121" i="19"/>
  <c r="T2122" i="19"/>
  <c r="T2123" i="19"/>
  <c r="T2124" i="19"/>
  <c r="T2125" i="19"/>
  <c r="T2126" i="19"/>
  <c r="T2127" i="19"/>
  <c r="T2128" i="19"/>
  <c r="T2129" i="19"/>
  <c r="T2130" i="19"/>
  <c r="T2131" i="19"/>
  <c r="T2132" i="19"/>
  <c r="T2133" i="19"/>
  <c r="T2134" i="19"/>
  <c r="T2135" i="19"/>
  <c r="T2136" i="19"/>
  <c r="T2137" i="19"/>
  <c r="T2138" i="19"/>
  <c r="T2139" i="19"/>
  <c r="T2140" i="19"/>
  <c r="T2141" i="19"/>
  <c r="T2142" i="19"/>
  <c r="T2143" i="19"/>
  <c r="T2144" i="19"/>
  <c r="T2145" i="19"/>
  <c r="T2146" i="19"/>
  <c r="T2147" i="19"/>
  <c r="T2148" i="19"/>
  <c r="T2149" i="19"/>
  <c r="T2150" i="19"/>
  <c r="T2151" i="19"/>
  <c r="W1858" i="19"/>
  <c r="W1859" i="19"/>
  <c r="W1860" i="19"/>
  <c r="W1861" i="19"/>
  <c r="W1862" i="19"/>
  <c r="W1863" i="19"/>
  <c r="W1864" i="19"/>
  <c r="W1865" i="19"/>
  <c r="W1866" i="19"/>
  <c r="W1867" i="19"/>
  <c r="W1868" i="19"/>
  <c r="W1869" i="19"/>
  <c r="W1870" i="19"/>
  <c r="W1871" i="19"/>
  <c r="W1872" i="19"/>
  <c r="W1873" i="19"/>
  <c r="W1874" i="19"/>
  <c r="W1875" i="19"/>
  <c r="W1876" i="19"/>
  <c r="W1877" i="19"/>
  <c r="W1878" i="19"/>
  <c r="W1879" i="19"/>
  <c r="W1880" i="19"/>
  <c r="W1881" i="19"/>
  <c r="W1882" i="19"/>
  <c r="W1883" i="19"/>
  <c r="W1884" i="19"/>
  <c r="W1885" i="19"/>
  <c r="W1886" i="19"/>
  <c r="W1887" i="19"/>
  <c r="W1888" i="19"/>
  <c r="W1889" i="19"/>
  <c r="W1890" i="19"/>
  <c r="W1891" i="19"/>
  <c r="W1892" i="19"/>
  <c r="W1893" i="19"/>
  <c r="W1894" i="19"/>
  <c r="W1895" i="19"/>
  <c r="W1896" i="19"/>
  <c r="W1897" i="19"/>
  <c r="W1898" i="19"/>
  <c r="W1899" i="19"/>
  <c r="W1900" i="19"/>
  <c r="W1901" i="19"/>
  <c r="W1902" i="19"/>
  <c r="W1903" i="19"/>
  <c r="W1904" i="19"/>
  <c r="W1905" i="19"/>
  <c r="W1906" i="19"/>
  <c r="W1907" i="19"/>
  <c r="W1908" i="19"/>
  <c r="W1909" i="19"/>
  <c r="W1910" i="19"/>
  <c r="W1911" i="19"/>
  <c r="W1912" i="19"/>
  <c r="W1913" i="19"/>
  <c r="W1914" i="19"/>
  <c r="W1915" i="19"/>
  <c r="W1916" i="19"/>
  <c r="W1917" i="19"/>
  <c r="W1918" i="19"/>
  <c r="W1919" i="19"/>
  <c r="W1920" i="19"/>
  <c r="W1921" i="19"/>
  <c r="W1922" i="19"/>
  <c r="W1923" i="19"/>
  <c r="W1924" i="19"/>
  <c r="W1925" i="19"/>
  <c r="W1926" i="19"/>
  <c r="W1927" i="19"/>
  <c r="W1928" i="19"/>
  <c r="W1929" i="19"/>
  <c r="W1930" i="19"/>
  <c r="W1931" i="19"/>
  <c r="W1932" i="19"/>
  <c r="W1933" i="19"/>
  <c r="W1934" i="19"/>
  <c r="W1935" i="19"/>
  <c r="W1936" i="19"/>
  <c r="W1937" i="19"/>
  <c r="W1938" i="19"/>
  <c r="W1939" i="19"/>
  <c r="W1940" i="19"/>
  <c r="W1941" i="19"/>
  <c r="W1942" i="19"/>
  <c r="W1943" i="19"/>
  <c r="W1944" i="19"/>
  <c r="W1945" i="19"/>
  <c r="W1946" i="19"/>
  <c r="W1947" i="19"/>
  <c r="W1948" i="19"/>
  <c r="W1949" i="19"/>
  <c r="W1950" i="19"/>
  <c r="W1951" i="19"/>
  <c r="W1952" i="19"/>
  <c r="W1953" i="19"/>
  <c r="W1954" i="19"/>
  <c r="W1955" i="19"/>
  <c r="W1956" i="19"/>
  <c r="W1957" i="19"/>
  <c r="W1958" i="19"/>
  <c r="W1959" i="19"/>
  <c r="W1960" i="19"/>
  <c r="W1961" i="19"/>
  <c r="W1962" i="19"/>
  <c r="W1963" i="19"/>
  <c r="W1964" i="19"/>
  <c r="W1965" i="19"/>
  <c r="W1966" i="19"/>
  <c r="W1967" i="19"/>
  <c r="W1968" i="19"/>
  <c r="W1969" i="19"/>
  <c r="W1970" i="19"/>
  <c r="W1971" i="19"/>
  <c r="W1972" i="19"/>
  <c r="W1973" i="19"/>
  <c r="W1974" i="19"/>
  <c r="W1975" i="19"/>
  <c r="W1976" i="19"/>
  <c r="W1977" i="19"/>
  <c r="W1978" i="19"/>
  <c r="W1979" i="19"/>
  <c r="W1980" i="19"/>
  <c r="W1981" i="19"/>
  <c r="W1982" i="19"/>
  <c r="W1983" i="19"/>
  <c r="W1984" i="19"/>
  <c r="W1985" i="19"/>
  <c r="W1986" i="19"/>
  <c r="W1987" i="19"/>
  <c r="W1988" i="19"/>
  <c r="W1989" i="19"/>
  <c r="W1990" i="19"/>
  <c r="W1991" i="19"/>
  <c r="W1992" i="19"/>
  <c r="W1993" i="19"/>
  <c r="W1994" i="19"/>
  <c r="W1995" i="19"/>
  <c r="W1996" i="19"/>
  <c r="W1997" i="19"/>
  <c r="W1998" i="19"/>
  <c r="W1999" i="19"/>
  <c r="W2000" i="19"/>
  <c r="W2001" i="19"/>
  <c r="W2002" i="19"/>
  <c r="W2003" i="19"/>
  <c r="W2004" i="19"/>
  <c r="W2005" i="19"/>
  <c r="W2006" i="19"/>
  <c r="W2007" i="19"/>
  <c r="W2008" i="19"/>
  <c r="W2009" i="19"/>
  <c r="W2010" i="19"/>
  <c r="W2011" i="19"/>
  <c r="W2012" i="19"/>
  <c r="W2013" i="19"/>
  <c r="W2014" i="19"/>
  <c r="W2015" i="19"/>
  <c r="W2016" i="19"/>
  <c r="W2017" i="19"/>
  <c r="W2018" i="19"/>
  <c r="W2019" i="19"/>
  <c r="W2020" i="19"/>
  <c r="W2021" i="19"/>
  <c r="W2022" i="19"/>
  <c r="W2023" i="19"/>
  <c r="W2024" i="19"/>
  <c r="W2025" i="19"/>
  <c r="W2026" i="19"/>
  <c r="W2027" i="19"/>
  <c r="W2028" i="19"/>
  <c r="W2029" i="19"/>
  <c r="W2030" i="19"/>
  <c r="W2031" i="19"/>
  <c r="W2032" i="19"/>
  <c r="W2033" i="19"/>
  <c r="W2034" i="19"/>
  <c r="W2035" i="19"/>
  <c r="W2036" i="19"/>
  <c r="W2037" i="19"/>
  <c r="W2038" i="19"/>
  <c r="W2039" i="19"/>
  <c r="W2040" i="19"/>
  <c r="W2041" i="19"/>
  <c r="W2042" i="19"/>
  <c r="W2043" i="19"/>
  <c r="W2044" i="19"/>
  <c r="W2045" i="19"/>
  <c r="W2046" i="19"/>
  <c r="W2047" i="19"/>
  <c r="W2048" i="19"/>
  <c r="W2049" i="19"/>
  <c r="W2050" i="19"/>
  <c r="W2051" i="19"/>
  <c r="W2052" i="19"/>
  <c r="W2053" i="19"/>
  <c r="W2054" i="19"/>
  <c r="W2055" i="19"/>
  <c r="W2056" i="19"/>
  <c r="W2057" i="19"/>
  <c r="W2058" i="19"/>
  <c r="W2059" i="19"/>
  <c r="W2060" i="19"/>
  <c r="W2061" i="19"/>
  <c r="W2062" i="19"/>
  <c r="W2063" i="19"/>
  <c r="W2064" i="19"/>
  <c r="W2065" i="19"/>
  <c r="W2066" i="19"/>
  <c r="W2067" i="19"/>
  <c r="W2068" i="19"/>
  <c r="W2069" i="19"/>
  <c r="W2070" i="19"/>
  <c r="W2071" i="19"/>
  <c r="W2072" i="19"/>
  <c r="W2073" i="19"/>
  <c r="W2074" i="19"/>
  <c r="W2075" i="19"/>
  <c r="W2076" i="19"/>
  <c r="W2077" i="19"/>
  <c r="W2078" i="19"/>
  <c r="W2079" i="19"/>
  <c r="W2080" i="19"/>
  <c r="W2081" i="19"/>
  <c r="W2082" i="19"/>
  <c r="W2083" i="19"/>
  <c r="W2084" i="19"/>
  <c r="W2085" i="19"/>
  <c r="W2086" i="19"/>
  <c r="W2087" i="19"/>
  <c r="W2088" i="19"/>
  <c r="W2089" i="19"/>
  <c r="W2090" i="19"/>
  <c r="W2091" i="19"/>
  <c r="W2092" i="19"/>
  <c r="W2093" i="19"/>
  <c r="W2094" i="19"/>
  <c r="W2095" i="19"/>
  <c r="W2096" i="19"/>
  <c r="W2097" i="19"/>
  <c r="W2098" i="19"/>
  <c r="W2099" i="19"/>
  <c r="W2100" i="19"/>
  <c r="W2101" i="19"/>
  <c r="W2102" i="19"/>
  <c r="W2103" i="19"/>
  <c r="W2104" i="19"/>
  <c r="W2105" i="19"/>
  <c r="W2106" i="19"/>
  <c r="W2107" i="19"/>
  <c r="W2108" i="19"/>
  <c r="W2109" i="19"/>
  <c r="W2110" i="19"/>
  <c r="W2111" i="19"/>
  <c r="W2112" i="19"/>
  <c r="W2113" i="19"/>
  <c r="W2114" i="19"/>
  <c r="W2115" i="19"/>
  <c r="W2116" i="19"/>
  <c r="W2117" i="19"/>
  <c r="W2118" i="19"/>
  <c r="W2119" i="19"/>
  <c r="W2120" i="19"/>
  <c r="W2121" i="19"/>
  <c r="W2122" i="19"/>
  <c r="W2123" i="19"/>
  <c r="W2124" i="19"/>
  <c r="W2125" i="19"/>
  <c r="W2126" i="19"/>
  <c r="W2127" i="19"/>
  <c r="W2128" i="19"/>
  <c r="W2129" i="19"/>
  <c r="W2130" i="19"/>
  <c r="W2131" i="19"/>
  <c r="W2132" i="19"/>
  <c r="W2133" i="19"/>
  <c r="W2134" i="19"/>
  <c r="W2135" i="19"/>
  <c r="W2136" i="19"/>
  <c r="W2137" i="19"/>
  <c r="W2138" i="19"/>
  <c r="W2139" i="19"/>
  <c r="W2140" i="19"/>
  <c r="W2141" i="19"/>
  <c r="W2142" i="19"/>
  <c r="W2143" i="19"/>
  <c r="W2144" i="19"/>
  <c r="W2145" i="19"/>
  <c r="W2146" i="19"/>
  <c r="W2147" i="19"/>
  <c r="W2148" i="19"/>
  <c r="W2149" i="19"/>
  <c r="W2150" i="19"/>
  <c r="W2151" i="19"/>
  <c r="X1858" i="19"/>
  <c r="X1859" i="19"/>
  <c r="X1860" i="19"/>
  <c r="X1861" i="19"/>
  <c r="X1862" i="19"/>
  <c r="X1863" i="19"/>
  <c r="X1864" i="19"/>
  <c r="X1865" i="19"/>
  <c r="X1866" i="19"/>
  <c r="X1867" i="19"/>
  <c r="X1868" i="19"/>
  <c r="X1869" i="19"/>
  <c r="X1870" i="19"/>
  <c r="X1871" i="19"/>
  <c r="X1872" i="19"/>
  <c r="X1873" i="19"/>
  <c r="X1874" i="19"/>
  <c r="X1875" i="19"/>
  <c r="X1876" i="19"/>
  <c r="X1877" i="19"/>
  <c r="X1878" i="19"/>
  <c r="X1879" i="19"/>
  <c r="X1880" i="19"/>
  <c r="X1881" i="19"/>
  <c r="X1882" i="19"/>
  <c r="X1883" i="19"/>
  <c r="X1884" i="19"/>
  <c r="X1885" i="19"/>
  <c r="X1886" i="19"/>
  <c r="X1887" i="19"/>
  <c r="X1888" i="19"/>
  <c r="X1889" i="19"/>
  <c r="X1890" i="19"/>
  <c r="X1891" i="19"/>
  <c r="X1892" i="19"/>
  <c r="X1893" i="19"/>
  <c r="X1894" i="19"/>
  <c r="X1895" i="19"/>
  <c r="X1896" i="19"/>
  <c r="X1897" i="19"/>
  <c r="X1898" i="19"/>
  <c r="X1899" i="19"/>
  <c r="X1900" i="19"/>
  <c r="X1901" i="19"/>
  <c r="X1902" i="19"/>
  <c r="X1903" i="19"/>
  <c r="X1904" i="19"/>
  <c r="X1905" i="19"/>
  <c r="X1906" i="19"/>
  <c r="X1907" i="19"/>
  <c r="X1908" i="19"/>
  <c r="X1909" i="19"/>
  <c r="X1910" i="19"/>
  <c r="X1911" i="19"/>
  <c r="X1912" i="19"/>
  <c r="X1913" i="19"/>
  <c r="X1914" i="19"/>
  <c r="X1915" i="19"/>
  <c r="X1916" i="19"/>
  <c r="X1917" i="19"/>
  <c r="X1918" i="19"/>
  <c r="X1919" i="19"/>
  <c r="X1920" i="19"/>
  <c r="X1921" i="19"/>
  <c r="X1922" i="19"/>
  <c r="X1923" i="19"/>
  <c r="X1924" i="19"/>
  <c r="X1925" i="19"/>
  <c r="X1926" i="19"/>
  <c r="X1927" i="19"/>
  <c r="X1928" i="19"/>
  <c r="X1929" i="19"/>
  <c r="X1930" i="19"/>
  <c r="X1931" i="19"/>
  <c r="X1932" i="19"/>
  <c r="X1933" i="19"/>
  <c r="X1934" i="19"/>
  <c r="X1935" i="19"/>
  <c r="X1936" i="19"/>
  <c r="X1937" i="19"/>
  <c r="X1938" i="19"/>
  <c r="X1939" i="19"/>
  <c r="X1940" i="19"/>
  <c r="X1941" i="19"/>
  <c r="X1942" i="19"/>
  <c r="X1943" i="19"/>
  <c r="X1944" i="19"/>
  <c r="X1945" i="19"/>
  <c r="X1946" i="19"/>
  <c r="X1947" i="19"/>
  <c r="X1948" i="19"/>
  <c r="X1949" i="19"/>
  <c r="X1950" i="19"/>
  <c r="X1951" i="19"/>
  <c r="X1952" i="19"/>
  <c r="X1953" i="19"/>
  <c r="X1954" i="19"/>
  <c r="X1955" i="19"/>
  <c r="X1956" i="19"/>
  <c r="X1957" i="19"/>
  <c r="X1958" i="19"/>
  <c r="X1959" i="19"/>
  <c r="X1960" i="19"/>
  <c r="X1961" i="19"/>
  <c r="X1962" i="19"/>
  <c r="X1963" i="19"/>
  <c r="X1964" i="19"/>
  <c r="X1965" i="19"/>
  <c r="X1966" i="19"/>
  <c r="X1967" i="19"/>
  <c r="X1968" i="19"/>
  <c r="X1969" i="19"/>
  <c r="X1970" i="19"/>
  <c r="X1971" i="19"/>
  <c r="X1972" i="19"/>
  <c r="X1973" i="19"/>
  <c r="X1974" i="19"/>
  <c r="X1975" i="19"/>
  <c r="X1976" i="19"/>
  <c r="X1977" i="19"/>
  <c r="X1978" i="19"/>
  <c r="X1979" i="19"/>
  <c r="X1980" i="19"/>
  <c r="X1981" i="19"/>
  <c r="X1982" i="19"/>
  <c r="X1983" i="19"/>
  <c r="X1984" i="19"/>
  <c r="X1985" i="19"/>
  <c r="X1986" i="19"/>
  <c r="X1987" i="19"/>
  <c r="X1988" i="19"/>
  <c r="X1989" i="19"/>
  <c r="X1990" i="19"/>
  <c r="X1991" i="19"/>
  <c r="X1992" i="19"/>
  <c r="X1993" i="19"/>
  <c r="X1994" i="19"/>
  <c r="X1995" i="19"/>
  <c r="X1996" i="19"/>
  <c r="X1997" i="19"/>
  <c r="X1998" i="19"/>
  <c r="X1999" i="19"/>
  <c r="X2000" i="19"/>
  <c r="X2001" i="19"/>
  <c r="X2002" i="19"/>
  <c r="X2003" i="19"/>
  <c r="X2004" i="19"/>
  <c r="X2005" i="19"/>
  <c r="X2006" i="19"/>
  <c r="X2007" i="19"/>
  <c r="X2008" i="19"/>
  <c r="X2009" i="19"/>
  <c r="X2010" i="19"/>
  <c r="X2011" i="19"/>
  <c r="X2012" i="19"/>
  <c r="X2013" i="19"/>
  <c r="X2014" i="19"/>
  <c r="X2015" i="19"/>
  <c r="X2016" i="19"/>
  <c r="X2017" i="19"/>
  <c r="X2018" i="19"/>
  <c r="X2019" i="19"/>
  <c r="X2020" i="19"/>
  <c r="X2021" i="19"/>
  <c r="X2022" i="19"/>
  <c r="X2023" i="19"/>
  <c r="X2024" i="19"/>
  <c r="X2025" i="19"/>
  <c r="X2026" i="19"/>
  <c r="X2027" i="19"/>
  <c r="X2028" i="19"/>
  <c r="X2029" i="19"/>
  <c r="X2030" i="19"/>
  <c r="X2031" i="19"/>
  <c r="X2032" i="19"/>
  <c r="X2033" i="19"/>
  <c r="X2034" i="19"/>
  <c r="X2035" i="19"/>
  <c r="X2036" i="19"/>
  <c r="X2037" i="19"/>
  <c r="X2038" i="19"/>
  <c r="X2039" i="19"/>
  <c r="X2040" i="19"/>
  <c r="X2041" i="19"/>
  <c r="X2042" i="19"/>
  <c r="X2043" i="19"/>
  <c r="X2044" i="19"/>
  <c r="X2045" i="19"/>
  <c r="X2046" i="19"/>
  <c r="X2047" i="19"/>
  <c r="X2048" i="19"/>
  <c r="X2049" i="19"/>
  <c r="X2050" i="19"/>
  <c r="X2051" i="19"/>
  <c r="X2052" i="19"/>
  <c r="X2053" i="19"/>
  <c r="X2054" i="19"/>
  <c r="X2055" i="19"/>
  <c r="X2056" i="19"/>
  <c r="X2057" i="19"/>
  <c r="X2058" i="19"/>
  <c r="X2059" i="19"/>
  <c r="X2060" i="19"/>
  <c r="X2061" i="19"/>
  <c r="X2062" i="19"/>
  <c r="X2063" i="19"/>
  <c r="X2064" i="19"/>
  <c r="X2065" i="19"/>
  <c r="X2066" i="19"/>
  <c r="X2067" i="19"/>
  <c r="X2068" i="19"/>
  <c r="X2069" i="19"/>
  <c r="X2070" i="19"/>
  <c r="X2071" i="19"/>
  <c r="X2072" i="19"/>
  <c r="X2073" i="19"/>
  <c r="X2074" i="19"/>
  <c r="X2075" i="19"/>
  <c r="X2076" i="19"/>
  <c r="X2077" i="19"/>
  <c r="X2078" i="19"/>
  <c r="X2079" i="19"/>
  <c r="X2080" i="19"/>
  <c r="X2081" i="19"/>
  <c r="X2082" i="19"/>
  <c r="X2083" i="19"/>
  <c r="X2084" i="19"/>
  <c r="X2085" i="19"/>
  <c r="X2086" i="19"/>
  <c r="X2087" i="19"/>
  <c r="X2088" i="19"/>
  <c r="X2089" i="19"/>
  <c r="X2090" i="19"/>
  <c r="X2091" i="19"/>
  <c r="X2092" i="19"/>
  <c r="X2093" i="19"/>
  <c r="X2094" i="19"/>
  <c r="X2095" i="19"/>
  <c r="X2096" i="19"/>
  <c r="X2097" i="19"/>
  <c r="X2098" i="19"/>
  <c r="X2099" i="19"/>
  <c r="X2100" i="19"/>
  <c r="X2101" i="19"/>
  <c r="X2102" i="19"/>
  <c r="X2103" i="19"/>
  <c r="X2104" i="19"/>
  <c r="X2105" i="19"/>
  <c r="X2106" i="19"/>
  <c r="X2107" i="19"/>
  <c r="X2108" i="19"/>
  <c r="X2109" i="19"/>
  <c r="X2110" i="19"/>
  <c r="X2111" i="19"/>
  <c r="X2112" i="19"/>
  <c r="X2113" i="19"/>
  <c r="X2114" i="19"/>
  <c r="X2115" i="19"/>
  <c r="X2116" i="19"/>
  <c r="X2117" i="19"/>
  <c r="X2118" i="19"/>
  <c r="X2119" i="19"/>
  <c r="X2120" i="19"/>
  <c r="X2121" i="19"/>
  <c r="X2122" i="19"/>
  <c r="X2123" i="19"/>
  <c r="X2124" i="19"/>
  <c r="X2125" i="19"/>
  <c r="X2126" i="19"/>
  <c r="X2127" i="19"/>
  <c r="X2128" i="19"/>
  <c r="X2129" i="19"/>
  <c r="X2130" i="19"/>
  <c r="X2131" i="19"/>
  <c r="X2132" i="19"/>
  <c r="X2133" i="19"/>
  <c r="X2134" i="19"/>
  <c r="X2135" i="19"/>
  <c r="X2136" i="19"/>
  <c r="X2137" i="19"/>
  <c r="X2138" i="19"/>
  <c r="X2139" i="19"/>
  <c r="X2140" i="19"/>
  <c r="X2141" i="19"/>
  <c r="X2142" i="19"/>
  <c r="X2143" i="19"/>
  <c r="X2144" i="19"/>
  <c r="X2145" i="19"/>
  <c r="X2146" i="19"/>
  <c r="X2147" i="19"/>
  <c r="X2148" i="19"/>
  <c r="X2149" i="19"/>
  <c r="X2150" i="19"/>
  <c r="X2151" i="19"/>
  <c r="W1739" i="21"/>
  <c r="W1740" i="21"/>
  <c r="W1741" i="21"/>
  <c r="W1742" i="21"/>
  <c r="W1743" i="21"/>
  <c r="W1744" i="21"/>
  <c r="W1745" i="21"/>
  <c r="W1746" i="21"/>
  <c r="W1747" i="21"/>
  <c r="W1748" i="21"/>
  <c r="W1749" i="21"/>
  <c r="W1750" i="21"/>
  <c r="W1751" i="21"/>
  <c r="W1752" i="21"/>
  <c r="W1753" i="21"/>
  <c r="W1754" i="21"/>
  <c r="W1755" i="21"/>
  <c r="W1756" i="21"/>
  <c r="W1757" i="21"/>
  <c r="W1758" i="21"/>
  <c r="W1759" i="21"/>
  <c r="W1760" i="21"/>
  <c r="W1761" i="21"/>
  <c r="W1762" i="21"/>
  <c r="W1763" i="21"/>
  <c r="W1764" i="21"/>
  <c r="W1765" i="21"/>
  <c r="W1766" i="21"/>
  <c r="W1767" i="21"/>
  <c r="W1768" i="21"/>
  <c r="W1769" i="21"/>
  <c r="W1770" i="21"/>
  <c r="W1771" i="21"/>
  <c r="W1772" i="21"/>
  <c r="W1773" i="21"/>
  <c r="W1774" i="21"/>
  <c r="W1775" i="21"/>
  <c r="W1776" i="21"/>
  <c r="W1777" i="21"/>
  <c r="W1778" i="21"/>
  <c r="W1779" i="21"/>
  <c r="W1780" i="21"/>
  <c r="W1781" i="21"/>
  <c r="W1782" i="21"/>
  <c r="W1783" i="21"/>
  <c r="W1784" i="21"/>
  <c r="W1785" i="21"/>
  <c r="W1786" i="21"/>
  <c r="W1787" i="21"/>
  <c r="W1788" i="21"/>
  <c r="W1789" i="21"/>
  <c r="W1790" i="21"/>
  <c r="W1791" i="21"/>
  <c r="W1792" i="21"/>
  <c r="W1793" i="21"/>
  <c r="W1794" i="21"/>
  <c r="W1795" i="21"/>
  <c r="W1796" i="21"/>
  <c r="W1797" i="21"/>
  <c r="W1798" i="21"/>
  <c r="W1799" i="21"/>
  <c r="W1800" i="21"/>
  <c r="W1801" i="21"/>
  <c r="W1802" i="21"/>
  <c r="W1803" i="21"/>
  <c r="W1804" i="21"/>
  <c r="W1805" i="21"/>
  <c r="W1806" i="21"/>
  <c r="W1807" i="21"/>
  <c r="W1808" i="21"/>
  <c r="W1809" i="21"/>
  <c r="W1810" i="21"/>
  <c r="W1811" i="21"/>
  <c r="W1812" i="21"/>
  <c r="W1813" i="21"/>
  <c r="W1814" i="21"/>
  <c r="W1815" i="21"/>
  <c r="W1816" i="21"/>
  <c r="W1817" i="21"/>
  <c r="W1818" i="21"/>
  <c r="W1819" i="21"/>
  <c r="W1820" i="21"/>
  <c r="W1821" i="21"/>
  <c r="W1822" i="21"/>
  <c r="W1823" i="21"/>
  <c r="W1824" i="21"/>
  <c r="W1825" i="21"/>
  <c r="W1826" i="21"/>
  <c r="W1827" i="21"/>
  <c r="W1828" i="21"/>
  <c r="W1829" i="21"/>
  <c r="W1830" i="21"/>
  <c r="W1831" i="21"/>
  <c r="W1832" i="21"/>
  <c r="W1833" i="21"/>
  <c r="W1834" i="21"/>
  <c r="W1835" i="21"/>
  <c r="W1836" i="21"/>
  <c r="W1837" i="21"/>
  <c r="W1838" i="21"/>
  <c r="W1839" i="21"/>
  <c r="W1840" i="21"/>
  <c r="W1841" i="21"/>
  <c r="W1842" i="21"/>
  <c r="W1843" i="21"/>
  <c r="W1844" i="21"/>
  <c r="W1845" i="21"/>
  <c r="W1846" i="21"/>
  <c r="W1847" i="21"/>
  <c r="W1848" i="21"/>
  <c r="W1849" i="21"/>
  <c r="W1850" i="21"/>
  <c r="W1851" i="21"/>
  <c r="W1852" i="21"/>
  <c r="W1853" i="21"/>
  <c r="W1854" i="21"/>
  <c r="W1855" i="21"/>
  <c r="W1856" i="21"/>
  <c r="W1857" i="21"/>
  <c r="W1858" i="21"/>
  <c r="W1859" i="21"/>
  <c r="W1860" i="21"/>
  <c r="W1861" i="21"/>
  <c r="W1862" i="21"/>
  <c r="W1863" i="21"/>
  <c r="W1864" i="21"/>
  <c r="W1865" i="21"/>
  <c r="W1866" i="21"/>
  <c r="W1867" i="21"/>
  <c r="W1868" i="21"/>
  <c r="W1869" i="21"/>
  <c r="W1870" i="21"/>
  <c r="W1871" i="21"/>
  <c r="W1872" i="21"/>
  <c r="W1873" i="21"/>
  <c r="W1874" i="21"/>
  <c r="W1875" i="21"/>
  <c r="W1876" i="21"/>
  <c r="W1877" i="21"/>
  <c r="W1878" i="21"/>
  <c r="W1879" i="21"/>
  <c r="W1880" i="21"/>
  <c r="W1881" i="21"/>
  <c r="W1882" i="21"/>
  <c r="W1883" i="21"/>
  <c r="W1884" i="21"/>
  <c r="W1885" i="21"/>
  <c r="W1886" i="21"/>
  <c r="W1887" i="21"/>
  <c r="W1888" i="21"/>
  <c r="W1889" i="21"/>
  <c r="W1890" i="21"/>
  <c r="W1891" i="21"/>
  <c r="W1892" i="21"/>
  <c r="W1893" i="21"/>
  <c r="W1894" i="21"/>
  <c r="W1895" i="21"/>
  <c r="W1896" i="21"/>
  <c r="W1897" i="21"/>
  <c r="W1898" i="21"/>
  <c r="W1899" i="21"/>
  <c r="W1900" i="21"/>
  <c r="W1901" i="21"/>
  <c r="W1902" i="21"/>
  <c r="W1903" i="21"/>
  <c r="W1904" i="21"/>
  <c r="W1905" i="21"/>
  <c r="W1906" i="21"/>
  <c r="W1907" i="21"/>
  <c r="W1908" i="21"/>
  <c r="W1909" i="21"/>
  <c r="W1910" i="21"/>
  <c r="W1911" i="21"/>
  <c r="W1912" i="21"/>
  <c r="W1913" i="21"/>
  <c r="W1914" i="21"/>
  <c r="W1915" i="21"/>
  <c r="W1916" i="21"/>
  <c r="W1917" i="21"/>
  <c r="W1918" i="21"/>
  <c r="W1919" i="21"/>
  <c r="W1920" i="21"/>
  <c r="W1921" i="21"/>
  <c r="W1922" i="21"/>
  <c r="W1923" i="21"/>
  <c r="W1924" i="21"/>
  <c r="W1925" i="21"/>
  <c r="W1926" i="21"/>
  <c r="W1927" i="21"/>
  <c r="W1928" i="21"/>
  <c r="W1929" i="21"/>
  <c r="W1930" i="21"/>
  <c r="W1931" i="21"/>
  <c r="W1932" i="21"/>
  <c r="W1933" i="21"/>
  <c r="W1934" i="21"/>
  <c r="W1935" i="21"/>
  <c r="W1936" i="21"/>
  <c r="W1937" i="21"/>
  <c r="W1938" i="21"/>
  <c r="W1939" i="21"/>
  <c r="W1940" i="21"/>
  <c r="W1941" i="21"/>
  <c r="W1942" i="21"/>
  <c r="W1943" i="21"/>
  <c r="W1944" i="21"/>
  <c r="W1945" i="21"/>
  <c r="W1946" i="21"/>
  <c r="W1947" i="21"/>
  <c r="W1948" i="21"/>
  <c r="W1949" i="21"/>
  <c r="W1950" i="21"/>
  <c r="W1951" i="21"/>
  <c r="W1952" i="21"/>
  <c r="W1953" i="21"/>
  <c r="W1954" i="21"/>
  <c r="W1955" i="21"/>
  <c r="W1956" i="21"/>
  <c r="W1957" i="21"/>
  <c r="W1958" i="21"/>
  <c r="W1959" i="21"/>
  <c r="W1960" i="21"/>
  <c r="W1961" i="21"/>
  <c r="W1962" i="21"/>
  <c r="W1963" i="21"/>
  <c r="W1964" i="21"/>
  <c r="W1965" i="21"/>
  <c r="W1966" i="21"/>
  <c r="W1967" i="21"/>
  <c r="W1968" i="21"/>
  <c r="W1969" i="21"/>
  <c r="W1970" i="21"/>
  <c r="W1971" i="21"/>
  <c r="W1972" i="21"/>
  <c r="W1973" i="21"/>
  <c r="W1974" i="21"/>
  <c r="W1975" i="21"/>
  <c r="W1976" i="21"/>
  <c r="W1977" i="21"/>
  <c r="W1978" i="21"/>
  <c r="W1979" i="21"/>
  <c r="W1980" i="21"/>
  <c r="W1981" i="21"/>
  <c r="W1982" i="21"/>
  <c r="W1983" i="21"/>
  <c r="W1984" i="21"/>
  <c r="W1985" i="21"/>
  <c r="W1986" i="21"/>
  <c r="W1987" i="21"/>
  <c r="W1988" i="21"/>
  <c r="W1989" i="21"/>
  <c r="W1990" i="21"/>
  <c r="W1991" i="21"/>
  <c r="W1992" i="21"/>
  <c r="W1993" i="21"/>
  <c r="W1994" i="21"/>
  <c r="W1995" i="21"/>
  <c r="W1996" i="21"/>
  <c r="W1997" i="21"/>
  <c r="W1998" i="21"/>
  <c r="W1999" i="21"/>
  <c r="W2000" i="21"/>
  <c r="W2001" i="21"/>
  <c r="W2002" i="21"/>
  <c r="W2003" i="21"/>
  <c r="W2004" i="21"/>
  <c r="W2005" i="21"/>
  <c r="W2006" i="21"/>
  <c r="W2007" i="21"/>
  <c r="W2008" i="21"/>
  <c r="W1738" i="21"/>
  <c r="W1737" i="21"/>
  <c r="W1736" i="21"/>
  <c r="W1735" i="21"/>
  <c r="W1716" i="21"/>
  <c r="W1717" i="21"/>
  <c r="W1718" i="21"/>
  <c r="W1719" i="21"/>
  <c r="W1720" i="21"/>
  <c r="W1721" i="21"/>
  <c r="W1722" i="21"/>
  <c r="W1723" i="21"/>
  <c r="W1724" i="21"/>
  <c r="W1725" i="21"/>
  <c r="W1726" i="21"/>
  <c r="W1727" i="21"/>
  <c r="W1728" i="21"/>
  <c r="W1729" i="21"/>
  <c r="W1730" i="21"/>
  <c r="W1731" i="21"/>
  <c r="W1732" i="21"/>
  <c r="W1733" i="21"/>
  <c r="W1734" i="21"/>
  <c r="W1715" i="21"/>
  <c r="M1716" i="21"/>
  <c r="M1717" i="21"/>
  <c r="M1718" i="21"/>
  <c r="M1719" i="21"/>
  <c r="M1720" i="21"/>
  <c r="M1721" i="21"/>
  <c r="M1722" i="21"/>
  <c r="M1723" i="21"/>
  <c r="M1724" i="21"/>
  <c r="M1725" i="21"/>
  <c r="M1726" i="21"/>
  <c r="M1727" i="21"/>
  <c r="M1728" i="21"/>
  <c r="M1729" i="21"/>
  <c r="M1730" i="21"/>
  <c r="M1731" i="21"/>
  <c r="M1732" i="21"/>
  <c r="M1733" i="21"/>
  <c r="M1734" i="21"/>
  <c r="M1735" i="21"/>
  <c r="M1736" i="21"/>
  <c r="M1737" i="21"/>
  <c r="M1738" i="21"/>
  <c r="M1739" i="21"/>
  <c r="M1740" i="21"/>
  <c r="M1741" i="21"/>
  <c r="M1742" i="21"/>
  <c r="M1743" i="21"/>
  <c r="M1744" i="21"/>
  <c r="M1745" i="21"/>
  <c r="M1746" i="21"/>
  <c r="M1747" i="21"/>
  <c r="M1748" i="21"/>
  <c r="M1749" i="21"/>
  <c r="M1750" i="21"/>
  <c r="M1751" i="21"/>
  <c r="M1752" i="21"/>
  <c r="M1753" i="21"/>
  <c r="M1754" i="21"/>
  <c r="M1755" i="21"/>
  <c r="M1756" i="21"/>
  <c r="M1757" i="21"/>
  <c r="M1758" i="21"/>
  <c r="M1759" i="21"/>
  <c r="M1760" i="21"/>
  <c r="M1761" i="21"/>
  <c r="M1762" i="21"/>
  <c r="M1763" i="21"/>
  <c r="M1764" i="21"/>
  <c r="M1765" i="21"/>
  <c r="M1766" i="21"/>
  <c r="M1767" i="21"/>
  <c r="M1768" i="21"/>
  <c r="M1769" i="21"/>
  <c r="M1770" i="21"/>
  <c r="M1771" i="21"/>
  <c r="M1772" i="21"/>
  <c r="M1773" i="21"/>
  <c r="M1774" i="21"/>
  <c r="M1775" i="21"/>
  <c r="M1776" i="21"/>
  <c r="M1777" i="21"/>
  <c r="M1778" i="21"/>
  <c r="M1779" i="21"/>
  <c r="M1780" i="21"/>
  <c r="M1781" i="21"/>
  <c r="M1782" i="21"/>
  <c r="M1783" i="21"/>
  <c r="M1784" i="21"/>
  <c r="M1785" i="21"/>
  <c r="M1786" i="21"/>
  <c r="M1787" i="21"/>
  <c r="M1788" i="21"/>
  <c r="M1789" i="21"/>
  <c r="M1790" i="21"/>
  <c r="M1791" i="21"/>
  <c r="M1792" i="21"/>
  <c r="M1793" i="21"/>
  <c r="M1794" i="21"/>
  <c r="M1795" i="21"/>
  <c r="M1796" i="21"/>
  <c r="M1797" i="21"/>
  <c r="M1798" i="21"/>
  <c r="M1799" i="21"/>
  <c r="M1800" i="21"/>
  <c r="M1801" i="21"/>
  <c r="M1802" i="21"/>
  <c r="M1803" i="21"/>
  <c r="M1804" i="21"/>
  <c r="M1805" i="21"/>
  <c r="M1806" i="21"/>
  <c r="M1807" i="21"/>
  <c r="M1808" i="21"/>
  <c r="M1809" i="21"/>
  <c r="M1810" i="21"/>
  <c r="M1811" i="21"/>
  <c r="M1812" i="21"/>
  <c r="M1813" i="21"/>
  <c r="M1814" i="21"/>
  <c r="M1815" i="21"/>
  <c r="M1816" i="21"/>
  <c r="M1817" i="21"/>
  <c r="M1818" i="21"/>
  <c r="M1819" i="21"/>
  <c r="M1820" i="21"/>
  <c r="M1821" i="21"/>
  <c r="M1822" i="21"/>
  <c r="M1823" i="21"/>
  <c r="M1824" i="21"/>
  <c r="M1825" i="21"/>
  <c r="M1826" i="21"/>
  <c r="M1827" i="21"/>
  <c r="M1828" i="21"/>
  <c r="M1829" i="21"/>
  <c r="M1830" i="21"/>
  <c r="M1831" i="21"/>
  <c r="M1832" i="21"/>
  <c r="M1833" i="21"/>
  <c r="M1834" i="21"/>
  <c r="M1835" i="21"/>
  <c r="M1836" i="21"/>
  <c r="M1837" i="21"/>
  <c r="M1838" i="21"/>
  <c r="M1839" i="21"/>
  <c r="M1840" i="21"/>
  <c r="M1841" i="21"/>
  <c r="M1842" i="21"/>
  <c r="M1843" i="21"/>
  <c r="M1844" i="21"/>
  <c r="M1845" i="21"/>
  <c r="M1846" i="21"/>
  <c r="M1847" i="21"/>
  <c r="M1848" i="21"/>
  <c r="M1849" i="21"/>
  <c r="M1850" i="21"/>
  <c r="M1851" i="21"/>
  <c r="M1852" i="21"/>
  <c r="M1853" i="21"/>
  <c r="M1854" i="21"/>
  <c r="M1855" i="21"/>
  <c r="M1856" i="21"/>
  <c r="M1857" i="21"/>
  <c r="M1858" i="21"/>
  <c r="M1859" i="21"/>
  <c r="M1860" i="21"/>
  <c r="M1861" i="21"/>
  <c r="M1862" i="21"/>
  <c r="M1863" i="21"/>
  <c r="M1864" i="21"/>
  <c r="M1865" i="21"/>
  <c r="M1866" i="21"/>
  <c r="M1867" i="21"/>
  <c r="M1868" i="21"/>
  <c r="M1869" i="21"/>
  <c r="M1870" i="21"/>
  <c r="M1871" i="21"/>
  <c r="M1872" i="21"/>
  <c r="M1873" i="21"/>
  <c r="M1874" i="21"/>
  <c r="M1875" i="21"/>
  <c r="M1876" i="21"/>
  <c r="M1877" i="21"/>
  <c r="M1878" i="21"/>
  <c r="M1879" i="21"/>
  <c r="M1880" i="21"/>
  <c r="M1881" i="21"/>
  <c r="M1882" i="21"/>
  <c r="M1883" i="21"/>
  <c r="M1884" i="21"/>
  <c r="M1885" i="21"/>
  <c r="M1886" i="21"/>
  <c r="M1887" i="21"/>
  <c r="M1888" i="21"/>
  <c r="M1889" i="21"/>
  <c r="M1890" i="21"/>
  <c r="M1891" i="21"/>
  <c r="M1892" i="21"/>
  <c r="M1893" i="21"/>
  <c r="M1894" i="21"/>
  <c r="M1895" i="21"/>
  <c r="M1896" i="21"/>
  <c r="M1897" i="21"/>
  <c r="M1898" i="21"/>
  <c r="M1899" i="21"/>
  <c r="M1900" i="21"/>
  <c r="M1901" i="21"/>
  <c r="M1902" i="21"/>
  <c r="M1903" i="21"/>
  <c r="M1904" i="21"/>
  <c r="M1905" i="21"/>
  <c r="M1906" i="21"/>
  <c r="M1907" i="21"/>
  <c r="M1908" i="21"/>
  <c r="M1909" i="21"/>
  <c r="M1910" i="21"/>
  <c r="M1911" i="21"/>
  <c r="M1912" i="21"/>
  <c r="M1913" i="21"/>
  <c r="M1914" i="21"/>
  <c r="M1915" i="21"/>
  <c r="M1916" i="21"/>
  <c r="M1917" i="21"/>
  <c r="M1918" i="21"/>
  <c r="M1919" i="21"/>
  <c r="M1920" i="21"/>
  <c r="M1921" i="21"/>
  <c r="M1922" i="21"/>
  <c r="M1923" i="21"/>
  <c r="M1924" i="21"/>
  <c r="M1925" i="21"/>
  <c r="M1926" i="21"/>
  <c r="M1927" i="21"/>
  <c r="M1928" i="21"/>
  <c r="M1929" i="21"/>
  <c r="M1930" i="21"/>
  <c r="M1931" i="21"/>
  <c r="M1932" i="21"/>
  <c r="M1933" i="21"/>
  <c r="M1934" i="21"/>
  <c r="M1935" i="21"/>
  <c r="M1936" i="21"/>
  <c r="M1937" i="21"/>
  <c r="M1938" i="21"/>
  <c r="M1939" i="21"/>
  <c r="M1940" i="21"/>
  <c r="M1941" i="21"/>
  <c r="M1942" i="21"/>
  <c r="M1943" i="21"/>
  <c r="M1944" i="21"/>
  <c r="M1945" i="21"/>
  <c r="M1946" i="21"/>
  <c r="M1947" i="21"/>
  <c r="M1948" i="21"/>
  <c r="M1949" i="21"/>
  <c r="M1950" i="21"/>
  <c r="M1951" i="21"/>
  <c r="M1952" i="21"/>
  <c r="M1953" i="21"/>
  <c r="M1954" i="21"/>
  <c r="M1955" i="21"/>
  <c r="M1956" i="21"/>
  <c r="M1957" i="21"/>
  <c r="M1958" i="21"/>
  <c r="M1959" i="21"/>
  <c r="M1960" i="21"/>
  <c r="M1961" i="21"/>
  <c r="M1962" i="21"/>
  <c r="M1963" i="21"/>
  <c r="M1964" i="21"/>
  <c r="M1965" i="21"/>
  <c r="M1966" i="21"/>
  <c r="M1967" i="21"/>
  <c r="M1968" i="21"/>
  <c r="M1969" i="21"/>
  <c r="M1970" i="21"/>
  <c r="M1971" i="21"/>
  <c r="M1972" i="21"/>
  <c r="M1973" i="21"/>
  <c r="M1974" i="21"/>
  <c r="M1975" i="21"/>
  <c r="M1976" i="21"/>
  <c r="M1977" i="21"/>
  <c r="M1978" i="21"/>
  <c r="M1979" i="21"/>
  <c r="M1980" i="21"/>
  <c r="M1981" i="21"/>
  <c r="M1982" i="21"/>
  <c r="M1983" i="21"/>
  <c r="M1984" i="21"/>
  <c r="M1985" i="21"/>
  <c r="M1986" i="21"/>
  <c r="M1987" i="21"/>
  <c r="M1988" i="21"/>
  <c r="M1989" i="21"/>
  <c r="M1990" i="21"/>
  <c r="M1991" i="21"/>
  <c r="M1992" i="21"/>
  <c r="M1993" i="21"/>
  <c r="M1994" i="21"/>
  <c r="M1995" i="21"/>
  <c r="M1996" i="21"/>
  <c r="M1997" i="21"/>
  <c r="M1998" i="21"/>
  <c r="M1999" i="21"/>
  <c r="M2000" i="21"/>
  <c r="M2001" i="21"/>
  <c r="M2002" i="21"/>
  <c r="M2003" i="21"/>
  <c r="M2004" i="21"/>
  <c r="M2005" i="21"/>
  <c r="M2006" i="21"/>
  <c r="M2007" i="21"/>
  <c r="M2008" i="21"/>
  <c r="K1716" i="21"/>
  <c r="L1716" i="21"/>
  <c r="O1716" i="21"/>
  <c r="R1716" i="21"/>
  <c r="T1716" i="21"/>
  <c r="U1716" i="21"/>
  <c r="X1716" i="21"/>
  <c r="K1717" i="21"/>
  <c r="L1717" i="21"/>
  <c r="O1717" i="21"/>
  <c r="R1717" i="21"/>
  <c r="T1717" i="21"/>
  <c r="U1717" i="21"/>
  <c r="X1717" i="21"/>
  <c r="K1718" i="21"/>
  <c r="L1718" i="21"/>
  <c r="O1718" i="21"/>
  <c r="R1718" i="21"/>
  <c r="T1718" i="21"/>
  <c r="U1718" i="21"/>
  <c r="X1718" i="21"/>
  <c r="K1719" i="21"/>
  <c r="L1719" i="21"/>
  <c r="O1719" i="21"/>
  <c r="R1719" i="21"/>
  <c r="T1719" i="21"/>
  <c r="U1719" i="21"/>
  <c r="X1719" i="21"/>
  <c r="J1720" i="21"/>
  <c r="K1720" i="21"/>
  <c r="L1720" i="21"/>
  <c r="O1720" i="21"/>
  <c r="Q1720" i="21"/>
  <c r="R1720" i="21"/>
  <c r="T1720" i="21"/>
  <c r="U1720" i="21"/>
  <c r="X1720" i="21"/>
  <c r="K1721" i="21"/>
  <c r="L1721" i="21"/>
  <c r="O1721" i="21"/>
  <c r="R1721" i="21"/>
  <c r="T1721" i="21"/>
  <c r="U1721" i="21"/>
  <c r="X1721" i="21"/>
  <c r="K1722" i="21"/>
  <c r="L1722" i="21"/>
  <c r="O1722" i="21"/>
  <c r="R1722" i="21"/>
  <c r="T1722" i="21"/>
  <c r="U1722" i="21"/>
  <c r="X1722" i="21"/>
  <c r="K1723" i="21"/>
  <c r="L1723" i="21"/>
  <c r="O1723" i="21"/>
  <c r="R1723" i="21"/>
  <c r="T1723" i="21"/>
  <c r="U1723" i="21"/>
  <c r="X1723" i="21"/>
  <c r="K1724" i="21"/>
  <c r="L1724" i="21"/>
  <c r="O1724" i="21"/>
  <c r="R1724" i="21"/>
  <c r="T1724" i="21"/>
  <c r="U1724" i="21"/>
  <c r="X1724" i="21"/>
  <c r="K1725" i="21"/>
  <c r="L1725" i="21"/>
  <c r="O1725" i="21"/>
  <c r="R1725" i="21"/>
  <c r="T1725" i="21"/>
  <c r="U1725" i="21"/>
  <c r="X1725" i="21"/>
  <c r="K1726" i="21"/>
  <c r="L1726" i="21"/>
  <c r="O1726" i="21"/>
  <c r="R1726" i="21"/>
  <c r="T1726" i="21"/>
  <c r="U1726" i="21"/>
  <c r="X1726" i="21"/>
  <c r="K1727" i="21"/>
  <c r="L1727" i="21"/>
  <c r="O1727" i="21"/>
  <c r="R1727" i="21"/>
  <c r="T1727" i="21"/>
  <c r="U1727" i="21"/>
  <c r="X1727" i="21"/>
  <c r="K1728" i="21"/>
  <c r="L1728" i="21"/>
  <c r="O1728" i="21"/>
  <c r="R1728" i="21"/>
  <c r="T1728" i="21"/>
  <c r="U1728" i="21"/>
  <c r="X1728" i="21"/>
  <c r="K1729" i="21"/>
  <c r="L1729" i="21"/>
  <c r="O1729" i="21"/>
  <c r="R1729" i="21"/>
  <c r="T1729" i="21"/>
  <c r="U1729" i="21"/>
  <c r="X1729" i="21"/>
  <c r="K1730" i="21"/>
  <c r="L1730" i="21"/>
  <c r="O1730" i="21"/>
  <c r="R1730" i="21"/>
  <c r="T1730" i="21"/>
  <c r="U1730" i="21"/>
  <c r="X1730" i="21"/>
  <c r="K1731" i="21"/>
  <c r="L1731" i="21"/>
  <c r="O1731" i="21"/>
  <c r="R1731" i="21"/>
  <c r="T1731" i="21"/>
  <c r="U1731" i="21"/>
  <c r="X1731" i="21"/>
  <c r="K1732" i="21"/>
  <c r="L1732" i="21"/>
  <c r="O1732" i="21"/>
  <c r="R1732" i="21"/>
  <c r="T1732" i="21"/>
  <c r="U1732" i="21"/>
  <c r="X1732" i="21"/>
  <c r="K1733" i="21"/>
  <c r="L1733" i="21"/>
  <c r="O1733" i="21"/>
  <c r="R1733" i="21"/>
  <c r="T1733" i="21"/>
  <c r="U1733" i="21"/>
  <c r="X1733" i="21"/>
  <c r="K1734" i="21"/>
  <c r="L1734" i="21"/>
  <c r="O1734" i="21"/>
  <c r="R1734" i="21"/>
  <c r="T1734" i="21"/>
  <c r="U1734" i="21"/>
  <c r="X1734" i="21"/>
  <c r="K1735" i="21"/>
  <c r="L1735" i="21"/>
  <c r="O1735" i="21"/>
  <c r="R1735" i="21"/>
  <c r="T1735" i="21"/>
  <c r="U1735" i="21"/>
  <c r="X1735" i="21"/>
  <c r="J1736" i="21"/>
  <c r="K1736" i="21"/>
  <c r="L1736" i="21"/>
  <c r="O1736" i="21"/>
  <c r="R1736" i="21"/>
  <c r="T1736" i="21"/>
  <c r="U1736" i="21"/>
  <c r="X1736" i="21"/>
  <c r="K1737" i="21"/>
  <c r="L1737" i="21"/>
  <c r="O1737" i="21"/>
  <c r="R1737" i="21"/>
  <c r="T1737" i="21"/>
  <c r="U1737" i="21"/>
  <c r="X1737" i="21"/>
  <c r="K1738" i="21"/>
  <c r="L1738" i="21"/>
  <c r="O1738" i="21"/>
  <c r="R1738" i="21"/>
  <c r="T1738" i="21"/>
  <c r="U1738" i="21"/>
  <c r="X1738" i="21"/>
  <c r="K1739" i="21"/>
  <c r="L1739" i="21"/>
  <c r="O1739" i="21"/>
  <c r="R1739" i="21"/>
  <c r="T1739" i="21"/>
  <c r="U1739" i="21"/>
  <c r="X1739" i="21"/>
  <c r="K1740" i="21"/>
  <c r="L1740" i="21"/>
  <c r="O1740" i="21"/>
  <c r="R1740" i="21"/>
  <c r="T1740" i="21"/>
  <c r="U1740" i="21"/>
  <c r="X1740" i="21"/>
  <c r="K1741" i="21"/>
  <c r="L1741" i="21"/>
  <c r="O1741" i="21"/>
  <c r="R1741" i="21"/>
  <c r="T1741" i="21"/>
  <c r="U1741" i="21"/>
  <c r="X1741" i="21"/>
  <c r="K1742" i="21"/>
  <c r="L1742" i="21"/>
  <c r="O1742" i="21"/>
  <c r="R1742" i="21"/>
  <c r="T1742" i="21"/>
  <c r="U1742" i="21"/>
  <c r="X1742" i="21"/>
  <c r="K1743" i="21"/>
  <c r="L1743" i="21"/>
  <c r="O1743" i="21"/>
  <c r="R1743" i="21"/>
  <c r="T1743" i="21"/>
  <c r="U1743" i="21"/>
  <c r="X1743" i="21"/>
  <c r="J1744" i="21"/>
  <c r="K1744" i="21"/>
  <c r="L1744" i="21"/>
  <c r="O1744" i="21"/>
  <c r="R1744" i="21"/>
  <c r="T1744" i="21"/>
  <c r="U1744" i="21"/>
  <c r="X1744" i="21"/>
  <c r="K1745" i="21"/>
  <c r="L1745" i="21"/>
  <c r="O1745" i="21"/>
  <c r="R1745" i="21"/>
  <c r="T1745" i="21"/>
  <c r="U1745" i="21"/>
  <c r="X1745" i="21"/>
  <c r="K1746" i="21"/>
  <c r="L1746" i="21"/>
  <c r="O1746" i="21"/>
  <c r="R1746" i="21"/>
  <c r="T1746" i="21"/>
  <c r="U1746" i="21"/>
  <c r="X1746" i="21"/>
  <c r="K1747" i="21"/>
  <c r="L1747" i="21"/>
  <c r="O1747" i="21"/>
  <c r="R1747" i="21"/>
  <c r="T1747" i="21"/>
  <c r="U1747" i="21"/>
  <c r="X1747" i="21"/>
  <c r="K1748" i="21"/>
  <c r="L1748" i="21"/>
  <c r="O1748" i="21"/>
  <c r="R1748" i="21"/>
  <c r="T1748" i="21"/>
  <c r="U1748" i="21"/>
  <c r="X1748" i="21"/>
  <c r="K1749" i="21"/>
  <c r="L1749" i="21"/>
  <c r="O1749" i="21"/>
  <c r="R1749" i="21"/>
  <c r="T1749" i="21"/>
  <c r="U1749" i="21"/>
  <c r="X1749" i="21"/>
  <c r="K1750" i="21"/>
  <c r="L1750" i="21"/>
  <c r="O1750" i="21"/>
  <c r="R1750" i="21"/>
  <c r="T1750" i="21"/>
  <c r="U1750" i="21"/>
  <c r="X1750" i="21"/>
  <c r="K1751" i="21"/>
  <c r="L1751" i="21"/>
  <c r="O1751" i="21"/>
  <c r="R1751" i="21"/>
  <c r="T1751" i="21"/>
  <c r="U1751" i="21"/>
  <c r="X1751" i="21"/>
  <c r="K1752" i="21"/>
  <c r="L1752" i="21"/>
  <c r="O1752" i="21"/>
  <c r="R1752" i="21"/>
  <c r="T1752" i="21"/>
  <c r="U1752" i="21"/>
  <c r="X1752" i="21"/>
  <c r="K1753" i="21"/>
  <c r="L1753" i="21"/>
  <c r="O1753" i="21"/>
  <c r="R1753" i="21"/>
  <c r="T1753" i="21"/>
  <c r="U1753" i="21"/>
  <c r="X1753" i="21"/>
  <c r="K1754" i="21"/>
  <c r="L1754" i="21"/>
  <c r="O1754" i="21"/>
  <c r="R1754" i="21"/>
  <c r="T1754" i="21"/>
  <c r="U1754" i="21"/>
  <c r="X1754" i="21"/>
  <c r="K1755" i="21"/>
  <c r="L1755" i="21"/>
  <c r="O1755" i="21"/>
  <c r="R1755" i="21"/>
  <c r="T1755" i="21"/>
  <c r="U1755" i="21"/>
  <c r="X1755" i="21"/>
  <c r="K1756" i="21"/>
  <c r="L1756" i="21"/>
  <c r="O1756" i="21"/>
  <c r="R1756" i="21"/>
  <c r="T1756" i="21"/>
  <c r="U1756" i="21"/>
  <c r="X1756" i="21"/>
  <c r="K1757" i="21"/>
  <c r="L1757" i="21"/>
  <c r="O1757" i="21"/>
  <c r="R1757" i="21"/>
  <c r="T1757" i="21"/>
  <c r="U1757" i="21"/>
  <c r="X1757" i="21"/>
  <c r="K1758" i="21"/>
  <c r="L1758" i="21"/>
  <c r="O1758" i="21"/>
  <c r="R1758" i="21"/>
  <c r="T1758" i="21"/>
  <c r="U1758" i="21"/>
  <c r="X1758" i="21"/>
  <c r="K1759" i="21"/>
  <c r="L1759" i="21"/>
  <c r="O1759" i="21"/>
  <c r="R1759" i="21"/>
  <c r="T1759" i="21"/>
  <c r="U1759" i="21"/>
  <c r="X1759" i="21"/>
  <c r="J1760" i="21"/>
  <c r="K1760" i="21"/>
  <c r="L1760" i="21"/>
  <c r="O1760" i="21"/>
  <c r="R1760" i="21"/>
  <c r="T1760" i="21"/>
  <c r="U1760" i="21"/>
  <c r="X1760" i="21"/>
  <c r="K1761" i="21"/>
  <c r="L1761" i="21"/>
  <c r="O1761" i="21"/>
  <c r="R1761" i="21"/>
  <c r="T1761" i="21"/>
  <c r="U1761" i="21"/>
  <c r="X1761" i="21"/>
  <c r="J1762" i="21"/>
  <c r="K1762" i="21"/>
  <c r="L1762" i="21"/>
  <c r="O1762" i="21"/>
  <c r="R1762" i="21"/>
  <c r="T1762" i="21"/>
  <c r="U1762" i="21"/>
  <c r="X1762" i="21"/>
  <c r="K1763" i="21"/>
  <c r="L1763" i="21"/>
  <c r="O1763" i="21"/>
  <c r="R1763" i="21"/>
  <c r="T1763" i="21"/>
  <c r="U1763" i="21"/>
  <c r="X1763" i="21"/>
  <c r="K1764" i="21"/>
  <c r="L1764" i="21"/>
  <c r="O1764" i="21"/>
  <c r="R1764" i="21"/>
  <c r="T1764" i="21"/>
  <c r="U1764" i="21"/>
  <c r="X1764" i="21"/>
  <c r="K1765" i="21"/>
  <c r="L1765" i="21"/>
  <c r="O1765" i="21"/>
  <c r="R1765" i="21"/>
  <c r="T1765" i="21"/>
  <c r="U1765" i="21"/>
  <c r="X1765" i="21"/>
  <c r="K1766" i="21"/>
  <c r="L1766" i="21"/>
  <c r="O1766" i="21"/>
  <c r="R1766" i="21"/>
  <c r="T1766" i="21"/>
  <c r="U1766" i="21"/>
  <c r="X1766" i="21"/>
  <c r="K1767" i="21"/>
  <c r="L1767" i="21"/>
  <c r="O1767" i="21"/>
  <c r="R1767" i="21"/>
  <c r="T1767" i="21"/>
  <c r="U1767" i="21"/>
  <c r="X1767" i="21"/>
  <c r="J1768" i="21"/>
  <c r="K1768" i="21"/>
  <c r="L1768" i="21"/>
  <c r="O1768" i="21"/>
  <c r="R1768" i="21"/>
  <c r="T1768" i="21"/>
  <c r="U1768" i="21"/>
  <c r="X1768" i="21"/>
  <c r="K1769" i="21"/>
  <c r="L1769" i="21"/>
  <c r="O1769" i="21"/>
  <c r="R1769" i="21"/>
  <c r="T1769" i="21"/>
  <c r="U1769" i="21"/>
  <c r="X1769" i="21"/>
  <c r="K1770" i="21"/>
  <c r="L1770" i="21"/>
  <c r="O1770" i="21"/>
  <c r="R1770" i="21"/>
  <c r="T1770" i="21"/>
  <c r="U1770" i="21"/>
  <c r="X1770" i="21"/>
  <c r="K1771" i="21"/>
  <c r="L1771" i="21"/>
  <c r="O1771" i="21"/>
  <c r="R1771" i="21"/>
  <c r="T1771" i="21"/>
  <c r="U1771" i="21"/>
  <c r="X1771" i="21"/>
  <c r="K1772" i="21"/>
  <c r="L1772" i="21"/>
  <c r="O1772" i="21"/>
  <c r="R1772" i="21"/>
  <c r="T1772" i="21"/>
  <c r="U1772" i="21"/>
  <c r="X1772" i="21"/>
  <c r="K1773" i="21"/>
  <c r="L1773" i="21"/>
  <c r="O1773" i="21"/>
  <c r="R1773" i="21"/>
  <c r="T1773" i="21"/>
  <c r="U1773" i="21"/>
  <c r="X1773" i="21"/>
  <c r="K1774" i="21"/>
  <c r="L1774" i="21"/>
  <c r="O1774" i="21"/>
  <c r="R1774" i="21"/>
  <c r="T1774" i="21"/>
  <c r="U1774" i="21"/>
  <c r="X1774" i="21"/>
  <c r="K1775" i="21"/>
  <c r="L1775" i="21"/>
  <c r="O1775" i="21"/>
  <c r="R1775" i="21"/>
  <c r="T1775" i="21"/>
  <c r="U1775" i="21"/>
  <c r="X1775" i="21"/>
  <c r="K1776" i="21"/>
  <c r="L1776" i="21"/>
  <c r="O1776" i="21"/>
  <c r="R1776" i="21"/>
  <c r="T1776" i="21"/>
  <c r="U1776" i="21"/>
  <c r="X1776" i="21"/>
  <c r="K1777" i="21"/>
  <c r="L1777" i="21"/>
  <c r="O1777" i="21"/>
  <c r="R1777" i="21"/>
  <c r="T1777" i="21"/>
  <c r="U1777" i="21"/>
  <c r="X1777" i="21"/>
  <c r="K1778" i="21"/>
  <c r="L1778" i="21"/>
  <c r="O1778" i="21"/>
  <c r="R1778" i="21"/>
  <c r="T1778" i="21"/>
  <c r="U1778" i="21"/>
  <c r="X1778" i="21"/>
  <c r="K1779" i="21"/>
  <c r="L1779" i="21"/>
  <c r="O1779" i="21"/>
  <c r="R1779" i="21"/>
  <c r="T1779" i="21"/>
  <c r="U1779" i="21"/>
  <c r="X1779" i="21"/>
  <c r="K1780" i="21"/>
  <c r="L1780" i="21"/>
  <c r="O1780" i="21"/>
  <c r="R1780" i="21"/>
  <c r="T1780" i="21"/>
  <c r="U1780" i="21"/>
  <c r="X1780" i="21"/>
  <c r="K1781" i="21"/>
  <c r="L1781" i="21"/>
  <c r="O1781" i="21"/>
  <c r="R1781" i="21"/>
  <c r="T1781" i="21"/>
  <c r="U1781" i="21"/>
  <c r="X1781" i="21"/>
  <c r="K1782" i="21"/>
  <c r="L1782" i="21"/>
  <c r="O1782" i="21"/>
  <c r="R1782" i="21"/>
  <c r="T1782" i="21"/>
  <c r="U1782" i="21"/>
  <c r="X1782" i="21"/>
  <c r="K1783" i="21"/>
  <c r="L1783" i="21"/>
  <c r="O1783" i="21"/>
  <c r="R1783" i="21"/>
  <c r="T1783" i="21"/>
  <c r="U1783" i="21"/>
  <c r="X1783" i="21"/>
  <c r="J1784" i="21"/>
  <c r="K1784" i="21"/>
  <c r="L1784" i="21"/>
  <c r="O1784" i="21"/>
  <c r="R1784" i="21"/>
  <c r="T1784" i="21"/>
  <c r="U1784" i="21"/>
  <c r="X1784" i="21"/>
  <c r="K1785" i="21"/>
  <c r="L1785" i="21"/>
  <c r="O1785" i="21"/>
  <c r="R1785" i="21"/>
  <c r="T1785" i="21"/>
  <c r="U1785" i="21"/>
  <c r="X1785" i="21"/>
  <c r="K1786" i="21"/>
  <c r="L1786" i="21"/>
  <c r="O1786" i="21"/>
  <c r="R1786" i="21"/>
  <c r="T1786" i="21"/>
  <c r="U1786" i="21"/>
  <c r="X1786" i="21"/>
  <c r="K1787" i="21"/>
  <c r="L1787" i="21"/>
  <c r="O1787" i="21"/>
  <c r="R1787" i="21"/>
  <c r="T1787" i="21"/>
  <c r="U1787" i="21"/>
  <c r="X1787" i="21"/>
  <c r="K1788" i="21"/>
  <c r="L1788" i="21"/>
  <c r="O1788" i="21"/>
  <c r="R1788" i="21"/>
  <c r="T1788" i="21"/>
  <c r="U1788" i="21"/>
  <c r="X1788" i="21"/>
  <c r="K1789" i="21"/>
  <c r="L1789" i="21"/>
  <c r="O1789" i="21"/>
  <c r="R1789" i="21"/>
  <c r="T1789" i="21"/>
  <c r="U1789" i="21"/>
  <c r="X1789" i="21"/>
  <c r="K1790" i="21"/>
  <c r="L1790" i="21"/>
  <c r="O1790" i="21"/>
  <c r="R1790" i="21"/>
  <c r="T1790" i="21"/>
  <c r="U1790" i="21"/>
  <c r="X1790" i="21"/>
  <c r="K1791" i="21"/>
  <c r="L1791" i="21"/>
  <c r="O1791" i="21"/>
  <c r="R1791" i="21"/>
  <c r="T1791" i="21"/>
  <c r="U1791" i="21"/>
  <c r="X1791" i="21"/>
  <c r="J1792" i="21"/>
  <c r="K1792" i="21"/>
  <c r="L1792" i="21"/>
  <c r="O1792" i="21"/>
  <c r="Q1792" i="21"/>
  <c r="R1792" i="21"/>
  <c r="T1792" i="21"/>
  <c r="U1792" i="21"/>
  <c r="X1792" i="21"/>
  <c r="K1793" i="21"/>
  <c r="L1793" i="21"/>
  <c r="O1793" i="21"/>
  <c r="R1793" i="21"/>
  <c r="T1793" i="21"/>
  <c r="U1793" i="21"/>
  <c r="X1793" i="21"/>
  <c r="K1794" i="21"/>
  <c r="L1794" i="21"/>
  <c r="O1794" i="21"/>
  <c r="R1794" i="21"/>
  <c r="T1794" i="21"/>
  <c r="U1794" i="21"/>
  <c r="X1794" i="21"/>
  <c r="K1795" i="21"/>
  <c r="L1795" i="21"/>
  <c r="O1795" i="21"/>
  <c r="R1795" i="21"/>
  <c r="T1795" i="21"/>
  <c r="U1795" i="21"/>
  <c r="X1795" i="21"/>
  <c r="K1796" i="21"/>
  <c r="L1796" i="21"/>
  <c r="O1796" i="21"/>
  <c r="R1796" i="21"/>
  <c r="T1796" i="21"/>
  <c r="U1796" i="21"/>
  <c r="X1796" i="21"/>
  <c r="K1797" i="21"/>
  <c r="L1797" i="21"/>
  <c r="O1797" i="21"/>
  <c r="R1797" i="21"/>
  <c r="T1797" i="21"/>
  <c r="U1797" i="21"/>
  <c r="X1797" i="21"/>
  <c r="K1798" i="21"/>
  <c r="L1798" i="21"/>
  <c r="O1798" i="21"/>
  <c r="R1798" i="21"/>
  <c r="T1798" i="21"/>
  <c r="U1798" i="21"/>
  <c r="X1798" i="21"/>
  <c r="K1799" i="21"/>
  <c r="L1799" i="21"/>
  <c r="O1799" i="21"/>
  <c r="R1799" i="21"/>
  <c r="T1799" i="21"/>
  <c r="U1799" i="21"/>
  <c r="X1799" i="21"/>
  <c r="K1800" i="21"/>
  <c r="L1800" i="21"/>
  <c r="O1800" i="21"/>
  <c r="R1800" i="21"/>
  <c r="T1800" i="21"/>
  <c r="U1800" i="21"/>
  <c r="X1800" i="21"/>
  <c r="K1801" i="21"/>
  <c r="L1801" i="21"/>
  <c r="O1801" i="21"/>
  <c r="R1801" i="21"/>
  <c r="T1801" i="21"/>
  <c r="U1801" i="21"/>
  <c r="X1801" i="21"/>
  <c r="Q1802" i="21"/>
  <c r="K1802" i="21"/>
  <c r="L1802" i="21"/>
  <c r="O1802" i="21"/>
  <c r="R1802" i="21"/>
  <c r="T1802" i="21"/>
  <c r="U1802" i="21"/>
  <c r="X1802" i="21"/>
  <c r="K1803" i="21"/>
  <c r="L1803" i="21"/>
  <c r="O1803" i="21"/>
  <c r="R1803" i="21"/>
  <c r="T1803" i="21"/>
  <c r="U1803" i="21"/>
  <c r="X1803" i="21"/>
  <c r="K1804" i="21"/>
  <c r="L1804" i="21"/>
  <c r="O1804" i="21"/>
  <c r="R1804" i="21"/>
  <c r="T1804" i="21"/>
  <c r="U1804" i="21"/>
  <c r="X1804" i="21"/>
  <c r="K1805" i="21"/>
  <c r="L1805" i="21"/>
  <c r="O1805" i="21"/>
  <c r="R1805" i="21"/>
  <c r="T1805" i="21"/>
  <c r="U1805" i="21"/>
  <c r="X1805" i="21"/>
  <c r="K1806" i="21"/>
  <c r="L1806" i="21"/>
  <c r="O1806" i="21"/>
  <c r="R1806" i="21"/>
  <c r="T1806" i="21"/>
  <c r="U1806" i="21"/>
  <c r="X1806" i="21"/>
  <c r="K1807" i="21"/>
  <c r="L1807" i="21"/>
  <c r="O1807" i="21"/>
  <c r="R1807" i="21"/>
  <c r="T1807" i="21"/>
  <c r="U1807" i="21"/>
  <c r="X1807" i="21"/>
  <c r="K1808" i="21"/>
  <c r="L1808" i="21"/>
  <c r="O1808" i="21"/>
  <c r="R1808" i="21"/>
  <c r="T1808" i="21"/>
  <c r="U1808" i="21"/>
  <c r="X1808" i="21"/>
  <c r="K1809" i="21"/>
  <c r="L1809" i="21"/>
  <c r="O1809" i="21"/>
  <c r="R1809" i="21"/>
  <c r="T1809" i="21"/>
  <c r="U1809" i="21"/>
  <c r="X1809" i="21"/>
  <c r="Q1810" i="21"/>
  <c r="K1810" i="21"/>
  <c r="L1810" i="21"/>
  <c r="O1810" i="21"/>
  <c r="R1810" i="21"/>
  <c r="T1810" i="21"/>
  <c r="U1810" i="21"/>
  <c r="X1810" i="21"/>
  <c r="K1811" i="21"/>
  <c r="L1811" i="21"/>
  <c r="O1811" i="21"/>
  <c r="R1811" i="21"/>
  <c r="T1811" i="21"/>
  <c r="U1811" i="21"/>
  <c r="X1811" i="21"/>
  <c r="K1812" i="21"/>
  <c r="L1812" i="21"/>
  <c r="O1812" i="21"/>
  <c r="R1812" i="21"/>
  <c r="T1812" i="21"/>
  <c r="U1812" i="21"/>
  <c r="X1812" i="21"/>
  <c r="K1813" i="21"/>
  <c r="L1813" i="21"/>
  <c r="O1813" i="21"/>
  <c r="R1813" i="21"/>
  <c r="T1813" i="21"/>
  <c r="U1813" i="21"/>
  <c r="X1813" i="21"/>
  <c r="K1814" i="21"/>
  <c r="L1814" i="21"/>
  <c r="O1814" i="21"/>
  <c r="R1814" i="21"/>
  <c r="T1814" i="21"/>
  <c r="U1814" i="21"/>
  <c r="X1814" i="21"/>
  <c r="K1815" i="21"/>
  <c r="L1815" i="21"/>
  <c r="O1815" i="21"/>
  <c r="R1815" i="21"/>
  <c r="T1815" i="21"/>
  <c r="U1815" i="21"/>
  <c r="X1815" i="21"/>
  <c r="Q1816" i="21"/>
  <c r="K1816" i="21"/>
  <c r="L1816" i="21"/>
  <c r="O1816" i="21"/>
  <c r="R1816" i="21"/>
  <c r="T1816" i="21"/>
  <c r="U1816" i="21"/>
  <c r="X1816" i="21"/>
  <c r="K1817" i="21"/>
  <c r="L1817" i="21"/>
  <c r="O1817" i="21"/>
  <c r="R1817" i="21"/>
  <c r="T1817" i="21"/>
  <c r="U1817" i="21"/>
  <c r="X1817" i="21"/>
  <c r="K1818" i="21"/>
  <c r="L1818" i="21"/>
  <c r="O1818" i="21"/>
  <c r="R1818" i="21"/>
  <c r="T1818" i="21"/>
  <c r="U1818" i="21"/>
  <c r="X1818" i="21"/>
  <c r="K1819" i="21"/>
  <c r="L1819" i="21"/>
  <c r="O1819" i="21"/>
  <c r="R1819" i="21"/>
  <c r="T1819" i="21"/>
  <c r="U1819" i="21"/>
  <c r="X1819" i="21"/>
  <c r="K1820" i="21"/>
  <c r="L1820" i="21"/>
  <c r="O1820" i="21"/>
  <c r="R1820" i="21"/>
  <c r="T1820" i="21"/>
  <c r="U1820" i="21"/>
  <c r="X1820" i="21"/>
  <c r="K1821" i="21"/>
  <c r="L1821" i="21"/>
  <c r="O1821" i="21"/>
  <c r="R1821" i="21"/>
  <c r="T1821" i="21"/>
  <c r="U1821" i="21"/>
  <c r="X1821" i="21"/>
  <c r="K1822" i="21"/>
  <c r="L1822" i="21"/>
  <c r="O1822" i="21"/>
  <c r="R1822" i="21"/>
  <c r="T1822" i="21"/>
  <c r="U1822" i="21"/>
  <c r="X1822" i="21"/>
  <c r="K1823" i="21"/>
  <c r="L1823" i="21"/>
  <c r="O1823" i="21"/>
  <c r="R1823" i="21"/>
  <c r="T1823" i="21"/>
  <c r="U1823" i="21"/>
  <c r="X1823" i="21"/>
  <c r="Q1824" i="21"/>
  <c r="J1824" i="21"/>
  <c r="K1824" i="21"/>
  <c r="L1824" i="21"/>
  <c r="O1824" i="21"/>
  <c r="R1824" i="21"/>
  <c r="T1824" i="21"/>
  <c r="U1824" i="21"/>
  <c r="X1824" i="21"/>
  <c r="K1825" i="21"/>
  <c r="L1825" i="21"/>
  <c r="O1825" i="21"/>
  <c r="R1825" i="21"/>
  <c r="T1825" i="21"/>
  <c r="U1825" i="21"/>
  <c r="X1825" i="21"/>
  <c r="K1826" i="21"/>
  <c r="L1826" i="21"/>
  <c r="O1826" i="21"/>
  <c r="R1826" i="21"/>
  <c r="T1826" i="21"/>
  <c r="U1826" i="21"/>
  <c r="X1826" i="21"/>
  <c r="K1827" i="21"/>
  <c r="L1827" i="21"/>
  <c r="O1827" i="21"/>
  <c r="R1827" i="21"/>
  <c r="T1827" i="21"/>
  <c r="U1827" i="21"/>
  <c r="X1827" i="21"/>
  <c r="K1828" i="21"/>
  <c r="L1828" i="21"/>
  <c r="O1828" i="21"/>
  <c r="R1828" i="21"/>
  <c r="T1828" i="21"/>
  <c r="U1828" i="21"/>
  <c r="X1828" i="21"/>
  <c r="K1829" i="21"/>
  <c r="L1829" i="21"/>
  <c r="O1829" i="21"/>
  <c r="R1829" i="21"/>
  <c r="T1829" i="21"/>
  <c r="U1829" i="21"/>
  <c r="X1829" i="21"/>
  <c r="K1830" i="21"/>
  <c r="L1830" i="21"/>
  <c r="O1830" i="21"/>
  <c r="R1830" i="21"/>
  <c r="T1830" i="21"/>
  <c r="U1830" i="21"/>
  <c r="X1830" i="21"/>
  <c r="K1831" i="21"/>
  <c r="L1831" i="21"/>
  <c r="O1831" i="21"/>
  <c r="R1831" i="21"/>
  <c r="T1831" i="21"/>
  <c r="U1831" i="21"/>
  <c r="X1831" i="21"/>
  <c r="K1832" i="21"/>
  <c r="L1832" i="21"/>
  <c r="O1832" i="21"/>
  <c r="R1832" i="21"/>
  <c r="T1832" i="21"/>
  <c r="U1832" i="21"/>
  <c r="X1832" i="21"/>
  <c r="K1833" i="21"/>
  <c r="L1833" i="21"/>
  <c r="O1833" i="21"/>
  <c r="R1833" i="21"/>
  <c r="T1833" i="21"/>
  <c r="U1833" i="21"/>
  <c r="X1833" i="21"/>
  <c r="K1834" i="21"/>
  <c r="L1834" i="21"/>
  <c r="O1834" i="21"/>
  <c r="R1834" i="21"/>
  <c r="T1834" i="21"/>
  <c r="U1834" i="21"/>
  <c r="X1834" i="21"/>
  <c r="K1835" i="21"/>
  <c r="L1835" i="21"/>
  <c r="O1835" i="21"/>
  <c r="R1835" i="21"/>
  <c r="T1835" i="21"/>
  <c r="U1835" i="21"/>
  <c r="X1835" i="21"/>
  <c r="K1836" i="21"/>
  <c r="L1836" i="21"/>
  <c r="O1836" i="21"/>
  <c r="R1836" i="21"/>
  <c r="T1836" i="21"/>
  <c r="U1836" i="21"/>
  <c r="X1836" i="21"/>
  <c r="K1837" i="21"/>
  <c r="L1837" i="21"/>
  <c r="O1837" i="21"/>
  <c r="R1837" i="21"/>
  <c r="T1837" i="21"/>
  <c r="U1837" i="21"/>
  <c r="X1837" i="21"/>
  <c r="K1838" i="21"/>
  <c r="L1838" i="21"/>
  <c r="O1838" i="21"/>
  <c r="R1838" i="21"/>
  <c r="T1838" i="21"/>
  <c r="U1838" i="21"/>
  <c r="X1838" i="21"/>
  <c r="K1839" i="21"/>
  <c r="L1839" i="21"/>
  <c r="O1839" i="21"/>
  <c r="R1839" i="21"/>
  <c r="T1839" i="21"/>
  <c r="U1839" i="21"/>
  <c r="X1839" i="21"/>
  <c r="Q1840" i="21"/>
  <c r="K1840" i="21"/>
  <c r="L1840" i="21"/>
  <c r="O1840" i="21"/>
  <c r="R1840" i="21"/>
  <c r="T1840" i="21"/>
  <c r="U1840" i="21"/>
  <c r="X1840" i="21"/>
  <c r="K1841" i="21"/>
  <c r="L1841" i="21"/>
  <c r="O1841" i="21"/>
  <c r="R1841" i="21"/>
  <c r="T1841" i="21"/>
  <c r="U1841" i="21"/>
  <c r="X1841" i="21"/>
  <c r="K1842" i="21"/>
  <c r="L1842" i="21"/>
  <c r="O1842" i="21"/>
  <c r="R1842" i="21"/>
  <c r="T1842" i="21"/>
  <c r="U1842" i="21"/>
  <c r="X1842" i="21"/>
  <c r="K1843" i="21"/>
  <c r="L1843" i="21"/>
  <c r="O1843" i="21"/>
  <c r="R1843" i="21"/>
  <c r="T1843" i="21"/>
  <c r="U1843" i="21"/>
  <c r="X1843" i="21"/>
  <c r="K1844" i="21"/>
  <c r="L1844" i="21"/>
  <c r="O1844" i="21"/>
  <c r="R1844" i="21"/>
  <c r="T1844" i="21"/>
  <c r="U1844" i="21"/>
  <c r="X1844" i="21"/>
  <c r="K1845" i="21"/>
  <c r="L1845" i="21"/>
  <c r="O1845" i="21"/>
  <c r="R1845" i="21"/>
  <c r="T1845" i="21"/>
  <c r="U1845" i="21"/>
  <c r="X1845" i="21"/>
  <c r="K1846" i="21"/>
  <c r="L1846" i="21"/>
  <c r="O1846" i="21"/>
  <c r="R1846" i="21"/>
  <c r="T1846" i="21"/>
  <c r="U1846" i="21"/>
  <c r="X1846" i="21"/>
  <c r="J1847" i="21"/>
  <c r="K1847" i="21"/>
  <c r="L1847" i="21"/>
  <c r="O1847" i="21"/>
  <c r="R1847" i="21"/>
  <c r="T1847" i="21"/>
  <c r="U1847" i="21"/>
  <c r="X1847" i="21"/>
  <c r="Q1848" i="21"/>
  <c r="J1848" i="21"/>
  <c r="K1848" i="21"/>
  <c r="L1848" i="21"/>
  <c r="O1848" i="21"/>
  <c r="R1848" i="21"/>
  <c r="T1848" i="21"/>
  <c r="U1848" i="21"/>
  <c r="X1848" i="21"/>
  <c r="K1849" i="21"/>
  <c r="L1849" i="21"/>
  <c r="O1849" i="21"/>
  <c r="R1849" i="21"/>
  <c r="T1849" i="21"/>
  <c r="U1849" i="21"/>
  <c r="X1849" i="21"/>
  <c r="K1850" i="21"/>
  <c r="L1850" i="21"/>
  <c r="O1850" i="21"/>
  <c r="R1850" i="21"/>
  <c r="T1850" i="21"/>
  <c r="U1850" i="21"/>
  <c r="X1850" i="21"/>
  <c r="K1851" i="21"/>
  <c r="L1851" i="21"/>
  <c r="O1851" i="21"/>
  <c r="R1851" i="21"/>
  <c r="T1851" i="21"/>
  <c r="U1851" i="21"/>
  <c r="X1851" i="21"/>
  <c r="K1852" i="21"/>
  <c r="L1852" i="21"/>
  <c r="O1852" i="21"/>
  <c r="R1852" i="21"/>
  <c r="T1852" i="21"/>
  <c r="U1852" i="21"/>
  <c r="X1852" i="21"/>
  <c r="K1853" i="21"/>
  <c r="L1853" i="21"/>
  <c r="O1853" i="21"/>
  <c r="R1853" i="21"/>
  <c r="T1853" i="21"/>
  <c r="U1853" i="21"/>
  <c r="X1853" i="21"/>
  <c r="K1854" i="21"/>
  <c r="L1854" i="21"/>
  <c r="O1854" i="21"/>
  <c r="R1854" i="21"/>
  <c r="T1854" i="21"/>
  <c r="U1854" i="21"/>
  <c r="X1854" i="21"/>
  <c r="K1855" i="21"/>
  <c r="L1855" i="21"/>
  <c r="O1855" i="21"/>
  <c r="R1855" i="21"/>
  <c r="T1855" i="21"/>
  <c r="U1855" i="21"/>
  <c r="X1855" i="21"/>
  <c r="K1856" i="21"/>
  <c r="L1856" i="21"/>
  <c r="O1856" i="21"/>
  <c r="R1856" i="21"/>
  <c r="T1856" i="21"/>
  <c r="U1856" i="21"/>
  <c r="X1856" i="21"/>
  <c r="K1857" i="21"/>
  <c r="L1857" i="21"/>
  <c r="O1857" i="21"/>
  <c r="R1857" i="21"/>
  <c r="T1857" i="21"/>
  <c r="U1857" i="21"/>
  <c r="X1857" i="21"/>
  <c r="K1858" i="21"/>
  <c r="L1858" i="21"/>
  <c r="O1858" i="21"/>
  <c r="R1858" i="21"/>
  <c r="T1858" i="21"/>
  <c r="U1858" i="21"/>
  <c r="X1858" i="21"/>
  <c r="K1859" i="21"/>
  <c r="L1859" i="21"/>
  <c r="O1859" i="21"/>
  <c r="R1859" i="21"/>
  <c r="T1859" i="21"/>
  <c r="U1859" i="21"/>
  <c r="X1859" i="21"/>
  <c r="K1860" i="21"/>
  <c r="L1860" i="21"/>
  <c r="O1860" i="21"/>
  <c r="R1860" i="21"/>
  <c r="T1860" i="21"/>
  <c r="U1860" i="21"/>
  <c r="X1860" i="21"/>
  <c r="K1861" i="21"/>
  <c r="L1861" i="21"/>
  <c r="O1861" i="21"/>
  <c r="R1861" i="21"/>
  <c r="T1861" i="21"/>
  <c r="U1861" i="21"/>
  <c r="X1861" i="21"/>
  <c r="K1862" i="21"/>
  <c r="L1862" i="21"/>
  <c r="O1862" i="21"/>
  <c r="R1862" i="21"/>
  <c r="T1862" i="21"/>
  <c r="U1862" i="21"/>
  <c r="X1862" i="21"/>
  <c r="K1863" i="21"/>
  <c r="L1863" i="21"/>
  <c r="O1863" i="21"/>
  <c r="R1863" i="21"/>
  <c r="T1863" i="21"/>
  <c r="U1863" i="21"/>
  <c r="X1863" i="21"/>
  <c r="Q1864" i="21"/>
  <c r="J1864" i="21"/>
  <c r="K1864" i="21"/>
  <c r="L1864" i="21"/>
  <c r="O1864" i="21"/>
  <c r="R1864" i="21"/>
  <c r="T1864" i="21"/>
  <c r="U1864" i="21"/>
  <c r="X1864" i="21"/>
  <c r="K1865" i="21"/>
  <c r="L1865" i="21"/>
  <c r="O1865" i="21"/>
  <c r="R1865" i="21"/>
  <c r="T1865" i="21"/>
  <c r="U1865" i="21"/>
  <c r="X1865" i="21"/>
  <c r="K1866" i="21"/>
  <c r="L1866" i="21"/>
  <c r="O1866" i="21"/>
  <c r="R1866" i="21"/>
  <c r="T1866" i="21"/>
  <c r="U1866" i="21"/>
  <c r="X1866" i="21"/>
  <c r="K1867" i="21"/>
  <c r="L1867" i="21"/>
  <c r="O1867" i="21"/>
  <c r="R1867" i="21"/>
  <c r="T1867" i="21"/>
  <c r="U1867" i="21"/>
  <c r="X1867" i="21"/>
  <c r="K1868" i="21"/>
  <c r="L1868" i="21"/>
  <c r="O1868" i="21"/>
  <c r="R1868" i="21"/>
  <c r="T1868" i="21"/>
  <c r="U1868" i="21"/>
  <c r="X1868" i="21"/>
  <c r="K1869" i="21"/>
  <c r="L1869" i="21"/>
  <c r="O1869" i="21"/>
  <c r="R1869" i="21"/>
  <c r="T1869" i="21"/>
  <c r="U1869" i="21"/>
  <c r="X1869" i="21"/>
  <c r="K1870" i="21"/>
  <c r="L1870" i="21"/>
  <c r="O1870" i="21"/>
  <c r="R1870" i="21"/>
  <c r="T1870" i="21"/>
  <c r="U1870" i="21"/>
  <c r="X1870" i="21"/>
  <c r="K1871" i="21"/>
  <c r="L1871" i="21"/>
  <c r="O1871" i="21"/>
  <c r="R1871" i="21"/>
  <c r="T1871" i="21"/>
  <c r="U1871" i="21"/>
  <c r="X1871" i="21"/>
  <c r="Q1872" i="21"/>
  <c r="K1872" i="21"/>
  <c r="L1872" i="21"/>
  <c r="O1872" i="21"/>
  <c r="R1872" i="21"/>
  <c r="T1872" i="21"/>
  <c r="U1872" i="21"/>
  <c r="X1872" i="21"/>
  <c r="K1873" i="21"/>
  <c r="L1873" i="21"/>
  <c r="O1873" i="21"/>
  <c r="R1873" i="21"/>
  <c r="T1873" i="21"/>
  <c r="U1873" i="21"/>
  <c r="X1873" i="21"/>
  <c r="Q1874" i="21"/>
  <c r="K1874" i="21"/>
  <c r="L1874" i="21"/>
  <c r="O1874" i="21"/>
  <c r="R1874" i="21"/>
  <c r="T1874" i="21"/>
  <c r="U1874" i="21"/>
  <c r="X1874" i="21"/>
  <c r="K1875" i="21"/>
  <c r="L1875" i="21"/>
  <c r="O1875" i="21"/>
  <c r="R1875" i="21"/>
  <c r="T1875" i="21"/>
  <c r="U1875" i="21"/>
  <c r="X1875" i="21"/>
  <c r="K1876" i="21"/>
  <c r="L1876" i="21"/>
  <c r="O1876" i="21"/>
  <c r="R1876" i="21"/>
  <c r="T1876" i="21"/>
  <c r="U1876" i="21"/>
  <c r="X1876" i="21"/>
  <c r="K1877" i="21"/>
  <c r="L1877" i="21"/>
  <c r="O1877" i="21"/>
  <c r="R1877" i="21"/>
  <c r="T1877" i="21"/>
  <c r="U1877" i="21"/>
  <c r="X1877" i="21"/>
  <c r="K1878" i="21"/>
  <c r="L1878" i="21"/>
  <c r="O1878" i="21"/>
  <c r="R1878" i="21"/>
  <c r="T1878" i="21"/>
  <c r="U1878" i="21"/>
  <c r="X1878" i="21"/>
  <c r="K1879" i="21"/>
  <c r="L1879" i="21"/>
  <c r="O1879" i="21"/>
  <c r="R1879" i="21"/>
  <c r="T1879" i="21"/>
  <c r="U1879" i="21"/>
  <c r="X1879" i="21"/>
  <c r="K1880" i="21"/>
  <c r="L1880" i="21"/>
  <c r="O1880" i="21"/>
  <c r="R1880" i="21"/>
  <c r="T1880" i="21"/>
  <c r="U1880" i="21"/>
  <c r="X1880" i="21"/>
  <c r="K1881" i="21"/>
  <c r="L1881" i="21"/>
  <c r="O1881" i="21"/>
  <c r="R1881" i="21"/>
  <c r="T1881" i="21"/>
  <c r="U1881" i="21"/>
  <c r="X1881" i="21"/>
  <c r="K1882" i="21"/>
  <c r="L1882" i="21"/>
  <c r="O1882" i="21"/>
  <c r="R1882" i="21"/>
  <c r="T1882" i="21"/>
  <c r="U1882" i="21"/>
  <c r="X1882" i="21"/>
  <c r="K1883" i="21"/>
  <c r="L1883" i="21"/>
  <c r="O1883" i="21"/>
  <c r="R1883" i="21"/>
  <c r="T1883" i="21"/>
  <c r="U1883" i="21"/>
  <c r="X1883" i="21"/>
  <c r="K1884" i="21"/>
  <c r="L1884" i="21"/>
  <c r="O1884" i="21"/>
  <c r="R1884" i="21"/>
  <c r="T1884" i="21"/>
  <c r="U1884" i="21"/>
  <c r="X1884" i="21"/>
  <c r="K1885" i="21"/>
  <c r="L1885" i="21"/>
  <c r="O1885" i="21"/>
  <c r="R1885" i="21"/>
  <c r="T1885" i="21"/>
  <c r="U1885" i="21"/>
  <c r="X1885" i="21"/>
  <c r="K1886" i="21"/>
  <c r="L1886" i="21"/>
  <c r="O1886" i="21"/>
  <c r="R1886" i="21"/>
  <c r="T1886" i="21"/>
  <c r="U1886" i="21"/>
  <c r="X1886" i="21"/>
  <c r="K1887" i="21"/>
  <c r="L1887" i="21"/>
  <c r="O1887" i="21"/>
  <c r="R1887" i="21"/>
  <c r="T1887" i="21"/>
  <c r="U1887" i="21"/>
  <c r="X1887" i="21"/>
  <c r="K1888" i="21"/>
  <c r="L1888" i="21"/>
  <c r="O1888" i="21"/>
  <c r="R1888" i="21"/>
  <c r="T1888" i="21"/>
  <c r="U1888" i="21"/>
  <c r="X1888" i="21"/>
  <c r="K1889" i="21"/>
  <c r="L1889" i="21"/>
  <c r="O1889" i="21"/>
  <c r="R1889" i="21"/>
  <c r="T1889" i="21"/>
  <c r="U1889" i="21"/>
  <c r="X1889" i="21"/>
  <c r="K1890" i="21"/>
  <c r="L1890" i="21"/>
  <c r="O1890" i="21"/>
  <c r="R1890" i="21"/>
  <c r="T1890" i="21"/>
  <c r="U1890" i="21"/>
  <c r="X1890" i="21"/>
  <c r="K1891" i="21"/>
  <c r="L1891" i="21"/>
  <c r="O1891" i="21"/>
  <c r="R1891" i="21"/>
  <c r="T1891" i="21"/>
  <c r="U1891" i="21"/>
  <c r="X1891" i="21"/>
  <c r="K1892" i="21"/>
  <c r="L1892" i="21"/>
  <c r="O1892" i="21"/>
  <c r="R1892" i="21"/>
  <c r="T1892" i="21"/>
  <c r="U1892" i="21"/>
  <c r="X1892" i="21"/>
  <c r="K1893" i="21"/>
  <c r="L1893" i="21"/>
  <c r="O1893" i="21"/>
  <c r="R1893" i="21"/>
  <c r="T1893" i="21"/>
  <c r="U1893" i="21"/>
  <c r="X1893" i="21"/>
  <c r="K1894" i="21"/>
  <c r="L1894" i="21"/>
  <c r="O1894" i="21"/>
  <c r="R1894" i="21"/>
  <c r="T1894" i="21"/>
  <c r="U1894" i="21"/>
  <c r="X1894" i="21"/>
  <c r="K1895" i="21"/>
  <c r="L1895" i="21"/>
  <c r="O1895" i="21"/>
  <c r="R1895" i="21"/>
  <c r="T1895" i="21"/>
  <c r="U1895" i="21"/>
  <c r="X1895" i="21"/>
  <c r="K1896" i="21"/>
  <c r="L1896" i="21"/>
  <c r="O1896" i="21"/>
  <c r="R1896" i="21"/>
  <c r="T1896" i="21"/>
  <c r="U1896" i="21"/>
  <c r="X1896" i="21"/>
  <c r="K1897" i="21"/>
  <c r="L1897" i="21"/>
  <c r="O1897" i="21"/>
  <c r="R1897" i="21"/>
  <c r="T1897" i="21"/>
  <c r="U1897" i="21"/>
  <c r="X1897" i="21"/>
  <c r="K1898" i="21"/>
  <c r="L1898" i="21"/>
  <c r="O1898" i="21"/>
  <c r="R1898" i="21"/>
  <c r="T1898" i="21"/>
  <c r="U1898" i="21"/>
  <c r="X1898" i="21"/>
  <c r="K1899" i="21"/>
  <c r="L1899" i="21"/>
  <c r="O1899" i="21"/>
  <c r="R1899" i="21"/>
  <c r="T1899" i="21"/>
  <c r="U1899" i="21"/>
  <c r="X1899" i="21"/>
  <c r="K1900" i="21"/>
  <c r="L1900" i="21"/>
  <c r="O1900" i="21"/>
  <c r="R1900" i="21"/>
  <c r="T1900" i="21"/>
  <c r="U1900" i="21"/>
  <c r="X1900" i="21"/>
  <c r="K1901" i="21"/>
  <c r="L1901" i="21"/>
  <c r="O1901" i="21"/>
  <c r="R1901" i="21"/>
  <c r="T1901" i="21"/>
  <c r="U1901" i="21"/>
  <c r="X1901" i="21"/>
  <c r="K1902" i="21"/>
  <c r="L1902" i="21"/>
  <c r="O1902" i="21"/>
  <c r="R1902" i="21"/>
  <c r="T1902" i="21"/>
  <c r="U1902" i="21"/>
  <c r="X1902" i="21"/>
  <c r="K1903" i="21"/>
  <c r="L1903" i="21"/>
  <c r="O1903" i="21"/>
  <c r="R1903" i="21"/>
  <c r="T1903" i="21"/>
  <c r="U1903" i="21"/>
  <c r="X1903" i="21"/>
  <c r="K1904" i="21"/>
  <c r="L1904" i="21"/>
  <c r="O1904" i="21"/>
  <c r="R1904" i="21"/>
  <c r="T1904" i="21"/>
  <c r="U1904" i="21"/>
  <c r="X1904" i="21"/>
  <c r="K1905" i="21"/>
  <c r="L1905" i="21"/>
  <c r="O1905" i="21"/>
  <c r="R1905" i="21"/>
  <c r="T1905" i="21"/>
  <c r="U1905" i="21"/>
  <c r="X1905" i="21"/>
  <c r="K1906" i="21"/>
  <c r="L1906" i="21"/>
  <c r="O1906" i="21"/>
  <c r="R1906" i="21"/>
  <c r="T1906" i="21"/>
  <c r="U1906" i="21"/>
  <c r="X1906" i="21"/>
  <c r="K1907" i="21"/>
  <c r="L1907" i="21"/>
  <c r="O1907" i="21"/>
  <c r="R1907" i="21"/>
  <c r="T1907" i="21"/>
  <c r="U1907" i="21"/>
  <c r="X1907" i="21"/>
  <c r="K1908" i="21"/>
  <c r="L1908" i="21"/>
  <c r="O1908" i="21"/>
  <c r="R1908" i="21"/>
  <c r="T1908" i="21"/>
  <c r="U1908" i="21"/>
  <c r="X1908" i="21"/>
  <c r="K1909" i="21"/>
  <c r="L1909" i="21"/>
  <c r="O1909" i="21"/>
  <c r="R1909" i="21"/>
  <c r="T1909" i="21"/>
  <c r="U1909" i="21"/>
  <c r="X1909" i="21"/>
  <c r="K1910" i="21"/>
  <c r="L1910" i="21"/>
  <c r="O1910" i="21"/>
  <c r="R1910" i="21"/>
  <c r="T1910" i="21"/>
  <c r="U1910" i="21"/>
  <c r="X1910" i="21"/>
  <c r="K1911" i="21"/>
  <c r="L1911" i="21"/>
  <c r="O1911" i="21"/>
  <c r="R1911" i="21"/>
  <c r="T1911" i="21"/>
  <c r="U1911" i="21"/>
  <c r="X1911" i="21"/>
  <c r="K1912" i="21"/>
  <c r="L1912" i="21"/>
  <c r="O1912" i="21"/>
  <c r="R1912" i="21"/>
  <c r="T1912" i="21"/>
  <c r="U1912" i="21"/>
  <c r="X1912" i="21"/>
  <c r="K1913" i="21"/>
  <c r="L1913" i="21"/>
  <c r="O1913" i="21"/>
  <c r="R1913" i="21"/>
  <c r="T1913" i="21"/>
  <c r="U1913" i="21"/>
  <c r="X1913" i="21"/>
  <c r="K1914" i="21"/>
  <c r="L1914" i="21"/>
  <c r="O1914" i="21"/>
  <c r="R1914" i="21"/>
  <c r="T1914" i="21"/>
  <c r="U1914" i="21"/>
  <c r="X1914" i="21"/>
  <c r="K1915" i="21"/>
  <c r="L1915" i="21"/>
  <c r="O1915" i="21"/>
  <c r="R1915" i="21"/>
  <c r="T1915" i="21"/>
  <c r="U1915" i="21"/>
  <c r="X1915" i="21"/>
  <c r="K1916" i="21"/>
  <c r="L1916" i="21"/>
  <c r="O1916" i="21"/>
  <c r="R1916" i="21"/>
  <c r="T1916" i="21"/>
  <c r="U1916" i="21"/>
  <c r="X1916" i="21"/>
  <c r="K1917" i="21"/>
  <c r="L1917" i="21"/>
  <c r="O1917" i="21"/>
  <c r="R1917" i="21"/>
  <c r="T1917" i="21"/>
  <c r="U1917" i="21"/>
  <c r="X1917" i="21"/>
  <c r="K1918" i="21"/>
  <c r="L1918" i="21"/>
  <c r="O1918" i="21"/>
  <c r="R1918" i="21"/>
  <c r="T1918" i="21"/>
  <c r="U1918" i="21"/>
  <c r="X1918" i="21"/>
  <c r="K1919" i="21"/>
  <c r="L1919" i="21"/>
  <c r="O1919" i="21"/>
  <c r="R1919" i="21"/>
  <c r="T1919" i="21"/>
  <c r="U1919" i="21"/>
  <c r="X1919" i="21"/>
  <c r="K1920" i="21"/>
  <c r="L1920" i="21"/>
  <c r="O1920" i="21"/>
  <c r="R1920" i="21"/>
  <c r="T1920" i="21"/>
  <c r="U1920" i="21"/>
  <c r="X1920" i="21"/>
  <c r="K1921" i="21"/>
  <c r="L1921" i="21"/>
  <c r="O1921" i="21"/>
  <c r="R1921" i="21"/>
  <c r="T1921" i="21"/>
  <c r="U1921" i="21"/>
  <c r="X1921" i="21"/>
  <c r="K1922" i="21"/>
  <c r="L1922" i="21"/>
  <c r="O1922" i="21"/>
  <c r="R1922" i="21"/>
  <c r="T1922" i="21"/>
  <c r="U1922" i="21"/>
  <c r="X1922" i="21"/>
  <c r="K1923" i="21"/>
  <c r="L1923" i="21"/>
  <c r="O1923" i="21"/>
  <c r="R1923" i="21"/>
  <c r="T1923" i="21"/>
  <c r="U1923" i="21"/>
  <c r="X1923" i="21"/>
  <c r="K1924" i="21"/>
  <c r="L1924" i="21"/>
  <c r="O1924" i="21"/>
  <c r="R1924" i="21"/>
  <c r="T1924" i="21"/>
  <c r="U1924" i="21"/>
  <c r="X1924" i="21"/>
  <c r="K1925" i="21"/>
  <c r="L1925" i="21"/>
  <c r="O1925" i="21"/>
  <c r="R1925" i="21"/>
  <c r="T1925" i="21"/>
  <c r="U1925" i="21"/>
  <c r="X1925" i="21"/>
  <c r="K1926" i="21"/>
  <c r="L1926" i="21"/>
  <c r="O1926" i="21"/>
  <c r="R1926" i="21"/>
  <c r="T1926" i="21"/>
  <c r="U1926" i="21"/>
  <c r="X1926" i="21"/>
  <c r="K1927" i="21"/>
  <c r="L1927" i="21"/>
  <c r="O1927" i="21"/>
  <c r="R1927" i="21"/>
  <c r="T1927" i="21"/>
  <c r="U1927" i="21"/>
  <c r="X1927" i="21"/>
  <c r="K1928" i="21"/>
  <c r="L1928" i="21"/>
  <c r="O1928" i="21"/>
  <c r="R1928" i="21"/>
  <c r="T1928" i="21"/>
  <c r="U1928" i="21"/>
  <c r="X1928" i="21"/>
  <c r="K1929" i="21"/>
  <c r="L1929" i="21"/>
  <c r="O1929" i="21"/>
  <c r="R1929" i="21"/>
  <c r="T1929" i="21"/>
  <c r="U1929" i="21"/>
  <c r="X1929" i="21"/>
  <c r="K1930" i="21"/>
  <c r="L1930" i="21"/>
  <c r="O1930" i="21"/>
  <c r="R1930" i="21"/>
  <c r="T1930" i="21"/>
  <c r="U1930" i="21"/>
  <c r="X1930" i="21"/>
  <c r="K1931" i="21"/>
  <c r="L1931" i="21"/>
  <c r="O1931" i="21"/>
  <c r="R1931" i="21"/>
  <c r="T1931" i="21"/>
  <c r="U1931" i="21"/>
  <c r="X1931" i="21"/>
  <c r="K1932" i="21"/>
  <c r="L1932" i="21"/>
  <c r="O1932" i="21"/>
  <c r="R1932" i="21"/>
  <c r="T1932" i="21"/>
  <c r="U1932" i="21"/>
  <c r="X1932" i="21"/>
  <c r="K1933" i="21"/>
  <c r="L1933" i="21"/>
  <c r="O1933" i="21"/>
  <c r="R1933" i="21"/>
  <c r="T1933" i="21"/>
  <c r="U1933" i="21"/>
  <c r="X1933" i="21"/>
  <c r="K1934" i="21"/>
  <c r="L1934" i="21"/>
  <c r="O1934" i="21"/>
  <c r="R1934" i="21"/>
  <c r="T1934" i="21"/>
  <c r="U1934" i="21"/>
  <c r="X1934" i="21"/>
  <c r="K1935" i="21"/>
  <c r="L1935" i="21"/>
  <c r="O1935" i="21"/>
  <c r="R1935" i="21"/>
  <c r="T1935" i="21"/>
  <c r="U1935" i="21"/>
  <c r="X1935" i="21"/>
  <c r="Q1936" i="21"/>
  <c r="K1936" i="21"/>
  <c r="L1936" i="21"/>
  <c r="O1936" i="21"/>
  <c r="R1936" i="21"/>
  <c r="T1936" i="21"/>
  <c r="U1936" i="21"/>
  <c r="X1936" i="21"/>
  <c r="K1937" i="21"/>
  <c r="L1937" i="21"/>
  <c r="O1937" i="21"/>
  <c r="R1937" i="21"/>
  <c r="T1937" i="21"/>
  <c r="U1937" i="21"/>
  <c r="X1937" i="21"/>
  <c r="K1938" i="21"/>
  <c r="L1938" i="21"/>
  <c r="O1938" i="21"/>
  <c r="R1938" i="21"/>
  <c r="T1938" i="21"/>
  <c r="U1938" i="21"/>
  <c r="X1938" i="21"/>
  <c r="K1939" i="21"/>
  <c r="L1939" i="21"/>
  <c r="O1939" i="21"/>
  <c r="R1939" i="21"/>
  <c r="T1939" i="21"/>
  <c r="U1939" i="21"/>
  <c r="X1939" i="21"/>
  <c r="K1940" i="21"/>
  <c r="L1940" i="21"/>
  <c r="O1940" i="21"/>
  <c r="R1940" i="21"/>
  <c r="T1940" i="21"/>
  <c r="U1940" i="21"/>
  <c r="X1940" i="21"/>
  <c r="K1941" i="21"/>
  <c r="L1941" i="21"/>
  <c r="O1941" i="21"/>
  <c r="R1941" i="21"/>
  <c r="T1941" i="21"/>
  <c r="U1941" i="21"/>
  <c r="X1941" i="21"/>
  <c r="K1942" i="21"/>
  <c r="L1942" i="21"/>
  <c r="O1942" i="21"/>
  <c r="R1942" i="21"/>
  <c r="T1942" i="21"/>
  <c r="U1942" i="21"/>
  <c r="X1942" i="21"/>
  <c r="K1943" i="21"/>
  <c r="L1943" i="21"/>
  <c r="O1943" i="21"/>
  <c r="R1943" i="21"/>
  <c r="T1943" i="21"/>
  <c r="U1943" i="21"/>
  <c r="X1943" i="21"/>
  <c r="Q1944" i="21"/>
  <c r="K1944" i="21"/>
  <c r="L1944" i="21"/>
  <c r="O1944" i="21"/>
  <c r="R1944" i="21"/>
  <c r="T1944" i="21"/>
  <c r="U1944" i="21"/>
  <c r="X1944" i="21"/>
  <c r="K1945" i="21"/>
  <c r="L1945" i="21"/>
  <c r="O1945" i="21"/>
  <c r="R1945" i="21"/>
  <c r="T1945" i="21"/>
  <c r="U1945" i="21"/>
  <c r="X1945" i="21"/>
  <c r="K1946" i="21"/>
  <c r="L1946" i="21"/>
  <c r="O1946" i="21"/>
  <c r="R1946" i="21"/>
  <c r="T1946" i="21"/>
  <c r="U1946" i="21"/>
  <c r="X1946" i="21"/>
  <c r="K1947" i="21"/>
  <c r="L1947" i="21"/>
  <c r="O1947" i="21"/>
  <c r="R1947" i="21"/>
  <c r="T1947" i="21"/>
  <c r="U1947" i="21"/>
  <c r="X1947" i="21"/>
  <c r="K1948" i="21"/>
  <c r="L1948" i="21"/>
  <c r="O1948" i="21"/>
  <c r="R1948" i="21"/>
  <c r="T1948" i="21"/>
  <c r="U1948" i="21"/>
  <c r="X1948" i="21"/>
  <c r="K1949" i="21"/>
  <c r="L1949" i="21"/>
  <c r="O1949" i="21"/>
  <c r="R1949" i="21"/>
  <c r="T1949" i="21"/>
  <c r="U1949" i="21"/>
  <c r="X1949" i="21"/>
  <c r="K1950" i="21"/>
  <c r="L1950" i="21"/>
  <c r="O1950" i="21"/>
  <c r="R1950" i="21"/>
  <c r="T1950" i="21"/>
  <c r="U1950" i="21"/>
  <c r="X1950" i="21"/>
  <c r="K1951" i="21"/>
  <c r="L1951" i="21"/>
  <c r="O1951" i="21"/>
  <c r="R1951" i="21"/>
  <c r="T1951" i="21"/>
  <c r="U1951" i="21"/>
  <c r="X1951" i="21"/>
  <c r="K1952" i="21"/>
  <c r="L1952" i="21"/>
  <c r="O1952" i="21"/>
  <c r="R1952" i="21"/>
  <c r="T1952" i="21"/>
  <c r="U1952" i="21"/>
  <c r="X1952" i="21"/>
  <c r="K1953" i="21"/>
  <c r="L1953" i="21"/>
  <c r="O1953" i="21"/>
  <c r="R1953" i="21"/>
  <c r="T1953" i="21"/>
  <c r="U1953" i="21"/>
  <c r="X1953" i="21"/>
  <c r="K1954" i="21"/>
  <c r="L1954" i="21"/>
  <c r="O1954" i="21"/>
  <c r="R1954" i="21"/>
  <c r="T1954" i="21"/>
  <c r="U1954" i="21"/>
  <c r="X1954" i="21"/>
  <c r="K1955" i="21"/>
  <c r="L1955" i="21"/>
  <c r="O1955" i="21"/>
  <c r="R1955" i="21"/>
  <c r="T1955" i="21"/>
  <c r="U1955" i="21"/>
  <c r="X1955" i="21"/>
  <c r="K1956" i="21"/>
  <c r="L1956" i="21"/>
  <c r="O1956" i="21"/>
  <c r="R1956" i="21"/>
  <c r="T1956" i="21"/>
  <c r="U1956" i="21"/>
  <c r="X1956" i="21"/>
  <c r="K1957" i="21"/>
  <c r="L1957" i="21"/>
  <c r="O1957" i="21"/>
  <c r="R1957" i="21"/>
  <c r="T1957" i="21"/>
  <c r="U1957" i="21"/>
  <c r="X1957" i="21"/>
  <c r="K1958" i="21"/>
  <c r="L1958" i="21"/>
  <c r="O1958" i="21"/>
  <c r="R1958" i="21"/>
  <c r="T1958" i="21"/>
  <c r="U1958" i="21"/>
  <c r="X1958" i="21"/>
  <c r="K1959" i="21"/>
  <c r="L1959" i="21"/>
  <c r="O1959" i="21"/>
  <c r="R1959" i="21"/>
  <c r="T1959" i="21"/>
  <c r="U1959" i="21"/>
  <c r="X1959" i="21"/>
  <c r="Q1960" i="21"/>
  <c r="K1960" i="21"/>
  <c r="L1960" i="21"/>
  <c r="O1960" i="21"/>
  <c r="R1960" i="21"/>
  <c r="T1960" i="21"/>
  <c r="U1960" i="21"/>
  <c r="X1960" i="21"/>
  <c r="K1961" i="21"/>
  <c r="L1961" i="21"/>
  <c r="O1961" i="21"/>
  <c r="R1961" i="21"/>
  <c r="T1961" i="21"/>
  <c r="U1961" i="21"/>
  <c r="X1961" i="21"/>
  <c r="K1962" i="21"/>
  <c r="L1962" i="21"/>
  <c r="O1962" i="21"/>
  <c r="R1962" i="21"/>
  <c r="T1962" i="21"/>
  <c r="U1962" i="21"/>
  <c r="X1962" i="21"/>
  <c r="K1963" i="21"/>
  <c r="L1963" i="21"/>
  <c r="O1963" i="21"/>
  <c r="R1963" i="21"/>
  <c r="T1963" i="21"/>
  <c r="U1963" i="21"/>
  <c r="X1963" i="21"/>
  <c r="K1964" i="21"/>
  <c r="L1964" i="21"/>
  <c r="O1964" i="21"/>
  <c r="R1964" i="21"/>
  <c r="T1964" i="21"/>
  <c r="U1964" i="21"/>
  <c r="X1964" i="21"/>
  <c r="K1965" i="21"/>
  <c r="L1965" i="21"/>
  <c r="O1965" i="21"/>
  <c r="R1965" i="21"/>
  <c r="T1965" i="21"/>
  <c r="U1965" i="21"/>
  <c r="X1965" i="21"/>
  <c r="K1966" i="21"/>
  <c r="L1966" i="21"/>
  <c r="O1966" i="21"/>
  <c r="R1966" i="21"/>
  <c r="T1966" i="21"/>
  <c r="U1966" i="21"/>
  <c r="X1966" i="21"/>
  <c r="K1967" i="21"/>
  <c r="L1967" i="21"/>
  <c r="O1967" i="21"/>
  <c r="R1967" i="21"/>
  <c r="T1967" i="21"/>
  <c r="U1967" i="21"/>
  <c r="X1967" i="21"/>
  <c r="K1968" i="21"/>
  <c r="L1968" i="21"/>
  <c r="O1968" i="21"/>
  <c r="R1968" i="21"/>
  <c r="T1968" i="21"/>
  <c r="U1968" i="21"/>
  <c r="X1968" i="21"/>
  <c r="K1969" i="21"/>
  <c r="L1969" i="21"/>
  <c r="O1969" i="21"/>
  <c r="R1969" i="21"/>
  <c r="T1969" i="21"/>
  <c r="U1969" i="21"/>
  <c r="X1969" i="21"/>
  <c r="K1970" i="21"/>
  <c r="L1970" i="21"/>
  <c r="O1970" i="21"/>
  <c r="R1970" i="21"/>
  <c r="T1970" i="21"/>
  <c r="U1970" i="21"/>
  <c r="X1970" i="21"/>
  <c r="K1971" i="21"/>
  <c r="L1971" i="21"/>
  <c r="O1971" i="21"/>
  <c r="R1971" i="21"/>
  <c r="T1971" i="21"/>
  <c r="U1971" i="21"/>
  <c r="X1971" i="21"/>
  <c r="K1972" i="21"/>
  <c r="L1972" i="21"/>
  <c r="O1972" i="21"/>
  <c r="R1972" i="21"/>
  <c r="T1972" i="21"/>
  <c r="U1972" i="21"/>
  <c r="X1972" i="21"/>
  <c r="K1973" i="21"/>
  <c r="L1973" i="21"/>
  <c r="O1973" i="21"/>
  <c r="R1973" i="21"/>
  <c r="T1973" i="21"/>
  <c r="U1973" i="21"/>
  <c r="X1973" i="21"/>
  <c r="K1974" i="21"/>
  <c r="L1974" i="21"/>
  <c r="O1974" i="21"/>
  <c r="R1974" i="21"/>
  <c r="T1974" i="21"/>
  <c r="U1974" i="21"/>
  <c r="X1974" i="21"/>
  <c r="K1975" i="21"/>
  <c r="L1975" i="21"/>
  <c r="O1975" i="21"/>
  <c r="R1975" i="21"/>
  <c r="T1975" i="21"/>
  <c r="U1975" i="21"/>
  <c r="X1975" i="21"/>
  <c r="K1976" i="21"/>
  <c r="L1976" i="21"/>
  <c r="O1976" i="21"/>
  <c r="R1976" i="21"/>
  <c r="T1976" i="21"/>
  <c r="U1976" i="21"/>
  <c r="X1976" i="21"/>
  <c r="K1977" i="21"/>
  <c r="L1977" i="21"/>
  <c r="O1977" i="21"/>
  <c r="R1977" i="21"/>
  <c r="T1977" i="21"/>
  <c r="U1977" i="21"/>
  <c r="X1977" i="21"/>
  <c r="J1978" i="21"/>
  <c r="K1978" i="21"/>
  <c r="L1978" i="21"/>
  <c r="O1978" i="21"/>
  <c r="R1978" i="21"/>
  <c r="T1978" i="21"/>
  <c r="U1978" i="21"/>
  <c r="X1978" i="21"/>
  <c r="K1979" i="21"/>
  <c r="L1979" i="21"/>
  <c r="O1979" i="21"/>
  <c r="R1979" i="21"/>
  <c r="T1979" i="21"/>
  <c r="U1979" i="21"/>
  <c r="X1979" i="21"/>
  <c r="K1980" i="21"/>
  <c r="L1980" i="21"/>
  <c r="O1980" i="21"/>
  <c r="R1980" i="21"/>
  <c r="T1980" i="21"/>
  <c r="U1980" i="21"/>
  <c r="X1980" i="21"/>
  <c r="K1981" i="21"/>
  <c r="L1981" i="21"/>
  <c r="O1981" i="21"/>
  <c r="R1981" i="21"/>
  <c r="T1981" i="21"/>
  <c r="U1981" i="21"/>
  <c r="X1981" i="21"/>
  <c r="K1982" i="21"/>
  <c r="L1982" i="21"/>
  <c r="O1982" i="21"/>
  <c r="R1982" i="21"/>
  <c r="T1982" i="21"/>
  <c r="U1982" i="21"/>
  <c r="X1982" i="21"/>
  <c r="K1983" i="21"/>
  <c r="L1983" i="21"/>
  <c r="O1983" i="21"/>
  <c r="R1983" i="21"/>
  <c r="T1983" i="21"/>
  <c r="U1983" i="21"/>
  <c r="X1983" i="21"/>
  <c r="Q1984" i="21"/>
  <c r="K1984" i="21"/>
  <c r="L1984" i="21"/>
  <c r="O1984" i="21"/>
  <c r="R1984" i="21"/>
  <c r="T1984" i="21"/>
  <c r="U1984" i="21"/>
  <c r="X1984" i="21"/>
  <c r="K1985" i="21"/>
  <c r="L1985" i="21"/>
  <c r="O1985" i="21"/>
  <c r="R1985" i="21"/>
  <c r="T1985" i="21"/>
  <c r="U1985" i="21"/>
  <c r="X1985" i="21"/>
  <c r="K1986" i="21"/>
  <c r="L1986" i="21"/>
  <c r="O1986" i="21"/>
  <c r="R1986" i="21"/>
  <c r="T1986" i="21"/>
  <c r="U1986" i="21"/>
  <c r="X1986" i="21"/>
  <c r="K1987" i="21"/>
  <c r="L1987" i="21"/>
  <c r="O1987" i="21"/>
  <c r="R1987" i="21"/>
  <c r="T1987" i="21"/>
  <c r="U1987" i="21"/>
  <c r="X1987" i="21"/>
  <c r="K1988" i="21"/>
  <c r="L1988" i="21"/>
  <c r="O1988" i="21"/>
  <c r="R1988" i="21"/>
  <c r="T1988" i="21"/>
  <c r="U1988" i="21"/>
  <c r="X1988" i="21"/>
  <c r="K1989" i="21"/>
  <c r="L1989" i="21"/>
  <c r="O1989" i="21"/>
  <c r="R1989" i="21"/>
  <c r="T1989" i="21"/>
  <c r="U1989" i="21"/>
  <c r="X1989" i="21"/>
  <c r="K1990" i="21"/>
  <c r="L1990" i="21"/>
  <c r="O1990" i="21"/>
  <c r="R1990" i="21"/>
  <c r="T1990" i="21"/>
  <c r="U1990" i="21"/>
  <c r="X1990" i="21"/>
  <c r="K1991" i="21"/>
  <c r="L1991" i="21"/>
  <c r="O1991" i="21"/>
  <c r="R1991" i="21"/>
  <c r="T1991" i="21"/>
  <c r="U1991" i="21"/>
  <c r="X1991" i="21"/>
  <c r="Q1992" i="21"/>
  <c r="K1992" i="21"/>
  <c r="L1992" i="21"/>
  <c r="O1992" i="21"/>
  <c r="R1992" i="21"/>
  <c r="T1992" i="21"/>
  <c r="U1992" i="21"/>
  <c r="X1992" i="21"/>
  <c r="K1993" i="21"/>
  <c r="L1993" i="21"/>
  <c r="O1993" i="21"/>
  <c r="R1993" i="21"/>
  <c r="T1993" i="21"/>
  <c r="U1993" i="21"/>
  <c r="X1993" i="21"/>
  <c r="K1994" i="21"/>
  <c r="L1994" i="21"/>
  <c r="O1994" i="21"/>
  <c r="R1994" i="21"/>
  <c r="T1994" i="21"/>
  <c r="U1994" i="21"/>
  <c r="X1994" i="21"/>
  <c r="K1995" i="21"/>
  <c r="L1995" i="21"/>
  <c r="O1995" i="21"/>
  <c r="R1995" i="21"/>
  <c r="T1995" i="21"/>
  <c r="U1995" i="21"/>
  <c r="X1995" i="21"/>
  <c r="K1996" i="21"/>
  <c r="L1996" i="21"/>
  <c r="O1996" i="21"/>
  <c r="R1996" i="21"/>
  <c r="T1996" i="21"/>
  <c r="U1996" i="21"/>
  <c r="X1996" i="21"/>
  <c r="K1997" i="21"/>
  <c r="L1997" i="21"/>
  <c r="O1997" i="21"/>
  <c r="R1997" i="21"/>
  <c r="T1997" i="21"/>
  <c r="U1997" i="21"/>
  <c r="X1997" i="21"/>
  <c r="K1998" i="21"/>
  <c r="L1998" i="21"/>
  <c r="O1998" i="21"/>
  <c r="R1998" i="21"/>
  <c r="T1998" i="21"/>
  <c r="U1998" i="21"/>
  <c r="X1998" i="21"/>
  <c r="K1999" i="21"/>
  <c r="L1999" i="21"/>
  <c r="O1999" i="21"/>
  <c r="R1999" i="21"/>
  <c r="T1999" i="21"/>
  <c r="U1999" i="21"/>
  <c r="X1999" i="21"/>
  <c r="Q2000" i="21"/>
  <c r="K2000" i="21"/>
  <c r="L2000" i="21"/>
  <c r="O2000" i="21"/>
  <c r="R2000" i="21"/>
  <c r="T2000" i="21"/>
  <c r="U2000" i="21"/>
  <c r="X2000" i="21"/>
  <c r="K2001" i="21"/>
  <c r="L2001" i="21"/>
  <c r="O2001" i="21"/>
  <c r="R2001" i="21"/>
  <c r="T2001" i="21"/>
  <c r="U2001" i="21"/>
  <c r="X2001" i="21"/>
  <c r="K2002" i="21"/>
  <c r="L2002" i="21"/>
  <c r="O2002" i="21"/>
  <c r="R2002" i="21"/>
  <c r="T2002" i="21"/>
  <c r="U2002" i="21"/>
  <c r="X2002" i="21"/>
  <c r="K2003" i="21"/>
  <c r="L2003" i="21"/>
  <c r="O2003" i="21"/>
  <c r="R2003" i="21"/>
  <c r="T2003" i="21"/>
  <c r="U2003" i="21"/>
  <c r="X2003" i="21"/>
  <c r="K2004" i="21"/>
  <c r="L2004" i="21"/>
  <c r="O2004" i="21"/>
  <c r="R2004" i="21"/>
  <c r="T2004" i="21"/>
  <c r="U2004" i="21"/>
  <c r="X2004" i="21"/>
  <c r="K2005" i="21"/>
  <c r="L2005" i="21"/>
  <c r="O2005" i="21"/>
  <c r="R2005" i="21"/>
  <c r="T2005" i="21"/>
  <c r="U2005" i="21"/>
  <c r="X2005" i="21"/>
  <c r="K2006" i="21"/>
  <c r="L2006" i="21"/>
  <c r="O2006" i="21"/>
  <c r="R2006" i="21"/>
  <c r="T2006" i="21"/>
  <c r="U2006" i="21"/>
  <c r="X2006" i="21"/>
  <c r="K2007" i="21"/>
  <c r="L2007" i="21"/>
  <c r="O2007" i="21"/>
  <c r="R2007" i="21"/>
  <c r="T2007" i="21"/>
  <c r="U2007" i="21"/>
  <c r="X2007" i="21"/>
  <c r="K2008" i="21"/>
  <c r="L2008" i="21"/>
  <c r="O2008" i="21"/>
  <c r="R2008" i="21"/>
  <c r="T2008" i="21"/>
  <c r="U2008" i="21"/>
  <c r="X2008" i="21"/>
  <c r="K1715" i="21"/>
  <c r="L1715" i="21" s="1"/>
  <c r="O1715" i="21"/>
  <c r="R1715" i="21"/>
  <c r="T1715" i="21"/>
  <c r="U1715" i="21"/>
  <c r="X1715" i="21"/>
  <c r="W1711" i="21"/>
  <c r="W1712" i="21"/>
  <c r="W1713" i="21"/>
  <c r="N1854" i="19"/>
  <c r="N1855" i="19"/>
  <c r="N1856" i="19"/>
  <c r="N1857" i="19"/>
  <c r="O1854" i="19"/>
  <c r="O1855" i="19"/>
  <c r="O1856" i="19"/>
  <c r="O1857" i="19"/>
  <c r="P1854" i="19"/>
  <c r="P1855" i="19"/>
  <c r="P1856" i="19"/>
  <c r="P1857" i="19"/>
  <c r="T1854" i="19"/>
  <c r="T1855" i="19"/>
  <c r="T1856" i="19"/>
  <c r="T1857" i="19"/>
  <c r="W1854" i="19"/>
  <c r="W1855" i="19"/>
  <c r="W1856" i="19"/>
  <c r="W1857" i="19"/>
  <c r="X1854" i="19"/>
  <c r="X1855" i="19"/>
  <c r="X1856" i="19"/>
  <c r="X1857" i="19"/>
  <c r="T1712" i="21"/>
  <c r="T1713" i="21"/>
  <c r="T1714" i="21"/>
  <c r="T1711" i="21"/>
  <c r="N1712" i="21"/>
  <c r="N1713" i="21"/>
  <c r="N1714" i="21"/>
  <c r="N1711" i="21"/>
  <c r="V1714" i="21"/>
  <c r="S1714" i="21"/>
  <c r="Q1714" i="21"/>
  <c r="K1714" i="21"/>
  <c r="M1714" i="21" s="1"/>
  <c r="V1713" i="21"/>
  <c r="S1713" i="21"/>
  <c r="Q1713" i="21"/>
  <c r="K1713" i="21"/>
  <c r="L1713" i="21" s="1"/>
  <c r="V1712" i="21"/>
  <c r="S1712" i="21"/>
  <c r="Q1712" i="21"/>
  <c r="K1712" i="21"/>
  <c r="L1712" i="21" s="1"/>
  <c r="P1712" i="21"/>
  <c r="K1711" i="21"/>
  <c r="M1711" i="21" s="1"/>
  <c r="N1709" i="21"/>
  <c r="V1711" i="21"/>
  <c r="S1711" i="21"/>
  <c r="Q1711" i="21"/>
  <c r="N1853" i="19"/>
  <c r="O1853" i="19"/>
  <c r="P1853" i="19"/>
  <c r="T1853" i="19"/>
  <c r="W1853" i="19"/>
  <c r="X1853" i="19"/>
  <c r="D56" i="17"/>
  <c r="N1852" i="19"/>
  <c r="O1852" i="19"/>
  <c r="P1852" i="19"/>
  <c r="T1852" i="19"/>
  <c r="W1852" i="19"/>
  <c r="X1852" i="19"/>
  <c r="D69" i="17"/>
  <c r="J68" i="17"/>
  <c r="J69" i="17" s="1"/>
  <c r="K68" i="17"/>
  <c r="K69" i="17" s="1"/>
  <c r="L68" i="17"/>
  <c r="L69" i="17" s="1"/>
  <c r="M68" i="17"/>
  <c r="M69" i="17" s="1"/>
  <c r="N68" i="17"/>
  <c r="N69" i="17" s="1"/>
  <c r="O68" i="17"/>
  <c r="O69" i="17" s="1"/>
  <c r="C66" i="17"/>
  <c r="N1667" i="21"/>
  <c r="Q1667" i="21"/>
  <c r="S1667" i="21"/>
  <c r="T1667" i="21"/>
  <c r="V1667" i="21"/>
  <c r="W1667" i="21"/>
  <c r="N1668" i="21"/>
  <c r="Q1668" i="21"/>
  <c r="S1668" i="21"/>
  <c r="T1668" i="21"/>
  <c r="V1668" i="21"/>
  <c r="W1668" i="21"/>
  <c r="N1669" i="21"/>
  <c r="Q1669" i="21"/>
  <c r="S1669" i="21"/>
  <c r="T1669" i="21"/>
  <c r="V1669" i="21"/>
  <c r="W1669" i="21"/>
  <c r="N1670" i="21"/>
  <c r="Q1670" i="21"/>
  <c r="S1670" i="21"/>
  <c r="T1670" i="21"/>
  <c r="V1670" i="21"/>
  <c r="W1670" i="21"/>
  <c r="N1671" i="21"/>
  <c r="Q1671" i="21"/>
  <c r="S1671" i="21"/>
  <c r="T1671" i="21"/>
  <c r="V1671" i="21"/>
  <c r="W1671" i="21"/>
  <c r="N1672" i="21"/>
  <c r="Q1672" i="21"/>
  <c r="S1672" i="21"/>
  <c r="T1672" i="21"/>
  <c r="V1672" i="21"/>
  <c r="W1672" i="21"/>
  <c r="N1673" i="21"/>
  <c r="Q1673" i="21"/>
  <c r="S1673" i="21"/>
  <c r="T1673" i="21"/>
  <c r="V1673" i="21"/>
  <c r="W1673" i="21"/>
  <c r="N1674" i="21"/>
  <c r="Q1674" i="21"/>
  <c r="S1674" i="21"/>
  <c r="T1674" i="21"/>
  <c r="V1674" i="21"/>
  <c r="W1674" i="21"/>
  <c r="N1675" i="21"/>
  <c r="Q1675" i="21"/>
  <c r="S1675" i="21"/>
  <c r="T1675" i="21"/>
  <c r="V1675" i="21"/>
  <c r="W1675" i="21"/>
  <c r="N1676" i="21"/>
  <c r="Q1676" i="21"/>
  <c r="S1676" i="21"/>
  <c r="T1676" i="21"/>
  <c r="V1676" i="21"/>
  <c r="W1676" i="21"/>
  <c r="N1677" i="21"/>
  <c r="Q1677" i="21"/>
  <c r="S1677" i="21"/>
  <c r="T1677" i="21"/>
  <c r="V1677" i="21"/>
  <c r="W1677" i="21"/>
  <c r="N1678" i="21"/>
  <c r="Q1678" i="21"/>
  <c r="S1678" i="21"/>
  <c r="T1678" i="21"/>
  <c r="V1678" i="21"/>
  <c r="W1678" i="21"/>
  <c r="N1679" i="21"/>
  <c r="Q1679" i="21"/>
  <c r="S1679" i="21"/>
  <c r="T1679" i="21"/>
  <c r="V1679" i="21"/>
  <c r="W1679" i="21"/>
  <c r="N1680" i="21"/>
  <c r="Q1680" i="21"/>
  <c r="S1680" i="21"/>
  <c r="T1680" i="21"/>
  <c r="V1680" i="21"/>
  <c r="W1680" i="21"/>
  <c r="N1681" i="21"/>
  <c r="Q1681" i="21"/>
  <c r="S1681" i="21"/>
  <c r="T1681" i="21"/>
  <c r="V1681" i="21"/>
  <c r="W1681" i="21"/>
  <c r="N1682" i="21"/>
  <c r="Q1682" i="21"/>
  <c r="S1682" i="21"/>
  <c r="T1682" i="21"/>
  <c r="V1682" i="21"/>
  <c r="W1682" i="21"/>
  <c r="N1683" i="21"/>
  <c r="Q1683" i="21"/>
  <c r="S1683" i="21"/>
  <c r="T1683" i="21"/>
  <c r="V1683" i="21"/>
  <c r="W1683" i="21"/>
  <c r="N1684" i="21"/>
  <c r="Q1684" i="21"/>
  <c r="S1684" i="21"/>
  <c r="T1684" i="21"/>
  <c r="V1684" i="21"/>
  <c r="W1684" i="21"/>
  <c r="N1685" i="21"/>
  <c r="Q1685" i="21"/>
  <c r="S1685" i="21"/>
  <c r="T1685" i="21"/>
  <c r="V1685" i="21"/>
  <c r="W1685" i="21"/>
  <c r="N1686" i="21"/>
  <c r="Q1686" i="21"/>
  <c r="S1686" i="21"/>
  <c r="T1686" i="21"/>
  <c r="V1686" i="21"/>
  <c r="W1686" i="21"/>
  <c r="N1687" i="21"/>
  <c r="Q1687" i="21"/>
  <c r="S1687" i="21"/>
  <c r="T1687" i="21"/>
  <c r="V1687" i="21"/>
  <c r="W1687" i="21"/>
  <c r="N1688" i="21"/>
  <c r="Q1688" i="21"/>
  <c r="S1688" i="21"/>
  <c r="T1688" i="21"/>
  <c r="V1688" i="21"/>
  <c r="W1688" i="21"/>
  <c r="N1689" i="21"/>
  <c r="Q1689" i="21"/>
  <c r="S1689" i="21"/>
  <c r="T1689" i="21"/>
  <c r="V1689" i="21"/>
  <c r="W1689" i="21"/>
  <c r="N1690" i="21"/>
  <c r="Q1690" i="21"/>
  <c r="S1690" i="21"/>
  <c r="T1690" i="21"/>
  <c r="V1690" i="21"/>
  <c r="W1690" i="21"/>
  <c r="N1691" i="21"/>
  <c r="Q1691" i="21"/>
  <c r="S1691" i="21"/>
  <c r="T1691" i="21"/>
  <c r="V1691" i="21"/>
  <c r="W1691" i="21"/>
  <c r="N1692" i="21"/>
  <c r="Q1692" i="21"/>
  <c r="S1692" i="21"/>
  <c r="T1692" i="21"/>
  <c r="V1692" i="21"/>
  <c r="W1692" i="21"/>
  <c r="N1693" i="21"/>
  <c r="Q1693" i="21"/>
  <c r="S1693" i="21"/>
  <c r="T1693" i="21"/>
  <c r="V1693" i="21"/>
  <c r="W1693" i="21"/>
  <c r="N1694" i="21"/>
  <c r="Q1694" i="21"/>
  <c r="S1694" i="21"/>
  <c r="T1694" i="21"/>
  <c r="V1694" i="21"/>
  <c r="W1694" i="21"/>
  <c r="N1695" i="21"/>
  <c r="Q1695" i="21"/>
  <c r="S1695" i="21"/>
  <c r="T1695" i="21"/>
  <c r="V1695" i="21"/>
  <c r="W1695" i="21"/>
  <c r="N1696" i="21"/>
  <c r="Q1696" i="21"/>
  <c r="S1696" i="21"/>
  <c r="T1696" i="21"/>
  <c r="V1696" i="21"/>
  <c r="W1696" i="21"/>
  <c r="N1697" i="21"/>
  <c r="Q1697" i="21"/>
  <c r="S1697" i="21"/>
  <c r="T1697" i="21"/>
  <c r="V1697" i="21"/>
  <c r="W1697" i="21"/>
  <c r="N1698" i="21"/>
  <c r="Q1698" i="21"/>
  <c r="S1698" i="21"/>
  <c r="T1698" i="21"/>
  <c r="V1698" i="21"/>
  <c r="W1698" i="21"/>
  <c r="N1699" i="21"/>
  <c r="Q1699" i="21"/>
  <c r="S1699" i="21"/>
  <c r="T1699" i="21"/>
  <c r="V1699" i="21"/>
  <c r="W1699" i="21"/>
  <c r="N1700" i="21"/>
  <c r="Q1700" i="21"/>
  <c r="S1700" i="21"/>
  <c r="T1700" i="21"/>
  <c r="V1700" i="21"/>
  <c r="W1700" i="21"/>
  <c r="N1701" i="21"/>
  <c r="Q1701" i="21"/>
  <c r="S1701" i="21"/>
  <c r="T1701" i="21"/>
  <c r="V1701" i="21"/>
  <c r="W1701" i="21"/>
  <c r="N1702" i="21"/>
  <c r="Q1702" i="21"/>
  <c r="S1702" i="21"/>
  <c r="T1702" i="21"/>
  <c r="V1702" i="21"/>
  <c r="W1702" i="21"/>
  <c r="N1703" i="21"/>
  <c r="Q1703" i="21"/>
  <c r="S1703" i="21"/>
  <c r="T1703" i="21"/>
  <c r="V1703" i="21"/>
  <c r="W1703" i="21"/>
  <c r="N1704" i="21"/>
  <c r="Q1704" i="21"/>
  <c r="S1704" i="21"/>
  <c r="T1704" i="21"/>
  <c r="V1704" i="21"/>
  <c r="W1704" i="21"/>
  <c r="N1705" i="21"/>
  <c r="Q1705" i="21"/>
  <c r="S1705" i="21"/>
  <c r="T1705" i="21"/>
  <c r="V1705" i="21"/>
  <c r="W1705" i="21"/>
  <c r="N1706" i="21"/>
  <c r="Q1706" i="21"/>
  <c r="S1706" i="21"/>
  <c r="T1706" i="21"/>
  <c r="V1706" i="21"/>
  <c r="W1706" i="21"/>
  <c r="N1707" i="21"/>
  <c r="Q1707" i="21"/>
  <c r="S1707" i="21"/>
  <c r="T1707" i="21"/>
  <c r="V1707" i="21"/>
  <c r="W1707" i="21"/>
  <c r="N1708" i="21"/>
  <c r="Q1708" i="21"/>
  <c r="S1708" i="21"/>
  <c r="T1708" i="21"/>
  <c r="V1708" i="21"/>
  <c r="W1708" i="21"/>
  <c r="Q1709" i="21"/>
  <c r="S1709" i="21"/>
  <c r="T1709" i="21"/>
  <c r="V1709" i="21"/>
  <c r="W1709" i="21"/>
  <c r="N1710" i="21"/>
  <c r="Q1710" i="21"/>
  <c r="S1710" i="21"/>
  <c r="T1710" i="21"/>
  <c r="V1710" i="21"/>
  <c r="W1710" i="21"/>
  <c r="W1666" i="21"/>
  <c r="V1666" i="21"/>
  <c r="T1666" i="21"/>
  <c r="S1666" i="21"/>
  <c r="Q1666" i="21"/>
  <c r="N1666" i="21"/>
  <c r="N1807" i="19"/>
  <c r="N1808" i="19"/>
  <c r="N1809" i="19"/>
  <c r="N1810" i="19"/>
  <c r="N1811" i="19"/>
  <c r="N1812" i="19"/>
  <c r="N1813" i="19"/>
  <c r="N1814" i="19"/>
  <c r="N1815" i="19"/>
  <c r="N1816" i="19"/>
  <c r="N1817" i="19"/>
  <c r="N1818" i="19"/>
  <c r="N1819" i="19"/>
  <c r="N1820" i="19"/>
  <c r="N1821" i="19"/>
  <c r="N1822" i="19"/>
  <c r="N1823" i="19"/>
  <c r="N1824" i="19"/>
  <c r="N1825" i="19"/>
  <c r="N1826" i="19"/>
  <c r="N1827" i="19"/>
  <c r="N1828" i="19"/>
  <c r="N1829" i="19"/>
  <c r="N1830" i="19"/>
  <c r="N1831" i="19"/>
  <c r="N1832" i="19"/>
  <c r="N1833" i="19"/>
  <c r="N1834" i="19"/>
  <c r="N1835" i="19"/>
  <c r="N1836" i="19"/>
  <c r="N1837" i="19"/>
  <c r="N1838" i="19"/>
  <c r="N1839" i="19"/>
  <c r="N1840" i="19"/>
  <c r="N1841" i="19"/>
  <c r="N1842" i="19"/>
  <c r="N1843" i="19"/>
  <c r="N1844" i="19"/>
  <c r="N1845" i="19"/>
  <c r="N1846" i="19"/>
  <c r="N1847" i="19"/>
  <c r="N1848" i="19"/>
  <c r="N1849" i="19"/>
  <c r="N1850" i="19"/>
  <c r="N1851" i="19"/>
  <c r="O1807" i="19"/>
  <c r="O1808" i="19"/>
  <c r="O1809" i="19"/>
  <c r="O1810" i="19"/>
  <c r="O1811" i="19"/>
  <c r="O1812" i="19"/>
  <c r="O1813" i="19"/>
  <c r="O1814" i="19"/>
  <c r="O1815" i="19"/>
  <c r="O1816" i="19"/>
  <c r="O1817" i="19"/>
  <c r="O1818" i="19"/>
  <c r="O1819" i="19"/>
  <c r="O1820" i="19"/>
  <c r="O1821" i="19"/>
  <c r="O1822" i="19"/>
  <c r="O1823" i="19"/>
  <c r="O1824" i="19"/>
  <c r="O1825" i="19"/>
  <c r="O1826" i="19"/>
  <c r="O1827" i="19"/>
  <c r="O1828" i="19"/>
  <c r="O1829" i="19"/>
  <c r="O1830" i="19"/>
  <c r="O1831" i="19"/>
  <c r="O1832" i="19"/>
  <c r="O1833" i="19"/>
  <c r="O1834" i="19"/>
  <c r="O1835" i="19"/>
  <c r="O1836" i="19"/>
  <c r="O1837" i="19"/>
  <c r="O1838" i="19"/>
  <c r="O1839" i="19"/>
  <c r="O1840" i="19"/>
  <c r="O1841" i="19"/>
  <c r="O1842" i="19"/>
  <c r="O1843" i="19"/>
  <c r="O1844" i="19"/>
  <c r="O1845" i="19"/>
  <c r="O1846" i="19"/>
  <c r="O1847" i="19"/>
  <c r="O1848" i="19"/>
  <c r="O1849" i="19"/>
  <c r="O1850" i="19"/>
  <c r="O1851" i="19"/>
  <c r="P1807" i="19"/>
  <c r="P1808" i="19"/>
  <c r="P1809" i="19"/>
  <c r="P1810" i="19"/>
  <c r="P1811" i="19"/>
  <c r="P1812" i="19"/>
  <c r="P1813" i="19"/>
  <c r="P1814" i="19"/>
  <c r="P1815" i="19"/>
  <c r="P1816" i="19"/>
  <c r="P1817" i="19"/>
  <c r="P1818" i="19"/>
  <c r="P1819" i="19"/>
  <c r="P1820" i="19"/>
  <c r="P1821" i="19"/>
  <c r="P1822" i="19"/>
  <c r="P1823" i="19"/>
  <c r="P1824" i="19"/>
  <c r="P1825" i="19"/>
  <c r="P1826" i="19"/>
  <c r="P1827" i="19"/>
  <c r="P1828" i="19"/>
  <c r="P1829" i="19"/>
  <c r="P1830" i="19"/>
  <c r="P1831" i="19"/>
  <c r="P1832" i="19"/>
  <c r="P1833" i="19"/>
  <c r="P1834" i="19"/>
  <c r="P1835" i="19"/>
  <c r="P1836" i="19"/>
  <c r="P1837" i="19"/>
  <c r="P1838" i="19"/>
  <c r="P1839" i="19"/>
  <c r="P1840" i="19"/>
  <c r="P1841" i="19"/>
  <c r="P1842" i="19"/>
  <c r="P1843" i="19"/>
  <c r="P1844" i="19"/>
  <c r="P1845" i="19"/>
  <c r="P1846" i="19"/>
  <c r="P1847" i="19"/>
  <c r="P1848" i="19"/>
  <c r="P1849" i="19"/>
  <c r="P1850" i="19"/>
  <c r="P1851" i="19"/>
  <c r="T1807" i="19"/>
  <c r="T1808" i="19"/>
  <c r="T1809" i="19"/>
  <c r="T1810" i="19"/>
  <c r="T1811" i="19"/>
  <c r="T1812" i="19"/>
  <c r="T1813" i="19"/>
  <c r="T1814" i="19"/>
  <c r="T1815" i="19"/>
  <c r="T1816" i="19"/>
  <c r="T1817" i="19"/>
  <c r="T1818" i="19"/>
  <c r="T1819" i="19"/>
  <c r="T1820" i="19"/>
  <c r="T1821" i="19"/>
  <c r="T1822" i="19"/>
  <c r="T1823" i="19"/>
  <c r="T1824" i="19"/>
  <c r="T1825" i="19"/>
  <c r="T1826" i="19"/>
  <c r="T1827" i="19"/>
  <c r="T1828" i="19"/>
  <c r="T1829" i="19"/>
  <c r="T1830" i="19"/>
  <c r="T1831" i="19"/>
  <c r="T1832" i="19"/>
  <c r="T1833" i="19"/>
  <c r="T1834" i="19"/>
  <c r="T1835" i="19"/>
  <c r="T1836" i="19"/>
  <c r="T1837" i="19"/>
  <c r="T1838" i="19"/>
  <c r="T1839" i="19"/>
  <c r="T1840" i="19"/>
  <c r="T1841" i="19"/>
  <c r="T1842" i="19"/>
  <c r="T1843" i="19"/>
  <c r="T1844" i="19"/>
  <c r="T1845" i="19"/>
  <c r="T1846" i="19"/>
  <c r="T1847" i="19"/>
  <c r="T1848" i="19"/>
  <c r="T1849" i="19"/>
  <c r="T1850" i="19"/>
  <c r="T1851" i="19"/>
  <c r="W1807" i="19"/>
  <c r="W1808" i="19"/>
  <c r="W1809" i="19"/>
  <c r="W1810" i="19"/>
  <c r="W1811" i="19"/>
  <c r="W1812" i="19"/>
  <c r="W1813" i="19"/>
  <c r="W1814" i="19"/>
  <c r="W1815" i="19"/>
  <c r="W1816" i="19"/>
  <c r="W1817" i="19"/>
  <c r="W1818" i="19"/>
  <c r="W1819" i="19"/>
  <c r="W1820" i="19"/>
  <c r="W1821" i="19"/>
  <c r="W1822" i="19"/>
  <c r="W1823" i="19"/>
  <c r="W1824" i="19"/>
  <c r="W1825" i="19"/>
  <c r="W1826" i="19"/>
  <c r="W1827" i="19"/>
  <c r="W1828" i="19"/>
  <c r="W1829" i="19"/>
  <c r="W1830" i="19"/>
  <c r="W1831" i="19"/>
  <c r="W1832" i="19"/>
  <c r="W1833" i="19"/>
  <c r="W1834" i="19"/>
  <c r="W1835" i="19"/>
  <c r="W1836" i="19"/>
  <c r="W1837" i="19"/>
  <c r="W1838" i="19"/>
  <c r="W1839" i="19"/>
  <c r="W1840" i="19"/>
  <c r="W1841" i="19"/>
  <c r="W1842" i="19"/>
  <c r="W1843" i="19"/>
  <c r="W1844" i="19"/>
  <c r="W1845" i="19"/>
  <c r="W1846" i="19"/>
  <c r="W1847" i="19"/>
  <c r="W1848" i="19"/>
  <c r="W1849" i="19"/>
  <c r="W1850" i="19"/>
  <c r="W1851" i="19"/>
  <c r="X1807" i="19"/>
  <c r="X1808" i="19"/>
  <c r="X1809" i="19"/>
  <c r="X1810" i="19"/>
  <c r="X1811" i="19"/>
  <c r="X1812" i="19"/>
  <c r="X1813" i="19"/>
  <c r="X1814" i="19"/>
  <c r="X1815" i="19"/>
  <c r="X1816" i="19"/>
  <c r="X1817" i="19"/>
  <c r="X1818" i="19"/>
  <c r="X1819" i="19"/>
  <c r="X1820" i="19"/>
  <c r="X1821" i="19"/>
  <c r="X1822" i="19"/>
  <c r="X1823" i="19"/>
  <c r="X1824" i="19"/>
  <c r="X1825" i="19"/>
  <c r="X1826" i="19"/>
  <c r="X1827" i="19"/>
  <c r="X1828" i="19"/>
  <c r="X1829" i="19"/>
  <c r="X1830" i="19"/>
  <c r="X1831" i="19"/>
  <c r="X1832" i="19"/>
  <c r="X1833" i="19"/>
  <c r="X1834" i="19"/>
  <c r="X1835" i="19"/>
  <c r="X1836" i="19"/>
  <c r="X1837" i="19"/>
  <c r="X1838" i="19"/>
  <c r="X1839" i="19"/>
  <c r="X1840" i="19"/>
  <c r="X1841" i="19"/>
  <c r="X1842" i="19"/>
  <c r="X1843" i="19"/>
  <c r="X1844" i="19"/>
  <c r="X1845" i="19"/>
  <c r="X1846" i="19"/>
  <c r="X1847" i="19"/>
  <c r="X1848" i="19"/>
  <c r="X1849" i="19"/>
  <c r="X1850" i="19"/>
  <c r="X1851" i="19"/>
  <c r="N1806" i="19"/>
  <c r="O1806" i="19"/>
  <c r="P1806" i="19"/>
  <c r="T1806" i="19"/>
  <c r="W1806" i="19"/>
  <c r="X1806" i="19"/>
  <c r="N1805" i="19"/>
  <c r="O1805" i="19"/>
  <c r="P1805" i="19"/>
  <c r="T1805" i="19"/>
  <c r="W1805" i="19"/>
  <c r="X1805" i="19"/>
  <c r="N1801" i="19"/>
  <c r="N1802" i="19"/>
  <c r="N1803" i="19"/>
  <c r="N1804" i="19"/>
  <c r="O1801" i="19"/>
  <c r="O1802" i="19"/>
  <c r="O1803" i="19"/>
  <c r="O1804" i="19"/>
  <c r="P1801" i="19"/>
  <c r="P1802" i="19"/>
  <c r="P1803" i="19"/>
  <c r="P1804" i="19"/>
  <c r="T1801" i="19"/>
  <c r="T1802" i="19"/>
  <c r="T1803" i="19"/>
  <c r="T1804" i="19"/>
  <c r="W1801" i="19"/>
  <c r="W1802" i="19"/>
  <c r="W1803" i="19"/>
  <c r="W1804" i="19"/>
  <c r="X1801" i="19"/>
  <c r="X1802" i="19"/>
  <c r="X1803" i="19"/>
  <c r="X1804" i="19"/>
  <c r="F136" i="22"/>
  <c r="G136" i="22"/>
  <c r="F137" i="22"/>
  <c r="G137" i="22"/>
  <c r="F138" i="22"/>
  <c r="G138" i="22"/>
  <c r="F139" i="22"/>
  <c r="G139" i="22"/>
  <c r="I1667" i="21"/>
  <c r="J1667" i="21" s="1"/>
  <c r="K1667" i="21"/>
  <c r="L1667" i="21" s="1"/>
  <c r="I1668" i="21"/>
  <c r="J1668" i="21" s="1"/>
  <c r="K1668" i="21"/>
  <c r="L1668" i="21" s="1"/>
  <c r="I1669" i="21"/>
  <c r="J1669" i="21" s="1"/>
  <c r="K1669" i="21"/>
  <c r="L1669" i="21" s="1"/>
  <c r="I1670" i="21"/>
  <c r="J1670" i="21" s="1"/>
  <c r="K1670" i="21"/>
  <c r="L1670" i="21" s="1"/>
  <c r="I1671" i="21"/>
  <c r="J1671" i="21" s="1"/>
  <c r="K1671" i="21"/>
  <c r="L1671" i="21" s="1"/>
  <c r="I1672" i="21"/>
  <c r="J1672" i="21" s="1"/>
  <c r="K1672" i="21"/>
  <c r="L1672" i="21" s="1"/>
  <c r="I1673" i="21"/>
  <c r="J1673" i="21" s="1"/>
  <c r="K1673" i="21"/>
  <c r="L1673" i="21" s="1"/>
  <c r="I1674" i="21"/>
  <c r="P1674" i="21" s="1"/>
  <c r="K1674" i="21"/>
  <c r="L1674" i="21" s="1"/>
  <c r="I1675" i="21"/>
  <c r="J1675" i="21" s="1"/>
  <c r="K1675" i="21"/>
  <c r="L1675" i="21" s="1"/>
  <c r="I1676" i="21"/>
  <c r="J1676" i="21" s="1"/>
  <c r="K1676" i="21"/>
  <c r="L1676" i="21" s="1"/>
  <c r="I1677" i="21"/>
  <c r="J1677" i="21" s="1"/>
  <c r="K1677" i="21"/>
  <c r="L1677" i="21" s="1"/>
  <c r="I1678" i="21"/>
  <c r="P1678" i="21" s="1"/>
  <c r="K1678" i="21"/>
  <c r="L1678" i="21" s="1"/>
  <c r="I1679" i="21"/>
  <c r="J1679" i="21" s="1"/>
  <c r="K1679" i="21"/>
  <c r="L1679" i="21" s="1"/>
  <c r="I1680" i="21"/>
  <c r="J1680" i="21" s="1"/>
  <c r="K1680" i="21"/>
  <c r="L1680" i="21" s="1"/>
  <c r="I1681" i="21"/>
  <c r="J1681" i="21" s="1"/>
  <c r="K1681" i="21"/>
  <c r="L1681" i="21" s="1"/>
  <c r="I1682" i="21"/>
  <c r="J1682" i="21" s="1"/>
  <c r="K1682" i="21"/>
  <c r="L1682" i="21" s="1"/>
  <c r="I1683" i="21"/>
  <c r="J1683" i="21" s="1"/>
  <c r="K1683" i="21"/>
  <c r="L1683" i="21" s="1"/>
  <c r="I1684" i="21"/>
  <c r="J1684" i="21" s="1"/>
  <c r="K1684" i="21"/>
  <c r="L1684" i="21" s="1"/>
  <c r="I1685" i="21"/>
  <c r="J1685" i="21" s="1"/>
  <c r="K1685" i="21"/>
  <c r="L1685" i="21" s="1"/>
  <c r="I1686" i="21"/>
  <c r="J1686" i="21" s="1"/>
  <c r="K1686" i="21"/>
  <c r="L1686" i="21" s="1"/>
  <c r="I1687" i="21"/>
  <c r="J1687" i="21" s="1"/>
  <c r="K1687" i="21"/>
  <c r="L1687" i="21" s="1"/>
  <c r="I1688" i="21"/>
  <c r="J1688" i="21" s="1"/>
  <c r="K1688" i="21"/>
  <c r="L1688" i="21" s="1"/>
  <c r="I1689" i="21"/>
  <c r="J1689" i="21" s="1"/>
  <c r="K1689" i="21"/>
  <c r="L1689" i="21" s="1"/>
  <c r="I1690" i="21"/>
  <c r="P1690" i="21" s="1"/>
  <c r="K1690" i="21"/>
  <c r="L1690" i="21" s="1"/>
  <c r="I1691" i="21"/>
  <c r="J1691" i="21" s="1"/>
  <c r="K1691" i="21"/>
  <c r="L1691" i="21" s="1"/>
  <c r="I1692" i="21"/>
  <c r="J1692" i="21" s="1"/>
  <c r="K1692" i="21"/>
  <c r="L1692" i="21" s="1"/>
  <c r="I1693" i="21"/>
  <c r="J1693" i="21" s="1"/>
  <c r="K1693" i="21"/>
  <c r="L1693" i="21" s="1"/>
  <c r="I1694" i="21"/>
  <c r="J1694" i="21" s="1"/>
  <c r="K1694" i="21"/>
  <c r="L1694" i="21" s="1"/>
  <c r="I1695" i="21"/>
  <c r="J1695" i="21" s="1"/>
  <c r="K1695" i="21"/>
  <c r="L1695" i="21" s="1"/>
  <c r="I1696" i="21"/>
  <c r="J1696" i="21" s="1"/>
  <c r="K1696" i="21"/>
  <c r="L1696" i="21" s="1"/>
  <c r="I1697" i="21"/>
  <c r="J1697" i="21" s="1"/>
  <c r="K1697" i="21"/>
  <c r="L1697" i="21" s="1"/>
  <c r="I1698" i="21"/>
  <c r="P1698" i="21" s="1"/>
  <c r="K1698" i="21"/>
  <c r="L1698" i="21" s="1"/>
  <c r="I1699" i="21"/>
  <c r="J1699" i="21" s="1"/>
  <c r="K1699" i="21"/>
  <c r="L1699" i="21" s="1"/>
  <c r="I1700" i="21"/>
  <c r="J1700" i="21" s="1"/>
  <c r="K1700" i="21"/>
  <c r="L1700" i="21" s="1"/>
  <c r="I1701" i="21"/>
  <c r="J1701" i="21" s="1"/>
  <c r="K1701" i="21"/>
  <c r="L1701" i="21" s="1"/>
  <c r="I1702" i="21"/>
  <c r="J1702" i="21" s="1"/>
  <c r="K1702" i="21"/>
  <c r="L1702" i="21" s="1"/>
  <c r="I1703" i="21"/>
  <c r="J1703" i="21" s="1"/>
  <c r="K1703" i="21"/>
  <c r="L1703" i="21" s="1"/>
  <c r="I1704" i="21"/>
  <c r="J1704" i="21" s="1"/>
  <c r="K1704" i="21"/>
  <c r="L1704" i="21" s="1"/>
  <c r="I1705" i="21"/>
  <c r="J1705" i="21" s="1"/>
  <c r="K1705" i="21"/>
  <c r="L1705" i="21" s="1"/>
  <c r="I1706" i="21"/>
  <c r="P1706" i="21" s="1"/>
  <c r="K1706" i="21"/>
  <c r="L1706" i="21" s="1"/>
  <c r="I1707" i="21"/>
  <c r="J1707" i="21" s="1"/>
  <c r="K1707" i="21"/>
  <c r="L1707" i="21" s="1"/>
  <c r="I1708" i="21"/>
  <c r="J1708" i="21" s="1"/>
  <c r="K1708" i="21"/>
  <c r="L1708" i="21" s="1"/>
  <c r="I1709" i="21"/>
  <c r="J1709" i="21" s="1"/>
  <c r="K1709" i="21"/>
  <c r="L1709" i="21" s="1"/>
  <c r="I1710" i="21"/>
  <c r="P1710" i="21" s="1"/>
  <c r="K1710" i="21"/>
  <c r="L1710" i="21" s="1"/>
  <c r="K1666" i="21"/>
  <c r="L1666" i="21" s="1"/>
  <c r="I1666" i="21"/>
  <c r="J1666" i="21" s="1"/>
  <c r="I1383" i="21"/>
  <c r="J1383" i="21" s="1"/>
  <c r="I1384" i="21"/>
  <c r="J1384" i="21" s="1"/>
  <c r="I1385" i="21"/>
  <c r="J1385" i="21" s="1"/>
  <c r="I1386" i="21"/>
  <c r="I1387" i="21"/>
  <c r="J1387" i="21" s="1"/>
  <c r="I1388" i="21"/>
  <c r="J1388" i="21" s="1"/>
  <c r="I1389" i="21"/>
  <c r="J1389" i="21" s="1"/>
  <c r="I1390" i="21"/>
  <c r="J1390" i="21" s="1"/>
  <c r="I1391" i="21"/>
  <c r="J1391" i="21" s="1"/>
  <c r="I1392" i="21"/>
  <c r="J1392" i="21" s="1"/>
  <c r="I1393" i="21"/>
  <c r="J1393" i="21" s="1"/>
  <c r="I1394" i="21"/>
  <c r="J1394" i="21" s="1"/>
  <c r="I1395" i="21"/>
  <c r="J1395" i="21" s="1"/>
  <c r="I1396" i="21"/>
  <c r="J1396" i="21" s="1"/>
  <c r="I1397" i="21"/>
  <c r="J1397" i="21" s="1"/>
  <c r="I1398" i="21"/>
  <c r="J1398" i="21" s="1"/>
  <c r="I1399" i="21"/>
  <c r="J1399" i="21" s="1"/>
  <c r="I1400" i="21"/>
  <c r="J1400" i="21" s="1"/>
  <c r="I1401" i="21"/>
  <c r="J1401" i="21" s="1"/>
  <c r="I1402" i="21"/>
  <c r="J1402" i="21" s="1"/>
  <c r="I1403" i="21"/>
  <c r="J1403" i="21" s="1"/>
  <c r="I1404" i="21"/>
  <c r="J1404" i="21" s="1"/>
  <c r="I1405" i="21"/>
  <c r="J1405" i="21" s="1"/>
  <c r="I1406" i="21"/>
  <c r="J1406" i="21" s="1"/>
  <c r="I1407" i="21"/>
  <c r="J1407" i="21" s="1"/>
  <c r="I1408" i="21"/>
  <c r="J1408" i="21" s="1"/>
  <c r="I1409" i="21"/>
  <c r="J1409" i="21" s="1"/>
  <c r="I1410" i="21"/>
  <c r="J1410" i="21" s="1"/>
  <c r="I1411" i="21"/>
  <c r="J1411" i="21" s="1"/>
  <c r="I1412" i="21"/>
  <c r="J1412" i="21" s="1"/>
  <c r="I1413" i="21"/>
  <c r="J1413" i="21" s="1"/>
  <c r="I1414" i="21"/>
  <c r="J1414" i="21" s="1"/>
  <c r="I1415" i="21"/>
  <c r="J1415" i="21" s="1"/>
  <c r="I1416" i="21"/>
  <c r="J1416" i="21" s="1"/>
  <c r="I1417" i="21"/>
  <c r="J1417" i="21" s="1"/>
  <c r="I1418" i="21"/>
  <c r="J1418" i="21" s="1"/>
  <c r="I1419" i="21"/>
  <c r="J1419" i="21" s="1"/>
  <c r="I1420" i="21"/>
  <c r="J1420" i="21" s="1"/>
  <c r="I1421" i="21"/>
  <c r="J1421" i="21" s="1"/>
  <c r="I1422" i="21"/>
  <c r="J1422" i="21" s="1"/>
  <c r="I1423" i="21"/>
  <c r="J1423" i="21" s="1"/>
  <c r="I1424" i="21"/>
  <c r="J1424" i="21" s="1"/>
  <c r="I1425" i="21"/>
  <c r="J1425" i="21" s="1"/>
  <c r="I1426" i="21"/>
  <c r="J1426" i="21" s="1"/>
  <c r="I1427" i="21"/>
  <c r="J1427" i="21" s="1"/>
  <c r="I1428" i="21"/>
  <c r="J1428" i="21" s="1"/>
  <c r="I1429" i="21"/>
  <c r="J1429" i="21" s="1"/>
  <c r="I1430" i="21"/>
  <c r="J1430" i="21" s="1"/>
  <c r="I1431" i="21"/>
  <c r="J1431" i="21" s="1"/>
  <c r="I1432" i="21"/>
  <c r="J1432" i="21" s="1"/>
  <c r="I1433" i="21"/>
  <c r="J1433" i="21" s="1"/>
  <c r="I1434" i="21"/>
  <c r="J1434" i="21" s="1"/>
  <c r="I1435" i="21"/>
  <c r="J1435" i="21" s="1"/>
  <c r="I1436" i="21"/>
  <c r="J1436" i="21" s="1"/>
  <c r="I1437" i="21"/>
  <c r="J1437" i="21" s="1"/>
  <c r="I1438" i="21"/>
  <c r="J1438" i="21" s="1"/>
  <c r="I1439" i="21"/>
  <c r="J1439" i="21" s="1"/>
  <c r="I1440" i="21"/>
  <c r="J1440" i="21" s="1"/>
  <c r="I1441" i="21"/>
  <c r="J1441" i="21" s="1"/>
  <c r="I1442" i="21"/>
  <c r="J1442" i="21" s="1"/>
  <c r="I1443" i="21"/>
  <c r="J1443" i="21" s="1"/>
  <c r="I1444" i="21"/>
  <c r="J1444" i="21" s="1"/>
  <c r="I1445" i="21"/>
  <c r="J1445" i="21" s="1"/>
  <c r="I1446" i="21"/>
  <c r="J1446" i="21" s="1"/>
  <c r="I1447" i="21"/>
  <c r="J1447" i="21" s="1"/>
  <c r="I1448" i="21"/>
  <c r="J1448" i="21" s="1"/>
  <c r="I1449" i="21"/>
  <c r="J1449" i="21" s="1"/>
  <c r="I1450" i="21"/>
  <c r="J1450" i="21" s="1"/>
  <c r="I1451" i="21"/>
  <c r="J1451" i="21" s="1"/>
  <c r="I1452" i="21"/>
  <c r="J1452" i="21" s="1"/>
  <c r="I1453" i="21"/>
  <c r="J1453" i="21" s="1"/>
  <c r="I1454" i="21"/>
  <c r="J1454" i="21" s="1"/>
  <c r="I1455" i="21"/>
  <c r="J1455" i="21" s="1"/>
  <c r="I1456" i="21"/>
  <c r="J1456" i="21" s="1"/>
  <c r="I1457" i="21"/>
  <c r="J1457" i="21" s="1"/>
  <c r="I1458" i="21"/>
  <c r="J1458" i="21" s="1"/>
  <c r="I1459" i="21"/>
  <c r="J1459" i="21" s="1"/>
  <c r="I1460" i="21"/>
  <c r="J1460" i="21" s="1"/>
  <c r="I1461" i="21"/>
  <c r="J1461" i="21" s="1"/>
  <c r="I1462" i="21"/>
  <c r="J1462" i="21" s="1"/>
  <c r="I1463" i="21"/>
  <c r="J1463" i="21" s="1"/>
  <c r="I1464" i="21"/>
  <c r="J1464" i="21" s="1"/>
  <c r="I1465" i="21"/>
  <c r="J1465" i="21" s="1"/>
  <c r="I1466" i="21"/>
  <c r="J1466" i="21" s="1"/>
  <c r="I1467" i="21"/>
  <c r="J1467" i="21" s="1"/>
  <c r="I1468" i="21"/>
  <c r="J1468" i="21" s="1"/>
  <c r="I1469" i="21"/>
  <c r="J1469" i="21" s="1"/>
  <c r="I1470" i="21"/>
  <c r="J1470" i="21" s="1"/>
  <c r="I1471" i="21"/>
  <c r="J1471" i="21" s="1"/>
  <c r="I1472" i="21"/>
  <c r="J1472" i="21" s="1"/>
  <c r="I1473" i="21"/>
  <c r="J1473" i="21" s="1"/>
  <c r="I1474" i="21"/>
  <c r="J1474" i="21" s="1"/>
  <c r="I1475" i="21"/>
  <c r="J1475" i="21" s="1"/>
  <c r="I1476" i="21"/>
  <c r="J1476" i="21" s="1"/>
  <c r="I1477" i="21"/>
  <c r="J1477" i="21" s="1"/>
  <c r="I1478" i="21"/>
  <c r="J1478" i="21" s="1"/>
  <c r="I1479" i="21"/>
  <c r="J1479" i="21" s="1"/>
  <c r="I1480" i="21"/>
  <c r="J1480" i="21" s="1"/>
  <c r="I1481" i="21"/>
  <c r="J1481" i="21" s="1"/>
  <c r="I1482" i="21"/>
  <c r="J1482" i="21" s="1"/>
  <c r="I1483" i="21"/>
  <c r="J1483" i="21" s="1"/>
  <c r="I1484" i="21"/>
  <c r="J1484" i="21" s="1"/>
  <c r="I1485" i="21"/>
  <c r="J1485" i="21" s="1"/>
  <c r="I1486" i="21"/>
  <c r="J1486" i="21" s="1"/>
  <c r="I1487" i="21"/>
  <c r="J1487" i="21" s="1"/>
  <c r="I1488" i="21"/>
  <c r="J1488" i="21" s="1"/>
  <c r="I1489" i="21"/>
  <c r="J1489" i="21" s="1"/>
  <c r="I1490" i="21"/>
  <c r="J1490" i="21" s="1"/>
  <c r="I1491" i="21"/>
  <c r="J1491" i="21" s="1"/>
  <c r="I1492" i="21"/>
  <c r="J1492" i="21" s="1"/>
  <c r="I1493" i="21"/>
  <c r="J1493" i="21" s="1"/>
  <c r="I1494" i="21"/>
  <c r="J1494" i="21" s="1"/>
  <c r="I1495" i="21"/>
  <c r="J1495" i="21" s="1"/>
  <c r="I1496" i="21"/>
  <c r="J1496" i="21" s="1"/>
  <c r="I1497" i="21"/>
  <c r="J1497" i="21" s="1"/>
  <c r="I1498" i="21"/>
  <c r="J1498" i="21" s="1"/>
  <c r="I1499" i="21"/>
  <c r="J1499" i="21" s="1"/>
  <c r="I1500" i="21"/>
  <c r="J1500" i="21" s="1"/>
  <c r="I1501" i="21"/>
  <c r="J1501" i="21" s="1"/>
  <c r="I1502" i="21"/>
  <c r="J1502" i="21" s="1"/>
  <c r="I1503" i="21"/>
  <c r="J1503" i="21" s="1"/>
  <c r="I1504" i="21"/>
  <c r="J1504" i="21" s="1"/>
  <c r="I1505" i="21"/>
  <c r="J1505" i="21" s="1"/>
  <c r="I1506" i="21"/>
  <c r="J1506" i="21" s="1"/>
  <c r="I1507" i="21"/>
  <c r="J1507" i="21" s="1"/>
  <c r="I1508" i="21"/>
  <c r="J1508" i="21" s="1"/>
  <c r="I1509" i="21"/>
  <c r="J1509" i="21" s="1"/>
  <c r="I1510" i="21"/>
  <c r="I1511" i="21"/>
  <c r="J1511" i="21" s="1"/>
  <c r="I1512" i="21"/>
  <c r="J1512" i="21" s="1"/>
  <c r="I1513" i="21"/>
  <c r="J1513" i="21" s="1"/>
  <c r="I1514" i="21"/>
  <c r="J1514" i="21" s="1"/>
  <c r="I1515" i="21"/>
  <c r="J1515" i="21" s="1"/>
  <c r="I1516" i="21"/>
  <c r="J1516" i="21" s="1"/>
  <c r="I1517" i="21"/>
  <c r="J1517" i="21" s="1"/>
  <c r="I1518" i="21"/>
  <c r="J1518" i="21" s="1"/>
  <c r="I1519" i="21"/>
  <c r="J1519" i="21" s="1"/>
  <c r="I1520" i="21"/>
  <c r="J1520" i="21" s="1"/>
  <c r="I1521" i="21"/>
  <c r="J1521" i="21" s="1"/>
  <c r="I1522" i="21"/>
  <c r="J1522" i="21" s="1"/>
  <c r="I1523" i="21"/>
  <c r="J1523" i="21" s="1"/>
  <c r="I1524" i="21"/>
  <c r="J1524" i="21" s="1"/>
  <c r="I1525" i="21"/>
  <c r="J1525" i="21" s="1"/>
  <c r="I1526" i="21"/>
  <c r="J1526" i="21" s="1"/>
  <c r="I1527" i="21"/>
  <c r="J1527" i="21" s="1"/>
  <c r="I1528" i="21"/>
  <c r="J1528" i="21" s="1"/>
  <c r="I1529" i="21"/>
  <c r="J1529" i="21" s="1"/>
  <c r="I1530" i="21"/>
  <c r="J1530" i="21" s="1"/>
  <c r="I1531" i="21"/>
  <c r="J1531" i="21" s="1"/>
  <c r="I1532" i="21"/>
  <c r="J1532" i="21" s="1"/>
  <c r="I1533" i="21"/>
  <c r="J1533" i="21" s="1"/>
  <c r="I1534" i="21"/>
  <c r="J1534" i="21" s="1"/>
  <c r="I1535" i="21"/>
  <c r="J1535" i="21" s="1"/>
  <c r="I1536" i="21"/>
  <c r="J1536" i="21" s="1"/>
  <c r="I1537" i="21"/>
  <c r="J1537" i="21" s="1"/>
  <c r="I1538" i="21"/>
  <c r="J1538" i="21" s="1"/>
  <c r="I1539" i="21"/>
  <c r="J1539" i="21" s="1"/>
  <c r="I1540" i="21"/>
  <c r="J1540" i="21" s="1"/>
  <c r="I1541" i="21"/>
  <c r="J1541" i="21" s="1"/>
  <c r="I1542" i="21"/>
  <c r="J1542" i="21" s="1"/>
  <c r="I1543" i="21"/>
  <c r="J1543" i="21" s="1"/>
  <c r="I1544" i="21"/>
  <c r="J1544" i="21" s="1"/>
  <c r="I1545" i="21"/>
  <c r="J1545" i="21" s="1"/>
  <c r="I1546" i="21"/>
  <c r="J1546" i="21" s="1"/>
  <c r="I1547" i="21"/>
  <c r="J1547" i="21" s="1"/>
  <c r="I1548" i="21"/>
  <c r="J1548" i="21" s="1"/>
  <c r="I1549" i="21"/>
  <c r="J1549" i="21" s="1"/>
  <c r="I1550" i="21"/>
  <c r="J1550" i="21" s="1"/>
  <c r="I1551" i="21"/>
  <c r="J1551" i="21" s="1"/>
  <c r="I1552" i="21"/>
  <c r="J1552" i="21" s="1"/>
  <c r="I1553" i="21"/>
  <c r="J1553" i="21" s="1"/>
  <c r="I1554" i="21"/>
  <c r="J1554" i="21" s="1"/>
  <c r="I1555" i="21"/>
  <c r="J1555" i="21" s="1"/>
  <c r="I1556" i="21"/>
  <c r="J1556" i="21" s="1"/>
  <c r="I1557" i="21"/>
  <c r="J1557" i="21" s="1"/>
  <c r="I1558" i="21"/>
  <c r="J1558" i="21" s="1"/>
  <c r="I1559" i="21"/>
  <c r="J1559" i="21" s="1"/>
  <c r="I1560" i="21"/>
  <c r="J1560" i="21" s="1"/>
  <c r="I1561" i="21"/>
  <c r="J1561" i="21" s="1"/>
  <c r="I1562" i="21"/>
  <c r="J1562" i="21" s="1"/>
  <c r="I1563" i="21"/>
  <c r="J1563" i="21" s="1"/>
  <c r="I1564" i="21"/>
  <c r="J1564" i="21" s="1"/>
  <c r="I1565" i="21"/>
  <c r="J1565" i="21" s="1"/>
  <c r="I1566" i="21"/>
  <c r="J1566" i="21" s="1"/>
  <c r="I1567" i="21"/>
  <c r="J1567" i="21" s="1"/>
  <c r="I1568" i="21"/>
  <c r="J1568" i="21" s="1"/>
  <c r="I1569" i="21"/>
  <c r="J1569" i="21" s="1"/>
  <c r="I1570" i="21"/>
  <c r="J1570" i="21" s="1"/>
  <c r="I1571" i="21"/>
  <c r="J1571" i="21" s="1"/>
  <c r="I1572" i="21"/>
  <c r="J1572" i="21" s="1"/>
  <c r="I1573" i="21"/>
  <c r="J1573" i="21" s="1"/>
  <c r="I1574" i="21"/>
  <c r="J1574" i="21" s="1"/>
  <c r="I1575" i="21"/>
  <c r="J1575" i="21" s="1"/>
  <c r="I1576" i="21"/>
  <c r="J1576" i="21" s="1"/>
  <c r="I1577" i="21"/>
  <c r="J1577" i="21" s="1"/>
  <c r="I1578" i="21"/>
  <c r="J1578" i="21" s="1"/>
  <c r="I1579" i="21"/>
  <c r="J1579" i="21" s="1"/>
  <c r="I1580" i="21"/>
  <c r="J1580" i="21" s="1"/>
  <c r="I1581" i="21"/>
  <c r="J1581" i="21" s="1"/>
  <c r="I1582" i="21"/>
  <c r="J1582" i="21" s="1"/>
  <c r="I1583" i="21"/>
  <c r="J1583" i="21" s="1"/>
  <c r="I1584" i="21"/>
  <c r="J1584" i="21" s="1"/>
  <c r="I1585" i="21"/>
  <c r="J1585" i="21" s="1"/>
  <c r="I1586" i="21"/>
  <c r="J1586" i="21" s="1"/>
  <c r="I1587" i="21"/>
  <c r="J1587" i="21" s="1"/>
  <c r="I1588" i="21"/>
  <c r="J1588" i="21" s="1"/>
  <c r="I1589" i="21"/>
  <c r="J1589" i="21" s="1"/>
  <c r="I1590" i="21"/>
  <c r="J1590" i="21" s="1"/>
  <c r="I1591" i="21"/>
  <c r="J1591" i="21" s="1"/>
  <c r="I1592" i="21"/>
  <c r="J1592" i="21" s="1"/>
  <c r="I1593" i="21"/>
  <c r="J1593" i="21" s="1"/>
  <c r="I1594" i="21"/>
  <c r="J1594" i="21" s="1"/>
  <c r="I1595" i="21"/>
  <c r="J1595" i="21" s="1"/>
  <c r="I1596" i="21"/>
  <c r="J1596" i="21" s="1"/>
  <c r="I1597" i="21"/>
  <c r="J1597" i="21" s="1"/>
  <c r="I1598" i="21"/>
  <c r="J1598" i="21" s="1"/>
  <c r="I1599" i="21"/>
  <c r="J1599" i="21" s="1"/>
  <c r="I1600" i="21"/>
  <c r="J1600" i="21" s="1"/>
  <c r="I1601" i="21"/>
  <c r="J1601" i="21" s="1"/>
  <c r="I1602" i="21"/>
  <c r="J1602" i="21" s="1"/>
  <c r="I1603" i="21"/>
  <c r="J1603" i="21" s="1"/>
  <c r="I1604" i="21"/>
  <c r="J1604" i="21" s="1"/>
  <c r="I1605" i="21"/>
  <c r="J1605" i="21" s="1"/>
  <c r="I1606" i="21"/>
  <c r="J1606" i="21" s="1"/>
  <c r="I1607" i="21"/>
  <c r="J1607" i="21" s="1"/>
  <c r="I1608" i="21"/>
  <c r="J1608" i="21" s="1"/>
  <c r="I1609" i="21"/>
  <c r="J1609" i="21" s="1"/>
  <c r="I1610" i="21"/>
  <c r="J1610" i="21" s="1"/>
  <c r="I1611" i="21"/>
  <c r="J1611" i="21" s="1"/>
  <c r="I1612" i="21"/>
  <c r="J1612" i="21" s="1"/>
  <c r="I1613" i="21"/>
  <c r="J1613" i="21" s="1"/>
  <c r="I1614" i="21"/>
  <c r="J1614" i="21" s="1"/>
  <c r="I1615" i="21"/>
  <c r="J1615" i="21" s="1"/>
  <c r="I1616" i="21"/>
  <c r="J1616" i="21" s="1"/>
  <c r="I1617" i="21"/>
  <c r="J1617" i="21" s="1"/>
  <c r="I1618" i="21"/>
  <c r="J1618" i="21" s="1"/>
  <c r="I1619" i="21"/>
  <c r="J1619" i="21" s="1"/>
  <c r="I1620" i="21"/>
  <c r="J1620" i="21" s="1"/>
  <c r="I1621" i="21"/>
  <c r="J1621" i="21" s="1"/>
  <c r="I1622" i="21"/>
  <c r="J1622" i="21" s="1"/>
  <c r="I1623" i="21"/>
  <c r="J1623" i="21" s="1"/>
  <c r="I1624" i="21"/>
  <c r="J1624" i="21" s="1"/>
  <c r="I1625" i="21"/>
  <c r="J1625" i="21" s="1"/>
  <c r="I1626" i="21"/>
  <c r="J1626" i="21" s="1"/>
  <c r="I1627" i="21"/>
  <c r="J1627" i="21" s="1"/>
  <c r="I1628" i="21"/>
  <c r="J1628" i="21" s="1"/>
  <c r="I1629" i="21"/>
  <c r="J1629" i="21" s="1"/>
  <c r="I1630" i="21"/>
  <c r="J1630" i="21" s="1"/>
  <c r="I1631" i="21"/>
  <c r="J1631" i="21" s="1"/>
  <c r="I1632" i="21"/>
  <c r="J1632" i="21" s="1"/>
  <c r="I1633" i="21"/>
  <c r="J1633" i="21" s="1"/>
  <c r="I1634" i="21"/>
  <c r="J1634" i="21" s="1"/>
  <c r="I1635" i="21"/>
  <c r="J1635" i="21" s="1"/>
  <c r="I1636" i="21"/>
  <c r="J1636" i="21" s="1"/>
  <c r="I1637" i="21"/>
  <c r="J1637" i="21" s="1"/>
  <c r="I1638" i="21"/>
  <c r="J1638" i="21" s="1"/>
  <c r="I1639" i="21"/>
  <c r="J1639" i="21" s="1"/>
  <c r="I1640" i="21"/>
  <c r="J1640" i="21" s="1"/>
  <c r="I1641" i="21"/>
  <c r="J1641" i="21" s="1"/>
  <c r="I1642" i="21"/>
  <c r="J1642" i="21" s="1"/>
  <c r="I1643" i="21"/>
  <c r="J1643" i="21" s="1"/>
  <c r="I1644" i="21"/>
  <c r="J1644" i="21" s="1"/>
  <c r="I1645" i="21"/>
  <c r="J1645" i="21" s="1"/>
  <c r="I1646" i="21"/>
  <c r="J1646" i="21" s="1"/>
  <c r="I1647" i="21"/>
  <c r="J1647" i="21" s="1"/>
  <c r="I1648" i="21"/>
  <c r="J1648" i="21" s="1"/>
  <c r="I1649" i="21"/>
  <c r="J1649" i="21" s="1"/>
  <c r="I1650" i="21"/>
  <c r="J1650" i="21" s="1"/>
  <c r="I1651" i="21"/>
  <c r="J1651" i="21" s="1"/>
  <c r="I1652" i="21"/>
  <c r="J1652" i="21" s="1"/>
  <c r="I1653" i="21"/>
  <c r="J1653" i="21" s="1"/>
  <c r="I1654" i="21"/>
  <c r="J1654" i="21" s="1"/>
  <c r="I1655" i="21"/>
  <c r="J1655" i="21" s="1"/>
  <c r="I1656" i="21"/>
  <c r="J1656" i="21" s="1"/>
  <c r="I1657" i="21"/>
  <c r="J1657" i="21" s="1"/>
  <c r="I1658" i="21"/>
  <c r="J1658" i="21" s="1"/>
  <c r="I1659" i="21"/>
  <c r="J1659" i="21" s="1"/>
  <c r="I1660" i="21"/>
  <c r="J1660" i="21" s="1"/>
  <c r="I1661" i="21"/>
  <c r="J1661" i="21" s="1"/>
  <c r="I1662" i="21"/>
  <c r="J1662" i="21" s="1"/>
  <c r="I1663" i="21"/>
  <c r="J1663" i="21" s="1"/>
  <c r="I1664" i="21"/>
  <c r="J1664" i="21" s="1"/>
  <c r="I1665" i="21"/>
  <c r="J1665" i="21" s="1"/>
  <c r="I1382" i="21"/>
  <c r="J1382" i="21" s="1"/>
  <c r="N1572" i="19"/>
  <c r="N1533" i="19"/>
  <c r="N1491" i="19"/>
  <c r="N1617" i="19"/>
  <c r="N1542" i="19"/>
  <c r="N1506" i="19"/>
  <c r="N1492" i="19"/>
  <c r="N1555" i="19"/>
  <c r="N1556" i="19"/>
  <c r="N1507" i="19"/>
  <c r="N1502" i="19"/>
  <c r="N1508" i="19"/>
  <c r="N1503" i="19"/>
  <c r="N1504" i="19"/>
  <c r="N1505" i="19"/>
  <c r="N1509" i="19"/>
  <c r="N1510" i="19"/>
  <c r="N1493" i="19"/>
  <c r="N1494" i="19"/>
  <c r="N1511" i="19"/>
  <c r="N1512" i="19"/>
  <c r="N1513" i="19"/>
  <c r="N1521" i="19"/>
  <c r="N1528" i="19"/>
  <c r="N1529" i="19"/>
  <c r="N1524" i="19"/>
  <c r="N1522" i="19"/>
  <c r="N1540" i="19"/>
  <c r="N1541" i="19"/>
  <c r="N1523" i="19"/>
  <c r="N1526" i="19"/>
  <c r="N1527" i="19"/>
  <c r="N1525" i="19"/>
  <c r="N1558" i="19"/>
  <c r="N1532" i="19"/>
  <c r="N1543" i="19"/>
  <c r="N1544" i="19"/>
  <c r="N1536" i="19"/>
  <c r="N1537" i="19"/>
  <c r="N1530" i="19"/>
  <c r="N1531" i="19"/>
  <c r="N1534" i="19"/>
  <c r="N1535" i="19"/>
  <c r="N1539" i="19"/>
  <c r="N1545" i="19"/>
  <c r="N1546" i="19"/>
  <c r="N1538" i="19"/>
  <c r="N1582" i="19"/>
  <c r="N1548" i="19"/>
  <c r="N1547" i="19"/>
  <c r="N1549" i="19"/>
  <c r="N1550" i="19"/>
  <c r="N1608" i="19"/>
  <c r="N1559" i="19"/>
  <c r="N1551" i="19"/>
  <c r="N1552" i="19"/>
  <c r="N1553" i="19"/>
  <c r="N1557" i="19"/>
  <c r="N1569" i="19"/>
  <c r="N1563" i="19"/>
  <c r="N1564" i="19"/>
  <c r="N1554" i="19"/>
  <c r="N1576" i="19"/>
  <c r="N1580" i="19"/>
  <c r="N1581" i="19"/>
  <c r="N1592" i="19"/>
  <c r="N1561" i="19"/>
  <c r="N1562" i="19"/>
  <c r="N1565" i="19"/>
  <c r="N1560" i="19"/>
  <c r="N1600" i="19"/>
  <c r="N1601" i="19"/>
  <c r="N1602" i="19"/>
  <c r="N1567" i="19"/>
  <c r="N1568" i="19"/>
  <c r="N1575" i="19"/>
  <c r="N1570" i="19"/>
  <c r="N1571" i="19"/>
  <c r="N1573" i="19"/>
  <c r="N1578" i="19"/>
  <c r="N1566" i="19"/>
  <c r="N1574" i="19"/>
  <c r="N1598" i="19"/>
  <c r="N1599" i="19"/>
  <c r="N1584" i="19"/>
  <c r="N1609" i="19"/>
  <c r="N1593" i="19"/>
  <c r="N1594" i="19"/>
  <c r="N1595" i="19"/>
  <c r="N1579" i="19"/>
  <c r="N1588" i="19"/>
  <c r="N1585" i="19"/>
  <c r="N1589" i="19"/>
  <c r="N1590" i="19"/>
  <c r="N1583" i="19"/>
  <c r="N1591" i="19"/>
  <c r="N1577" i="19"/>
  <c r="N1586" i="19"/>
  <c r="N1587" i="19"/>
  <c r="N1596" i="19"/>
  <c r="N1597" i="19"/>
  <c r="N1603" i="19"/>
  <c r="N1604" i="19"/>
  <c r="N1605" i="19"/>
  <c r="N1606" i="19"/>
  <c r="N1616" i="19"/>
  <c r="N1607" i="19"/>
  <c r="N1610" i="19"/>
  <c r="N1613" i="19"/>
  <c r="N1611" i="19"/>
  <c r="N1612" i="19"/>
  <c r="N1614" i="19"/>
  <c r="N1615" i="19"/>
  <c r="N1618" i="19"/>
  <c r="N1619" i="19"/>
  <c r="N1620" i="19"/>
  <c r="N1621" i="19"/>
  <c r="N1629" i="19"/>
  <c r="N1630" i="19"/>
  <c r="N1631" i="19"/>
  <c r="N1655" i="19"/>
  <c r="N1656" i="19"/>
  <c r="N1636" i="19"/>
  <c r="N1637" i="19"/>
  <c r="N1638" i="19"/>
  <c r="N1634" i="19"/>
  <c r="N1635" i="19"/>
  <c r="N1632" i="19"/>
  <c r="N1633" i="19"/>
  <c r="N1640" i="19"/>
  <c r="N1641" i="19"/>
  <c r="N1639" i="19"/>
  <c r="N1644" i="19"/>
  <c r="N1645" i="19"/>
  <c r="N1642" i="19"/>
  <c r="N1643" i="19"/>
  <c r="N1646" i="19"/>
  <c r="N1647" i="19"/>
  <c r="N1650" i="19"/>
  <c r="N1653" i="19"/>
  <c r="N1654" i="19"/>
  <c r="N1648" i="19"/>
  <c r="N1649" i="19"/>
  <c r="N1651" i="19"/>
  <c r="N1652" i="19"/>
  <c r="N1659" i="19"/>
  <c r="N1660" i="19"/>
  <c r="N1657" i="19"/>
  <c r="N1658" i="19"/>
  <c r="N1661" i="19"/>
  <c r="N1662" i="19"/>
  <c r="N1663" i="19"/>
  <c r="N1664" i="19"/>
  <c r="N1665" i="19"/>
  <c r="N1666" i="19"/>
  <c r="N1667" i="19"/>
  <c r="N1668" i="19"/>
  <c r="N1670" i="19"/>
  <c r="N1671" i="19"/>
  <c r="N1672" i="19"/>
  <c r="N1673" i="19"/>
  <c r="N1669" i="19"/>
  <c r="N1676" i="19"/>
  <c r="N1674" i="19"/>
  <c r="N1675" i="19"/>
  <c r="N1677" i="19"/>
  <c r="N1678" i="19"/>
  <c r="N1679" i="19"/>
  <c r="N1680" i="19"/>
  <c r="N1681" i="19"/>
  <c r="N1682" i="19"/>
  <c r="N1689" i="19"/>
  <c r="N1690" i="19"/>
  <c r="N1686" i="19"/>
  <c r="N1687" i="19"/>
  <c r="N1688" i="19"/>
  <c r="N1737" i="19"/>
  <c r="N1691" i="19"/>
  <c r="N1692" i="19"/>
  <c r="N1693" i="19"/>
  <c r="N1694" i="19"/>
  <c r="N1695" i="19"/>
  <c r="N1732" i="19"/>
  <c r="N1704" i="19"/>
  <c r="N1705" i="19"/>
  <c r="N1696" i="19"/>
  <c r="N1699" i="19"/>
  <c r="N1700" i="19"/>
  <c r="N1701" i="19"/>
  <c r="N1702" i="19"/>
  <c r="N1697" i="19"/>
  <c r="N1698" i="19"/>
  <c r="N1703" i="19"/>
  <c r="N1710" i="19"/>
  <c r="N1708" i="19"/>
  <c r="N1709" i="19"/>
  <c r="N1706" i="19"/>
  <c r="N1707" i="19"/>
  <c r="N1751" i="19"/>
  <c r="N1717" i="19"/>
  <c r="N1718" i="19"/>
  <c r="N1726" i="19"/>
  <c r="N1713" i="19"/>
  <c r="N1714" i="19"/>
  <c r="N1719" i="19"/>
  <c r="N1740" i="19"/>
  <c r="N1741" i="19"/>
  <c r="N1733" i="19"/>
  <c r="N1729" i="19"/>
  <c r="N1724" i="19"/>
  <c r="N1715" i="19"/>
  <c r="N1716" i="19"/>
  <c r="N1723" i="19"/>
  <c r="N1731" i="19"/>
  <c r="N1720" i="19"/>
  <c r="N1721" i="19"/>
  <c r="N1722" i="19"/>
  <c r="N1725" i="19"/>
  <c r="N1734" i="19"/>
  <c r="N1735" i="19"/>
  <c r="N1736" i="19"/>
  <c r="N1727" i="19"/>
  <c r="N1728" i="19"/>
  <c r="N1770" i="19"/>
  <c r="N1771" i="19"/>
  <c r="N1730" i="19"/>
  <c r="N1752" i="19"/>
  <c r="N1758" i="19"/>
  <c r="N1759" i="19"/>
  <c r="N1738" i="19"/>
  <c r="N1739" i="19"/>
  <c r="N1742" i="19"/>
  <c r="N1743" i="19"/>
  <c r="N1744" i="19"/>
  <c r="N1746" i="19"/>
  <c r="N1712" i="19"/>
  <c r="N1745" i="19"/>
  <c r="N1754" i="19"/>
  <c r="N1755" i="19"/>
  <c r="N1747" i="19"/>
  <c r="N1748" i="19"/>
  <c r="N1756" i="19"/>
  <c r="N1757" i="19"/>
  <c r="N1749" i="19"/>
  <c r="N1750" i="19"/>
  <c r="N1763" i="19"/>
  <c r="N1764" i="19"/>
  <c r="N1773" i="19"/>
  <c r="N1774" i="19"/>
  <c r="N1760" i="19"/>
  <c r="N1761" i="19"/>
  <c r="N1762" i="19"/>
  <c r="N1775" i="19"/>
  <c r="N1776" i="19"/>
  <c r="N1765" i="19"/>
  <c r="N1766" i="19"/>
  <c r="N1767" i="19"/>
  <c r="N1768" i="19"/>
  <c r="N1769" i="19"/>
  <c r="N1772" i="19"/>
  <c r="N1777" i="19"/>
  <c r="N1778" i="19"/>
  <c r="N1779" i="19"/>
  <c r="N1780" i="19"/>
  <c r="N1781" i="19"/>
  <c r="N1782" i="19"/>
  <c r="N1783" i="19"/>
  <c r="N1784" i="19"/>
  <c r="N1785" i="19"/>
  <c r="N1753" i="19"/>
  <c r="N1786" i="19"/>
  <c r="N1787" i="19"/>
  <c r="N1788" i="19"/>
  <c r="N1789" i="19"/>
  <c r="N1790" i="19"/>
  <c r="N1791" i="19"/>
  <c r="N1792" i="19"/>
  <c r="N1793" i="19"/>
  <c r="N1794" i="19"/>
  <c r="N1796" i="19"/>
  <c r="N1797" i="19"/>
  <c r="N1798" i="19"/>
  <c r="N1795" i="19"/>
  <c r="N1799" i="19"/>
  <c r="O1572" i="19"/>
  <c r="O1533" i="19"/>
  <c r="O1491" i="19"/>
  <c r="O1617" i="19"/>
  <c r="O1542" i="19"/>
  <c r="O1506" i="19"/>
  <c r="O1492" i="19"/>
  <c r="O1555" i="19"/>
  <c r="O1556" i="19"/>
  <c r="O1507" i="19"/>
  <c r="O1502" i="19"/>
  <c r="O1508" i="19"/>
  <c r="O1503" i="19"/>
  <c r="O1504" i="19"/>
  <c r="O1505" i="19"/>
  <c r="O1509" i="19"/>
  <c r="O1510" i="19"/>
  <c r="O1493" i="19"/>
  <c r="O1494" i="19"/>
  <c r="O1511" i="19"/>
  <c r="O1512" i="19"/>
  <c r="O1513" i="19"/>
  <c r="O1521" i="19"/>
  <c r="O1528" i="19"/>
  <c r="O1529" i="19"/>
  <c r="O1524" i="19"/>
  <c r="O1522" i="19"/>
  <c r="O1540" i="19"/>
  <c r="O1541" i="19"/>
  <c r="O1523" i="19"/>
  <c r="O1526" i="19"/>
  <c r="O1527" i="19"/>
  <c r="O1525" i="19"/>
  <c r="O1558" i="19"/>
  <c r="O1532" i="19"/>
  <c r="O1543" i="19"/>
  <c r="O1544" i="19"/>
  <c r="O1536" i="19"/>
  <c r="O1537" i="19"/>
  <c r="O1530" i="19"/>
  <c r="O1531" i="19"/>
  <c r="O1534" i="19"/>
  <c r="O1535" i="19"/>
  <c r="O1539" i="19"/>
  <c r="O1545" i="19"/>
  <c r="O1546" i="19"/>
  <c r="O1538" i="19"/>
  <c r="O1582" i="19"/>
  <c r="O1548" i="19"/>
  <c r="O1547" i="19"/>
  <c r="O1549" i="19"/>
  <c r="O1550" i="19"/>
  <c r="O1608" i="19"/>
  <c r="O1559" i="19"/>
  <c r="O1551" i="19"/>
  <c r="O1552" i="19"/>
  <c r="O1553" i="19"/>
  <c r="O1557" i="19"/>
  <c r="O1569" i="19"/>
  <c r="O1563" i="19"/>
  <c r="O1564" i="19"/>
  <c r="O1554" i="19"/>
  <c r="O1576" i="19"/>
  <c r="O1580" i="19"/>
  <c r="O1581" i="19"/>
  <c r="O1592" i="19"/>
  <c r="O1561" i="19"/>
  <c r="O1562" i="19"/>
  <c r="O1565" i="19"/>
  <c r="O1560" i="19"/>
  <c r="O1600" i="19"/>
  <c r="O1601" i="19"/>
  <c r="O1602" i="19"/>
  <c r="O1567" i="19"/>
  <c r="O1568" i="19"/>
  <c r="O1575" i="19"/>
  <c r="O1570" i="19"/>
  <c r="O1571" i="19"/>
  <c r="O1573" i="19"/>
  <c r="O1578" i="19"/>
  <c r="O1566" i="19"/>
  <c r="O1574" i="19"/>
  <c r="O1598" i="19"/>
  <c r="O1599" i="19"/>
  <c r="O1584" i="19"/>
  <c r="O1609" i="19"/>
  <c r="O1593" i="19"/>
  <c r="O1594" i="19"/>
  <c r="O1595" i="19"/>
  <c r="O1579" i="19"/>
  <c r="O1588" i="19"/>
  <c r="O1585" i="19"/>
  <c r="O1589" i="19"/>
  <c r="O1590" i="19"/>
  <c r="O1583" i="19"/>
  <c r="O1591" i="19"/>
  <c r="O1577" i="19"/>
  <c r="O1586" i="19"/>
  <c r="O1587" i="19"/>
  <c r="O1596" i="19"/>
  <c r="O1597" i="19"/>
  <c r="O1603" i="19"/>
  <c r="O1604" i="19"/>
  <c r="O1605" i="19"/>
  <c r="O1606" i="19"/>
  <c r="O1616" i="19"/>
  <c r="O1607" i="19"/>
  <c r="O1610" i="19"/>
  <c r="O1613" i="19"/>
  <c r="O1611" i="19"/>
  <c r="O1612" i="19"/>
  <c r="O1614" i="19"/>
  <c r="O1615" i="19"/>
  <c r="O1618" i="19"/>
  <c r="O1619" i="19"/>
  <c r="O1620" i="19"/>
  <c r="O1621" i="19"/>
  <c r="O1629" i="19"/>
  <c r="O1630" i="19"/>
  <c r="O1631" i="19"/>
  <c r="O1655" i="19"/>
  <c r="O1656" i="19"/>
  <c r="O1636" i="19"/>
  <c r="O1637" i="19"/>
  <c r="O1638" i="19"/>
  <c r="O1634" i="19"/>
  <c r="O1635" i="19"/>
  <c r="O1632" i="19"/>
  <c r="O1633" i="19"/>
  <c r="O1640" i="19"/>
  <c r="O1641" i="19"/>
  <c r="O1639" i="19"/>
  <c r="O1644" i="19"/>
  <c r="O1645" i="19"/>
  <c r="O1642" i="19"/>
  <c r="O1643" i="19"/>
  <c r="O1646" i="19"/>
  <c r="O1647" i="19"/>
  <c r="O1650" i="19"/>
  <c r="O1653" i="19"/>
  <c r="O1654" i="19"/>
  <c r="O1648" i="19"/>
  <c r="O1649" i="19"/>
  <c r="O1651" i="19"/>
  <c r="O1652" i="19"/>
  <c r="O1659" i="19"/>
  <c r="O1660" i="19"/>
  <c r="O1657" i="19"/>
  <c r="O1658" i="19"/>
  <c r="O1661" i="19"/>
  <c r="O1662" i="19"/>
  <c r="O1663" i="19"/>
  <c r="O1664" i="19"/>
  <c r="O1665" i="19"/>
  <c r="O1666" i="19"/>
  <c r="O1667" i="19"/>
  <c r="O1668" i="19"/>
  <c r="O1670" i="19"/>
  <c r="O1671" i="19"/>
  <c r="O1672" i="19"/>
  <c r="O1673" i="19"/>
  <c r="O1669" i="19"/>
  <c r="O1676" i="19"/>
  <c r="O1674" i="19"/>
  <c r="O1675" i="19"/>
  <c r="O1677" i="19"/>
  <c r="O1678" i="19"/>
  <c r="O1679" i="19"/>
  <c r="O1680" i="19"/>
  <c r="O1681" i="19"/>
  <c r="O1682" i="19"/>
  <c r="O1689" i="19"/>
  <c r="O1690" i="19"/>
  <c r="O1686" i="19"/>
  <c r="O1687" i="19"/>
  <c r="O1688" i="19"/>
  <c r="O1737" i="19"/>
  <c r="O1691" i="19"/>
  <c r="O1692" i="19"/>
  <c r="O1693" i="19"/>
  <c r="O1694" i="19"/>
  <c r="O1695" i="19"/>
  <c r="O1732" i="19"/>
  <c r="O1704" i="19"/>
  <c r="O1705" i="19"/>
  <c r="O1696" i="19"/>
  <c r="O1699" i="19"/>
  <c r="O1700" i="19"/>
  <c r="O1701" i="19"/>
  <c r="O1702" i="19"/>
  <c r="O1697" i="19"/>
  <c r="O1698" i="19"/>
  <c r="O1703" i="19"/>
  <c r="O1710" i="19"/>
  <c r="O1708" i="19"/>
  <c r="O1709" i="19"/>
  <c r="O1706" i="19"/>
  <c r="O1707" i="19"/>
  <c r="O1751" i="19"/>
  <c r="O1717" i="19"/>
  <c r="O1718" i="19"/>
  <c r="O1726" i="19"/>
  <c r="O1713" i="19"/>
  <c r="O1714" i="19"/>
  <c r="O1719" i="19"/>
  <c r="O1740" i="19"/>
  <c r="O1741" i="19"/>
  <c r="O1733" i="19"/>
  <c r="O1729" i="19"/>
  <c r="O1724" i="19"/>
  <c r="O1715" i="19"/>
  <c r="O1716" i="19"/>
  <c r="O1723" i="19"/>
  <c r="O1731" i="19"/>
  <c r="O1720" i="19"/>
  <c r="O1721" i="19"/>
  <c r="O1722" i="19"/>
  <c r="O1725" i="19"/>
  <c r="O1734" i="19"/>
  <c r="O1735" i="19"/>
  <c r="O1736" i="19"/>
  <c r="O1727" i="19"/>
  <c r="O1728" i="19"/>
  <c r="O1770" i="19"/>
  <c r="O1771" i="19"/>
  <c r="O1730" i="19"/>
  <c r="O1752" i="19"/>
  <c r="O1758" i="19"/>
  <c r="O1759" i="19"/>
  <c r="O1738" i="19"/>
  <c r="O1739" i="19"/>
  <c r="O1742" i="19"/>
  <c r="O1743" i="19"/>
  <c r="O1744" i="19"/>
  <c r="O1746" i="19"/>
  <c r="O1712" i="19"/>
  <c r="O1745" i="19"/>
  <c r="O1754" i="19"/>
  <c r="O1755" i="19"/>
  <c r="O1747" i="19"/>
  <c r="O1748" i="19"/>
  <c r="O1756" i="19"/>
  <c r="O1757" i="19"/>
  <c r="O1749" i="19"/>
  <c r="O1750" i="19"/>
  <c r="O1763" i="19"/>
  <c r="O1764" i="19"/>
  <c r="O1773" i="19"/>
  <c r="O1774" i="19"/>
  <c r="O1760" i="19"/>
  <c r="O1761" i="19"/>
  <c r="O1762" i="19"/>
  <c r="O1775" i="19"/>
  <c r="O1776" i="19"/>
  <c r="O1765" i="19"/>
  <c r="O1766" i="19"/>
  <c r="O1767" i="19"/>
  <c r="O1768" i="19"/>
  <c r="O1769" i="19"/>
  <c r="O1772" i="19"/>
  <c r="O1777" i="19"/>
  <c r="O1778" i="19"/>
  <c r="O1779" i="19"/>
  <c r="O1780" i="19"/>
  <c r="O1781" i="19"/>
  <c r="O1782" i="19"/>
  <c r="O1783" i="19"/>
  <c r="O1784" i="19"/>
  <c r="O1785" i="19"/>
  <c r="O1753" i="19"/>
  <c r="O1786" i="19"/>
  <c r="O1787" i="19"/>
  <c r="O1788" i="19"/>
  <c r="O1789" i="19"/>
  <c r="O1790" i="19"/>
  <c r="O1791" i="19"/>
  <c r="O1792" i="19"/>
  <c r="O1793" i="19"/>
  <c r="O1794" i="19"/>
  <c r="O1796" i="19"/>
  <c r="O1797" i="19"/>
  <c r="O1798" i="19"/>
  <c r="O1795" i="19"/>
  <c r="O1799" i="19"/>
  <c r="P1572" i="19"/>
  <c r="P1533" i="19"/>
  <c r="P1491" i="19"/>
  <c r="P1617" i="19"/>
  <c r="P1542" i="19"/>
  <c r="P1506" i="19"/>
  <c r="P1492" i="19"/>
  <c r="P1555" i="19"/>
  <c r="P1556" i="19"/>
  <c r="P1507" i="19"/>
  <c r="P1502" i="19"/>
  <c r="P1508" i="19"/>
  <c r="P1503" i="19"/>
  <c r="P1504" i="19"/>
  <c r="P1505" i="19"/>
  <c r="P1509" i="19"/>
  <c r="P1510" i="19"/>
  <c r="P1493" i="19"/>
  <c r="P1494" i="19"/>
  <c r="P1511" i="19"/>
  <c r="P1512" i="19"/>
  <c r="P1513" i="19"/>
  <c r="P1521" i="19"/>
  <c r="P1528" i="19"/>
  <c r="P1529" i="19"/>
  <c r="P1524" i="19"/>
  <c r="P1522" i="19"/>
  <c r="P1540" i="19"/>
  <c r="P1541" i="19"/>
  <c r="P1523" i="19"/>
  <c r="P1526" i="19"/>
  <c r="P1527" i="19"/>
  <c r="P1525" i="19"/>
  <c r="P1558" i="19"/>
  <c r="P1532" i="19"/>
  <c r="P1543" i="19"/>
  <c r="P1544" i="19"/>
  <c r="P1536" i="19"/>
  <c r="P1537" i="19"/>
  <c r="P1530" i="19"/>
  <c r="P1531" i="19"/>
  <c r="P1534" i="19"/>
  <c r="P1535" i="19"/>
  <c r="P1539" i="19"/>
  <c r="P1545" i="19"/>
  <c r="P1546" i="19"/>
  <c r="P1538" i="19"/>
  <c r="P1582" i="19"/>
  <c r="P1548" i="19"/>
  <c r="P1547" i="19"/>
  <c r="P1549" i="19"/>
  <c r="P1550" i="19"/>
  <c r="P1608" i="19"/>
  <c r="P1559" i="19"/>
  <c r="P1551" i="19"/>
  <c r="P1552" i="19"/>
  <c r="P1553" i="19"/>
  <c r="P1557" i="19"/>
  <c r="P1569" i="19"/>
  <c r="P1563" i="19"/>
  <c r="P1564" i="19"/>
  <c r="P1554" i="19"/>
  <c r="P1576" i="19"/>
  <c r="P1580" i="19"/>
  <c r="P1581" i="19"/>
  <c r="P1592" i="19"/>
  <c r="P1561" i="19"/>
  <c r="P1562" i="19"/>
  <c r="P1565" i="19"/>
  <c r="P1560" i="19"/>
  <c r="P1600" i="19"/>
  <c r="P1601" i="19"/>
  <c r="P1602" i="19"/>
  <c r="P1567" i="19"/>
  <c r="P1568" i="19"/>
  <c r="P1575" i="19"/>
  <c r="P1570" i="19"/>
  <c r="P1571" i="19"/>
  <c r="P1573" i="19"/>
  <c r="P1578" i="19"/>
  <c r="P1566" i="19"/>
  <c r="P1574" i="19"/>
  <c r="P1598" i="19"/>
  <c r="P1599" i="19"/>
  <c r="P1584" i="19"/>
  <c r="P1609" i="19"/>
  <c r="P1593" i="19"/>
  <c r="P1594" i="19"/>
  <c r="P1595" i="19"/>
  <c r="P1579" i="19"/>
  <c r="P1588" i="19"/>
  <c r="P1585" i="19"/>
  <c r="P1589" i="19"/>
  <c r="P1590" i="19"/>
  <c r="P1583" i="19"/>
  <c r="P1591" i="19"/>
  <c r="P1577" i="19"/>
  <c r="P1586" i="19"/>
  <c r="P1587" i="19"/>
  <c r="P1596" i="19"/>
  <c r="P1597" i="19"/>
  <c r="P1603" i="19"/>
  <c r="P1604" i="19"/>
  <c r="P1605" i="19"/>
  <c r="P1606" i="19"/>
  <c r="P1616" i="19"/>
  <c r="P1607" i="19"/>
  <c r="P1610" i="19"/>
  <c r="P1613" i="19"/>
  <c r="P1611" i="19"/>
  <c r="P1612" i="19"/>
  <c r="P1614" i="19"/>
  <c r="P1615" i="19"/>
  <c r="P1618" i="19"/>
  <c r="P1619" i="19"/>
  <c r="P1620" i="19"/>
  <c r="P1621" i="19"/>
  <c r="P1629" i="19"/>
  <c r="P1630" i="19"/>
  <c r="P1631" i="19"/>
  <c r="P1655" i="19"/>
  <c r="P1656" i="19"/>
  <c r="P1636" i="19"/>
  <c r="P1637" i="19"/>
  <c r="P1638" i="19"/>
  <c r="P1634" i="19"/>
  <c r="P1635" i="19"/>
  <c r="P1632" i="19"/>
  <c r="P1633" i="19"/>
  <c r="P1640" i="19"/>
  <c r="P1641" i="19"/>
  <c r="P1639" i="19"/>
  <c r="P1644" i="19"/>
  <c r="P1645" i="19"/>
  <c r="P1642" i="19"/>
  <c r="P1643" i="19"/>
  <c r="P1646" i="19"/>
  <c r="P1647" i="19"/>
  <c r="P1650" i="19"/>
  <c r="P1653" i="19"/>
  <c r="P1654" i="19"/>
  <c r="P1648" i="19"/>
  <c r="P1649" i="19"/>
  <c r="P1651" i="19"/>
  <c r="P1652" i="19"/>
  <c r="P1659" i="19"/>
  <c r="P1660" i="19"/>
  <c r="P1657" i="19"/>
  <c r="P1658" i="19"/>
  <c r="P1661" i="19"/>
  <c r="P1662" i="19"/>
  <c r="P1663" i="19"/>
  <c r="P1664" i="19"/>
  <c r="P1665" i="19"/>
  <c r="P1666" i="19"/>
  <c r="P1667" i="19"/>
  <c r="P1668" i="19"/>
  <c r="P1670" i="19"/>
  <c r="P1671" i="19"/>
  <c r="P1672" i="19"/>
  <c r="P1673" i="19"/>
  <c r="P1669" i="19"/>
  <c r="P1676" i="19"/>
  <c r="P1674" i="19"/>
  <c r="P1675" i="19"/>
  <c r="P1677" i="19"/>
  <c r="P1678" i="19"/>
  <c r="P1679" i="19"/>
  <c r="P1680" i="19"/>
  <c r="P1681" i="19"/>
  <c r="P1682" i="19"/>
  <c r="P1689" i="19"/>
  <c r="P1690" i="19"/>
  <c r="P1686" i="19"/>
  <c r="P1687" i="19"/>
  <c r="P1688" i="19"/>
  <c r="P1737" i="19"/>
  <c r="P1691" i="19"/>
  <c r="P1692" i="19"/>
  <c r="P1693" i="19"/>
  <c r="P1694" i="19"/>
  <c r="P1695" i="19"/>
  <c r="P1732" i="19"/>
  <c r="P1704" i="19"/>
  <c r="P1705" i="19"/>
  <c r="P1696" i="19"/>
  <c r="P1699" i="19"/>
  <c r="P1700" i="19"/>
  <c r="P1701" i="19"/>
  <c r="P1702" i="19"/>
  <c r="P1697" i="19"/>
  <c r="P1698" i="19"/>
  <c r="P1703" i="19"/>
  <c r="P1710" i="19"/>
  <c r="P1708" i="19"/>
  <c r="P1709" i="19"/>
  <c r="P1706" i="19"/>
  <c r="P1707" i="19"/>
  <c r="P1751" i="19"/>
  <c r="P1717" i="19"/>
  <c r="P1718" i="19"/>
  <c r="P1726" i="19"/>
  <c r="P1713" i="19"/>
  <c r="P1714" i="19"/>
  <c r="P1719" i="19"/>
  <c r="P1740" i="19"/>
  <c r="P1741" i="19"/>
  <c r="P1733" i="19"/>
  <c r="P1729" i="19"/>
  <c r="P1724" i="19"/>
  <c r="P1715" i="19"/>
  <c r="P1716" i="19"/>
  <c r="P1723" i="19"/>
  <c r="P1731" i="19"/>
  <c r="P1720" i="19"/>
  <c r="P1721" i="19"/>
  <c r="P1722" i="19"/>
  <c r="P1725" i="19"/>
  <c r="P1734" i="19"/>
  <c r="P1735" i="19"/>
  <c r="P1736" i="19"/>
  <c r="P1727" i="19"/>
  <c r="P1728" i="19"/>
  <c r="P1770" i="19"/>
  <c r="P1771" i="19"/>
  <c r="P1730" i="19"/>
  <c r="P1752" i="19"/>
  <c r="P1758" i="19"/>
  <c r="P1759" i="19"/>
  <c r="P1738" i="19"/>
  <c r="P1739" i="19"/>
  <c r="P1742" i="19"/>
  <c r="P1743" i="19"/>
  <c r="P1744" i="19"/>
  <c r="P1746" i="19"/>
  <c r="P1712" i="19"/>
  <c r="P1745" i="19"/>
  <c r="P1754" i="19"/>
  <c r="P1755" i="19"/>
  <c r="P1747" i="19"/>
  <c r="P1748" i="19"/>
  <c r="P1756" i="19"/>
  <c r="P1757" i="19"/>
  <c r="P1749" i="19"/>
  <c r="P1750" i="19"/>
  <c r="P1763" i="19"/>
  <c r="P1764" i="19"/>
  <c r="P1773" i="19"/>
  <c r="P1774" i="19"/>
  <c r="P1760" i="19"/>
  <c r="P1761" i="19"/>
  <c r="P1762" i="19"/>
  <c r="P1775" i="19"/>
  <c r="P1776" i="19"/>
  <c r="P1765" i="19"/>
  <c r="P1766" i="19"/>
  <c r="P1767" i="19"/>
  <c r="P1768" i="19"/>
  <c r="P1769" i="19"/>
  <c r="P1772" i="19"/>
  <c r="P1777" i="19"/>
  <c r="P1778" i="19"/>
  <c r="P1779" i="19"/>
  <c r="P1780" i="19"/>
  <c r="P1781" i="19"/>
  <c r="P1782" i="19"/>
  <c r="P1783" i="19"/>
  <c r="P1784" i="19"/>
  <c r="P1785" i="19"/>
  <c r="P1753" i="19"/>
  <c r="P1786" i="19"/>
  <c r="P1787" i="19"/>
  <c r="P1788" i="19"/>
  <c r="P1789" i="19"/>
  <c r="P1790" i="19"/>
  <c r="P1791" i="19"/>
  <c r="P1792" i="19"/>
  <c r="P1793" i="19"/>
  <c r="P1794" i="19"/>
  <c r="P1796" i="19"/>
  <c r="P1797" i="19"/>
  <c r="P1798" i="19"/>
  <c r="P1795" i="19"/>
  <c r="P1799" i="19"/>
  <c r="T1572" i="19"/>
  <c r="T1533" i="19"/>
  <c r="T1491" i="19"/>
  <c r="T1617" i="19"/>
  <c r="T1542" i="19"/>
  <c r="T1506" i="19"/>
  <c r="T1492" i="19"/>
  <c r="T1555" i="19"/>
  <c r="T1556" i="19"/>
  <c r="T1507" i="19"/>
  <c r="T1502" i="19"/>
  <c r="T1508" i="19"/>
  <c r="T1503" i="19"/>
  <c r="T1504" i="19"/>
  <c r="T1505" i="19"/>
  <c r="T1509" i="19"/>
  <c r="T1510" i="19"/>
  <c r="T1493" i="19"/>
  <c r="T1494" i="19"/>
  <c r="T1511" i="19"/>
  <c r="T1512" i="19"/>
  <c r="T1513" i="19"/>
  <c r="T1521" i="19"/>
  <c r="T1528" i="19"/>
  <c r="T1529" i="19"/>
  <c r="T1524" i="19"/>
  <c r="T1522" i="19"/>
  <c r="T1540" i="19"/>
  <c r="T1541" i="19"/>
  <c r="T1523" i="19"/>
  <c r="T1526" i="19"/>
  <c r="T1527" i="19"/>
  <c r="T1525" i="19"/>
  <c r="T1558" i="19"/>
  <c r="T1532" i="19"/>
  <c r="T1543" i="19"/>
  <c r="T1544" i="19"/>
  <c r="T1536" i="19"/>
  <c r="T1537" i="19"/>
  <c r="T1530" i="19"/>
  <c r="T1531" i="19"/>
  <c r="T1534" i="19"/>
  <c r="T1535" i="19"/>
  <c r="T1539" i="19"/>
  <c r="T1545" i="19"/>
  <c r="T1546" i="19"/>
  <c r="T1538" i="19"/>
  <c r="T1582" i="19"/>
  <c r="T1548" i="19"/>
  <c r="T1547" i="19"/>
  <c r="T1549" i="19"/>
  <c r="T1550" i="19"/>
  <c r="T1608" i="19"/>
  <c r="T1559" i="19"/>
  <c r="T1551" i="19"/>
  <c r="T1552" i="19"/>
  <c r="T1553" i="19"/>
  <c r="T1557" i="19"/>
  <c r="T1569" i="19"/>
  <c r="T1563" i="19"/>
  <c r="T1564" i="19"/>
  <c r="T1554" i="19"/>
  <c r="T1576" i="19"/>
  <c r="T1580" i="19"/>
  <c r="T1581" i="19"/>
  <c r="T1592" i="19"/>
  <c r="T1561" i="19"/>
  <c r="T1562" i="19"/>
  <c r="T1565" i="19"/>
  <c r="T1560" i="19"/>
  <c r="T1600" i="19"/>
  <c r="T1601" i="19"/>
  <c r="T1602" i="19"/>
  <c r="T1567" i="19"/>
  <c r="T1568" i="19"/>
  <c r="T1575" i="19"/>
  <c r="T1570" i="19"/>
  <c r="T1571" i="19"/>
  <c r="T1573" i="19"/>
  <c r="T1578" i="19"/>
  <c r="T1566" i="19"/>
  <c r="T1574" i="19"/>
  <c r="T1598" i="19"/>
  <c r="T1599" i="19"/>
  <c r="T1584" i="19"/>
  <c r="T1609" i="19"/>
  <c r="T1593" i="19"/>
  <c r="T1594" i="19"/>
  <c r="T1595" i="19"/>
  <c r="T1579" i="19"/>
  <c r="T1588" i="19"/>
  <c r="T1585" i="19"/>
  <c r="T1589" i="19"/>
  <c r="T1590" i="19"/>
  <c r="T1583" i="19"/>
  <c r="T1591" i="19"/>
  <c r="T1577" i="19"/>
  <c r="T1586" i="19"/>
  <c r="T1587" i="19"/>
  <c r="T1596" i="19"/>
  <c r="T1597" i="19"/>
  <c r="T1603" i="19"/>
  <c r="T1604" i="19"/>
  <c r="T1605" i="19"/>
  <c r="T1606" i="19"/>
  <c r="T1616" i="19"/>
  <c r="T1607" i="19"/>
  <c r="T1610" i="19"/>
  <c r="T1613" i="19"/>
  <c r="T1611" i="19"/>
  <c r="T1612" i="19"/>
  <c r="T1614" i="19"/>
  <c r="T1615" i="19"/>
  <c r="T1618" i="19"/>
  <c r="T1619" i="19"/>
  <c r="T1620" i="19"/>
  <c r="T1621" i="19"/>
  <c r="T1629" i="19"/>
  <c r="T1630" i="19"/>
  <c r="T1631" i="19"/>
  <c r="T1655" i="19"/>
  <c r="T1656" i="19"/>
  <c r="T1636" i="19"/>
  <c r="T1637" i="19"/>
  <c r="T1638" i="19"/>
  <c r="T1634" i="19"/>
  <c r="T1635" i="19"/>
  <c r="T1632" i="19"/>
  <c r="T1633" i="19"/>
  <c r="T1640" i="19"/>
  <c r="T1641" i="19"/>
  <c r="T1639" i="19"/>
  <c r="T1644" i="19"/>
  <c r="T1645" i="19"/>
  <c r="T1642" i="19"/>
  <c r="T1643" i="19"/>
  <c r="T1646" i="19"/>
  <c r="T1647" i="19"/>
  <c r="T1650" i="19"/>
  <c r="T1653" i="19"/>
  <c r="T1654" i="19"/>
  <c r="T1648" i="19"/>
  <c r="T1649" i="19"/>
  <c r="T1651" i="19"/>
  <c r="T1652" i="19"/>
  <c r="T1659" i="19"/>
  <c r="T1660" i="19"/>
  <c r="T1657" i="19"/>
  <c r="T1658" i="19"/>
  <c r="T1661" i="19"/>
  <c r="T1662" i="19"/>
  <c r="T1663" i="19"/>
  <c r="T1664" i="19"/>
  <c r="T1665" i="19"/>
  <c r="T1666" i="19"/>
  <c r="T1667" i="19"/>
  <c r="T1668" i="19"/>
  <c r="T1670" i="19"/>
  <c r="T1671" i="19"/>
  <c r="T1672" i="19"/>
  <c r="T1673" i="19"/>
  <c r="T1669" i="19"/>
  <c r="T1676" i="19"/>
  <c r="T1674" i="19"/>
  <c r="T1675" i="19"/>
  <c r="T1677" i="19"/>
  <c r="T1678" i="19"/>
  <c r="T1679" i="19"/>
  <c r="T1680" i="19"/>
  <c r="T1681" i="19"/>
  <c r="T1682" i="19"/>
  <c r="T1689" i="19"/>
  <c r="T1690" i="19"/>
  <c r="T1686" i="19"/>
  <c r="T1687" i="19"/>
  <c r="T1688" i="19"/>
  <c r="T1737" i="19"/>
  <c r="T1691" i="19"/>
  <c r="T1692" i="19"/>
  <c r="T1693" i="19"/>
  <c r="T1694" i="19"/>
  <c r="T1695" i="19"/>
  <c r="T1732" i="19"/>
  <c r="T1704" i="19"/>
  <c r="T1705" i="19"/>
  <c r="T1696" i="19"/>
  <c r="T1699" i="19"/>
  <c r="T1700" i="19"/>
  <c r="T1701" i="19"/>
  <c r="T1702" i="19"/>
  <c r="T1697" i="19"/>
  <c r="T1698" i="19"/>
  <c r="T1703" i="19"/>
  <c r="T1710" i="19"/>
  <c r="T1708" i="19"/>
  <c r="T1709" i="19"/>
  <c r="T1706" i="19"/>
  <c r="T1707" i="19"/>
  <c r="T1751" i="19"/>
  <c r="T1717" i="19"/>
  <c r="T1718" i="19"/>
  <c r="T1726" i="19"/>
  <c r="T1713" i="19"/>
  <c r="T1714" i="19"/>
  <c r="T1719" i="19"/>
  <c r="T1740" i="19"/>
  <c r="T1741" i="19"/>
  <c r="T1733" i="19"/>
  <c r="T1729" i="19"/>
  <c r="T1724" i="19"/>
  <c r="T1715" i="19"/>
  <c r="T1716" i="19"/>
  <c r="T1723" i="19"/>
  <c r="T1731" i="19"/>
  <c r="T1720" i="19"/>
  <c r="T1721" i="19"/>
  <c r="T1722" i="19"/>
  <c r="T1725" i="19"/>
  <c r="T1734" i="19"/>
  <c r="T1735" i="19"/>
  <c r="T1736" i="19"/>
  <c r="T1727" i="19"/>
  <c r="T1728" i="19"/>
  <c r="T1770" i="19"/>
  <c r="T1771" i="19"/>
  <c r="T1730" i="19"/>
  <c r="T1752" i="19"/>
  <c r="T1758" i="19"/>
  <c r="T1759" i="19"/>
  <c r="T1738" i="19"/>
  <c r="T1739" i="19"/>
  <c r="T1742" i="19"/>
  <c r="T1743" i="19"/>
  <c r="T1744" i="19"/>
  <c r="T1746" i="19"/>
  <c r="T1712" i="19"/>
  <c r="T1745" i="19"/>
  <c r="T1754" i="19"/>
  <c r="T1755" i="19"/>
  <c r="T1747" i="19"/>
  <c r="T1748" i="19"/>
  <c r="T1756" i="19"/>
  <c r="T1757" i="19"/>
  <c r="T1749" i="19"/>
  <c r="T1750" i="19"/>
  <c r="T1763" i="19"/>
  <c r="T1764" i="19"/>
  <c r="T1773" i="19"/>
  <c r="T1774" i="19"/>
  <c r="T1760" i="19"/>
  <c r="T1761" i="19"/>
  <c r="T1762" i="19"/>
  <c r="T1775" i="19"/>
  <c r="T1776" i="19"/>
  <c r="T1765" i="19"/>
  <c r="T1766" i="19"/>
  <c r="T1767" i="19"/>
  <c r="T1768" i="19"/>
  <c r="T1769" i="19"/>
  <c r="T1772" i="19"/>
  <c r="T1777" i="19"/>
  <c r="T1778" i="19"/>
  <c r="T1779" i="19"/>
  <c r="T1780" i="19"/>
  <c r="T1781" i="19"/>
  <c r="T1782" i="19"/>
  <c r="T1783" i="19"/>
  <c r="T1784" i="19"/>
  <c r="T1785" i="19"/>
  <c r="T1753" i="19"/>
  <c r="T1786" i="19"/>
  <c r="T1787" i="19"/>
  <c r="T1788" i="19"/>
  <c r="T1789" i="19"/>
  <c r="T1790" i="19"/>
  <c r="T1791" i="19"/>
  <c r="T1792" i="19"/>
  <c r="T1793" i="19"/>
  <c r="T1794" i="19"/>
  <c r="T1796" i="19"/>
  <c r="T1797" i="19"/>
  <c r="T1798" i="19"/>
  <c r="T1795" i="19"/>
  <c r="T1799" i="19"/>
  <c r="W1572" i="19"/>
  <c r="W1533" i="19"/>
  <c r="W1491" i="19"/>
  <c r="W1617" i="19"/>
  <c r="W1542" i="19"/>
  <c r="W1506" i="19"/>
  <c r="W1492" i="19"/>
  <c r="W1555" i="19"/>
  <c r="W1556" i="19"/>
  <c r="W1507" i="19"/>
  <c r="W1502" i="19"/>
  <c r="W1508" i="19"/>
  <c r="W1503" i="19"/>
  <c r="W1504" i="19"/>
  <c r="W1505" i="19"/>
  <c r="W1509" i="19"/>
  <c r="W1510" i="19"/>
  <c r="W1493" i="19"/>
  <c r="W1494" i="19"/>
  <c r="W1511" i="19"/>
  <c r="W1512" i="19"/>
  <c r="W1513" i="19"/>
  <c r="W1521" i="19"/>
  <c r="W1528" i="19"/>
  <c r="W1529" i="19"/>
  <c r="W1524" i="19"/>
  <c r="W1522" i="19"/>
  <c r="W1540" i="19"/>
  <c r="W1541" i="19"/>
  <c r="W1523" i="19"/>
  <c r="W1526" i="19"/>
  <c r="W1527" i="19"/>
  <c r="W1525" i="19"/>
  <c r="W1558" i="19"/>
  <c r="W1532" i="19"/>
  <c r="W1543" i="19"/>
  <c r="W1544" i="19"/>
  <c r="W1536" i="19"/>
  <c r="W1537" i="19"/>
  <c r="W1530" i="19"/>
  <c r="W1531" i="19"/>
  <c r="W1534" i="19"/>
  <c r="W1535" i="19"/>
  <c r="W1539" i="19"/>
  <c r="W1545" i="19"/>
  <c r="W1546" i="19"/>
  <c r="W1538" i="19"/>
  <c r="W1582" i="19"/>
  <c r="W1548" i="19"/>
  <c r="W1547" i="19"/>
  <c r="W1549" i="19"/>
  <c r="W1550" i="19"/>
  <c r="W1608" i="19"/>
  <c r="W1559" i="19"/>
  <c r="W1551" i="19"/>
  <c r="W1552" i="19"/>
  <c r="W1553" i="19"/>
  <c r="W1557" i="19"/>
  <c r="W1569" i="19"/>
  <c r="W1563" i="19"/>
  <c r="W1564" i="19"/>
  <c r="W1554" i="19"/>
  <c r="W1576" i="19"/>
  <c r="W1580" i="19"/>
  <c r="W1581" i="19"/>
  <c r="W1592" i="19"/>
  <c r="W1561" i="19"/>
  <c r="W1562" i="19"/>
  <c r="W1565" i="19"/>
  <c r="W1560" i="19"/>
  <c r="W1600" i="19"/>
  <c r="W1601" i="19"/>
  <c r="W1602" i="19"/>
  <c r="W1567" i="19"/>
  <c r="W1568" i="19"/>
  <c r="W1575" i="19"/>
  <c r="W1570" i="19"/>
  <c r="W1571" i="19"/>
  <c r="W1573" i="19"/>
  <c r="W1578" i="19"/>
  <c r="W1566" i="19"/>
  <c r="W1574" i="19"/>
  <c r="W1598" i="19"/>
  <c r="W1599" i="19"/>
  <c r="W1584" i="19"/>
  <c r="W1609" i="19"/>
  <c r="W1593" i="19"/>
  <c r="W1594" i="19"/>
  <c r="W1595" i="19"/>
  <c r="W1579" i="19"/>
  <c r="W1588" i="19"/>
  <c r="W1585" i="19"/>
  <c r="W1589" i="19"/>
  <c r="W1590" i="19"/>
  <c r="W1583" i="19"/>
  <c r="W1591" i="19"/>
  <c r="W1577" i="19"/>
  <c r="W1586" i="19"/>
  <c r="W1587" i="19"/>
  <c r="W1596" i="19"/>
  <c r="W1597" i="19"/>
  <c r="W1603" i="19"/>
  <c r="W1604" i="19"/>
  <c r="W1605" i="19"/>
  <c r="W1606" i="19"/>
  <c r="W1616" i="19"/>
  <c r="W1607" i="19"/>
  <c r="W1610" i="19"/>
  <c r="W1613" i="19"/>
  <c r="W1611" i="19"/>
  <c r="W1612" i="19"/>
  <c r="W1614" i="19"/>
  <c r="W1615" i="19"/>
  <c r="W1618" i="19"/>
  <c r="W1619" i="19"/>
  <c r="W1620" i="19"/>
  <c r="W1621" i="19"/>
  <c r="W1629" i="19"/>
  <c r="W1630" i="19"/>
  <c r="W1631" i="19"/>
  <c r="W1655" i="19"/>
  <c r="W1656" i="19"/>
  <c r="W1636" i="19"/>
  <c r="W1637" i="19"/>
  <c r="W1638" i="19"/>
  <c r="W1634" i="19"/>
  <c r="W1635" i="19"/>
  <c r="W1632" i="19"/>
  <c r="W1633" i="19"/>
  <c r="W1640" i="19"/>
  <c r="W1641" i="19"/>
  <c r="W1639" i="19"/>
  <c r="W1644" i="19"/>
  <c r="W1645" i="19"/>
  <c r="W1642" i="19"/>
  <c r="W1643" i="19"/>
  <c r="W1646" i="19"/>
  <c r="W1647" i="19"/>
  <c r="W1650" i="19"/>
  <c r="W1653" i="19"/>
  <c r="W1654" i="19"/>
  <c r="W1648" i="19"/>
  <c r="W1649" i="19"/>
  <c r="W1651" i="19"/>
  <c r="W1652" i="19"/>
  <c r="W1659" i="19"/>
  <c r="W1660" i="19"/>
  <c r="W1657" i="19"/>
  <c r="W1658" i="19"/>
  <c r="W1661" i="19"/>
  <c r="W1662" i="19"/>
  <c r="W1663" i="19"/>
  <c r="W1664" i="19"/>
  <c r="W1665" i="19"/>
  <c r="W1666" i="19"/>
  <c r="W1667" i="19"/>
  <c r="W1668" i="19"/>
  <c r="W1670" i="19"/>
  <c r="W1671" i="19"/>
  <c r="W1672" i="19"/>
  <c r="W1673" i="19"/>
  <c r="W1669" i="19"/>
  <c r="W1676" i="19"/>
  <c r="W1674" i="19"/>
  <c r="W1675" i="19"/>
  <c r="W1677" i="19"/>
  <c r="W1678" i="19"/>
  <c r="W1679" i="19"/>
  <c r="W1680" i="19"/>
  <c r="W1681" i="19"/>
  <c r="W1682" i="19"/>
  <c r="W1689" i="19"/>
  <c r="W1690" i="19"/>
  <c r="W1686" i="19"/>
  <c r="W1687" i="19"/>
  <c r="W1688" i="19"/>
  <c r="W1737" i="19"/>
  <c r="W1691" i="19"/>
  <c r="W1692" i="19"/>
  <c r="W1693" i="19"/>
  <c r="W1694" i="19"/>
  <c r="W1695" i="19"/>
  <c r="W1732" i="19"/>
  <c r="W1704" i="19"/>
  <c r="W1705" i="19"/>
  <c r="W1696" i="19"/>
  <c r="W1699" i="19"/>
  <c r="W1700" i="19"/>
  <c r="W1701" i="19"/>
  <c r="W1702" i="19"/>
  <c r="W1697" i="19"/>
  <c r="W1698" i="19"/>
  <c r="W1703" i="19"/>
  <c r="W1710" i="19"/>
  <c r="W1708" i="19"/>
  <c r="W1709" i="19"/>
  <c r="W1706" i="19"/>
  <c r="W1707" i="19"/>
  <c r="W1751" i="19"/>
  <c r="W1717" i="19"/>
  <c r="W1718" i="19"/>
  <c r="W1726" i="19"/>
  <c r="W1713" i="19"/>
  <c r="W1714" i="19"/>
  <c r="W1719" i="19"/>
  <c r="W1740" i="19"/>
  <c r="W1741" i="19"/>
  <c r="W1733" i="19"/>
  <c r="W1729" i="19"/>
  <c r="W1724" i="19"/>
  <c r="W1715" i="19"/>
  <c r="W1716" i="19"/>
  <c r="W1723" i="19"/>
  <c r="W1731" i="19"/>
  <c r="W1720" i="19"/>
  <c r="W1721" i="19"/>
  <c r="W1722" i="19"/>
  <c r="W1725" i="19"/>
  <c r="W1734" i="19"/>
  <c r="W1735" i="19"/>
  <c r="W1736" i="19"/>
  <c r="W1727" i="19"/>
  <c r="W1728" i="19"/>
  <c r="W1770" i="19"/>
  <c r="W1771" i="19"/>
  <c r="W1730" i="19"/>
  <c r="W1752" i="19"/>
  <c r="W1758" i="19"/>
  <c r="W1759" i="19"/>
  <c r="W1738" i="19"/>
  <c r="W1739" i="19"/>
  <c r="W1742" i="19"/>
  <c r="W1743" i="19"/>
  <c r="W1744" i="19"/>
  <c r="W1746" i="19"/>
  <c r="W1712" i="19"/>
  <c r="W1745" i="19"/>
  <c r="W1754" i="19"/>
  <c r="W1755" i="19"/>
  <c r="W1747" i="19"/>
  <c r="W1748" i="19"/>
  <c r="W1756" i="19"/>
  <c r="W1757" i="19"/>
  <c r="W1749" i="19"/>
  <c r="W1750" i="19"/>
  <c r="W1763" i="19"/>
  <c r="W1764" i="19"/>
  <c r="W1773" i="19"/>
  <c r="W1774" i="19"/>
  <c r="W1760" i="19"/>
  <c r="W1761" i="19"/>
  <c r="W1762" i="19"/>
  <c r="W1775" i="19"/>
  <c r="W1776" i="19"/>
  <c r="W1765" i="19"/>
  <c r="W1766" i="19"/>
  <c r="W1767" i="19"/>
  <c r="W1768" i="19"/>
  <c r="W1769" i="19"/>
  <c r="W1772" i="19"/>
  <c r="W1777" i="19"/>
  <c r="W1778" i="19"/>
  <c r="W1779" i="19"/>
  <c r="W1780" i="19"/>
  <c r="W1781" i="19"/>
  <c r="W1782" i="19"/>
  <c r="W1783" i="19"/>
  <c r="W1784" i="19"/>
  <c r="W1785" i="19"/>
  <c r="W1753" i="19"/>
  <c r="W1786" i="19"/>
  <c r="W1787" i="19"/>
  <c r="W1788" i="19"/>
  <c r="W1789" i="19"/>
  <c r="W1790" i="19"/>
  <c r="W1791" i="19"/>
  <c r="W1792" i="19"/>
  <c r="W1793" i="19"/>
  <c r="W1794" i="19"/>
  <c r="W1796" i="19"/>
  <c r="W1797" i="19"/>
  <c r="W1798" i="19"/>
  <c r="W1795" i="19"/>
  <c r="W1799" i="19"/>
  <c r="X1572" i="19"/>
  <c r="X1533" i="19"/>
  <c r="X1491" i="19"/>
  <c r="X1617" i="19"/>
  <c r="X1542" i="19"/>
  <c r="X1506" i="19"/>
  <c r="X1492" i="19"/>
  <c r="X1555" i="19"/>
  <c r="X1556" i="19"/>
  <c r="X1507" i="19"/>
  <c r="X1502" i="19"/>
  <c r="X1508" i="19"/>
  <c r="X1503" i="19"/>
  <c r="X1504" i="19"/>
  <c r="X1505" i="19"/>
  <c r="X1509" i="19"/>
  <c r="X1510" i="19"/>
  <c r="X1493" i="19"/>
  <c r="X1494" i="19"/>
  <c r="X1511" i="19"/>
  <c r="X1512" i="19"/>
  <c r="X1513" i="19"/>
  <c r="X1521" i="19"/>
  <c r="X1528" i="19"/>
  <c r="X1529" i="19"/>
  <c r="X1524" i="19"/>
  <c r="X1522" i="19"/>
  <c r="X1540" i="19"/>
  <c r="X1541" i="19"/>
  <c r="X1523" i="19"/>
  <c r="X1526" i="19"/>
  <c r="X1527" i="19"/>
  <c r="X1525" i="19"/>
  <c r="X1558" i="19"/>
  <c r="X1532" i="19"/>
  <c r="X1543" i="19"/>
  <c r="X1544" i="19"/>
  <c r="X1536" i="19"/>
  <c r="X1537" i="19"/>
  <c r="X1530" i="19"/>
  <c r="X1531" i="19"/>
  <c r="X1534" i="19"/>
  <c r="X1535" i="19"/>
  <c r="X1539" i="19"/>
  <c r="X1545" i="19"/>
  <c r="X1546" i="19"/>
  <c r="X1538" i="19"/>
  <c r="X1582" i="19"/>
  <c r="X1548" i="19"/>
  <c r="X1547" i="19"/>
  <c r="X1549" i="19"/>
  <c r="X1550" i="19"/>
  <c r="X1608" i="19"/>
  <c r="X1559" i="19"/>
  <c r="X1551" i="19"/>
  <c r="X1552" i="19"/>
  <c r="X1553" i="19"/>
  <c r="X1557" i="19"/>
  <c r="X1569" i="19"/>
  <c r="X1563" i="19"/>
  <c r="X1564" i="19"/>
  <c r="X1554" i="19"/>
  <c r="X1576" i="19"/>
  <c r="X1580" i="19"/>
  <c r="X1581" i="19"/>
  <c r="X1592" i="19"/>
  <c r="X1561" i="19"/>
  <c r="X1562" i="19"/>
  <c r="X1565" i="19"/>
  <c r="X1560" i="19"/>
  <c r="X1600" i="19"/>
  <c r="X1601" i="19"/>
  <c r="X1602" i="19"/>
  <c r="X1567" i="19"/>
  <c r="X1568" i="19"/>
  <c r="X1575" i="19"/>
  <c r="X1570" i="19"/>
  <c r="X1571" i="19"/>
  <c r="X1573" i="19"/>
  <c r="X1578" i="19"/>
  <c r="X1566" i="19"/>
  <c r="X1574" i="19"/>
  <c r="X1598" i="19"/>
  <c r="X1599" i="19"/>
  <c r="X1584" i="19"/>
  <c r="X1609" i="19"/>
  <c r="X1593" i="19"/>
  <c r="X1594" i="19"/>
  <c r="X1595" i="19"/>
  <c r="X1579" i="19"/>
  <c r="X1588" i="19"/>
  <c r="X1585" i="19"/>
  <c r="X1589" i="19"/>
  <c r="X1590" i="19"/>
  <c r="X1583" i="19"/>
  <c r="X1591" i="19"/>
  <c r="X1577" i="19"/>
  <c r="X1586" i="19"/>
  <c r="X1587" i="19"/>
  <c r="X1596" i="19"/>
  <c r="X1597" i="19"/>
  <c r="X1603" i="19"/>
  <c r="X1604" i="19"/>
  <c r="X1605" i="19"/>
  <c r="X1606" i="19"/>
  <c r="X1616" i="19"/>
  <c r="X1607" i="19"/>
  <c r="X1610" i="19"/>
  <c r="X1613" i="19"/>
  <c r="X1611" i="19"/>
  <c r="X1612" i="19"/>
  <c r="X1614" i="19"/>
  <c r="X1615" i="19"/>
  <c r="X1618" i="19"/>
  <c r="X1619" i="19"/>
  <c r="X1620" i="19"/>
  <c r="X1621" i="19"/>
  <c r="X1629" i="19"/>
  <c r="X1630" i="19"/>
  <c r="X1631" i="19"/>
  <c r="X1655" i="19"/>
  <c r="X1656" i="19"/>
  <c r="X1636" i="19"/>
  <c r="X1637" i="19"/>
  <c r="X1638" i="19"/>
  <c r="X1634" i="19"/>
  <c r="X1635" i="19"/>
  <c r="X1632" i="19"/>
  <c r="X1633" i="19"/>
  <c r="X1640" i="19"/>
  <c r="X1641" i="19"/>
  <c r="X1639" i="19"/>
  <c r="X1644" i="19"/>
  <c r="X1645" i="19"/>
  <c r="X1642" i="19"/>
  <c r="X1643" i="19"/>
  <c r="X1646" i="19"/>
  <c r="X1647" i="19"/>
  <c r="X1650" i="19"/>
  <c r="X1653" i="19"/>
  <c r="X1654" i="19"/>
  <c r="X1648" i="19"/>
  <c r="X1649" i="19"/>
  <c r="X1651" i="19"/>
  <c r="X1652" i="19"/>
  <c r="X1659" i="19"/>
  <c r="X1660" i="19"/>
  <c r="X1657" i="19"/>
  <c r="X1658" i="19"/>
  <c r="X1661" i="19"/>
  <c r="X1662" i="19"/>
  <c r="X1663" i="19"/>
  <c r="X1664" i="19"/>
  <c r="X1665" i="19"/>
  <c r="X1666" i="19"/>
  <c r="X1667" i="19"/>
  <c r="X1668" i="19"/>
  <c r="X1670" i="19"/>
  <c r="X1671" i="19"/>
  <c r="X1672" i="19"/>
  <c r="X1673" i="19"/>
  <c r="X1669" i="19"/>
  <c r="X1676" i="19"/>
  <c r="X1674" i="19"/>
  <c r="X1675" i="19"/>
  <c r="X1677" i="19"/>
  <c r="X1678" i="19"/>
  <c r="X1679" i="19"/>
  <c r="X1680" i="19"/>
  <c r="X1681" i="19"/>
  <c r="X1682" i="19"/>
  <c r="X1689" i="19"/>
  <c r="X1690" i="19"/>
  <c r="X1686" i="19"/>
  <c r="X1687" i="19"/>
  <c r="X1688" i="19"/>
  <c r="X1737" i="19"/>
  <c r="X1691" i="19"/>
  <c r="X1692" i="19"/>
  <c r="X1693" i="19"/>
  <c r="X1694" i="19"/>
  <c r="X1695" i="19"/>
  <c r="X1732" i="19"/>
  <c r="X1704" i="19"/>
  <c r="X1705" i="19"/>
  <c r="X1696" i="19"/>
  <c r="X1699" i="19"/>
  <c r="X1700" i="19"/>
  <c r="X1701" i="19"/>
  <c r="X1702" i="19"/>
  <c r="X1697" i="19"/>
  <c r="X1698" i="19"/>
  <c r="X1703" i="19"/>
  <c r="X1710" i="19"/>
  <c r="X1708" i="19"/>
  <c r="X1709" i="19"/>
  <c r="X1706" i="19"/>
  <c r="X1707" i="19"/>
  <c r="X1751" i="19"/>
  <c r="X1717" i="19"/>
  <c r="X1718" i="19"/>
  <c r="X1726" i="19"/>
  <c r="X1713" i="19"/>
  <c r="X1714" i="19"/>
  <c r="X1719" i="19"/>
  <c r="X1740" i="19"/>
  <c r="X1741" i="19"/>
  <c r="X1733" i="19"/>
  <c r="X1729" i="19"/>
  <c r="X1724" i="19"/>
  <c r="X1715" i="19"/>
  <c r="X1716" i="19"/>
  <c r="X1723" i="19"/>
  <c r="X1731" i="19"/>
  <c r="X1720" i="19"/>
  <c r="X1721" i="19"/>
  <c r="X1722" i="19"/>
  <c r="X1725" i="19"/>
  <c r="X1734" i="19"/>
  <c r="X1735" i="19"/>
  <c r="X1736" i="19"/>
  <c r="X1727" i="19"/>
  <c r="X1728" i="19"/>
  <c r="X1770" i="19"/>
  <c r="X1771" i="19"/>
  <c r="X1730" i="19"/>
  <c r="X1752" i="19"/>
  <c r="X1758" i="19"/>
  <c r="X1759" i="19"/>
  <c r="X1738" i="19"/>
  <c r="X1739" i="19"/>
  <c r="X1742" i="19"/>
  <c r="X1743" i="19"/>
  <c r="X1744" i="19"/>
  <c r="X1746" i="19"/>
  <c r="X1712" i="19"/>
  <c r="X1745" i="19"/>
  <c r="X1754" i="19"/>
  <c r="X1755" i="19"/>
  <c r="X1747" i="19"/>
  <c r="X1748" i="19"/>
  <c r="X1756" i="19"/>
  <c r="X1757" i="19"/>
  <c r="X1749" i="19"/>
  <c r="X1750" i="19"/>
  <c r="X1763" i="19"/>
  <c r="X1764" i="19"/>
  <c r="X1773" i="19"/>
  <c r="X1774" i="19"/>
  <c r="X1760" i="19"/>
  <c r="X1761" i="19"/>
  <c r="X1762" i="19"/>
  <c r="X1775" i="19"/>
  <c r="X1776" i="19"/>
  <c r="X1765" i="19"/>
  <c r="X1766" i="19"/>
  <c r="X1767" i="19"/>
  <c r="X1768" i="19"/>
  <c r="X1769" i="19"/>
  <c r="X1772" i="19"/>
  <c r="X1777" i="19"/>
  <c r="X1778" i="19"/>
  <c r="X1779" i="19"/>
  <c r="X1780" i="19"/>
  <c r="X1781" i="19"/>
  <c r="X1782" i="19"/>
  <c r="X1783" i="19"/>
  <c r="X1784" i="19"/>
  <c r="X1785" i="19"/>
  <c r="X1753" i="19"/>
  <c r="X1786" i="19"/>
  <c r="X1787" i="19"/>
  <c r="X1788" i="19"/>
  <c r="X1789" i="19"/>
  <c r="X1790" i="19"/>
  <c r="X1791" i="19"/>
  <c r="X1792" i="19"/>
  <c r="X1793" i="19"/>
  <c r="X1794" i="19"/>
  <c r="X1796" i="19"/>
  <c r="X1797" i="19"/>
  <c r="X1798" i="19"/>
  <c r="X1795" i="19"/>
  <c r="X1799" i="19"/>
  <c r="J1386" i="21"/>
  <c r="J1510" i="21"/>
  <c r="K1536" i="21"/>
  <c r="K1537" i="21"/>
  <c r="K1538" i="21"/>
  <c r="K1539" i="21"/>
  <c r="K1540" i="21"/>
  <c r="K1541" i="21"/>
  <c r="K1542" i="21"/>
  <c r="K1543" i="21"/>
  <c r="K1544" i="21"/>
  <c r="K1545" i="21"/>
  <c r="K1546" i="21"/>
  <c r="K1547" i="21"/>
  <c r="K1548" i="21"/>
  <c r="K1549" i="21"/>
  <c r="K1550" i="21"/>
  <c r="K1551" i="21"/>
  <c r="K1552" i="21"/>
  <c r="K1553" i="21"/>
  <c r="K1554" i="21"/>
  <c r="K1555" i="21"/>
  <c r="K1556" i="21"/>
  <c r="K1557" i="21"/>
  <c r="K1558" i="21"/>
  <c r="K1559" i="21"/>
  <c r="K1560" i="21"/>
  <c r="K1561" i="21"/>
  <c r="K1562" i="21"/>
  <c r="K1563" i="21"/>
  <c r="K1564" i="21"/>
  <c r="K1565" i="21"/>
  <c r="K1566" i="21"/>
  <c r="K1567" i="21"/>
  <c r="K1568" i="21"/>
  <c r="K1569" i="21"/>
  <c r="K1570" i="21"/>
  <c r="K1571" i="21"/>
  <c r="K1572" i="21"/>
  <c r="K1573" i="21"/>
  <c r="K1574" i="21"/>
  <c r="K1575" i="21"/>
  <c r="K1576" i="21"/>
  <c r="K1577" i="21"/>
  <c r="K1578" i="21"/>
  <c r="K1579" i="21"/>
  <c r="K1580" i="21"/>
  <c r="K1581" i="21"/>
  <c r="K1582" i="21"/>
  <c r="K1583" i="21"/>
  <c r="K1584" i="21"/>
  <c r="K1585" i="21"/>
  <c r="K1586" i="21"/>
  <c r="K1587" i="21"/>
  <c r="K1588" i="21"/>
  <c r="K1589" i="21"/>
  <c r="K1590" i="21"/>
  <c r="K1591" i="21"/>
  <c r="K1592" i="21"/>
  <c r="K1593" i="21"/>
  <c r="K1594" i="21"/>
  <c r="K1595" i="21"/>
  <c r="K1596" i="21"/>
  <c r="K1597" i="21"/>
  <c r="K1598" i="21"/>
  <c r="K1599" i="21"/>
  <c r="K1600" i="21"/>
  <c r="K1601" i="21"/>
  <c r="K1602" i="21"/>
  <c r="K1603" i="21"/>
  <c r="K1604" i="21"/>
  <c r="K1605" i="21"/>
  <c r="K1606" i="21"/>
  <c r="K1607" i="21"/>
  <c r="K1608" i="21"/>
  <c r="K1609" i="21"/>
  <c r="K1610" i="21"/>
  <c r="K1611" i="21"/>
  <c r="K1612" i="21"/>
  <c r="K1613" i="21"/>
  <c r="K1614" i="21"/>
  <c r="K1615" i="21"/>
  <c r="K1616" i="21"/>
  <c r="K1617" i="21"/>
  <c r="K1618" i="21"/>
  <c r="K1619" i="21"/>
  <c r="K1620" i="21"/>
  <c r="K1621" i="21"/>
  <c r="K1622" i="21"/>
  <c r="K1623" i="21"/>
  <c r="K1624" i="21"/>
  <c r="K1625" i="21"/>
  <c r="K1626" i="21"/>
  <c r="K1627" i="21"/>
  <c r="K1628" i="21"/>
  <c r="K1629" i="21"/>
  <c r="K1630" i="21"/>
  <c r="K1631" i="21"/>
  <c r="K1632" i="21"/>
  <c r="K1633" i="21"/>
  <c r="K1634" i="21"/>
  <c r="K1635" i="21"/>
  <c r="K1636" i="21"/>
  <c r="K1637" i="21"/>
  <c r="K1638" i="21"/>
  <c r="K1639" i="21"/>
  <c r="K1640" i="21"/>
  <c r="K1641" i="21"/>
  <c r="K1642" i="21"/>
  <c r="K1643" i="21"/>
  <c r="K1644" i="21"/>
  <c r="K1645" i="21"/>
  <c r="K1646" i="21"/>
  <c r="K1647" i="21"/>
  <c r="K1648" i="21"/>
  <c r="K1649" i="21"/>
  <c r="K1650" i="21"/>
  <c r="K1651" i="21"/>
  <c r="K1652" i="21"/>
  <c r="K1653" i="21"/>
  <c r="K1654" i="21"/>
  <c r="K1655" i="21"/>
  <c r="K1656" i="21"/>
  <c r="K1657" i="21"/>
  <c r="K1658" i="21"/>
  <c r="K1659" i="21"/>
  <c r="K1660" i="21"/>
  <c r="K1661" i="21"/>
  <c r="K1662" i="21"/>
  <c r="K1663" i="21"/>
  <c r="K1664" i="21"/>
  <c r="K1665" i="21"/>
  <c r="N1683" i="19"/>
  <c r="N1684" i="19"/>
  <c r="N1685" i="19"/>
  <c r="N1711" i="19"/>
  <c r="O1683" i="19"/>
  <c r="O1684" i="19"/>
  <c r="O1685" i="19"/>
  <c r="O1711" i="19"/>
  <c r="P1683" i="19"/>
  <c r="P1684" i="19"/>
  <c r="P1685" i="19"/>
  <c r="P1711" i="19"/>
  <c r="T1683" i="19"/>
  <c r="T1684" i="19"/>
  <c r="T1685" i="19"/>
  <c r="T1711" i="19"/>
  <c r="W1683" i="19"/>
  <c r="W1684" i="19"/>
  <c r="W1685" i="19"/>
  <c r="W1711" i="19"/>
  <c r="X1683" i="19"/>
  <c r="X1684" i="19"/>
  <c r="X1685" i="19"/>
  <c r="X1711" i="19"/>
  <c r="F132" i="22"/>
  <c r="G132" i="22"/>
  <c r="F133" i="22"/>
  <c r="G133" i="22"/>
  <c r="F134" i="22"/>
  <c r="G134" i="22"/>
  <c r="F135" i="22"/>
  <c r="G135" i="22"/>
  <c r="N1488" i="19"/>
  <c r="N1489" i="19"/>
  <c r="N1490" i="19"/>
  <c r="N1495" i="19"/>
  <c r="N1496" i="19"/>
  <c r="N1497" i="19"/>
  <c r="N1498" i="19"/>
  <c r="N1499" i="19"/>
  <c r="N1500" i="19"/>
  <c r="N1501" i="19"/>
  <c r="N1514" i="19"/>
  <c r="N1515" i="19"/>
  <c r="N1516" i="19"/>
  <c r="N1517" i="19"/>
  <c r="N1518" i="19"/>
  <c r="N1519" i="19"/>
  <c r="N1520" i="19"/>
  <c r="N1623" i="19"/>
  <c r="N1624" i="19"/>
  <c r="N1625" i="19"/>
  <c r="N1626" i="19"/>
  <c r="N1627" i="19"/>
  <c r="N1628" i="19"/>
  <c r="O1488" i="19"/>
  <c r="O1489" i="19"/>
  <c r="O1490" i="19"/>
  <c r="O1495" i="19"/>
  <c r="O1496" i="19"/>
  <c r="O1497" i="19"/>
  <c r="O1498" i="19"/>
  <c r="O1499" i="19"/>
  <c r="O1500" i="19"/>
  <c r="O1501" i="19"/>
  <c r="O1514" i="19"/>
  <c r="O1515" i="19"/>
  <c r="O1516" i="19"/>
  <c r="O1517" i="19"/>
  <c r="O1518" i="19"/>
  <c r="O1519" i="19"/>
  <c r="O1520" i="19"/>
  <c r="O1623" i="19"/>
  <c r="O1624" i="19"/>
  <c r="O1625" i="19"/>
  <c r="O1626" i="19"/>
  <c r="O1627" i="19"/>
  <c r="O1628" i="19"/>
  <c r="P1488" i="19"/>
  <c r="P1489" i="19"/>
  <c r="P1490" i="19"/>
  <c r="P1495" i="19"/>
  <c r="P1496" i="19"/>
  <c r="P1497" i="19"/>
  <c r="P1498" i="19"/>
  <c r="P1499" i="19"/>
  <c r="P1500" i="19"/>
  <c r="P1501" i="19"/>
  <c r="P1514" i="19"/>
  <c r="P1515" i="19"/>
  <c r="P1516" i="19"/>
  <c r="P1517" i="19"/>
  <c r="P1518" i="19"/>
  <c r="P1519" i="19"/>
  <c r="P1520" i="19"/>
  <c r="P1623" i="19"/>
  <c r="P1624" i="19"/>
  <c r="P1625" i="19"/>
  <c r="P1626" i="19"/>
  <c r="P1627" i="19"/>
  <c r="P1628" i="19"/>
  <c r="T1488" i="19"/>
  <c r="T1489" i="19"/>
  <c r="T1490" i="19"/>
  <c r="T1495" i="19"/>
  <c r="T1496" i="19"/>
  <c r="T1497" i="19"/>
  <c r="T1498" i="19"/>
  <c r="T1499" i="19"/>
  <c r="T1500" i="19"/>
  <c r="T1501" i="19"/>
  <c r="T1514" i="19"/>
  <c r="T1515" i="19"/>
  <c r="T1516" i="19"/>
  <c r="T1517" i="19"/>
  <c r="T1518" i="19"/>
  <c r="T1519" i="19"/>
  <c r="T1520" i="19"/>
  <c r="T1623" i="19"/>
  <c r="T1624" i="19"/>
  <c r="T1625" i="19"/>
  <c r="T1626" i="19"/>
  <c r="T1627" i="19"/>
  <c r="T1628" i="19"/>
  <c r="W1488" i="19"/>
  <c r="W1489" i="19"/>
  <c r="W1490" i="19"/>
  <c r="W1495" i="19"/>
  <c r="W1496" i="19"/>
  <c r="W1497" i="19"/>
  <c r="W1498" i="19"/>
  <c r="W1499" i="19"/>
  <c r="W1500" i="19"/>
  <c r="W1501" i="19"/>
  <c r="W1514" i="19"/>
  <c r="W1515" i="19"/>
  <c r="W1516" i="19"/>
  <c r="W1517" i="19"/>
  <c r="W1518" i="19"/>
  <c r="W1519" i="19"/>
  <c r="W1520" i="19"/>
  <c r="W1623" i="19"/>
  <c r="W1624" i="19"/>
  <c r="W1625" i="19"/>
  <c r="W1626" i="19"/>
  <c r="W1627" i="19"/>
  <c r="W1628" i="19"/>
  <c r="X1488" i="19"/>
  <c r="X1489" i="19"/>
  <c r="X1490" i="19"/>
  <c r="X1495" i="19"/>
  <c r="X1496" i="19"/>
  <c r="X1497" i="19"/>
  <c r="X1498" i="19"/>
  <c r="X1499" i="19"/>
  <c r="X1500" i="19"/>
  <c r="X1501" i="19"/>
  <c r="X1514" i="19"/>
  <c r="X1515" i="19"/>
  <c r="X1516" i="19"/>
  <c r="X1517" i="19"/>
  <c r="X1518" i="19"/>
  <c r="X1519" i="19"/>
  <c r="X1520" i="19"/>
  <c r="X1623" i="19"/>
  <c r="X1624" i="19"/>
  <c r="X1625" i="19"/>
  <c r="X1626" i="19"/>
  <c r="X1627" i="19"/>
  <c r="X1628" i="19"/>
  <c r="F109" i="22"/>
  <c r="G109" i="22"/>
  <c r="F110" i="22"/>
  <c r="G110" i="22"/>
  <c r="F111" i="22"/>
  <c r="G111" i="22"/>
  <c r="F112" i="22"/>
  <c r="G112" i="22"/>
  <c r="F113" i="22"/>
  <c r="G113" i="22"/>
  <c r="F114" i="22"/>
  <c r="G114" i="22"/>
  <c r="F115" i="22"/>
  <c r="G115" i="22"/>
  <c r="F116" i="22"/>
  <c r="G116" i="22"/>
  <c r="F117" i="22"/>
  <c r="G117" i="22"/>
  <c r="F118" i="22"/>
  <c r="G118" i="22"/>
  <c r="F119" i="22"/>
  <c r="G119" i="22"/>
  <c r="F120" i="22"/>
  <c r="G120" i="22"/>
  <c r="F121" i="22"/>
  <c r="G121" i="22"/>
  <c r="F122" i="22"/>
  <c r="G122" i="22"/>
  <c r="F123" i="22"/>
  <c r="G123" i="22"/>
  <c r="F124" i="22"/>
  <c r="G124" i="22"/>
  <c r="F125" i="22"/>
  <c r="G125" i="22"/>
  <c r="F126" i="22"/>
  <c r="G126" i="22"/>
  <c r="F127" i="22"/>
  <c r="G127" i="22"/>
  <c r="F128" i="22"/>
  <c r="G128" i="22"/>
  <c r="F129" i="22"/>
  <c r="G129" i="22"/>
  <c r="F130" i="22"/>
  <c r="G130" i="22"/>
  <c r="F131" i="22"/>
  <c r="G131" i="22"/>
  <c r="K1383" i="21"/>
  <c r="K1384" i="21"/>
  <c r="K1385" i="21"/>
  <c r="K1386" i="21"/>
  <c r="K1387" i="21"/>
  <c r="K1388" i="21"/>
  <c r="K1389" i="21"/>
  <c r="K1390" i="21"/>
  <c r="K1391" i="21"/>
  <c r="K1392" i="21"/>
  <c r="K1393" i="21"/>
  <c r="K1394" i="21"/>
  <c r="K1395" i="21"/>
  <c r="K1396" i="21"/>
  <c r="K1397" i="21"/>
  <c r="K1398" i="21"/>
  <c r="K1399" i="21"/>
  <c r="K1400" i="21"/>
  <c r="K1401" i="21"/>
  <c r="K1402" i="21"/>
  <c r="K1403" i="21"/>
  <c r="K1404" i="21"/>
  <c r="K1405" i="21"/>
  <c r="K1406" i="21"/>
  <c r="K1407" i="21"/>
  <c r="K1408" i="21"/>
  <c r="K1409" i="21"/>
  <c r="K1410" i="21"/>
  <c r="K1411" i="21"/>
  <c r="K1412" i="21"/>
  <c r="K1413" i="21"/>
  <c r="K1414" i="21"/>
  <c r="K1415" i="21"/>
  <c r="K1416" i="21"/>
  <c r="K1417" i="21"/>
  <c r="K1418" i="21"/>
  <c r="K1419" i="21"/>
  <c r="K1420" i="21"/>
  <c r="K1421" i="21"/>
  <c r="K1422" i="21"/>
  <c r="K1423" i="21"/>
  <c r="K1424" i="21"/>
  <c r="K1425" i="21"/>
  <c r="K1426" i="21"/>
  <c r="K1427" i="21"/>
  <c r="K1428" i="21"/>
  <c r="K1429" i="21"/>
  <c r="K1430" i="21"/>
  <c r="K1431" i="21"/>
  <c r="K1432" i="21"/>
  <c r="K1433" i="21"/>
  <c r="K1434" i="21"/>
  <c r="K1435" i="21"/>
  <c r="K1436" i="21"/>
  <c r="K1437" i="21"/>
  <c r="K1438" i="21"/>
  <c r="K1439" i="21"/>
  <c r="K1440" i="21"/>
  <c r="K1441" i="21"/>
  <c r="K1442" i="21"/>
  <c r="K1443" i="21"/>
  <c r="K1444" i="21"/>
  <c r="K1445" i="21"/>
  <c r="K1446" i="21"/>
  <c r="K1447" i="21"/>
  <c r="K1448" i="21"/>
  <c r="K1449" i="21"/>
  <c r="K1450" i="21"/>
  <c r="K1451" i="21"/>
  <c r="K1452" i="21"/>
  <c r="K1453" i="21"/>
  <c r="K1454" i="21"/>
  <c r="K1455" i="21"/>
  <c r="K1456" i="21"/>
  <c r="K1457" i="21"/>
  <c r="K1458" i="21"/>
  <c r="K1459" i="21"/>
  <c r="K1460" i="21"/>
  <c r="K1461" i="21"/>
  <c r="K1462" i="21"/>
  <c r="K1463" i="21"/>
  <c r="K1464" i="21"/>
  <c r="K1465" i="21"/>
  <c r="K1466" i="21"/>
  <c r="K1467" i="21"/>
  <c r="K1468" i="21"/>
  <c r="K1469" i="21"/>
  <c r="K1470" i="21"/>
  <c r="K1471" i="21"/>
  <c r="K1472" i="21"/>
  <c r="K1473" i="21"/>
  <c r="K1474" i="21"/>
  <c r="K1475" i="21"/>
  <c r="K1476" i="21"/>
  <c r="K1477" i="21"/>
  <c r="K1478" i="21"/>
  <c r="K1479" i="21"/>
  <c r="K1480" i="21"/>
  <c r="K1481" i="21"/>
  <c r="K1482" i="21"/>
  <c r="K1483" i="21"/>
  <c r="K1484" i="21"/>
  <c r="K1485" i="21"/>
  <c r="K1486" i="21"/>
  <c r="K1487" i="21"/>
  <c r="K1488" i="21"/>
  <c r="K1489" i="21"/>
  <c r="K1490" i="21"/>
  <c r="K1491" i="21"/>
  <c r="K1492" i="21"/>
  <c r="K1493" i="21"/>
  <c r="K1494" i="21"/>
  <c r="K1495" i="21"/>
  <c r="K1496" i="21"/>
  <c r="K1497" i="21"/>
  <c r="K1498" i="21"/>
  <c r="K1499" i="21"/>
  <c r="K1500" i="21"/>
  <c r="K1501" i="21"/>
  <c r="K1502" i="21"/>
  <c r="K1503" i="21"/>
  <c r="K1504" i="21"/>
  <c r="K1505" i="21"/>
  <c r="K1506" i="21"/>
  <c r="K1507" i="21"/>
  <c r="K1508" i="21"/>
  <c r="K1509" i="21"/>
  <c r="K1510" i="21"/>
  <c r="K1511" i="21"/>
  <c r="K1512" i="21"/>
  <c r="K1513" i="21"/>
  <c r="K1514" i="21"/>
  <c r="K1515" i="21"/>
  <c r="K1516" i="21"/>
  <c r="K1517" i="21"/>
  <c r="K1518" i="21"/>
  <c r="K1519" i="21"/>
  <c r="K1520" i="21"/>
  <c r="K1521" i="21"/>
  <c r="K1522" i="21"/>
  <c r="K1523" i="21"/>
  <c r="K1524" i="21"/>
  <c r="K1525" i="21"/>
  <c r="K1526" i="21"/>
  <c r="K1527" i="21"/>
  <c r="K1528" i="21"/>
  <c r="K1529" i="21"/>
  <c r="K1530" i="21"/>
  <c r="K1531" i="21"/>
  <c r="K1532" i="21"/>
  <c r="K1533" i="21"/>
  <c r="K1534" i="21"/>
  <c r="K1535" i="21"/>
  <c r="K1382" i="21"/>
  <c r="N1223" i="19"/>
  <c r="N1267" i="19"/>
  <c r="N1268" i="19"/>
  <c r="N1269" i="19"/>
  <c r="N1324" i="19"/>
  <c r="N1325" i="19"/>
  <c r="N1326" i="19"/>
  <c r="N1340" i="19"/>
  <c r="N1341" i="19"/>
  <c r="N1342" i="19"/>
  <c r="N1469" i="19"/>
  <c r="N1482" i="19"/>
  <c r="N1483" i="19"/>
  <c r="N1484" i="19"/>
  <c r="N1485" i="19"/>
  <c r="N1486" i="19"/>
  <c r="N1487" i="19"/>
  <c r="O1223" i="19"/>
  <c r="O1267" i="19"/>
  <c r="O1268" i="19"/>
  <c r="O1269" i="19"/>
  <c r="O1324" i="19"/>
  <c r="O1325" i="19"/>
  <c r="O1326" i="19"/>
  <c r="O1340" i="19"/>
  <c r="O1341" i="19"/>
  <c r="O1342" i="19"/>
  <c r="O1469" i="19"/>
  <c r="O1482" i="19"/>
  <c r="O1483" i="19"/>
  <c r="O1484" i="19"/>
  <c r="O1485" i="19"/>
  <c r="O1486" i="19"/>
  <c r="O1487" i="19"/>
  <c r="P1223" i="19"/>
  <c r="P1267" i="19"/>
  <c r="P1268" i="19"/>
  <c r="P1269" i="19"/>
  <c r="P1324" i="19"/>
  <c r="P1325" i="19"/>
  <c r="P1326" i="19"/>
  <c r="P1340" i="19"/>
  <c r="P1341" i="19"/>
  <c r="P1342" i="19"/>
  <c r="P1469" i="19"/>
  <c r="P1482" i="19"/>
  <c r="P1483" i="19"/>
  <c r="P1484" i="19"/>
  <c r="P1485" i="19"/>
  <c r="P1486" i="19"/>
  <c r="P1487" i="19"/>
  <c r="T1223" i="19"/>
  <c r="T1267" i="19"/>
  <c r="T1268" i="19"/>
  <c r="T1269" i="19"/>
  <c r="T1324" i="19"/>
  <c r="T1325" i="19"/>
  <c r="T1326" i="19"/>
  <c r="T1340" i="19"/>
  <c r="T1341" i="19"/>
  <c r="T1342" i="19"/>
  <c r="T1469" i="19"/>
  <c r="T1482" i="19"/>
  <c r="T1483" i="19"/>
  <c r="T1484" i="19"/>
  <c r="T1485" i="19"/>
  <c r="T1486" i="19"/>
  <c r="T1487" i="19"/>
  <c r="W1223" i="19"/>
  <c r="W1267" i="19"/>
  <c r="W1268" i="19"/>
  <c r="W1269" i="19"/>
  <c r="W1324" i="19"/>
  <c r="W1325" i="19"/>
  <c r="W1326" i="19"/>
  <c r="W1340" i="19"/>
  <c r="W1341" i="19"/>
  <c r="W1342" i="19"/>
  <c r="W1469" i="19"/>
  <c r="W1482" i="19"/>
  <c r="W1483" i="19"/>
  <c r="W1484" i="19"/>
  <c r="W1485" i="19"/>
  <c r="W1486" i="19"/>
  <c r="W1487" i="19"/>
  <c r="X1223" i="19"/>
  <c r="X1267" i="19"/>
  <c r="X1268" i="19"/>
  <c r="X1269" i="19"/>
  <c r="X1324" i="19"/>
  <c r="X1325" i="19"/>
  <c r="X1326" i="19"/>
  <c r="X1340" i="19"/>
  <c r="X1341" i="19"/>
  <c r="X1342" i="19"/>
  <c r="X1469" i="19"/>
  <c r="X1482" i="19"/>
  <c r="X1483" i="19"/>
  <c r="X1484" i="19"/>
  <c r="X1485" i="19"/>
  <c r="X1486" i="19"/>
  <c r="X1487" i="19"/>
  <c r="N1183" i="19"/>
  <c r="N1184" i="19"/>
  <c r="N1185" i="19"/>
  <c r="N1186" i="19"/>
  <c r="N1187" i="19"/>
  <c r="N1188" i="19"/>
  <c r="N1242" i="19"/>
  <c r="N1189" i="19"/>
  <c r="N1190" i="19"/>
  <c r="N1191" i="19"/>
  <c r="N1192" i="19"/>
  <c r="N1193" i="19"/>
  <c r="N1194" i="19"/>
  <c r="N1195" i="19"/>
  <c r="N1196" i="19"/>
  <c r="N1197" i="19"/>
  <c r="N1198" i="19"/>
  <c r="N1199" i="19"/>
  <c r="N1243" i="19"/>
  <c r="N1244" i="19"/>
  <c r="N1270" i="19"/>
  <c r="N1271" i="19"/>
  <c r="N1200" i="19"/>
  <c r="N1201" i="19"/>
  <c r="N1202" i="19"/>
  <c r="N1272" i="19"/>
  <c r="N1203" i="19"/>
  <c r="N1204" i="19"/>
  <c r="N1205" i="19"/>
  <c r="N1206" i="19"/>
  <c r="N1207" i="19"/>
  <c r="N1208" i="19"/>
  <c r="N1209" i="19"/>
  <c r="N1210" i="19"/>
  <c r="N1211" i="19"/>
  <c r="N1212" i="19"/>
  <c r="N1213" i="19"/>
  <c r="N1214" i="19"/>
  <c r="N1215" i="19"/>
  <c r="N1216" i="19"/>
  <c r="N1217" i="19"/>
  <c r="N1218" i="19"/>
  <c r="N1219" i="19"/>
  <c r="N1220" i="19"/>
  <c r="N1273" i="19"/>
  <c r="N1221" i="19"/>
  <c r="N1222" i="19"/>
  <c r="N1224" i="19"/>
  <c r="N1225" i="19"/>
  <c r="N1226" i="19"/>
  <c r="N1227" i="19"/>
  <c r="N1228" i="19"/>
  <c r="N1229" i="19"/>
  <c r="N1230" i="19"/>
  <c r="N1231" i="19"/>
  <c r="N1232" i="19"/>
  <c r="N1233" i="19"/>
  <c r="N1234" i="19"/>
  <c r="N1235" i="19"/>
  <c r="N1236" i="19"/>
  <c r="N1237" i="19"/>
  <c r="N1238" i="19"/>
  <c r="N1239" i="19"/>
  <c r="N1240" i="19"/>
  <c r="N1241" i="19"/>
  <c r="N1245" i="19"/>
  <c r="N1246" i="19"/>
  <c r="N1247" i="19"/>
  <c r="N1248" i="19"/>
  <c r="N1274" i="19"/>
  <c r="N1249" i="19"/>
  <c r="N1250" i="19"/>
  <c r="N1251" i="19"/>
  <c r="N1252" i="19"/>
  <c r="N1253" i="19"/>
  <c r="N1254" i="19"/>
  <c r="N1255" i="19"/>
  <c r="N1256" i="19"/>
  <c r="N1257" i="19"/>
  <c r="N1258" i="19"/>
  <c r="N1259" i="19"/>
  <c r="N1260" i="19"/>
  <c r="N1261" i="19"/>
  <c r="N1262" i="19"/>
  <c r="N1275" i="19"/>
  <c r="N1263" i="19"/>
  <c r="N1264" i="19"/>
  <c r="N1265" i="19"/>
  <c r="N1266" i="19"/>
  <c r="N1276" i="19"/>
  <c r="N1277" i="19"/>
  <c r="N1278" i="19"/>
  <c r="N1279" i="19"/>
  <c r="N1280" i="19"/>
  <c r="N1281" i="19"/>
  <c r="N1282" i="19"/>
  <c r="N1283" i="19"/>
  <c r="N1284" i="19"/>
  <c r="N1285" i="19"/>
  <c r="N1286" i="19"/>
  <c r="N1287" i="19"/>
  <c r="N1288" i="19"/>
  <c r="N1289" i="19"/>
  <c r="N1290" i="19"/>
  <c r="N1291" i="19"/>
  <c r="N1292" i="19"/>
  <c r="N1293" i="19"/>
  <c r="N1294" i="19"/>
  <c r="N1295" i="19"/>
  <c r="N1296" i="19"/>
  <c r="N1297" i="19"/>
  <c r="N1298" i="19"/>
  <c r="N1299" i="19"/>
  <c r="N1300" i="19"/>
  <c r="N1301" i="19"/>
  <c r="N1302" i="19"/>
  <c r="N1303" i="19"/>
  <c r="N1304" i="19"/>
  <c r="N1305" i="19"/>
  <c r="N1306" i="19"/>
  <c r="N1307" i="19"/>
  <c r="N1308" i="19"/>
  <c r="N1309" i="19"/>
  <c r="N1310" i="19"/>
  <c r="N1311" i="19"/>
  <c r="N1312" i="19"/>
  <c r="N1313" i="19"/>
  <c r="N1314" i="19"/>
  <c r="N1315" i="19"/>
  <c r="N1316" i="19"/>
  <c r="N1317" i="19"/>
  <c r="N1319" i="19"/>
  <c r="N1320" i="19"/>
  <c r="N1321" i="19"/>
  <c r="N1322" i="19"/>
  <c r="N1323" i="19"/>
  <c r="N1327" i="19"/>
  <c r="N1420" i="19"/>
  <c r="N1328" i="19"/>
  <c r="N1329" i="19"/>
  <c r="N1330" i="19"/>
  <c r="N1331" i="19"/>
  <c r="N1332" i="19"/>
  <c r="N1333" i="19"/>
  <c r="N1334" i="19"/>
  <c r="N1335" i="19"/>
  <c r="N1336" i="19"/>
  <c r="N1337" i="19"/>
  <c r="N1338" i="19"/>
  <c r="N1344" i="19"/>
  <c r="N1339" i="19"/>
  <c r="N1345" i="19"/>
  <c r="N1346" i="19"/>
  <c r="N1347" i="19"/>
  <c r="N1348" i="19"/>
  <c r="N1349" i="19"/>
  <c r="N1350" i="19"/>
  <c r="N1375" i="19"/>
  <c r="N1376" i="19"/>
  <c r="N1352" i="19"/>
  <c r="N1353" i="19"/>
  <c r="N1354" i="19"/>
  <c r="N1351" i="19"/>
  <c r="N1355" i="19"/>
  <c r="N1356" i="19"/>
  <c r="N1357" i="19"/>
  <c r="N1358" i="19"/>
  <c r="N1359" i="19"/>
  <c r="N1360" i="19"/>
  <c r="N1361" i="19"/>
  <c r="N1362" i="19"/>
  <c r="N1363" i="19"/>
  <c r="N1364" i="19"/>
  <c r="N1365" i="19"/>
  <c r="N1366" i="19"/>
  <c r="N1367" i="19"/>
  <c r="N1368" i="19"/>
  <c r="N1369" i="19"/>
  <c r="N1370" i="19"/>
  <c r="N1371" i="19"/>
  <c r="N1377" i="19"/>
  <c r="N1378" i="19"/>
  <c r="N1372" i="19"/>
  <c r="N1373" i="19"/>
  <c r="N1374" i="19"/>
  <c r="N1379" i="19"/>
  <c r="N1380" i="19"/>
  <c r="N1381" i="19"/>
  <c r="N1382" i="19"/>
  <c r="N1383" i="19"/>
  <c r="N1384" i="19"/>
  <c r="N1385" i="19"/>
  <c r="N1386" i="19"/>
  <c r="N1387" i="19"/>
  <c r="N1388" i="19"/>
  <c r="N1389" i="19"/>
  <c r="N1390" i="19"/>
  <c r="N1391" i="19"/>
  <c r="N1421" i="19"/>
  <c r="N1392" i="19"/>
  <c r="N1393" i="19"/>
  <c r="N1394" i="19"/>
  <c r="N1395" i="19"/>
  <c r="N1396" i="19"/>
  <c r="N1397" i="19"/>
  <c r="N1398" i="19"/>
  <c r="N1399" i="19"/>
  <c r="N1400" i="19"/>
  <c r="N1422" i="19"/>
  <c r="N1401" i="19"/>
  <c r="N1402" i="19"/>
  <c r="N1403" i="19"/>
  <c r="N1404" i="19"/>
  <c r="N1405" i="19"/>
  <c r="N1406" i="19"/>
  <c r="N1407" i="19"/>
  <c r="N1408" i="19"/>
  <c r="N1409" i="19"/>
  <c r="N1410" i="19"/>
  <c r="N1411" i="19"/>
  <c r="N1423" i="19"/>
  <c r="N1424" i="19"/>
  <c r="N1425" i="19"/>
  <c r="N1426" i="19"/>
  <c r="N1427" i="19"/>
  <c r="N1412" i="19"/>
  <c r="N1413" i="19"/>
  <c r="N1414" i="19"/>
  <c r="N1415" i="19"/>
  <c r="N1428" i="19"/>
  <c r="N1416" i="19"/>
  <c r="N1417" i="19"/>
  <c r="N1418" i="19"/>
  <c r="N1419" i="19"/>
  <c r="N1429" i="19"/>
  <c r="N1430" i="19"/>
  <c r="N1431" i="19"/>
  <c r="N1432" i="19"/>
  <c r="N1433" i="19"/>
  <c r="N1434" i="19"/>
  <c r="N1435" i="19"/>
  <c r="N1436" i="19"/>
  <c r="N1437" i="19"/>
  <c r="N1438" i="19"/>
  <c r="N1439" i="19"/>
  <c r="N1440" i="19"/>
  <c r="N1441" i="19"/>
  <c r="N1442" i="19"/>
  <c r="N1443" i="19"/>
  <c r="N1444" i="19"/>
  <c r="N1445" i="19"/>
  <c r="N1446" i="19"/>
  <c r="N1447" i="19"/>
  <c r="N1448" i="19"/>
  <c r="N1449" i="19"/>
  <c r="N1450" i="19"/>
  <c r="N1451" i="19"/>
  <c r="N1452" i="19"/>
  <c r="N1453" i="19"/>
  <c r="N1454" i="19"/>
  <c r="N1455" i="19"/>
  <c r="N1456" i="19"/>
  <c r="N1457" i="19"/>
  <c r="N1459" i="19"/>
  <c r="N1460" i="19"/>
  <c r="N1461" i="19"/>
  <c r="N1462" i="19"/>
  <c r="N1463" i="19"/>
  <c r="N1464" i="19"/>
  <c r="N1465" i="19"/>
  <c r="N1466" i="19"/>
  <c r="N1467" i="19"/>
  <c r="N1468" i="19"/>
  <c r="N1470" i="19"/>
  <c r="N1471" i="19"/>
  <c r="N1472" i="19"/>
  <c r="N1473" i="19"/>
  <c r="N1474" i="19"/>
  <c r="N1475" i="19"/>
  <c r="N1476" i="19"/>
  <c r="N1477" i="19"/>
  <c r="N1478" i="19"/>
  <c r="N1479" i="19"/>
  <c r="N1480" i="19"/>
  <c r="N1481" i="19"/>
  <c r="O1183" i="19"/>
  <c r="O1184" i="19"/>
  <c r="O1185" i="19"/>
  <c r="O1186" i="19"/>
  <c r="O1187" i="19"/>
  <c r="O1188" i="19"/>
  <c r="O1242" i="19"/>
  <c r="O1189" i="19"/>
  <c r="O1190" i="19"/>
  <c r="O1191" i="19"/>
  <c r="O1192" i="19"/>
  <c r="O1193" i="19"/>
  <c r="O1194" i="19"/>
  <c r="O1195" i="19"/>
  <c r="O1196" i="19"/>
  <c r="O1197" i="19"/>
  <c r="O1198" i="19"/>
  <c r="O1199" i="19"/>
  <c r="O1243" i="19"/>
  <c r="O1244" i="19"/>
  <c r="O1270" i="19"/>
  <c r="O1271" i="19"/>
  <c r="O1200" i="19"/>
  <c r="O1201" i="19"/>
  <c r="O1202" i="19"/>
  <c r="O1272" i="19"/>
  <c r="O1203" i="19"/>
  <c r="O1204" i="19"/>
  <c r="O1205" i="19"/>
  <c r="O1206" i="19"/>
  <c r="O1207" i="19"/>
  <c r="O1208" i="19"/>
  <c r="O1209" i="19"/>
  <c r="O1210" i="19"/>
  <c r="O1211" i="19"/>
  <c r="O1212" i="19"/>
  <c r="O1213" i="19"/>
  <c r="O1214" i="19"/>
  <c r="O1215" i="19"/>
  <c r="O1216" i="19"/>
  <c r="O1217" i="19"/>
  <c r="O1218" i="19"/>
  <c r="O1219" i="19"/>
  <c r="O1220" i="19"/>
  <c r="O1273" i="19"/>
  <c r="O1221" i="19"/>
  <c r="O1222" i="19"/>
  <c r="O1224" i="19"/>
  <c r="O1225" i="19"/>
  <c r="O1226" i="19"/>
  <c r="O1227" i="19"/>
  <c r="O1228" i="19"/>
  <c r="O1229" i="19"/>
  <c r="O1230" i="19"/>
  <c r="O1231" i="19"/>
  <c r="O1232" i="19"/>
  <c r="O1233" i="19"/>
  <c r="O1234" i="19"/>
  <c r="O1235" i="19"/>
  <c r="O1236" i="19"/>
  <c r="O1237" i="19"/>
  <c r="O1238" i="19"/>
  <c r="O1239" i="19"/>
  <c r="O1240" i="19"/>
  <c r="O1241" i="19"/>
  <c r="O1245" i="19"/>
  <c r="O1246" i="19"/>
  <c r="O1247" i="19"/>
  <c r="O1248" i="19"/>
  <c r="O1274" i="19"/>
  <c r="O1249" i="19"/>
  <c r="O1250" i="19"/>
  <c r="O1251" i="19"/>
  <c r="O1252" i="19"/>
  <c r="O1253" i="19"/>
  <c r="O1254" i="19"/>
  <c r="O1255" i="19"/>
  <c r="O1256" i="19"/>
  <c r="O1257" i="19"/>
  <c r="O1258" i="19"/>
  <c r="O1259" i="19"/>
  <c r="O1260" i="19"/>
  <c r="O1261" i="19"/>
  <c r="O1262" i="19"/>
  <c r="O1275" i="19"/>
  <c r="O1263" i="19"/>
  <c r="O1264" i="19"/>
  <c r="O1265" i="19"/>
  <c r="O1266" i="19"/>
  <c r="O1276" i="19"/>
  <c r="O1277" i="19"/>
  <c r="O1278" i="19"/>
  <c r="O1279" i="19"/>
  <c r="O1280" i="19"/>
  <c r="O1281" i="19"/>
  <c r="O1282" i="19"/>
  <c r="O1283" i="19"/>
  <c r="O1284" i="19"/>
  <c r="O1285" i="19"/>
  <c r="O1286" i="19"/>
  <c r="O1287" i="19"/>
  <c r="O1288" i="19"/>
  <c r="O1289" i="19"/>
  <c r="O1290" i="19"/>
  <c r="O1291" i="19"/>
  <c r="O1292" i="19"/>
  <c r="O1293" i="19"/>
  <c r="O1294" i="19"/>
  <c r="O1295" i="19"/>
  <c r="O1296" i="19"/>
  <c r="O1297" i="19"/>
  <c r="O1298" i="19"/>
  <c r="O1299" i="19"/>
  <c r="O1300" i="19"/>
  <c r="O1301" i="19"/>
  <c r="O1302" i="19"/>
  <c r="O1303" i="19"/>
  <c r="O1304" i="19"/>
  <c r="O1305" i="19"/>
  <c r="O1306" i="19"/>
  <c r="O1307" i="19"/>
  <c r="O1308" i="19"/>
  <c r="O1309" i="19"/>
  <c r="O1310" i="19"/>
  <c r="O1311" i="19"/>
  <c r="O1312" i="19"/>
  <c r="O1313" i="19"/>
  <c r="O1314" i="19"/>
  <c r="O1315" i="19"/>
  <c r="O1316" i="19"/>
  <c r="O1317" i="19"/>
  <c r="O1319" i="19"/>
  <c r="O1320" i="19"/>
  <c r="O1321" i="19"/>
  <c r="O1322" i="19"/>
  <c r="O1323" i="19"/>
  <c r="O1327" i="19"/>
  <c r="O1420" i="19"/>
  <c r="O1328" i="19"/>
  <c r="O1329" i="19"/>
  <c r="O1330" i="19"/>
  <c r="O1331" i="19"/>
  <c r="O1332" i="19"/>
  <c r="O1333" i="19"/>
  <c r="O1334" i="19"/>
  <c r="O1335" i="19"/>
  <c r="O1336" i="19"/>
  <c r="O1337" i="19"/>
  <c r="O1338" i="19"/>
  <c r="O1344" i="19"/>
  <c r="O1339" i="19"/>
  <c r="O1345" i="19"/>
  <c r="O1346" i="19"/>
  <c r="O1347" i="19"/>
  <c r="O1348" i="19"/>
  <c r="O1349" i="19"/>
  <c r="O1350" i="19"/>
  <c r="O1375" i="19"/>
  <c r="O1376" i="19"/>
  <c r="O1352" i="19"/>
  <c r="O1353" i="19"/>
  <c r="O1354" i="19"/>
  <c r="O1351" i="19"/>
  <c r="O1355" i="19"/>
  <c r="O1356" i="19"/>
  <c r="O1357" i="19"/>
  <c r="O1358" i="19"/>
  <c r="O1359" i="19"/>
  <c r="O1360" i="19"/>
  <c r="O1361" i="19"/>
  <c r="O1362" i="19"/>
  <c r="O1363" i="19"/>
  <c r="O1364" i="19"/>
  <c r="O1365" i="19"/>
  <c r="O1366" i="19"/>
  <c r="O1367" i="19"/>
  <c r="O1368" i="19"/>
  <c r="O1369" i="19"/>
  <c r="O1370" i="19"/>
  <c r="O1371" i="19"/>
  <c r="O1377" i="19"/>
  <c r="O1378" i="19"/>
  <c r="O1372" i="19"/>
  <c r="O1373" i="19"/>
  <c r="O1374" i="19"/>
  <c r="O1379" i="19"/>
  <c r="O1380" i="19"/>
  <c r="O1381" i="19"/>
  <c r="O1382" i="19"/>
  <c r="O1383" i="19"/>
  <c r="O1384" i="19"/>
  <c r="O1385" i="19"/>
  <c r="O1386" i="19"/>
  <c r="O1387" i="19"/>
  <c r="O1388" i="19"/>
  <c r="O1389" i="19"/>
  <c r="O1390" i="19"/>
  <c r="O1391" i="19"/>
  <c r="O1421" i="19"/>
  <c r="O1392" i="19"/>
  <c r="O1393" i="19"/>
  <c r="O1394" i="19"/>
  <c r="O1395" i="19"/>
  <c r="O1396" i="19"/>
  <c r="O1397" i="19"/>
  <c r="O1398" i="19"/>
  <c r="O1399" i="19"/>
  <c r="O1400" i="19"/>
  <c r="O1422" i="19"/>
  <c r="O1401" i="19"/>
  <c r="O1402" i="19"/>
  <c r="O1403" i="19"/>
  <c r="O1404" i="19"/>
  <c r="O1405" i="19"/>
  <c r="O1406" i="19"/>
  <c r="O1407" i="19"/>
  <c r="O1408" i="19"/>
  <c r="O1409" i="19"/>
  <c r="O1410" i="19"/>
  <c r="O1411" i="19"/>
  <c r="O1423" i="19"/>
  <c r="O1424" i="19"/>
  <c r="O1425" i="19"/>
  <c r="O1426" i="19"/>
  <c r="O1427" i="19"/>
  <c r="O1412" i="19"/>
  <c r="O1413" i="19"/>
  <c r="O1414" i="19"/>
  <c r="O1415" i="19"/>
  <c r="O1428" i="19"/>
  <c r="O1416" i="19"/>
  <c r="O1417" i="19"/>
  <c r="O1418" i="19"/>
  <c r="O1419" i="19"/>
  <c r="O1429" i="19"/>
  <c r="O1430" i="19"/>
  <c r="O1431" i="19"/>
  <c r="O1432" i="19"/>
  <c r="O1433" i="19"/>
  <c r="O1434" i="19"/>
  <c r="O1435" i="19"/>
  <c r="O1436" i="19"/>
  <c r="O1437" i="19"/>
  <c r="O1438" i="19"/>
  <c r="O1439" i="19"/>
  <c r="O1440" i="19"/>
  <c r="O1441" i="19"/>
  <c r="O1442" i="19"/>
  <c r="O1443" i="19"/>
  <c r="O1444" i="19"/>
  <c r="O1445" i="19"/>
  <c r="O1446" i="19"/>
  <c r="O1447" i="19"/>
  <c r="O1448" i="19"/>
  <c r="O1449" i="19"/>
  <c r="O1450" i="19"/>
  <c r="O1451" i="19"/>
  <c r="O1452" i="19"/>
  <c r="O1453" i="19"/>
  <c r="O1454" i="19"/>
  <c r="O1455" i="19"/>
  <c r="O1456" i="19"/>
  <c r="O1457" i="19"/>
  <c r="O1459" i="19"/>
  <c r="O1460" i="19"/>
  <c r="O1461" i="19"/>
  <c r="O1462" i="19"/>
  <c r="O1463" i="19"/>
  <c r="O1464" i="19"/>
  <c r="O1465" i="19"/>
  <c r="O1466" i="19"/>
  <c r="O1467" i="19"/>
  <c r="O1468" i="19"/>
  <c r="O1470" i="19"/>
  <c r="O1471" i="19"/>
  <c r="O1472" i="19"/>
  <c r="O1473" i="19"/>
  <c r="O1474" i="19"/>
  <c r="O1475" i="19"/>
  <c r="O1476" i="19"/>
  <c r="O1477" i="19"/>
  <c r="O1478" i="19"/>
  <c r="O1479" i="19"/>
  <c r="O1480" i="19"/>
  <c r="O1481" i="19"/>
  <c r="P1183" i="19"/>
  <c r="P1184" i="19"/>
  <c r="P1185" i="19"/>
  <c r="P1186" i="19"/>
  <c r="P1187" i="19"/>
  <c r="P1188" i="19"/>
  <c r="P1242" i="19"/>
  <c r="P1189" i="19"/>
  <c r="P1190" i="19"/>
  <c r="P1191" i="19"/>
  <c r="P1192" i="19"/>
  <c r="P1193" i="19"/>
  <c r="P1194" i="19"/>
  <c r="P1195" i="19"/>
  <c r="P1196" i="19"/>
  <c r="P1197" i="19"/>
  <c r="P1198" i="19"/>
  <c r="P1199" i="19"/>
  <c r="P1243" i="19"/>
  <c r="P1244" i="19"/>
  <c r="P1270" i="19"/>
  <c r="P1271" i="19"/>
  <c r="P1200" i="19"/>
  <c r="P1201" i="19"/>
  <c r="P1202" i="19"/>
  <c r="P1272" i="19"/>
  <c r="P1203" i="19"/>
  <c r="P1204" i="19"/>
  <c r="P1205" i="19"/>
  <c r="P1206" i="19"/>
  <c r="P1207" i="19"/>
  <c r="P1208" i="19"/>
  <c r="P1209" i="19"/>
  <c r="P1210" i="19"/>
  <c r="P1211" i="19"/>
  <c r="P1212" i="19"/>
  <c r="P1213" i="19"/>
  <c r="P1214" i="19"/>
  <c r="P1215" i="19"/>
  <c r="P1216" i="19"/>
  <c r="P1217" i="19"/>
  <c r="P1218" i="19"/>
  <c r="P1219" i="19"/>
  <c r="P1220" i="19"/>
  <c r="P1273" i="19"/>
  <c r="P1221" i="19"/>
  <c r="P1222" i="19"/>
  <c r="P1224" i="19"/>
  <c r="P1225" i="19"/>
  <c r="P1226" i="19"/>
  <c r="P1227" i="19"/>
  <c r="P1228" i="19"/>
  <c r="P1229" i="19"/>
  <c r="P1230" i="19"/>
  <c r="P1231" i="19"/>
  <c r="P1232" i="19"/>
  <c r="P1233" i="19"/>
  <c r="P1234" i="19"/>
  <c r="P1235" i="19"/>
  <c r="P1236" i="19"/>
  <c r="P1237" i="19"/>
  <c r="P1238" i="19"/>
  <c r="P1239" i="19"/>
  <c r="P1240" i="19"/>
  <c r="P1241" i="19"/>
  <c r="P1245" i="19"/>
  <c r="P1246" i="19"/>
  <c r="P1247" i="19"/>
  <c r="P1248" i="19"/>
  <c r="P1274" i="19"/>
  <c r="P1249" i="19"/>
  <c r="P1250" i="19"/>
  <c r="P1251" i="19"/>
  <c r="P1252" i="19"/>
  <c r="P1253" i="19"/>
  <c r="P1254" i="19"/>
  <c r="P1255" i="19"/>
  <c r="P1256" i="19"/>
  <c r="P1257" i="19"/>
  <c r="P1258" i="19"/>
  <c r="P1259" i="19"/>
  <c r="P1260" i="19"/>
  <c r="P1261" i="19"/>
  <c r="P1262" i="19"/>
  <c r="P1275" i="19"/>
  <c r="P1263" i="19"/>
  <c r="P1264" i="19"/>
  <c r="P1265" i="19"/>
  <c r="P1266" i="19"/>
  <c r="P1276" i="19"/>
  <c r="P1277" i="19"/>
  <c r="P1278" i="19"/>
  <c r="P1279" i="19"/>
  <c r="P1280" i="19"/>
  <c r="P1281" i="19"/>
  <c r="P1282" i="19"/>
  <c r="P1283" i="19"/>
  <c r="P1284" i="19"/>
  <c r="P1285" i="19"/>
  <c r="P1286" i="19"/>
  <c r="P1287" i="19"/>
  <c r="P1288" i="19"/>
  <c r="P1289" i="19"/>
  <c r="P1290" i="19"/>
  <c r="P1291" i="19"/>
  <c r="P1292" i="19"/>
  <c r="P1293" i="19"/>
  <c r="P1294" i="19"/>
  <c r="P1295" i="19"/>
  <c r="P1296" i="19"/>
  <c r="P1297" i="19"/>
  <c r="P1298" i="19"/>
  <c r="P1299" i="19"/>
  <c r="P1300" i="19"/>
  <c r="P1301" i="19"/>
  <c r="P1302" i="19"/>
  <c r="P1303" i="19"/>
  <c r="P1304" i="19"/>
  <c r="P1305" i="19"/>
  <c r="P1306" i="19"/>
  <c r="P1307" i="19"/>
  <c r="P1308" i="19"/>
  <c r="P1309" i="19"/>
  <c r="P1310" i="19"/>
  <c r="P1311" i="19"/>
  <c r="P1312" i="19"/>
  <c r="P1313" i="19"/>
  <c r="P1314" i="19"/>
  <c r="P1315" i="19"/>
  <c r="P1316" i="19"/>
  <c r="P1317" i="19"/>
  <c r="P1319" i="19"/>
  <c r="P1320" i="19"/>
  <c r="P1321" i="19"/>
  <c r="P1322" i="19"/>
  <c r="P1323" i="19"/>
  <c r="P1327" i="19"/>
  <c r="P1420" i="19"/>
  <c r="P1328" i="19"/>
  <c r="P1329" i="19"/>
  <c r="P1330" i="19"/>
  <c r="P1331" i="19"/>
  <c r="P1332" i="19"/>
  <c r="P1333" i="19"/>
  <c r="P1334" i="19"/>
  <c r="P1335" i="19"/>
  <c r="P1336" i="19"/>
  <c r="P1337" i="19"/>
  <c r="P1338" i="19"/>
  <c r="P1344" i="19"/>
  <c r="P1339" i="19"/>
  <c r="P1345" i="19"/>
  <c r="P1346" i="19"/>
  <c r="P1347" i="19"/>
  <c r="P1348" i="19"/>
  <c r="P1349" i="19"/>
  <c r="P1350" i="19"/>
  <c r="P1375" i="19"/>
  <c r="P1376" i="19"/>
  <c r="P1352" i="19"/>
  <c r="P1353" i="19"/>
  <c r="P1354" i="19"/>
  <c r="P1351" i="19"/>
  <c r="P1355" i="19"/>
  <c r="P1356" i="19"/>
  <c r="P1357" i="19"/>
  <c r="P1358" i="19"/>
  <c r="P1359" i="19"/>
  <c r="P1360" i="19"/>
  <c r="P1361" i="19"/>
  <c r="P1362" i="19"/>
  <c r="P1363" i="19"/>
  <c r="P1364" i="19"/>
  <c r="P1365" i="19"/>
  <c r="P1366" i="19"/>
  <c r="P1367" i="19"/>
  <c r="P1368" i="19"/>
  <c r="P1369" i="19"/>
  <c r="P1370" i="19"/>
  <c r="P1371" i="19"/>
  <c r="P1377" i="19"/>
  <c r="P1378" i="19"/>
  <c r="P1372" i="19"/>
  <c r="P1373" i="19"/>
  <c r="P1374" i="19"/>
  <c r="P1379" i="19"/>
  <c r="P1380" i="19"/>
  <c r="P1381" i="19"/>
  <c r="P1382" i="19"/>
  <c r="P1383" i="19"/>
  <c r="P1384" i="19"/>
  <c r="P1385" i="19"/>
  <c r="P1386" i="19"/>
  <c r="P1387" i="19"/>
  <c r="P1388" i="19"/>
  <c r="P1389" i="19"/>
  <c r="P1390" i="19"/>
  <c r="P1391" i="19"/>
  <c r="P1421" i="19"/>
  <c r="P1392" i="19"/>
  <c r="P1393" i="19"/>
  <c r="P1394" i="19"/>
  <c r="P1395" i="19"/>
  <c r="P1396" i="19"/>
  <c r="P1397" i="19"/>
  <c r="P1398" i="19"/>
  <c r="P1399" i="19"/>
  <c r="P1400" i="19"/>
  <c r="P1422" i="19"/>
  <c r="P1401" i="19"/>
  <c r="P1402" i="19"/>
  <c r="P1403" i="19"/>
  <c r="P1404" i="19"/>
  <c r="P1405" i="19"/>
  <c r="P1406" i="19"/>
  <c r="P1407" i="19"/>
  <c r="P1408" i="19"/>
  <c r="P1409" i="19"/>
  <c r="P1410" i="19"/>
  <c r="P1411" i="19"/>
  <c r="P1423" i="19"/>
  <c r="P1424" i="19"/>
  <c r="P1425" i="19"/>
  <c r="P1426" i="19"/>
  <c r="P1427" i="19"/>
  <c r="P1412" i="19"/>
  <c r="P1413" i="19"/>
  <c r="P1414" i="19"/>
  <c r="P1415" i="19"/>
  <c r="P1428" i="19"/>
  <c r="P1416" i="19"/>
  <c r="P1417" i="19"/>
  <c r="P1418" i="19"/>
  <c r="P1419" i="19"/>
  <c r="P1429" i="19"/>
  <c r="P1430" i="19"/>
  <c r="P1431" i="19"/>
  <c r="P1432" i="19"/>
  <c r="P1433" i="19"/>
  <c r="P1434" i="19"/>
  <c r="P1435" i="19"/>
  <c r="P1436" i="19"/>
  <c r="P1437" i="19"/>
  <c r="P1438" i="19"/>
  <c r="P1439" i="19"/>
  <c r="P1440" i="19"/>
  <c r="P1441" i="19"/>
  <c r="P1442" i="19"/>
  <c r="P1443" i="19"/>
  <c r="P1444" i="19"/>
  <c r="P1445" i="19"/>
  <c r="P1446" i="19"/>
  <c r="P1447" i="19"/>
  <c r="P1448" i="19"/>
  <c r="P1449" i="19"/>
  <c r="P1450" i="19"/>
  <c r="P1451" i="19"/>
  <c r="P1452" i="19"/>
  <c r="P1453" i="19"/>
  <c r="P1454" i="19"/>
  <c r="P1455" i="19"/>
  <c r="P1456" i="19"/>
  <c r="P1457" i="19"/>
  <c r="P1459" i="19"/>
  <c r="P1460" i="19"/>
  <c r="P1461" i="19"/>
  <c r="P1462" i="19"/>
  <c r="P1463" i="19"/>
  <c r="P1464" i="19"/>
  <c r="P1465" i="19"/>
  <c r="P1466" i="19"/>
  <c r="P1467" i="19"/>
  <c r="P1468" i="19"/>
  <c r="P1470" i="19"/>
  <c r="P1471" i="19"/>
  <c r="P1472" i="19"/>
  <c r="P1473" i="19"/>
  <c r="P1474" i="19"/>
  <c r="P1475" i="19"/>
  <c r="P1476" i="19"/>
  <c r="P1477" i="19"/>
  <c r="P1478" i="19"/>
  <c r="P1479" i="19"/>
  <c r="P1480" i="19"/>
  <c r="P1481" i="19"/>
  <c r="T1183" i="19"/>
  <c r="T1184" i="19"/>
  <c r="T1185" i="19"/>
  <c r="T1186" i="19"/>
  <c r="T1187" i="19"/>
  <c r="T1188" i="19"/>
  <c r="T1242" i="19"/>
  <c r="T1189" i="19"/>
  <c r="T1190" i="19"/>
  <c r="T1191" i="19"/>
  <c r="T1192" i="19"/>
  <c r="T1193" i="19"/>
  <c r="T1194" i="19"/>
  <c r="T1195" i="19"/>
  <c r="T1196" i="19"/>
  <c r="T1197" i="19"/>
  <c r="T1198" i="19"/>
  <c r="T1199" i="19"/>
  <c r="T1243" i="19"/>
  <c r="T1244" i="19"/>
  <c r="T1270" i="19"/>
  <c r="T1271" i="19"/>
  <c r="T1200" i="19"/>
  <c r="T1201" i="19"/>
  <c r="T1202" i="19"/>
  <c r="T1272" i="19"/>
  <c r="T1203" i="19"/>
  <c r="T1204" i="19"/>
  <c r="T1205" i="19"/>
  <c r="T1206" i="19"/>
  <c r="T1207" i="19"/>
  <c r="T1208" i="19"/>
  <c r="T1209" i="19"/>
  <c r="T1210" i="19"/>
  <c r="T1211" i="19"/>
  <c r="T1212" i="19"/>
  <c r="T1213" i="19"/>
  <c r="T1214" i="19"/>
  <c r="T1215" i="19"/>
  <c r="T1216" i="19"/>
  <c r="T1217" i="19"/>
  <c r="T1218" i="19"/>
  <c r="T1219" i="19"/>
  <c r="T1220" i="19"/>
  <c r="T1273" i="19"/>
  <c r="T1221" i="19"/>
  <c r="T1222" i="19"/>
  <c r="T1224" i="19"/>
  <c r="T1225" i="19"/>
  <c r="T1226" i="19"/>
  <c r="T1227" i="19"/>
  <c r="T1228" i="19"/>
  <c r="T1229" i="19"/>
  <c r="T1230" i="19"/>
  <c r="T1231" i="19"/>
  <c r="T1232" i="19"/>
  <c r="T1233" i="19"/>
  <c r="T1234" i="19"/>
  <c r="T1235" i="19"/>
  <c r="T1236" i="19"/>
  <c r="T1237" i="19"/>
  <c r="T1238" i="19"/>
  <c r="T1239" i="19"/>
  <c r="T1240" i="19"/>
  <c r="T1241" i="19"/>
  <c r="T1245" i="19"/>
  <c r="T1246" i="19"/>
  <c r="T1247" i="19"/>
  <c r="T1248" i="19"/>
  <c r="T1274" i="19"/>
  <c r="T1249" i="19"/>
  <c r="T1250" i="19"/>
  <c r="T1251" i="19"/>
  <c r="T1252" i="19"/>
  <c r="T1253" i="19"/>
  <c r="T1254" i="19"/>
  <c r="T1255" i="19"/>
  <c r="T1256" i="19"/>
  <c r="T1257" i="19"/>
  <c r="T1258" i="19"/>
  <c r="T1259" i="19"/>
  <c r="T1260" i="19"/>
  <c r="T1261" i="19"/>
  <c r="T1262" i="19"/>
  <c r="T1275" i="19"/>
  <c r="T1263" i="19"/>
  <c r="T1264" i="19"/>
  <c r="T1265" i="19"/>
  <c r="T1266" i="19"/>
  <c r="T1276" i="19"/>
  <c r="T1277" i="19"/>
  <c r="T1278" i="19"/>
  <c r="T1279" i="19"/>
  <c r="T1280" i="19"/>
  <c r="T1281" i="19"/>
  <c r="T1282" i="19"/>
  <c r="T1283" i="19"/>
  <c r="T1284" i="19"/>
  <c r="T1285" i="19"/>
  <c r="T1286" i="19"/>
  <c r="T1287" i="19"/>
  <c r="T1288" i="19"/>
  <c r="T1289" i="19"/>
  <c r="T1290" i="19"/>
  <c r="T1291" i="19"/>
  <c r="T1292" i="19"/>
  <c r="T1293" i="19"/>
  <c r="T1294" i="19"/>
  <c r="T1295" i="19"/>
  <c r="T1296" i="19"/>
  <c r="T1297" i="19"/>
  <c r="T1298" i="19"/>
  <c r="T1299" i="19"/>
  <c r="T1300" i="19"/>
  <c r="T1301" i="19"/>
  <c r="T1302" i="19"/>
  <c r="T1303" i="19"/>
  <c r="T1304" i="19"/>
  <c r="T1305" i="19"/>
  <c r="T1306" i="19"/>
  <c r="T1307" i="19"/>
  <c r="T1308" i="19"/>
  <c r="T1309" i="19"/>
  <c r="T1310" i="19"/>
  <c r="T1311" i="19"/>
  <c r="T1312" i="19"/>
  <c r="T1313" i="19"/>
  <c r="T1314" i="19"/>
  <c r="T1315" i="19"/>
  <c r="T1316" i="19"/>
  <c r="T1317" i="19"/>
  <c r="T1319" i="19"/>
  <c r="T1320" i="19"/>
  <c r="T1321" i="19"/>
  <c r="T1322" i="19"/>
  <c r="T1323" i="19"/>
  <c r="T1327" i="19"/>
  <c r="T1420" i="19"/>
  <c r="T1328" i="19"/>
  <c r="T1329" i="19"/>
  <c r="T1330" i="19"/>
  <c r="T1331" i="19"/>
  <c r="T1332" i="19"/>
  <c r="T1333" i="19"/>
  <c r="T1334" i="19"/>
  <c r="T1335" i="19"/>
  <c r="T1336" i="19"/>
  <c r="T1337" i="19"/>
  <c r="T1338" i="19"/>
  <c r="T1344" i="19"/>
  <c r="T1339" i="19"/>
  <c r="T1345" i="19"/>
  <c r="T1346" i="19"/>
  <c r="T1347" i="19"/>
  <c r="T1348" i="19"/>
  <c r="T1349" i="19"/>
  <c r="T1350" i="19"/>
  <c r="T1375" i="19"/>
  <c r="T1376" i="19"/>
  <c r="T1352" i="19"/>
  <c r="T1353" i="19"/>
  <c r="T1354" i="19"/>
  <c r="T1351" i="19"/>
  <c r="T1355" i="19"/>
  <c r="T1356" i="19"/>
  <c r="T1357" i="19"/>
  <c r="T1358" i="19"/>
  <c r="T1359" i="19"/>
  <c r="T1360" i="19"/>
  <c r="T1361" i="19"/>
  <c r="T1362" i="19"/>
  <c r="T1363" i="19"/>
  <c r="T1364" i="19"/>
  <c r="T1365" i="19"/>
  <c r="T1366" i="19"/>
  <c r="T1367" i="19"/>
  <c r="T1368" i="19"/>
  <c r="T1369" i="19"/>
  <c r="T1370" i="19"/>
  <c r="T1371" i="19"/>
  <c r="T1377" i="19"/>
  <c r="T1378" i="19"/>
  <c r="T1372" i="19"/>
  <c r="T1373" i="19"/>
  <c r="T1374" i="19"/>
  <c r="T1379" i="19"/>
  <c r="T1380" i="19"/>
  <c r="T1381" i="19"/>
  <c r="T1382" i="19"/>
  <c r="T1383" i="19"/>
  <c r="T1384" i="19"/>
  <c r="T1385" i="19"/>
  <c r="T1386" i="19"/>
  <c r="T1387" i="19"/>
  <c r="T1388" i="19"/>
  <c r="T1389" i="19"/>
  <c r="T1390" i="19"/>
  <c r="T1391" i="19"/>
  <c r="T1421" i="19"/>
  <c r="T1392" i="19"/>
  <c r="T1393" i="19"/>
  <c r="T1394" i="19"/>
  <c r="T1395" i="19"/>
  <c r="T1396" i="19"/>
  <c r="T1397" i="19"/>
  <c r="T1398" i="19"/>
  <c r="T1399" i="19"/>
  <c r="T1400" i="19"/>
  <c r="T1422" i="19"/>
  <c r="T1401" i="19"/>
  <c r="T1402" i="19"/>
  <c r="T1403" i="19"/>
  <c r="T1404" i="19"/>
  <c r="T1405" i="19"/>
  <c r="T1406" i="19"/>
  <c r="T1407" i="19"/>
  <c r="T1408" i="19"/>
  <c r="T1409" i="19"/>
  <c r="T1410" i="19"/>
  <c r="T1411" i="19"/>
  <c r="T1423" i="19"/>
  <c r="T1424" i="19"/>
  <c r="T1425" i="19"/>
  <c r="T1426" i="19"/>
  <c r="T1427" i="19"/>
  <c r="T1412" i="19"/>
  <c r="T1413" i="19"/>
  <c r="T1414" i="19"/>
  <c r="T1415" i="19"/>
  <c r="T1428" i="19"/>
  <c r="T1416" i="19"/>
  <c r="T1417" i="19"/>
  <c r="T1418" i="19"/>
  <c r="T1419" i="19"/>
  <c r="T1429" i="19"/>
  <c r="T1430" i="19"/>
  <c r="T1431" i="19"/>
  <c r="T1432" i="19"/>
  <c r="T1433" i="19"/>
  <c r="T1434" i="19"/>
  <c r="T1435" i="19"/>
  <c r="T1436" i="19"/>
  <c r="T1437" i="19"/>
  <c r="T1438" i="19"/>
  <c r="T1439" i="19"/>
  <c r="T1440" i="19"/>
  <c r="T1441" i="19"/>
  <c r="T1442" i="19"/>
  <c r="T1443" i="19"/>
  <c r="T1444" i="19"/>
  <c r="T1445" i="19"/>
  <c r="T1446" i="19"/>
  <c r="T1447" i="19"/>
  <c r="T1448" i="19"/>
  <c r="T1449" i="19"/>
  <c r="T1450" i="19"/>
  <c r="T1451" i="19"/>
  <c r="T1452" i="19"/>
  <c r="T1453" i="19"/>
  <c r="T1454" i="19"/>
  <c r="T1455" i="19"/>
  <c r="T1456" i="19"/>
  <c r="T1457" i="19"/>
  <c r="T1459" i="19"/>
  <c r="T1460" i="19"/>
  <c r="T1461" i="19"/>
  <c r="T1462" i="19"/>
  <c r="T1463" i="19"/>
  <c r="T1464" i="19"/>
  <c r="T1465" i="19"/>
  <c r="T1466" i="19"/>
  <c r="T1467" i="19"/>
  <c r="T1468" i="19"/>
  <c r="T1470" i="19"/>
  <c r="T1471" i="19"/>
  <c r="T1472" i="19"/>
  <c r="T1473" i="19"/>
  <c r="T1474" i="19"/>
  <c r="T1475" i="19"/>
  <c r="T1476" i="19"/>
  <c r="T1477" i="19"/>
  <c r="T1478" i="19"/>
  <c r="T1479" i="19"/>
  <c r="T1480" i="19"/>
  <c r="T1481" i="19"/>
  <c r="W1183" i="19"/>
  <c r="W1184" i="19"/>
  <c r="W1185" i="19"/>
  <c r="W1186" i="19"/>
  <c r="W1187" i="19"/>
  <c r="W1188" i="19"/>
  <c r="W1242" i="19"/>
  <c r="W1189" i="19"/>
  <c r="W1190" i="19"/>
  <c r="W1191" i="19"/>
  <c r="W1192" i="19"/>
  <c r="W1193" i="19"/>
  <c r="W1194" i="19"/>
  <c r="W1195" i="19"/>
  <c r="W1196" i="19"/>
  <c r="W1197" i="19"/>
  <c r="W1198" i="19"/>
  <c r="W1199" i="19"/>
  <c r="W1243" i="19"/>
  <c r="W1244" i="19"/>
  <c r="W1270" i="19"/>
  <c r="W1271" i="19"/>
  <c r="W1200" i="19"/>
  <c r="W1201" i="19"/>
  <c r="W1202" i="19"/>
  <c r="W1272" i="19"/>
  <c r="W1203" i="19"/>
  <c r="W1204" i="19"/>
  <c r="W1205" i="19"/>
  <c r="W1206" i="19"/>
  <c r="W1207" i="19"/>
  <c r="W1208" i="19"/>
  <c r="W1209" i="19"/>
  <c r="W1210" i="19"/>
  <c r="W1211" i="19"/>
  <c r="W1212" i="19"/>
  <c r="W1213" i="19"/>
  <c r="W1214" i="19"/>
  <c r="W1215" i="19"/>
  <c r="W1216" i="19"/>
  <c r="W1217" i="19"/>
  <c r="W1218" i="19"/>
  <c r="W1219" i="19"/>
  <c r="W1220" i="19"/>
  <c r="W1273" i="19"/>
  <c r="W1221" i="19"/>
  <c r="W1222" i="19"/>
  <c r="W1224" i="19"/>
  <c r="W1225" i="19"/>
  <c r="W1226" i="19"/>
  <c r="W1227" i="19"/>
  <c r="W1228" i="19"/>
  <c r="W1229" i="19"/>
  <c r="W1230" i="19"/>
  <c r="W1231" i="19"/>
  <c r="W1232" i="19"/>
  <c r="W1233" i="19"/>
  <c r="W1234" i="19"/>
  <c r="W1235" i="19"/>
  <c r="W1236" i="19"/>
  <c r="W1237" i="19"/>
  <c r="W1238" i="19"/>
  <c r="W1239" i="19"/>
  <c r="W1240" i="19"/>
  <c r="W1241" i="19"/>
  <c r="W1245" i="19"/>
  <c r="W1246" i="19"/>
  <c r="W1247" i="19"/>
  <c r="W1248" i="19"/>
  <c r="W1274" i="19"/>
  <c r="W1249" i="19"/>
  <c r="W1250" i="19"/>
  <c r="W1251" i="19"/>
  <c r="W1252" i="19"/>
  <c r="W1253" i="19"/>
  <c r="W1254" i="19"/>
  <c r="W1255" i="19"/>
  <c r="W1256" i="19"/>
  <c r="W1257" i="19"/>
  <c r="W1258" i="19"/>
  <c r="W1259" i="19"/>
  <c r="W1260" i="19"/>
  <c r="W1261" i="19"/>
  <c r="W1262" i="19"/>
  <c r="W1275" i="19"/>
  <c r="W1263" i="19"/>
  <c r="W1264" i="19"/>
  <c r="W1265" i="19"/>
  <c r="W1266" i="19"/>
  <c r="W1276" i="19"/>
  <c r="W1277" i="19"/>
  <c r="W1278" i="19"/>
  <c r="W1279" i="19"/>
  <c r="W1280" i="19"/>
  <c r="W1281" i="19"/>
  <c r="W1282" i="19"/>
  <c r="W1283" i="19"/>
  <c r="W1284" i="19"/>
  <c r="W1285" i="19"/>
  <c r="W1286" i="19"/>
  <c r="W1287" i="19"/>
  <c r="W1288" i="19"/>
  <c r="W1289" i="19"/>
  <c r="W1290" i="19"/>
  <c r="W1291" i="19"/>
  <c r="W1292" i="19"/>
  <c r="W1293" i="19"/>
  <c r="W1294" i="19"/>
  <c r="W1295" i="19"/>
  <c r="W1296" i="19"/>
  <c r="W1297" i="19"/>
  <c r="W1298" i="19"/>
  <c r="W1299" i="19"/>
  <c r="W1300" i="19"/>
  <c r="W1301" i="19"/>
  <c r="W1302" i="19"/>
  <c r="W1303" i="19"/>
  <c r="W1304" i="19"/>
  <c r="W1305" i="19"/>
  <c r="W1306" i="19"/>
  <c r="W1307" i="19"/>
  <c r="W1308" i="19"/>
  <c r="W1309" i="19"/>
  <c r="W1310" i="19"/>
  <c r="W1311" i="19"/>
  <c r="W1312" i="19"/>
  <c r="W1313" i="19"/>
  <c r="W1314" i="19"/>
  <c r="W1315" i="19"/>
  <c r="W1316" i="19"/>
  <c r="W1317" i="19"/>
  <c r="W1319" i="19"/>
  <c r="W1320" i="19"/>
  <c r="W1321" i="19"/>
  <c r="W1322" i="19"/>
  <c r="W1323" i="19"/>
  <c r="W1327" i="19"/>
  <c r="W1420" i="19"/>
  <c r="W1328" i="19"/>
  <c r="W1329" i="19"/>
  <c r="W1330" i="19"/>
  <c r="W1331" i="19"/>
  <c r="W1332" i="19"/>
  <c r="W1333" i="19"/>
  <c r="W1334" i="19"/>
  <c r="W1335" i="19"/>
  <c r="W1336" i="19"/>
  <c r="W1337" i="19"/>
  <c r="W1338" i="19"/>
  <c r="W1344" i="19"/>
  <c r="W1339" i="19"/>
  <c r="W1345" i="19"/>
  <c r="W1346" i="19"/>
  <c r="W1347" i="19"/>
  <c r="W1348" i="19"/>
  <c r="W1349" i="19"/>
  <c r="W1350" i="19"/>
  <c r="W1375" i="19"/>
  <c r="W1376" i="19"/>
  <c r="W1352" i="19"/>
  <c r="W1353" i="19"/>
  <c r="W1354" i="19"/>
  <c r="W1351" i="19"/>
  <c r="W1355" i="19"/>
  <c r="W1356" i="19"/>
  <c r="W1357" i="19"/>
  <c r="W1358" i="19"/>
  <c r="W1359" i="19"/>
  <c r="W1360" i="19"/>
  <c r="W1361" i="19"/>
  <c r="W1362" i="19"/>
  <c r="W1363" i="19"/>
  <c r="W1364" i="19"/>
  <c r="W1365" i="19"/>
  <c r="W1366" i="19"/>
  <c r="W1367" i="19"/>
  <c r="W1368" i="19"/>
  <c r="W1369" i="19"/>
  <c r="W1370" i="19"/>
  <c r="W1371" i="19"/>
  <c r="W1377" i="19"/>
  <c r="W1378" i="19"/>
  <c r="W1372" i="19"/>
  <c r="W1373" i="19"/>
  <c r="W1374" i="19"/>
  <c r="W1379" i="19"/>
  <c r="W1380" i="19"/>
  <c r="W1381" i="19"/>
  <c r="W1382" i="19"/>
  <c r="W1383" i="19"/>
  <c r="W1384" i="19"/>
  <c r="W1385" i="19"/>
  <c r="W1386" i="19"/>
  <c r="W1387" i="19"/>
  <c r="W1388" i="19"/>
  <c r="W1389" i="19"/>
  <c r="W1390" i="19"/>
  <c r="W1391" i="19"/>
  <c r="W1421" i="19"/>
  <c r="W1392" i="19"/>
  <c r="W1393" i="19"/>
  <c r="W1394" i="19"/>
  <c r="W1395" i="19"/>
  <c r="W1396" i="19"/>
  <c r="W1397" i="19"/>
  <c r="W1398" i="19"/>
  <c r="W1399" i="19"/>
  <c r="W1400" i="19"/>
  <c r="W1422" i="19"/>
  <c r="W1401" i="19"/>
  <c r="W1402" i="19"/>
  <c r="W1403" i="19"/>
  <c r="W1404" i="19"/>
  <c r="W1405" i="19"/>
  <c r="W1406" i="19"/>
  <c r="W1407" i="19"/>
  <c r="W1408" i="19"/>
  <c r="W1409" i="19"/>
  <c r="W1410" i="19"/>
  <c r="W1411" i="19"/>
  <c r="W1423" i="19"/>
  <c r="W1424" i="19"/>
  <c r="W1425" i="19"/>
  <c r="W1426" i="19"/>
  <c r="W1427" i="19"/>
  <c r="W1412" i="19"/>
  <c r="W1413" i="19"/>
  <c r="W1414" i="19"/>
  <c r="W1415" i="19"/>
  <c r="W1428" i="19"/>
  <c r="W1416" i="19"/>
  <c r="W1417" i="19"/>
  <c r="W1418" i="19"/>
  <c r="W1419" i="19"/>
  <c r="W1429" i="19"/>
  <c r="W1430" i="19"/>
  <c r="W1431" i="19"/>
  <c r="W1432" i="19"/>
  <c r="W1433" i="19"/>
  <c r="W1434" i="19"/>
  <c r="W1435" i="19"/>
  <c r="W1436" i="19"/>
  <c r="W1437" i="19"/>
  <c r="W1438" i="19"/>
  <c r="W1439" i="19"/>
  <c r="W1440" i="19"/>
  <c r="W1441" i="19"/>
  <c r="W1442" i="19"/>
  <c r="W1443" i="19"/>
  <c r="W1444" i="19"/>
  <c r="W1445" i="19"/>
  <c r="W1446" i="19"/>
  <c r="W1447" i="19"/>
  <c r="W1448" i="19"/>
  <c r="W1449" i="19"/>
  <c r="W1450" i="19"/>
  <c r="W1451" i="19"/>
  <c r="W1452" i="19"/>
  <c r="W1453" i="19"/>
  <c r="W1454" i="19"/>
  <c r="W1455" i="19"/>
  <c r="W1456" i="19"/>
  <c r="W1457" i="19"/>
  <c r="W1459" i="19"/>
  <c r="W1460" i="19"/>
  <c r="W1461" i="19"/>
  <c r="W1462" i="19"/>
  <c r="W1463" i="19"/>
  <c r="W1464" i="19"/>
  <c r="W1465" i="19"/>
  <c r="W1466" i="19"/>
  <c r="W1467" i="19"/>
  <c r="W1468" i="19"/>
  <c r="W1470" i="19"/>
  <c r="W1471" i="19"/>
  <c r="W1472" i="19"/>
  <c r="W1473" i="19"/>
  <c r="W1474" i="19"/>
  <c r="W1475" i="19"/>
  <c r="W1476" i="19"/>
  <c r="W1477" i="19"/>
  <c r="W1478" i="19"/>
  <c r="W1479" i="19"/>
  <c r="W1480" i="19"/>
  <c r="W1481" i="19"/>
  <c r="X1183" i="19"/>
  <c r="X1184" i="19"/>
  <c r="X1185" i="19"/>
  <c r="X1186" i="19"/>
  <c r="X1187" i="19"/>
  <c r="X1188" i="19"/>
  <c r="X1242" i="19"/>
  <c r="X1189" i="19"/>
  <c r="X1190" i="19"/>
  <c r="X1191" i="19"/>
  <c r="X1192" i="19"/>
  <c r="X1193" i="19"/>
  <c r="X1194" i="19"/>
  <c r="X1195" i="19"/>
  <c r="X1196" i="19"/>
  <c r="X1197" i="19"/>
  <c r="X1198" i="19"/>
  <c r="X1199" i="19"/>
  <c r="X1243" i="19"/>
  <c r="X1244" i="19"/>
  <c r="X1270" i="19"/>
  <c r="X1271" i="19"/>
  <c r="X1200" i="19"/>
  <c r="X1201" i="19"/>
  <c r="X1202" i="19"/>
  <c r="X1272" i="19"/>
  <c r="X1203" i="19"/>
  <c r="X1204" i="19"/>
  <c r="X1205" i="19"/>
  <c r="X1206" i="19"/>
  <c r="X1207" i="19"/>
  <c r="X1208" i="19"/>
  <c r="X1209" i="19"/>
  <c r="X1210" i="19"/>
  <c r="X1211" i="19"/>
  <c r="X1212" i="19"/>
  <c r="X1213" i="19"/>
  <c r="X1214" i="19"/>
  <c r="X1215" i="19"/>
  <c r="X1216" i="19"/>
  <c r="X1217" i="19"/>
  <c r="X1218" i="19"/>
  <c r="X1219" i="19"/>
  <c r="X1220" i="19"/>
  <c r="X1273" i="19"/>
  <c r="X1221" i="19"/>
  <c r="X1222" i="19"/>
  <c r="X1224" i="19"/>
  <c r="X1225" i="19"/>
  <c r="X1226" i="19"/>
  <c r="X1227" i="19"/>
  <c r="X1228" i="19"/>
  <c r="X1229" i="19"/>
  <c r="X1230" i="19"/>
  <c r="X1231" i="19"/>
  <c r="X1232" i="19"/>
  <c r="X1233" i="19"/>
  <c r="X1234" i="19"/>
  <c r="X1235" i="19"/>
  <c r="X1236" i="19"/>
  <c r="X1237" i="19"/>
  <c r="X1238" i="19"/>
  <c r="X1239" i="19"/>
  <c r="X1240" i="19"/>
  <c r="X1241" i="19"/>
  <c r="X1245" i="19"/>
  <c r="X1246" i="19"/>
  <c r="X1247" i="19"/>
  <c r="X1248" i="19"/>
  <c r="X1274" i="19"/>
  <c r="X1249" i="19"/>
  <c r="X1250" i="19"/>
  <c r="X1251" i="19"/>
  <c r="X1252" i="19"/>
  <c r="X1253" i="19"/>
  <c r="X1254" i="19"/>
  <c r="X1255" i="19"/>
  <c r="X1256" i="19"/>
  <c r="X1257" i="19"/>
  <c r="X1258" i="19"/>
  <c r="X1259" i="19"/>
  <c r="X1260" i="19"/>
  <c r="X1261" i="19"/>
  <c r="X1262" i="19"/>
  <c r="X1275" i="19"/>
  <c r="X1263" i="19"/>
  <c r="X1264" i="19"/>
  <c r="X1265" i="19"/>
  <c r="X1266" i="19"/>
  <c r="X1276" i="19"/>
  <c r="X1277" i="19"/>
  <c r="X1278" i="19"/>
  <c r="X1279" i="19"/>
  <c r="X1280" i="19"/>
  <c r="X1281" i="19"/>
  <c r="X1282" i="19"/>
  <c r="X1283" i="19"/>
  <c r="X1284" i="19"/>
  <c r="X1285" i="19"/>
  <c r="X1286" i="19"/>
  <c r="X1287" i="19"/>
  <c r="X1288" i="19"/>
  <c r="X1289" i="19"/>
  <c r="X1290" i="19"/>
  <c r="X1291" i="19"/>
  <c r="X1292" i="19"/>
  <c r="X1293" i="19"/>
  <c r="X1294" i="19"/>
  <c r="X1295" i="19"/>
  <c r="X1296" i="19"/>
  <c r="X1297" i="19"/>
  <c r="X1298" i="19"/>
  <c r="X1299" i="19"/>
  <c r="X1300" i="19"/>
  <c r="X1301" i="19"/>
  <c r="X1302" i="19"/>
  <c r="X1303" i="19"/>
  <c r="X1304" i="19"/>
  <c r="X1305" i="19"/>
  <c r="X1306" i="19"/>
  <c r="X1307" i="19"/>
  <c r="X1308" i="19"/>
  <c r="X1309" i="19"/>
  <c r="X1310" i="19"/>
  <c r="X1311" i="19"/>
  <c r="X1312" i="19"/>
  <c r="X1313" i="19"/>
  <c r="X1314" i="19"/>
  <c r="X1315" i="19"/>
  <c r="X1316" i="19"/>
  <c r="X1317" i="19"/>
  <c r="X1319" i="19"/>
  <c r="X1320" i="19"/>
  <c r="X1321" i="19"/>
  <c r="X1322" i="19"/>
  <c r="X1323" i="19"/>
  <c r="X1327" i="19"/>
  <c r="X1420" i="19"/>
  <c r="X1328" i="19"/>
  <c r="X1329" i="19"/>
  <c r="X1330" i="19"/>
  <c r="X1331" i="19"/>
  <c r="X1332" i="19"/>
  <c r="X1333" i="19"/>
  <c r="X1334" i="19"/>
  <c r="X1335" i="19"/>
  <c r="X1336" i="19"/>
  <c r="X1337" i="19"/>
  <c r="X1338" i="19"/>
  <c r="X1344" i="19"/>
  <c r="X1339" i="19"/>
  <c r="X1345" i="19"/>
  <c r="X1346" i="19"/>
  <c r="X1347" i="19"/>
  <c r="X1348" i="19"/>
  <c r="X1349" i="19"/>
  <c r="X1350" i="19"/>
  <c r="X1375" i="19"/>
  <c r="X1376" i="19"/>
  <c r="X1352" i="19"/>
  <c r="X1353" i="19"/>
  <c r="X1354" i="19"/>
  <c r="X1351" i="19"/>
  <c r="X1355" i="19"/>
  <c r="X1356" i="19"/>
  <c r="X1357" i="19"/>
  <c r="X1358" i="19"/>
  <c r="X1359" i="19"/>
  <c r="X1360" i="19"/>
  <c r="X1361" i="19"/>
  <c r="X1362" i="19"/>
  <c r="X1363" i="19"/>
  <c r="X1364" i="19"/>
  <c r="X1365" i="19"/>
  <c r="X1366" i="19"/>
  <c r="X1367" i="19"/>
  <c r="X1368" i="19"/>
  <c r="X1369" i="19"/>
  <c r="X1370" i="19"/>
  <c r="X1371" i="19"/>
  <c r="X1377" i="19"/>
  <c r="X1378" i="19"/>
  <c r="X1372" i="19"/>
  <c r="X1373" i="19"/>
  <c r="X1374" i="19"/>
  <c r="X1379" i="19"/>
  <c r="X1380" i="19"/>
  <c r="X1381" i="19"/>
  <c r="X1382" i="19"/>
  <c r="X1383" i="19"/>
  <c r="X1384" i="19"/>
  <c r="X1385" i="19"/>
  <c r="X1386" i="19"/>
  <c r="X1387" i="19"/>
  <c r="X1388" i="19"/>
  <c r="X1389" i="19"/>
  <c r="X1390" i="19"/>
  <c r="X1391" i="19"/>
  <c r="X1421" i="19"/>
  <c r="X1392" i="19"/>
  <c r="X1393" i="19"/>
  <c r="X1394" i="19"/>
  <c r="X1395" i="19"/>
  <c r="X1396" i="19"/>
  <c r="X1397" i="19"/>
  <c r="X1398" i="19"/>
  <c r="X1399" i="19"/>
  <c r="X1400" i="19"/>
  <c r="X1422" i="19"/>
  <c r="X1401" i="19"/>
  <c r="X1402" i="19"/>
  <c r="X1403" i="19"/>
  <c r="X1404" i="19"/>
  <c r="X1405" i="19"/>
  <c r="X1406" i="19"/>
  <c r="X1407" i="19"/>
  <c r="X1408" i="19"/>
  <c r="X1409" i="19"/>
  <c r="X1410" i="19"/>
  <c r="X1411" i="19"/>
  <c r="X1423" i="19"/>
  <c r="X1424" i="19"/>
  <c r="X1425" i="19"/>
  <c r="X1426" i="19"/>
  <c r="X1427" i="19"/>
  <c r="X1412" i="19"/>
  <c r="X1413" i="19"/>
  <c r="X1414" i="19"/>
  <c r="X1415" i="19"/>
  <c r="X1428" i="19"/>
  <c r="X1416" i="19"/>
  <c r="X1417" i="19"/>
  <c r="X1418" i="19"/>
  <c r="X1419" i="19"/>
  <c r="X1429" i="19"/>
  <c r="X1430" i="19"/>
  <c r="X1431" i="19"/>
  <c r="X1432" i="19"/>
  <c r="X1433" i="19"/>
  <c r="X1434" i="19"/>
  <c r="X1435" i="19"/>
  <c r="X1436" i="19"/>
  <c r="X1437" i="19"/>
  <c r="X1438" i="19"/>
  <c r="X1439" i="19"/>
  <c r="X1440" i="19"/>
  <c r="X1441" i="19"/>
  <c r="X1442" i="19"/>
  <c r="X1443" i="19"/>
  <c r="X1444" i="19"/>
  <c r="X1445" i="19"/>
  <c r="X1446" i="19"/>
  <c r="X1447" i="19"/>
  <c r="X1448" i="19"/>
  <c r="X1449" i="19"/>
  <c r="X1450" i="19"/>
  <c r="X1451" i="19"/>
  <c r="X1452" i="19"/>
  <c r="X1453" i="19"/>
  <c r="X1454" i="19"/>
  <c r="X1455" i="19"/>
  <c r="X1456" i="19"/>
  <c r="X1457" i="19"/>
  <c r="X1459" i="19"/>
  <c r="X1460" i="19"/>
  <c r="X1461" i="19"/>
  <c r="X1462" i="19"/>
  <c r="X1463" i="19"/>
  <c r="X1464" i="19"/>
  <c r="X1465" i="19"/>
  <c r="X1466" i="19"/>
  <c r="X1467" i="19"/>
  <c r="X1468" i="19"/>
  <c r="X1470" i="19"/>
  <c r="X1471" i="19"/>
  <c r="X1472" i="19"/>
  <c r="X1473" i="19"/>
  <c r="X1474" i="19"/>
  <c r="X1475" i="19"/>
  <c r="X1476" i="19"/>
  <c r="X1477" i="19"/>
  <c r="X1478" i="19"/>
  <c r="X1479" i="19"/>
  <c r="X1480" i="19"/>
  <c r="X1481" i="19"/>
  <c r="F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91" i="22"/>
  <c r="F98" i="22"/>
  <c r="F99" i="22"/>
  <c r="F107" i="22"/>
  <c r="F108" i="22"/>
  <c r="F88" i="22"/>
  <c r="F101" i="22"/>
  <c r="F93" i="22"/>
  <c r="F89" i="22"/>
  <c r="F102" i="22"/>
  <c r="F95" i="22"/>
  <c r="F103" i="22"/>
  <c r="F94" i="22"/>
  <c r="F100" i="22"/>
  <c r="F96" i="22"/>
  <c r="F104" i="22"/>
  <c r="F105" i="22"/>
  <c r="F87" i="22"/>
  <c r="F90" i="22"/>
  <c r="F97" i="22"/>
  <c r="F106" i="22"/>
  <c r="F92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I1098" i="21"/>
  <c r="J1098" i="21" s="1"/>
  <c r="K1098" i="21"/>
  <c r="I1099" i="21"/>
  <c r="J1099" i="21" s="1"/>
  <c r="K1099" i="21"/>
  <c r="I1100" i="21"/>
  <c r="J1100" i="21" s="1"/>
  <c r="K1100" i="21"/>
  <c r="I1101" i="21"/>
  <c r="J1101" i="21" s="1"/>
  <c r="K1101" i="21"/>
  <c r="I1102" i="21"/>
  <c r="J1102" i="21" s="1"/>
  <c r="K1102" i="21"/>
  <c r="I1103" i="21"/>
  <c r="J1103" i="21" s="1"/>
  <c r="K1103" i="21"/>
  <c r="I1104" i="21"/>
  <c r="J1104" i="21" s="1"/>
  <c r="K1104" i="21"/>
  <c r="I1105" i="21"/>
  <c r="J1105" i="21" s="1"/>
  <c r="K1105" i="21"/>
  <c r="I1106" i="21"/>
  <c r="J1106" i="21" s="1"/>
  <c r="K1106" i="21"/>
  <c r="I1107" i="21"/>
  <c r="J1107" i="21" s="1"/>
  <c r="K1107" i="21"/>
  <c r="I1108" i="21"/>
  <c r="J1108" i="21" s="1"/>
  <c r="K1108" i="21"/>
  <c r="I1109" i="21"/>
  <c r="J1109" i="21" s="1"/>
  <c r="K1109" i="21"/>
  <c r="I1110" i="21"/>
  <c r="J1110" i="21" s="1"/>
  <c r="K1110" i="21"/>
  <c r="I1111" i="21"/>
  <c r="J1111" i="21" s="1"/>
  <c r="K1111" i="21"/>
  <c r="I1112" i="21"/>
  <c r="J1112" i="21" s="1"/>
  <c r="K1112" i="21"/>
  <c r="I1113" i="21"/>
  <c r="J1113" i="21" s="1"/>
  <c r="K1113" i="21"/>
  <c r="I1114" i="21"/>
  <c r="J1114" i="21" s="1"/>
  <c r="K1114" i="21"/>
  <c r="I1115" i="21"/>
  <c r="J1115" i="21" s="1"/>
  <c r="K1115" i="21"/>
  <c r="I1116" i="21"/>
  <c r="J1116" i="21" s="1"/>
  <c r="K1116" i="21"/>
  <c r="I1117" i="21"/>
  <c r="J1117" i="21" s="1"/>
  <c r="K1117" i="21"/>
  <c r="I1118" i="21"/>
  <c r="J1118" i="21" s="1"/>
  <c r="K1118" i="21"/>
  <c r="I1119" i="21"/>
  <c r="J1119" i="21" s="1"/>
  <c r="K1119" i="21"/>
  <c r="I1120" i="21"/>
  <c r="J1120" i="21" s="1"/>
  <c r="K1120" i="21"/>
  <c r="I1121" i="21"/>
  <c r="J1121" i="21" s="1"/>
  <c r="K1121" i="21"/>
  <c r="I1122" i="21"/>
  <c r="J1122" i="21" s="1"/>
  <c r="K1122" i="21"/>
  <c r="I1123" i="21"/>
  <c r="J1123" i="21" s="1"/>
  <c r="K1123" i="21"/>
  <c r="I1124" i="21"/>
  <c r="J1124" i="21" s="1"/>
  <c r="K1124" i="21"/>
  <c r="I1125" i="21"/>
  <c r="J1125" i="21" s="1"/>
  <c r="K1125" i="21"/>
  <c r="I1126" i="21"/>
  <c r="J1126" i="21" s="1"/>
  <c r="K1126" i="21"/>
  <c r="I1127" i="21"/>
  <c r="J1127" i="21" s="1"/>
  <c r="K1127" i="21"/>
  <c r="I1128" i="21"/>
  <c r="J1128" i="21" s="1"/>
  <c r="K1128" i="21"/>
  <c r="I1129" i="21"/>
  <c r="J1129" i="21" s="1"/>
  <c r="K1129" i="21"/>
  <c r="I1130" i="21"/>
  <c r="J1130" i="21" s="1"/>
  <c r="K1130" i="21"/>
  <c r="I1131" i="21"/>
  <c r="J1131" i="21" s="1"/>
  <c r="K1131" i="21"/>
  <c r="I1132" i="21"/>
  <c r="J1132" i="21" s="1"/>
  <c r="K1132" i="21"/>
  <c r="I1133" i="21"/>
  <c r="J1133" i="21" s="1"/>
  <c r="K1133" i="21"/>
  <c r="I1134" i="21"/>
  <c r="J1134" i="21" s="1"/>
  <c r="K1134" i="21"/>
  <c r="I1135" i="21"/>
  <c r="J1135" i="21" s="1"/>
  <c r="K1135" i="21"/>
  <c r="I1136" i="21"/>
  <c r="J1136" i="21" s="1"/>
  <c r="K1136" i="21"/>
  <c r="I1137" i="21"/>
  <c r="J1137" i="21" s="1"/>
  <c r="K1137" i="21"/>
  <c r="I1138" i="21"/>
  <c r="J1138" i="21" s="1"/>
  <c r="K1138" i="21"/>
  <c r="I1139" i="21"/>
  <c r="J1139" i="21" s="1"/>
  <c r="K1139" i="21"/>
  <c r="I1140" i="21"/>
  <c r="J1140" i="21" s="1"/>
  <c r="K1140" i="21"/>
  <c r="I1141" i="21"/>
  <c r="J1141" i="21" s="1"/>
  <c r="K1141" i="21"/>
  <c r="I1142" i="21"/>
  <c r="J1142" i="21" s="1"/>
  <c r="K1142" i="21"/>
  <c r="I1143" i="21"/>
  <c r="J1143" i="21" s="1"/>
  <c r="K1143" i="21"/>
  <c r="I1144" i="21"/>
  <c r="J1144" i="21" s="1"/>
  <c r="K1144" i="21"/>
  <c r="I1145" i="21"/>
  <c r="J1145" i="21" s="1"/>
  <c r="K1145" i="21"/>
  <c r="I1146" i="21"/>
  <c r="J1146" i="21" s="1"/>
  <c r="K1146" i="21"/>
  <c r="I1147" i="21"/>
  <c r="J1147" i="21" s="1"/>
  <c r="K1147" i="21"/>
  <c r="I1148" i="21"/>
  <c r="J1148" i="21" s="1"/>
  <c r="K1148" i="21"/>
  <c r="I1149" i="21"/>
  <c r="J1149" i="21" s="1"/>
  <c r="K1149" i="21"/>
  <c r="I1150" i="21"/>
  <c r="J1150" i="21" s="1"/>
  <c r="K1150" i="21"/>
  <c r="I1151" i="21"/>
  <c r="J1151" i="21" s="1"/>
  <c r="K1151" i="21"/>
  <c r="I1152" i="21"/>
  <c r="J1152" i="21" s="1"/>
  <c r="K1152" i="21"/>
  <c r="I1153" i="21"/>
  <c r="J1153" i="21" s="1"/>
  <c r="K1153" i="21"/>
  <c r="I1154" i="21"/>
  <c r="J1154" i="21" s="1"/>
  <c r="K1154" i="21"/>
  <c r="I1155" i="21"/>
  <c r="J1155" i="21" s="1"/>
  <c r="K1155" i="21"/>
  <c r="I1156" i="21"/>
  <c r="J1156" i="21" s="1"/>
  <c r="K1156" i="21"/>
  <c r="I1157" i="21"/>
  <c r="J1157" i="21" s="1"/>
  <c r="K1157" i="21"/>
  <c r="I1158" i="21"/>
  <c r="J1158" i="21" s="1"/>
  <c r="K1158" i="21"/>
  <c r="I1159" i="21"/>
  <c r="J1159" i="21" s="1"/>
  <c r="K1159" i="21"/>
  <c r="I1160" i="21"/>
  <c r="J1160" i="21" s="1"/>
  <c r="K1160" i="21"/>
  <c r="I1161" i="21"/>
  <c r="J1161" i="21" s="1"/>
  <c r="K1161" i="21"/>
  <c r="I1162" i="21"/>
  <c r="J1162" i="21" s="1"/>
  <c r="K1162" i="21"/>
  <c r="I1163" i="21"/>
  <c r="J1163" i="21" s="1"/>
  <c r="K1163" i="21"/>
  <c r="I1164" i="21"/>
  <c r="J1164" i="21" s="1"/>
  <c r="K1164" i="21"/>
  <c r="I1165" i="21"/>
  <c r="J1165" i="21" s="1"/>
  <c r="K1165" i="21"/>
  <c r="I1166" i="21"/>
  <c r="J1166" i="21" s="1"/>
  <c r="K1166" i="21"/>
  <c r="I1167" i="21"/>
  <c r="J1167" i="21" s="1"/>
  <c r="K1167" i="21"/>
  <c r="I1168" i="21"/>
  <c r="J1168" i="21" s="1"/>
  <c r="K1168" i="21"/>
  <c r="I1169" i="21"/>
  <c r="J1169" i="21" s="1"/>
  <c r="K1169" i="21"/>
  <c r="I1170" i="21"/>
  <c r="J1170" i="21" s="1"/>
  <c r="K1170" i="21"/>
  <c r="I1171" i="21"/>
  <c r="J1171" i="21" s="1"/>
  <c r="K1171" i="21"/>
  <c r="I1172" i="21"/>
  <c r="J1172" i="21" s="1"/>
  <c r="K1172" i="21"/>
  <c r="I1173" i="21"/>
  <c r="J1173" i="21" s="1"/>
  <c r="K1173" i="21"/>
  <c r="I1174" i="21"/>
  <c r="J1174" i="21" s="1"/>
  <c r="K1174" i="21"/>
  <c r="I1175" i="21"/>
  <c r="J1175" i="21" s="1"/>
  <c r="K1175" i="21"/>
  <c r="I1176" i="21"/>
  <c r="J1176" i="21" s="1"/>
  <c r="K1176" i="21"/>
  <c r="I1177" i="21"/>
  <c r="J1177" i="21" s="1"/>
  <c r="K1177" i="21"/>
  <c r="I1178" i="21"/>
  <c r="J1178" i="21" s="1"/>
  <c r="K1178" i="21"/>
  <c r="I1179" i="21"/>
  <c r="J1179" i="21" s="1"/>
  <c r="K1179" i="21"/>
  <c r="I1180" i="21"/>
  <c r="J1180" i="21" s="1"/>
  <c r="K1180" i="21"/>
  <c r="I1181" i="21"/>
  <c r="J1181" i="21" s="1"/>
  <c r="K1181" i="21"/>
  <c r="I1182" i="21"/>
  <c r="J1182" i="21" s="1"/>
  <c r="K1182" i="21"/>
  <c r="I1183" i="21"/>
  <c r="J1183" i="21" s="1"/>
  <c r="K1183" i="21"/>
  <c r="I1184" i="21"/>
  <c r="J1184" i="21" s="1"/>
  <c r="K1184" i="21"/>
  <c r="I1185" i="21"/>
  <c r="J1185" i="21" s="1"/>
  <c r="K1185" i="21"/>
  <c r="I1186" i="21"/>
  <c r="J1186" i="21" s="1"/>
  <c r="K1186" i="21"/>
  <c r="I1187" i="21"/>
  <c r="J1187" i="21" s="1"/>
  <c r="K1187" i="21"/>
  <c r="I1188" i="21"/>
  <c r="J1188" i="21" s="1"/>
  <c r="K1188" i="21"/>
  <c r="I1189" i="21"/>
  <c r="J1189" i="21" s="1"/>
  <c r="K1189" i="21"/>
  <c r="I1190" i="21"/>
  <c r="J1190" i="21" s="1"/>
  <c r="K1190" i="21"/>
  <c r="I1191" i="21"/>
  <c r="J1191" i="21" s="1"/>
  <c r="K1191" i="21"/>
  <c r="I1192" i="21"/>
  <c r="J1192" i="21" s="1"/>
  <c r="K1192" i="21"/>
  <c r="I1193" i="21"/>
  <c r="J1193" i="21" s="1"/>
  <c r="K1193" i="21"/>
  <c r="I1194" i="21"/>
  <c r="J1194" i="21" s="1"/>
  <c r="K1194" i="21"/>
  <c r="I1195" i="21"/>
  <c r="J1195" i="21" s="1"/>
  <c r="K1195" i="21"/>
  <c r="I1196" i="21"/>
  <c r="J1196" i="21" s="1"/>
  <c r="K1196" i="21"/>
  <c r="I1197" i="21"/>
  <c r="J1197" i="21" s="1"/>
  <c r="K1197" i="21"/>
  <c r="I1198" i="21"/>
  <c r="J1198" i="21" s="1"/>
  <c r="K1198" i="21"/>
  <c r="I1199" i="21"/>
  <c r="J1199" i="21" s="1"/>
  <c r="K1199" i="21"/>
  <c r="I1200" i="21"/>
  <c r="J1200" i="21" s="1"/>
  <c r="K1200" i="21"/>
  <c r="I1201" i="21"/>
  <c r="J1201" i="21" s="1"/>
  <c r="K1201" i="21"/>
  <c r="I1202" i="21"/>
  <c r="J1202" i="21" s="1"/>
  <c r="K1202" i="21"/>
  <c r="I1203" i="21"/>
  <c r="J1203" i="21" s="1"/>
  <c r="K1203" i="21"/>
  <c r="I1204" i="21"/>
  <c r="J1204" i="21" s="1"/>
  <c r="K1204" i="21"/>
  <c r="I1205" i="21"/>
  <c r="J1205" i="21" s="1"/>
  <c r="K1205" i="21"/>
  <c r="I1206" i="21"/>
  <c r="J1206" i="21" s="1"/>
  <c r="K1206" i="21"/>
  <c r="I1207" i="21"/>
  <c r="J1207" i="21" s="1"/>
  <c r="K1207" i="21"/>
  <c r="I1208" i="21"/>
  <c r="J1208" i="21" s="1"/>
  <c r="K1208" i="21"/>
  <c r="I1209" i="21"/>
  <c r="J1209" i="21" s="1"/>
  <c r="K1209" i="21"/>
  <c r="I1210" i="21"/>
  <c r="J1210" i="21" s="1"/>
  <c r="K1210" i="21"/>
  <c r="I1211" i="21"/>
  <c r="J1211" i="21" s="1"/>
  <c r="K1211" i="21"/>
  <c r="I1212" i="21"/>
  <c r="J1212" i="21" s="1"/>
  <c r="K1212" i="21"/>
  <c r="I1213" i="21"/>
  <c r="J1213" i="21" s="1"/>
  <c r="K1213" i="21"/>
  <c r="I1214" i="21"/>
  <c r="J1214" i="21" s="1"/>
  <c r="K1214" i="21"/>
  <c r="I1215" i="21"/>
  <c r="J1215" i="21" s="1"/>
  <c r="K1215" i="21"/>
  <c r="I1216" i="21"/>
  <c r="J1216" i="21" s="1"/>
  <c r="K1216" i="21"/>
  <c r="I1217" i="21"/>
  <c r="J1217" i="21" s="1"/>
  <c r="K1217" i="21"/>
  <c r="I1218" i="21"/>
  <c r="J1218" i="21" s="1"/>
  <c r="K1218" i="21"/>
  <c r="I1219" i="21"/>
  <c r="J1219" i="21" s="1"/>
  <c r="K1219" i="21"/>
  <c r="I1220" i="21"/>
  <c r="J1220" i="21" s="1"/>
  <c r="K1220" i="21"/>
  <c r="I1221" i="21"/>
  <c r="J1221" i="21" s="1"/>
  <c r="K1221" i="21"/>
  <c r="I1222" i="21"/>
  <c r="J1222" i="21" s="1"/>
  <c r="K1222" i="21"/>
  <c r="I1223" i="21"/>
  <c r="J1223" i="21" s="1"/>
  <c r="K1223" i="21"/>
  <c r="I1224" i="21"/>
  <c r="J1224" i="21" s="1"/>
  <c r="K1224" i="21"/>
  <c r="I1225" i="21"/>
  <c r="J1225" i="21" s="1"/>
  <c r="K1225" i="21"/>
  <c r="I1226" i="21"/>
  <c r="J1226" i="21" s="1"/>
  <c r="K1226" i="21"/>
  <c r="I1227" i="21"/>
  <c r="J1227" i="21" s="1"/>
  <c r="K1227" i="21"/>
  <c r="I1228" i="21"/>
  <c r="J1228" i="21" s="1"/>
  <c r="K1228" i="21"/>
  <c r="I1229" i="21"/>
  <c r="J1229" i="21" s="1"/>
  <c r="K1229" i="21"/>
  <c r="I1230" i="21"/>
  <c r="J1230" i="21" s="1"/>
  <c r="K1230" i="21"/>
  <c r="I1231" i="21"/>
  <c r="J1231" i="21" s="1"/>
  <c r="K1231" i="21"/>
  <c r="I1232" i="21"/>
  <c r="J1232" i="21" s="1"/>
  <c r="K1232" i="21"/>
  <c r="I1233" i="21"/>
  <c r="J1233" i="21" s="1"/>
  <c r="K1233" i="21"/>
  <c r="I1234" i="21"/>
  <c r="J1234" i="21" s="1"/>
  <c r="K1234" i="21"/>
  <c r="I1235" i="21"/>
  <c r="J1235" i="21" s="1"/>
  <c r="K1235" i="21"/>
  <c r="I1236" i="21"/>
  <c r="J1236" i="21" s="1"/>
  <c r="K1236" i="21"/>
  <c r="I1237" i="21"/>
  <c r="J1237" i="21" s="1"/>
  <c r="K1237" i="21"/>
  <c r="I1238" i="21"/>
  <c r="J1238" i="21" s="1"/>
  <c r="K1238" i="21"/>
  <c r="I1239" i="21"/>
  <c r="J1239" i="21" s="1"/>
  <c r="K1239" i="21"/>
  <c r="I1240" i="21"/>
  <c r="J1240" i="21" s="1"/>
  <c r="K1240" i="21"/>
  <c r="I1241" i="21"/>
  <c r="J1241" i="21" s="1"/>
  <c r="K1241" i="21"/>
  <c r="I1242" i="21"/>
  <c r="J1242" i="21" s="1"/>
  <c r="K1242" i="21"/>
  <c r="I1243" i="21"/>
  <c r="J1243" i="21" s="1"/>
  <c r="K1243" i="21"/>
  <c r="I1244" i="21"/>
  <c r="J1244" i="21" s="1"/>
  <c r="K1244" i="21"/>
  <c r="I1245" i="21"/>
  <c r="J1245" i="21" s="1"/>
  <c r="K1245" i="21"/>
  <c r="I1246" i="21"/>
  <c r="J1246" i="21" s="1"/>
  <c r="K1246" i="21"/>
  <c r="I1247" i="21"/>
  <c r="J1247" i="21" s="1"/>
  <c r="K1247" i="21"/>
  <c r="I1248" i="21"/>
  <c r="J1248" i="21" s="1"/>
  <c r="K1248" i="21"/>
  <c r="I1249" i="21"/>
  <c r="J1249" i="21" s="1"/>
  <c r="K1249" i="21"/>
  <c r="I1250" i="21"/>
  <c r="J1250" i="21" s="1"/>
  <c r="K1250" i="21"/>
  <c r="I1251" i="21"/>
  <c r="J1251" i="21" s="1"/>
  <c r="K1251" i="21"/>
  <c r="I1252" i="21"/>
  <c r="J1252" i="21" s="1"/>
  <c r="K1252" i="21"/>
  <c r="I1253" i="21"/>
  <c r="J1253" i="21" s="1"/>
  <c r="K1253" i="21"/>
  <c r="I1254" i="21"/>
  <c r="J1254" i="21" s="1"/>
  <c r="K1254" i="21"/>
  <c r="I1255" i="21"/>
  <c r="J1255" i="21" s="1"/>
  <c r="K1255" i="21"/>
  <c r="I1256" i="21"/>
  <c r="J1256" i="21" s="1"/>
  <c r="K1256" i="21"/>
  <c r="I1257" i="21"/>
  <c r="J1257" i="21" s="1"/>
  <c r="K1257" i="21"/>
  <c r="I1258" i="21"/>
  <c r="J1258" i="21" s="1"/>
  <c r="K1258" i="21"/>
  <c r="I1259" i="21"/>
  <c r="J1259" i="21" s="1"/>
  <c r="K1259" i="21"/>
  <c r="I1260" i="21"/>
  <c r="J1260" i="21" s="1"/>
  <c r="K1260" i="21"/>
  <c r="I1261" i="21"/>
  <c r="J1261" i="21" s="1"/>
  <c r="K1261" i="21"/>
  <c r="I1262" i="21"/>
  <c r="J1262" i="21" s="1"/>
  <c r="K1262" i="21"/>
  <c r="I1263" i="21"/>
  <c r="J1263" i="21" s="1"/>
  <c r="K1263" i="21"/>
  <c r="I1264" i="21"/>
  <c r="J1264" i="21" s="1"/>
  <c r="K1264" i="21"/>
  <c r="I1265" i="21"/>
  <c r="J1265" i="21" s="1"/>
  <c r="K1265" i="21"/>
  <c r="I1266" i="21"/>
  <c r="J1266" i="21" s="1"/>
  <c r="K1266" i="21"/>
  <c r="I1267" i="21"/>
  <c r="J1267" i="21" s="1"/>
  <c r="K1267" i="21"/>
  <c r="I1268" i="21"/>
  <c r="J1268" i="21" s="1"/>
  <c r="K1268" i="21"/>
  <c r="I1269" i="21"/>
  <c r="J1269" i="21" s="1"/>
  <c r="K1269" i="21"/>
  <c r="I1270" i="21"/>
  <c r="J1270" i="21" s="1"/>
  <c r="K1270" i="21"/>
  <c r="I1271" i="21"/>
  <c r="J1271" i="21" s="1"/>
  <c r="K1271" i="21"/>
  <c r="I1272" i="21"/>
  <c r="J1272" i="21" s="1"/>
  <c r="K1272" i="21"/>
  <c r="I1273" i="21"/>
  <c r="J1273" i="21" s="1"/>
  <c r="K1273" i="21"/>
  <c r="I1274" i="21"/>
  <c r="J1274" i="21" s="1"/>
  <c r="K1274" i="21"/>
  <c r="I1275" i="21"/>
  <c r="J1275" i="21" s="1"/>
  <c r="K1275" i="21"/>
  <c r="I1276" i="21"/>
  <c r="J1276" i="21" s="1"/>
  <c r="K1276" i="21"/>
  <c r="I1277" i="21"/>
  <c r="J1277" i="21" s="1"/>
  <c r="K1277" i="21"/>
  <c r="I1278" i="21"/>
  <c r="J1278" i="21" s="1"/>
  <c r="K1278" i="21"/>
  <c r="I1279" i="21"/>
  <c r="J1279" i="21" s="1"/>
  <c r="K1279" i="21"/>
  <c r="I1280" i="21"/>
  <c r="J1280" i="21" s="1"/>
  <c r="K1280" i="21"/>
  <c r="I1281" i="21"/>
  <c r="J1281" i="21" s="1"/>
  <c r="K1281" i="21"/>
  <c r="I1282" i="21"/>
  <c r="J1282" i="21" s="1"/>
  <c r="K1282" i="21"/>
  <c r="I1283" i="21"/>
  <c r="J1283" i="21" s="1"/>
  <c r="K1283" i="21"/>
  <c r="I1284" i="21"/>
  <c r="J1284" i="21" s="1"/>
  <c r="K1284" i="21"/>
  <c r="I1285" i="21"/>
  <c r="J1285" i="21" s="1"/>
  <c r="K1285" i="21"/>
  <c r="I1286" i="21"/>
  <c r="J1286" i="21" s="1"/>
  <c r="K1286" i="21"/>
  <c r="I1287" i="21"/>
  <c r="J1287" i="21" s="1"/>
  <c r="K1287" i="21"/>
  <c r="I1288" i="21"/>
  <c r="J1288" i="21" s="1"/>
  <c r="K1288" i="21"/>
  <c r="I1289" i="21"/>
  <c r="J1289" i="21" s="1"/>
  <c r="K1289" i="21"/>
  <c r="I1290" i="21"/>
  <c r="J1290" i="21" s="1"/>
  <c r="K1290" i="21"/>
  <c r="I1291" i="21"/>
  <c r="J1291" i="21" s="1"/>
  <c r="K1291" i="21"/>
  <c r="I1292" i="21"/>
  <c r="J1292" i="21" s="1"/>
  <c r="K1292" i="21"/>
  <c r="I1293" i="21"/>
  <c r="J1293" i="21" s="1"/>
  <c r="K1293" i="21"/>
  <c r="I1294" i="21"/>
  <c r="J1294" i="21" s="1"/>
  <c r="K1294" i="21"/>
  <c r="I1295" i="21"/>
  <c r="J1295" i="21" s="1"/>
  <c r="K1295" i="21"/>
  <c r="I1296" i="21"/>
  <c r="J1296" i="21" s="1"/>
  <c r="K1296" i="21"/>
  <c r="I1297" i="21"/>
  <c r="J1297" i="21" s="1"/>
  <c r="K1297" i="21"/>
  <c r="I1298" i="21"/>
  <c r="J1298" i="21" s="1"/>
  <c r="K1298" i="21"/>
  <c r="I1299" i="21"/>
  <c r="J1299" i="21" s="1"/>
  <c r="K1299" i="21"/>
  <c r="I1300" i="21"/>
  <c r="J1300" i="21" s="1"/>
  <c r="K1300" i="21"/>
  <c r="I1301" i="21"/>
  <c r="J1301" i="21" s="1"/>
  <c r="K1301" i="21"/>
  <c r="I1302" i="21"/>
  <c r="J1302" i="21" s="1"/>
  <c r="K1302" i="21"/>
  <c r="I1303" i="21"/>
  <c r="J1303" i="21" s="1"/>
  <c r="K1303" i="21"/>
  <c r="I1304" i="21"/>
  <c r="J1304" i="21" s="1"/>
  <c r="K1304" i="21"/>
  <c r="I1305" i="21"/>
  <c r="J1305" i="21" s="1"/>
  <c r="K1305" i="21"/>
  <c r="I1306" i="21"/>
  <c r="J1306" i="21" s="1"/>
  <c r="K1306" i="21"/>
  <c r="I1307" i="21"/>
  <c r="J1307" i="21" s="1"/>
  <c r="K1307" i="21"/>
  <c r="I1308" i="21"/>
  <c r="J1308" i="21" s="1"/>
  <c r="K1308" i="21"/>
  <c r="I1309" i="21"/>
  <c r="J1309" i="21" s="1"/>
  <c r="K1309" i="21"/>
  <c r="I1310" i="21"/>
  <c r="J1310" i="21" s="1"/>
  <c r="K1310" i="21"/>
  <c r="I1311" i="21"/>
  <c r="J1311" i="21" s="1"/>
  <c r="K1311" i="21"/>
  <c r="I1312" i="21"/>
  <c r="J1312" i="21" s="1"/>
  <c r="K1312" i="21"/>
  <c r="I1313" i="21"/>
  <c r="J1313" i="21" s="1"/>
  <c r="K1313" i="21"/>
  <c r="I1314" i="21"/>
  <c r="J1314" i="21" s="1"/>
  <c r="K1314" i="21"/>
  <c r="I1315" i="21"/>
  <c r="J1315" i="21" s="1"/>
  <c r="K1315" i="21"/>
  <c r="I1316" i="21"/>
  <c r="J1316" i="21" s="1"/>
  <c r="K1316" i="21"/>
  <c r="I1317" i="21"/>
  <c r="J1317" i="21" s="1"/>
  <c r="K1317" i="21"/>
  <c r="I1318" i="21"/>
  <c r="J1318" i="21" s="1"/>
  <c r="K1318" i="21"/>
  <c r="I1319" i="21"/>
  <c r="J1319" i="21" s="1"/>
  <c r="K1319" i="21"/>
  <c r="I1320" i="21"/>
  <c r="J1320" i="21" s="1"/>
  <c r="K1320" i="21"/>
  <c r="I1321" i="21"/>
  <c r="J1321" i="21" s="1"/>
  <c r="K1321" i="21"/>
  <c r="I1322" i="21"/>
  <c r="J1322" i="21" s="1"/>
  <c r="K1322" i="21"/>
  <c r="I1323" i="21"/>
  <c r="J1323" i="21" s="1"/>
  <c r="K1323" i="21"/>
  <c r="I1324" i="21"/>
  <c r="J1324" i="21" s="1"/>
  <c r="K1324" i="21"/>
  <c r="I1325" i="21"/>
  <c r="J1325" i="21" s="1"/>
  <c r="K1325" i="21"/>
  <c r="I1326" i="21"/>
  <c r="J1326" i="21" s="1"/>
  <c r="K1326" i="21"/>
  <c r="I1327" i="21"/>
  <c r="J1327" i="21" s="1"/>
  <c r="K1327" i="21"/>
  <c r="I1328" i="21"/>
  <c r="J1328" i="21" s="1"/>
  <c r="K1328" i="21"/>
  <c r="I1329" i="21"/>
  <c r="J1329" i="21" s="1"/>
  <c r="K1329" i="21"/>
  <c r="I1330" i="21"/>
  <c r="J1330" i="21" s="1"/>
  <c r="K1330" i="21"/>
  <c r="I1331" i="21"/>
  <c r="J1331" i="21" s="1"/>
  <c r="K1331" i="21"/>
  <c r="I1332" i="21"/>
  <c r="J1332" i="21" s="1"/>
  <c r="K1332" i="21"/>
  <c r="I1333" i="21"/>
  <c r="J1333" i="21" s="1"/>
  <c r="K1333" i="21"/>
  <c r="I1334" i="21"/>
  <c r="J1334" i="21" s="1"/>
  <c r="K1334" i="21"/>
  <c r="I1335" i="21"/>
  <c r="J1335" i="21" s="1"/>
  <c r="K1335" i="21"/>
  <c r="I1336" i="21"/>
  <c r="J1336" i="21" s="1"/>
  <c r="K1336" i="21"/>
  <c r="I1337" i="21"/>
  <c r="J1337" i="21" s="1"/>
  <c r="K1337" i="21"/>
  <c r="I1338" i="21"/>
  <c r="J1338" i="21" s="1"/>
  <c r="K1338" i="21"/>
  <c r="I1339" i="21"/>
  <c r="J1339" i="21" s="1"/>
  <c r="K1339" i="21"/>
  <c r="I1340" i="21"/>
  <c r="J1340" i="21" s="1"/>
  <c r="K1340" i="21"/>
  <c r="I1341" i="21"/>
  <c r="J1341" i="21" s="1"/>
  <c r="K1341" i="21"/>
  <c r="I1342" i="21"/>
  <c r="J1342" i="21" s="1"/>
  <c r="K1342" i="21"/>
  <c r="I1343" i="21"/>
  <c r="J1343" i="21" s="1"/>
  <c r="K1343" i="21"/>
  <c r="I1344" i="21"/>
  <c r="J1344" i="21" s="1"/>
  <c r="K1344" i="21"/>
  <c r="I1345" i="21"/>
  <c r="J1345" i="21" s="1"/>
  <c r="K1345" i="21"/>
  <c r="I1346" i="21"/>
  <c r="J1346" i="21" s="1"/>
  <c r="K1346" i="21"/>
  <c r="I1347" i="21"/>
  <c r="J1347" i="21" s="1"/>
  <c r="K1347" i="21"/>
  <c r="I1348" i="21"/>
  <c r="J1348" i="21" s="1"/>
  <c r="K1348" i="21"/>
  <c r="I1349" i="21"/>
  <c r="J1349" i="21" s="1"/>
  <c r="K1349" i="21"/>
  <c r="I1350" i="21"/>
  <c r="J1350" i="21" s="1"/>
  <c r="K1350" i="21"/>
  <c r="I1351" i="21"/>
  <c r="J1351" i="21" s="1"/>
  <c r="K1351" i="21"/>
  <c r="I1352" i="21"/>
  <c r="J1352" i="21" s="1"/>
  <c r="K1352" i="21"/>
  <c r="I1353" i="21"/>
  <c r="J1353" i="21" s="1"/>
  <c r="K1353" i="21"/>
  <c r="I1354" i="21"/>
  <c r="J1354" i="21" s="1"/>
  <c r="K1354" i="21"/>
  <c r="I1355" i="21"/>
  <c r="J1355" i="21" s="1"/>
  <c r="K1355" i="21"/>
  <c r="I1356" i="21"/>
  <c r="J1356" i="21" s="1"/>
  <c r="K1356" i="21"/>
  <c r="I1357" i="21"/>
  <c r="J1357" i="21" s="1"/>
  <c r="K1357" i="21"/>
  <c r="I1358" i="21"/>
  <c r="J1358" i="21" s="1"/>
  <c r="K1358" i="21"/>
  <c r="I1359" i="21"/>
  <c r="J1359" i="21" s="1"/>
  <c r="K1359" i="21"/>
  <c r="I1360" i="21"/>
  <c r="J1360" i="21" s="1"/>
  <c r="K1360" i="21"/>
  <c r="I1361" i="21"/>
  <c r="J1361" i="21" s="1"/>
  <c r="K1361" i="21"/>
  <c r="I1362" i="21"/>
  <c r="J1362" i="21" s="1"/>
  <c r="K1362" i="21"/>
  <c r="I1363" i="21"/>
  <c r="J1363" i="21" s="1"/>
  <c r="K1363" i="21"/>
  <c r="I1364" i="21"/>
  <c r="J1364" i="21" s="1"/>
  <c r="K1364" i="21"/>
  <c r="I1365" i="21"/>
  <c r="J1365" i="21" s="1"/>
  <c r="K1365" i="21"/>
  <c r="I1366" i="21"/>
  <c r="J1366" i="21" s="1"/>
  <c r="K1366" i="21"/>
  <c r="I1367" i="21"/>
  <c r="J1367" i="21" s="1"/>
  <c r="K1367" i="21"/>
  <c r="I1368" i="21"/>
  <c r="J1368" i="21" s="1"/>
  <c r="K1368" i="21"/>
  <c r="I1369" i="21"/>
  <c r="J1369" i="21" s="1"/>
  <c r="K1369" i="21"/>
  <c r="I1370" i="21"/>
  <c r="J1370" i="21" s="1"/>
  <c r="K1370" i="21"/>
  <c r="I1371" i="21"/>
  <c r="J1371" i="21" s="1"/>
  <c r="K1371" i="21"/>
  <c r="I1372" i="21"/>
  <c r="J1372" i="21" s="1"/>
  <c r="K1372" i="21"/>
  <c r="I1373" i="21"/>
  <c r="J1373" i="21" s="1"/>
  <c r="K1373" i="21"/>
  <c r="I1374" i="21"/>
  <c r="J1374" i="21" s="1"/>
  <c r="K1374" i="21"/>
  <c r="I1375" i="21"/>
  <c r="J1375" i="21" s="1"/>
  <c r="K1375" i="21"/>
  <c r="I1376" i="21"/>
  <c r="J1376" i="21" s="1"/>
  <c r="K1376" i="21"/>
  <c r="I1377" i="21"/>
  <c r="J1377" i="21" s="1"/>
  <c r="K1377" i="21"/>
  <c r="I1378" i="21"/>
  <c r="J1378" i="21" s="1"/>
  <c r="K1378" i="21"/>
  <c r="I1379" i="21"/>
  <c r="J1379" i="21" s="1"/>
  <c r="K1379" i="21"/>
  <c r="I1380" i="21"/>
  <c r="J1380" i="21" s="1"/>
  <c r="K1380" i="21"/>
  <c r="I1381" i="21"/>
  <c r="J1381" i="21" s="1"/>
  <c r="K1381" i="21"/>
  <c r="K1097" i="21"/>
  <c r="I1097" i="21"/>
  <c r="J1097" i="21" s="1"/>
  <c r="N1180" i="19"/>
  <c r="N1181" i="19"/>
  <c r="N1182" i="19"/>
  <c r="O1180" i="19"/>
  <c r="O1181" i="19"/>
  <c r="O1182" i="19"/>
  <c r="P1180" i="19"/>
  <c r="P1181" i="19"/>
  <c r="P1182" i="19"/>
  <c r="T1180" i="19"/>
  <c r="T1181" i="19"/>
  <c r="T1182" i="19"/>
  <c r="W1180" i="19"/>
  <c r="W1181" i="19"/>
  <c r="W1182" i="19"/>
  <c r="X1180" i="19"/>
  <c r="X1181" i="19"/>
  <c r="X1182" i="19"/>
  <c r="G89" i="22"/>
  <c r="G90" i="22"/>
  <c r="G91" i="22"/>
  <c r="G88" i="22"/>
  <c r="G87" i="22"/>
  <c r="G86" i="22"/>
  <c r="G85" i="22"/>
  <c r="G84" i="22"/>
  <c r="G83" i="22"/>
  <c r="G82" i="22"/>
  <c r="G81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80" i="22"/>
  <c r="N1085" i="19"/>
  <c r="N1086" i="19"/>
  <c r="N1087" i="19"/>
  <c r="N1121" i="19"/>
  <c r="N1122" i="19"/>
  <c r="N1458" i="19"/>
  <c r="N1622" i="19"/>
  <c r="N1343" i="19"/>
  <c r="N1318" i="19"/>
  <c r="N1800" i="19"/>
  <c r="O1085" i="19"/>
  <c r="O1086" i="19"/>
  <c r="O1087" i="19"/>
  <c r="O1121" i="19"/>
  <c r="O1122" i="19"/>
  <c r="O1458" i="19"/>
  <c r="O1622" i="19"/>
  <c r="O1343" i="19"/>
  <c r="O1318" i="19"/>
  <c r="O1800" i="19"/>
  <c r="P1085" i="19"/>
  <c r="P1086" i="19"/>
  <c r="P1087" i="19"/>
  <c r="P1121" i="19"/>
  <c r="P1122" i="19"/>
  <c r="P1458" i="19"/>
  <c r="P1622" i="19"/>
  <c r="P1343" i="19"/>
  <c r="P1318" i="19"/>
  <c r="P1800" i="19"/>
  <c r="T1085" i="19"/>
  <c r="T1086" i="19"/>
  <c r="T1087" i="19"/>
  <c r="T1121" i="19"/>
  <c r="T1122" i="19"/>
  <c r="T1458" i="19"/>
  <c r="T1622" i="19"/>
  <c r="T1343" i="19"/>
  <c r="T1318" i="19"/>
  <c r="T1800" i="19"/>
  <c r="W1085" i="19"/>
  <c r="W1086" i="19"/>
  <c r="W1087" i="19"/>
  <c r="W1121" i="19"/>
  <c r="W1122" i="19"/>
  <c r="W1458" i="19"/>
  <c r="W1622" i="19"/>
  <c r="W1343" i="19"/>
  <c r="W1318" i="19"/>
  <c r="W1800" i="19"/>
  <c r="X1085" i="19"/>
  <c r="X1086" i="19"/>
  <c r="X1087" i="19"/>
  <c r="X1121" i="19"/>
  <c r="X1122" i="19"/>
  <c r="X1458" i="19"/>
  <c r="X1622" i="19"/>
  <c r="X1343" i="19"/>
  <c r="X1318" i="19"/>
  <c r="X1800" i="19"/>
  <c r="N994" i="19"/>
  <c r="N995" i="19"/>
  <c r="N996" i="19"/>
  <c r="N997" i="19"/>
  <c r="N998" i="19"/>
  <c r="N999" i="19"/>
  <c r="N1000" i="19"/>
  <c r="N1061" i="19"/>
  <c r="N961" i="19"/>
  <c r="N962" i="19"/>
  <c r="N963" i="19"/>
  <c r="N964" i="19"/>
  <c r="N965" i="19"/>
  <c r="N1001" i="19"/>
  <c r="N1002" i="19"/>
  <c r="N966" i="19"/>
  <c r="N967" i="19"/>
  <c r="N968" i="19"/>
  <c r="N969" i="19"/>
  <c r="N970" i="19"/>
  <c r="N971" i="19"/>
  <c r="N1003" i="19"/>
  <c r="N1004" i="19"/>
  <c r="N972" i="19"/>
  <c r="N973" i="19"/>
  <c r="N974" i="19"/>
  <c r="N975" i="19"/>
  <c r="N976" i="19"/>
  <c r="N977" i="19"/>
  <c r="N978" i="19"/>
  <c r="N979" i="19"/>
  <c r="N980" i="19"/>
  <c r="N981" i="19"/>
  <c r="N982" i="19"/>
  <c r="N983" i="19"/>
  <c r="N984" i="19"/>
  <c r="N1005" i="19"/>
  <c r="N1006" i="19"/>
  <c r="N1007" i="19"/>
  <c r="N985" i="19"/>
  <c r="N986" i="19"/>
  <c r="N987" i="19"/>
  <c r="N988" i="19"/>
  <c r="N989" i="19"/>
  <c r="N990" i="19"/>
  <c r="N1008" i="19"/>
  <c r="N991" i="19"/>
  <c r="N992" i="19"/>
  <c r="N993" i="19"/>
  <c r="N1009" i="19"/>
  <c r="N1010" i="19"/>
  <c r="N1011" i="19"/>
  <c r="N1012" i="19"/>
  <c r="N1013" i="19"/>
  <c r="N1014" i="19"/>
  <c r="N1015" i="19"/>
  <c r="N1016" i="19"/>
  <c r="N1017" i="19"/>
  <c r="N1018" i="19"/>
  <c r="N1019" i="19"/>
  <c r="N1020" i="19"/>
  <c r="N1021" i="19"/>
  <c r="N1022" i="19"/>
  <c r="N1023" i="19"/>
  <c r="N1024" i="19"/>
  <c r="N1025" i="19"/>
  <c r="N1026" i="19"/>
  <c r="N1027" i="19"/>
  <c r="N1123" i="19"/>
  <c r="N1028" i="19"/>
  <c r="N1029" i="19"/>
  <c r="N1030" i="19"/>
  <c r="N1031" i="19"/>
  <c r="N1032" i="19"/>
  <c r="N1033" i="19"/>
  <c r="N1034" i="19"/>
  <c r="N1035" i="19"/>
  <c r="N1036" i="19"/>
  <c r="N1037" i="19"/>
  <c r="N1038" i="19"/>
  <c r="N1039" i="19"/>
  <c r="N1040" i="19"/>
  <c r="N1041" i="19"/>
  <c r="N1042" i="19"/>
  <c r="N1043" i="19"/>
  <c r="N1044" i="19"/>
  <c r="N1045" i="19"/>
  <c r="N1062" i="19"/>
  <c r="N1046" i="19"/>
  <c r="N1047" i="19"/>
  <c r="N1048" i="19"/>
  <c r="N1049" i="19"/>
  <c r="N1050" i="19"/>
  <c r="N1051" i="19"/>
  <c r="N1052" i="19"/>
  <c r="N1053" i="19"/>
  <c r="N1054" i="19"/>
  <c r="N1055" i="19"/>
  <c r="N1063" i="19"/>
  <c r="N1064" i="19"/>
  <c r="N1056" i="19"/>
  <c r="N1057" i="19"/>
  <c r="N1058" i="19"/>
  <c r="N1059" i="19"/>
  <c r="N1060" i="19"/>
  <c r="N1065" i="19"/>
  <c r="N1066" i="19"/>
  <c r="N1067" i="19"/>
  <c r="N1068" i="19"/>
  <c r="N1069" i="19"/>
  <c r="N1070" i="19"/>
  <c r="N1071" i="19"/>
  <c r="N1072" i="19"/>
  <c r="N1073" i="19"/>
  <c r="N1074" i="19"/>
  <c r="N1075" i="19"/>
  <c r="N1076" i="19"/>
  <c r="N1077" i="19"/>
  <c r="N1078" i="19"/>
  <c r="N1088" i="19"/>
  <c r="N1089" i="19"/>
  <c r="N1079" i="19"/>
  <c r="N1080" i="19"/>
  <c r="N1081" i="19"/>
  <c r="N1090" i="19"/>
  <c r="N1091" i="19"/>
  <c r="N1082" i="19"/>
  <c r="N1083" i="19"/>
  <c r="N1084" i="19"/>
  <c r="N1092" i="19"/>
  <c r="N1093" i="19"/>
  <c r="N1094" i="19"/>
  <c r="N1095" i="19"/>
  <c r="N1096" i="19"/>
  <c r="N1097" i="19"/>
  <c r="N1098" i="19"/>
  <c r="N1099" i="19"/>
  <c r="N1100" i="19"/>
  <c r="N1101" i="19"/>
  <c r="N1102" i="19"/>
  <c r="N1103" i="19"/>
  <c r="N1104" i="19"/>
  <c r="N1105" i="19"/>
  <c r="N1106" i="19"/>
  <c r="N1107" i="19"/>
  <c r="N1108" i="19"/>
  <c r="N1109" i="19"/>
  <c r="N1110" i="19"/>
  <c r="N1111" i="19"/>
  <c r="N1112" i="19"/>
  <c r="N1113" i="19"/>
  <c r="N1124" i="19"/>
  <c r="N1125" i="19"/>
  <c r="N1114" i="19"/>
  <c r="N1115" i="19"/>
  <c r="N1116" i="19"/>
  <c r="N1117" i="19"/>
  <c r="N1118" i="19"/>
  <c r="N1119" i="19"/>
  <c r="N1126" i="19"/>
  <c r="N1127" i="19"/>
  <c r="N1128" i="19"/>
  <c r="N1129" i="19"/>
  <c r="N1130" i="19"/>
  <c r="N1120" i="19"/>
  <c r="N1131" i="19"/>
  <c r="N1132" i="19"/>
  <c r="N1133" i="19"/>
  <c r="N1134" i="19"/>
  <c r="N1135" i="19"/>
  <c r="N1136" i="19"/>
  <c r="N1137" i="19"/>
  <c r="N1138" i="19"/>
  <c r="N1139" i="19"/>
  <c r="N1140" i="19"/>
  <c r="N1141" i="19"/>
  <c r="N1142" i="19"/>
  <c r="N1143" i="19"/>
  <c r="N1144" i="19"/>
  <c r="N1145" i="19"/>
  <c r="N1146" i="19"/>
  <c r="N1147" i="19"/>
  <c r="N1148" i="19"/>
  <c r="N1149" i="19"/>
  <c r="N1150" i="19"/>
  <c r="N1151" i="19"/>
  <c r="N1152" i="19"/>
  <c r="N1153" i="19"/>
  <c r="N1154" i="19"/>
  <c r="N1155" i="19"/>
  <c r="N1156" i="19"/>
  <c r="N1157" i="19"/>
  <c r="N1158" i="19"/>
  <c r="N1159" i="19"/>
  <c r="N1160" i="19"/>
  <c r="N1161" i="19"/>
  <c r="N1162" i="19"/>
  <c r="N1163" i="19"/>
  <c r="N1164" i="19"/>
  <c r="N1166" i="19"/>
  <c r="N1167" i="19"/>
  <c r="N1168" i="19"/>
  <c r="N1169" i="19"/>
  <c r="N1170" i="19"/>
  <c r="N1171" i="19"/>
  <c r="N1172" i="19"/>
  <c r="N1173" i="19"/>
  <c r="N1174" i="19"/>
  <c r="N1175" i="19"/>
  <c r="N1176" i="19"/>
  <c r="N1177" i="19"/>
  <c r="N1178" i="19"/>
  <c r="N1179" i="19"/>
  <c r="O994" i="19"/>
  <c r="O995" i="19"/>
  <c r="O996" i="19"/>
  <c r="O997" i="19"/>
  <c r="O998" i="19"/>
  <c r="O999" i="19"/>
  <c r="O1000" i="19"/>
  <c r="O1061" i="19"/>
  <c r="O961" i="19"/>
  <c r="O962" i="19"/>
  <c r="O963" i="19"/>
  <c r="O964" i="19"/>
  <c r="O965" i="19"/>
  <c r="O1001" i="19"/>
  <c r="O1002" i="19"/>
  <c r="O966" i="19"/>
  <c r="O967" i="19"/>
  <c r="O968" i="19"/>
  <c r="O969" i="19"/>
  <c r="O970" i="19"/>
  <c r="O971" i="19"/>
  <c r="O1003" i="19"/>
  <c r="O1004" i="19"/>
  <c r="O972" i="19"/>
  <c r="O973" i="19"/>
  <c r="O974" i="19"/>
  <c r="O975" i="19"/>
  <c r="O976" i="19"/>
  <c r="O977" i="19"/>
  <c r="O978" i="19"/>
  <c r="O979" i="19"/>
  <c r="O980" i="19"/>
  <c r="O981" i="19"/>
  <c r="O982" i="19"/>
  <c r="O983" i="19"/>
  <c r="O984" i="19"/>
  <c r="O1005" i="19"/>
  <c r="O1006" i="19"/>
  <c r="O1007" i="19"/>
  <c r="O985" i="19"/>
  <c r="O986" i="19"/>
  <c r="O987" i="19"/>
  <c r="O988" i="19"/>
  <c r="O989" i="19"/>
  <c r="O990" i="19"/>
  <c r="O1008" i="19"/>
  <c r="O991" i="19"/>
  <c r="O992" i="19"/>
  <c r="O993" i="19"/>
  <c r="O1009" i="19"/>
  <c r="O1010" i="19"/>
  <c r="O1011" i="19"/>
  <c r="O1012" i="19"/>
  <c r="O1013" i="19"/>
  <c r="O1014" i="19"/>
  <c r="O1015" i="19"/>
  <c r="O1016" i="19"/>
  <c r="O1017" i="19"/>
  <c r="O1018" i="19"/>
  <c r="O1019" i="19"/>
  <c r="O1020" i="19"/>
  <c r="O1021" i="19"/>
  <c r="O1022" i="19"/>
  <c r="O1023" i="19"/>
  <c r="O1024" i="19"/>
  <c r="O1025" i="19"/>
  <c r="O1026" i="19"/>
  <c r="O1027" i="19"/>
  <c r="O1123" i="19"/>
  <c r="O1028" i="19"/>
  <c r="O1029" i="19"/>
  <c r="O1030" i="19"/>
  <c r="O1031" i="19"/>
  <c r="O1032" i="19"/>
  <c r="O1033" i="19"/>
  <c r="O1034" i="19"/>
  <c r="O1035" i="19"/>
  <c r="O1036" i="19"/>
  <c r="O1037" i="19"/>
  <c r="O1038" i="19"/>
  <c r="O1039" i="19"/>
  <c r="O1040" i="19"/>
  <c r="O1041" i="19"/>
  <c r="O1042" i="19"/>
  <c r="O1043" i="19"/>
  <c r="O1044" i="19"/>
  <c r="O1045" i="19"/>
  <c r="O1062" i="19"/>
  <c r="O1046" i="19"/>
  <c r="O1047" i="19"/>
  <c r="O1048" i="19"/>
  <c r="O1049" i="19"/>
  <c r="O1050" i="19"/>
  <c r="O1051" i="19"/>
  <c r="O1052" i="19"/>
  <c r="O1053" i="19"/>
  <c r="O1054" i="19"/>
  <c r="O1055" i="19"/>
  <c r="O1063" i="19"/>
  <c r="O1064" i="19"/>
  <c r="O1056" i="19"/>
  <c r="O1057" i="19"/>
  <c r="O1058" i="19"/>
  <c r="O1059" i="19"/>
  <c r="O1060" i="19"/>
  <c r="O1065" i="19"/>
  <c r="O1066" i="19"/>
  <c r="O1067" i="19"/>
  <c r="O1068" i="19"/>
  <c r="O1069" i="19"/>
  <c r="O1070" i="19"/>
  <c r="O1071" i="19"/>
  <c r="O1072" i="19"/>
  <c r="O1073" i="19"/>
  <c r="O1074" i="19"/>
  <c r="O1075" i="19"/>
  <c r="O1076" i="19"/>
  <c r="O1077" i="19"/>
  <c r="O1078" i="19"/>
  <c r="O1088" i="19"/>
  <c r="O1089" i="19"/>
  <c r="O1079" i="19"/>
  <c r="O1080" i="19"/>
  <c r="O1081" i="19"/>
  <c r="O1090" i="19"/>
  <c r="O1091" i="19"/>
  <c r="O1082" i="19"/>
  <c r="O1083" i="19"/>
  <c r="O1084" i="19"/>
  <c r="O1092" i="19"/>
  <c r="O1093" i="19"/>
  <c r="O1094" i="19"/>
  <c r="O1095" i="19"/>
  <c r="O1096" i="19"/>
  <c r="O1097" i="19"/>
  <c r="O1098" i="19"/>
  <c r="O1099" i="19"/>
  <c r="O1100" i="19"/>
  <c r="O1101" i="19"/>
  <c r="O1102" i="19"/>
  <c r="O1103" i="19"/>
  <c r="O1104" i="19"/>
  <c r="O1105" i="19"/>
  <c r="O1106" i="19"/>
  <c r="O1107" i="19"/>
  <c r="O1108" i="19"/>
  <c r="O1109" i="19"/>
  <c r="O1110" i="19"/>
  <c r="O1111" i="19"/>
  <c r="O1112" i="19"/>
  <c r="O1113" i="19"/>
  <c r="O1124" i="19"/>
  <c r="O1125" i="19"/>
  <c r="O1114" i="19"/>
  <c r="O1115" i="19"/>
  <c r="O1116" i="19"/>
  <c r="O1117" i="19"/>
  <c r="O1118" i="19"/>
  <c r="O1119" i="19"/>
  <c r="O1126" i="19"/>
  <c r="O1127" i="19"/>
  <c r="O1128" i="19"/>
  <c r="O1129" i="19"/>
  <c r="O1130" i="19"/>
  <c r="O1120" i="19"/>
  <c r="O1131" i="19"/>
  <c r="O1132" i="19"/>
  <c r="O1133" i="19"/>
  <c r="O1134" i="19"/>
  <c r="O1135" i="19"/>
  <c r="O1136" i="19"/>
  <c r="O1137" i="19"/>
  <c r="O1138" i="19"/>
  <c r="O1139" i="19"/>
  <c r="O1140" i="19"/>
  <c r="O1141" i="19"/>
  <c r="O1142" i="19"/>
  <c r="O1143" i="19"/>
  <c r="O1144" i="19"/>
  <c r="O1145" i="19"/>
  <c r="O1146" i="19"/>
  <c r="O1147" i="19"/>
  <c r="O1148" i="19"/>
  <c r="O1149" i="19"/>
  <c r="O1150" i="19"/>
  <c r="O1151" i="19"/>
  <c r="O1152" i="19"/>
  <c r="O1153" i="19"/>
  <c r="O1154" i="19"/>
  <c r="O1155" i="19"/>
  <c r="O1156" i="19"/>
  <c r="O1157" i="19"/>
  <c r="O1158" i="19"/>
  <c r="O1159" i="19"/>
  <c r="O1160" i="19"/>
  <c r="O1161" i="19"/>
  <c r="O1162" i="19"/>
  <c r="O1163" i="19"/>
  <c r="O1164" i="19"/>
  <c r="O1166" i="19"/>
  <c r="O1167" i="19"/>
  <c r="O1168" i="19"/>
  <c r="O1169" i="19"/>
  <c r="O1170" i="19"/>
  <c r="O1171" i="19"/>
  <c r="O1172" i="19"/>
  <c r="O1173" i="19"/>
  <c r="O1174" i="19"/>
  <c r="O1175" i="19"/>
  <c r="O1176" i="19"/>
  <c r="O1177" i="19"/>
  <c r="O1178" i="19"/>
  <c r="O1179" i="19"/>
  <c r="P994" i="19"/>
  <c r="P995" i="19"/>
  <c r="P996" i="19"/>
  <c r="P997" i="19"/>
  <c r="P998" i="19"/>
  <c r="P999" i="19"/>
  <c r="P1000" i="19"/>
  <c r="P1061" i="19"/>
  <c r="P961" i="19"/>
  <c r="P962" i="19"/>
  <c r="P963" i="19"/>
  <c r="P964" i="19"/>
  <c r="P965" i="19"/>
  <c r="P1001" i="19"/>
  <c r="P1002" i="19"/>
  <c r="P966" i="19"/>
  <c r="P967" i="19"/>
  <c r="P968" i="19"/>
  <c r="P969" i="19"/>
  <c r="P970" i="19"/>
  <c r="P971" i="19"/>
  <c r="P1003" i="19"/>
  <c r="P1004" i="19"/>
  <c r="P972" i="19"/>
  <c r="P973" i="19"/>
  <c r="P974" i="19"/>
  <c r="P975" i="19"/>
  <c r="P976" i="19"/>
  <c r="P977" i="19"/>
  <c r="P978" i="19"/>
  <c r="P979" i="19"/>
  <c r="P980" i="19"/>
  <c r="P981" i="19"/>
  <c r="P982" i="19"/>
  <c r="P983" i="19"/>
  <c r="P984" i="19"/>
  <c r="P1005" i="19"/>
  <c r="P1006" i="19"/>
  <c r="P1007" i="19"/>
  <c r="P985" i="19"/>
  <c r="P986" i="19"/>
  <c r="P987" i="19"/>
  <c r="P988" i="19"/>
  <c r="P989" i="19"/>
  <c r="P990" i="19"/>
  <c r="P1008" i="19"/>
  <c r="P991" i="19"/>
  <c r="P992" i="19"/>
  <c r="P993" i="19"/>
  <c r="P1009" i="19"/>
  <c r="P1010" i="19"/>
  <c r="P1011" i="19"/>
  <c r="P1012" i="19"/>
  <c r="P1013" i="19"/>
  <c r="P1014" i="19"/>
  <c r="P1015" i="19"/>
  <c r="P1016" i="19"/>
  <c r="P1017" i="19"/>
  <c r="P1018" i="19"/>
  <c r="P1019" i="19"/>
  <c r="P1020" i="19"/>
  <c r="P1021" i="19"/>
  <c r="P1022" i="19"/>
  <c r="P1023" i="19"/>
  <c r="P1024" i="19"/>
  <c r="P1025" i="19"/>
  <c r="P1026" i="19"/>
  <c r="P1027" i="19"/>
  <c r="P1123" i="19"/>
  <c r="P1028" i="19"/>
  <c r="P1029" i="19"/>
  <c r="P1030" i="19"/>
  <c r="P1031" i="19"/>
  <c r="P1032" i="19"/>
  <c r="P1033" i="19"/>
  <c r="P1034" i="19"/>
  <c r="P1035" i="19"/>
  <c r="P1036" i="19"/>
  <c r="P1037" i="19"/>
  <c r="P1038" i="19"/>
  <c r="P1039" i="19"/>
  <c r="P1040" i="19"/>
  <c r="P1041" i="19"/>
  <c r="P1042" i="19"/>
  <c r="P1043" i="19"/>
  <c r="P1044" i="19"/>
  <c r="P1045" i="19"/>
  <c r="P1062" i="19"/>
  <c r="P1046" i="19"/>
  <c r="P1047" i="19"/>
  <c r="P1048" i="19"/>
  <c r="P1049" i="19"/>
  <c r="P1050" i="19"/>
  <c r="P1051" i="19"/>
  <c r="P1052" i="19"/>
  <c r="P1053" i="19"/>
  <c r="P1054" i="19"/>
  <c r="P1055" i="19"/>
  <c r="P1063" i="19"/>
  <c r="P1064" i="19"/>
  <c r="P1056" i="19"/>
  <c r="P1057" i="19"/>
  <c r="P1058" i="19"/>
  <c r="P1059" i="19"/>
  <c r="P1060" i="19"/>
  <c r="P1065" i="19"/>
  <c r="P1066" i="19"/>
  <c r="P1067" i="19"/>
  <c r="P1068" i="19"/>
  <c r="P1069" i="19"/>
  <c r="P1070" i="19"/>
  <c r="P1071" i="19"/>
  <c r="P1072" i="19"/>
  <c r="P1073" i="19"/>
  <c r="P1074" i="19"/>
  <c r="P1075" i="19"/>
  <c r="P1076" i="19"/>
  <c r="P1077" i="19"/>
  <c r="P1078" i="19"/>
  <c r="P1088" i="19"/>
  <c r="P1089" i="19"/>
  <c r="P1079" i="19"/>
  <c r="P1080" i="19"/>
  <c r="P1081" i="19"/>
  <c r="P1090" i="19"/>
  <c r="P1091" i="19"/>
  <c r="P1082" i="19"/>
  <c r="P1083" i="19"/>
  <c r="P1084" i="19"/>
  <c r="P1092" i="19"/>
  <c r="P1093" i="19"/>
  <c r="P1094" i="19"/>
  <c r="P1095" i="19"/>
  <c r="P1096" i="19"/>
  <c r="P1097" i="19"/>
  <c r="P1098" i="19"/>
  <c r="P1099" i="19"/>
  <c r="P1100" i="19"/>
  <c r="P1101" i="19"/>
  <c r="P1102" i="19"/>
  <c r="P1103" i="19"/>
  <c r="P1104" i="19"/>
  <c r="P1105" i="19"/>
  <c r="P1106" i="19"/>
  <c r="P1107" i="19"/>
  <c r="P1108" i="19"/>
  <c r="P1109" i="19"/>
  <c r="P1110" i="19"/>
  <c r="P1111" i="19"/>
  <c r="P1112" i="19"/>
  <c r="P1113" i="19"/>
  <c r="P1124" i="19"/>
  <c r="P1125" i="19"/>
  <c r="P1114" i="19"/>
  <c r="P1115" i="19"/>
  <c r="P1116" i="19"/>
  <c r="P1117" i="19"/>
  <c r="P1118" i="19"/>
  <c r="P1119" i="19"/>
  <c r="P1126" i="19"/>
  <c r="P1127" i="19"/>
  <c r="P1128" i="19"/>
  <c r="P1129" i="19"/>
  <c r="P1130" i="19"/>
  <c r="P1120" i="19"/>
  <c r="P1131" i="19"/>
  <c r="P1132" i="19"/>
  <c r="P1133" i="19"/>
  <c r="P1134" i="19"/>
  <c r="P1135" i="19"/>
  <c r="P1136" i="19"/>
  <c r="P1137" i="19"/>
  <c r="P1138" i="19"/>
  <c r="P1139" i="19"/>
  <c r="P1140" i="19"/>
  <c r="P1141" i="19"/>
  <c r="P1142" i="19"/>
  <c r="P1143" i="19"/>
  <c r="P1144" i="19"/>
  <c r="P1145" i="19"/>
  <c r="P1146" i="19"/>
  <c r="P1147" i="19"/>
  <c r="P1148" i="19"/>
  <c r="P1149" i="19"/>
  <c r="P1150" i="19"/>
  <c r="P1151" i="19"/>
  <c r="P1152" i="19"/>
  <c r="P1153" i="19"/>
  <c r="P1154" i="19"/>
  <c r="P1155" i="19"/>
  <c r="P1156" i="19"/>
  <c r="P1157" i="19"/>
  <c r="P1158" i="19"/>
  <c r="P1159" i="19"/>
  <c r="P1160" i="19"/>
  <c r="P1161" i="19"/>
  <c r="P1162" i="19"/>
  <c r="P1163" i="19"/>
  <c r="P1164" i="19"/>
  <c r="P1166" i="19"/>
  <c r="P1167" i="19"/>
  <c r="P1168" i="19"/>
  <c r="P1169" i="19"/>
  <c r="P1170" i="19"/>
  <c r="P1171" i="19"/>
  <c r="P1172" i="19"/>
  <c r="P1173" i="19"/>
  <c r="P1174" i="19"/>
  <c r="P1175" i="19"/>
  <c r="P1176" i="19"/>
  <c r="P1177" i="19"/>
  <c r="P1178" i="19"/>
  <c r="P1179" i="19"/>
  <c r="T994" i="19"/>
  <c r="T995" i="19"/>
  <c r="T996" i="19"/>
  <c r="T997" i="19"/>
  <c r="T998" i="19"/>
  <c r="T999" i="19"/>
  <c r="T1000" i="19"/>
  <c r="T1061" i="19"/>
  <c r="T961" i="19"/>
  <c r="T962" i="19"/>
  <c r="T963" i="19"/>
  <c r="T964" i="19"/>
  <c r="T965" i="19"/>
  <c r="T1001" i="19"/>
  <c r="T1002" i="19"/>
  <c r="T966" i="19"/>
  <c r="T967" i="19"/>
  <c r="T968" i="19"/>
  <c r="T969" i="19"/>
  <c r="T970" i="19"/>
  <c r="T971" i="19"/>
  <c r="T1003" i="19"/>
  <c r="T1004" i="19"/>
  <c r="T972" i="19"/>
  <c r="T973" i="19"/>
  <c r="T974" i="19"/>
  <c r="T975" i="19"/>
  <c r="T976" i="19"/>
  <c r="T977" i="19"/>
  <c r="T978" i="19"/>
  <c r="T979" i="19"/>
  <c r="T980" i="19"/>
  <c r="T981" i="19"/>
  <c r="T982" i="19"/>
  <c r="T983" i="19"/>
  <c r="T984" i="19"/>
  <c r="T1005" i="19"/>
  <c r="T1006" i="19"/>
  <c r="T1007" i="19"/>
  <c r="T985" i="19"/>
  <c r="T986" i="19"/>
  <c r="T987" i="19"/>
  <c r="T988" i="19"/>
  <c r="T989" i="19"/>
  <c r="T990" i="19"/>
  <c r="T1008" i="19"/>
  <c r="T991" i="19"/>
  <c r="T992" i="19"/>
  <c r="T993" i="19"/>
  <c r="T1009" i="19"/>
  <c r="T1010" i="19"/>
  <c r="T1011" i="19"/>
  <c r="T1012" i="19"/>
  <c r="T1013" i="19"/>
  <c r="T1014" i="19"/>
  <c r="T1015" i="19"/>
  <c r="T1016" i="19"/>
  <c r="T1017" i="19"/>
  <c r="T1018" i="19"/>
  <c r="T1019" i="19"/>
  <c r="T1020" i="19"/>
  <c r="T1021" i="19"/>
  <c r="T1022" i="19"/>
  <c r="T1023" i="19"/>
  <c r="T1024" i="19"/>
  <c r="T1025" i="19"/>
  <c r="T1026" i="19"/>
  <c r="T1027" i="19"/>
  <c r="T1123" i="19"/>
  <c r="T1028" i="19"/>
  <c r="T1029" i="19"/>
  <c r="T1030" i="19"/>
  <c r="T1031" i="19"/>
  <c r="T1032" i="19"/>
  <c r="T1033" i="19"/>
  <c r="T1034" i="19"/>
  <c r="T1035" i="19"/>
  <c r="T1036" i="19"/>
  <c r="T1037" i="19"/>
  <c r="T1038" i="19"/>
  <c r="T1039" i="19"/>
  <c r="T1040" i="19"/>
  <c r="T1041" i="19"/>
  <c r="T1042" i="19"/>
  <c r="T1043" i="19"/>
  <c r="T1044" i="19"/>
  <c r="T1045" i="19"/>
  <c r="T1062" i="19"/>
  <c r="T1046" i="19"/>
  <c r="T1047" i="19"/>
  <c r="T1048" i="19"/>
  <c r="T1049" i="19"/>
  <c r="T1050" i="19"/>
  <c r="T1051" i="19"/>
  <c r="T1052" i="19"/>
  <c r="T1053" i="19"/>
  <c r="T1054" i="19"/>
  <c r="T1055" i="19"/>
  <c r="T1063" i="19"/>
  <c r="T1064" i="19"/>
  <c r="T1056" i="19"/>
  <c r="T1057" i="19"/>
  <c r="T1058" i="19"/>
  <c r="T1059" i="19"/>
  <c r="T1060" i="19"/>
  <c r="T1065" i="19"/>
  <c r="T1066" i="19"/>
  <c r="T1067" i="19"/>
  <c r="T1068" i="19"/>
  <c r="T1069" i="19"/>
  <c r="T1070" i="19"/>
  <c r="T1071" i="19"/>
  <c r="T1072" i="19"/>
  <c r="T1073" i="19"/>
  <c r="T1074" i="19"/>
  <c r="T1075" i="19"/>
  <c r="T1076" i="19"/>
  <c r="T1077" i="19"/>
  <c r="T1078" i="19"/>
  <c r="T1088" i="19"/>
  <c r="T1089" i="19"/>
  <c r="T1079" i="19"/>
  <c r="T1080" i="19"/>
  <c r="T1081" i="19"/>
  <c r="T1090" i="19"/>
  <c r="T1091" i="19"/>
  <c r="T1082" i="19"/>
  <c r="T1083" i="19"/>
  <c r="T1084" i="19"/>
  <c r="T1092" i="19"/>
  <c r="T1093" i="19"/>
  <c r="T1094" i="19"/>
  <c r="T1095" i="19"/>
  <c r="T1096" i="19"/>
  <c r="T1097" i="19"/>
  <c r="T1098" i="19"/>
  <c r="T1099" i="19"/>
  <c r="T1100" i="19"/>
  <c r="T1101" i="19"/>
  <c r="T1102" i="19"/>
  <c r="T1103" i="19"/>
  <c r="T1104" i="19"/>
  <c r="T1105" i="19"/>
  <c r="T1106" i="19"/>
  <c r="T1107" i="19"/>
  <c r="T1108" i="19"/>
  <c r="T1109" i="19"/>
  <c r="T1110" i="19"/>
  <c r="T1111" i="19"/>
  <c r="T1112" i="19"/>
  <c r="T1113" i="19"/>
  <c r="T1124" i="19"/>
  <c r="T1125" i="19"/>
  <c r="T1114" i="19"/>
  <c r="T1115" i="19"/>
  <c r="T1116" i="19"/>
  <c r="T1117" i="19"/>
  <c r="T1118" i="19"/>
  <c r="T1119" i="19"/>
  <c r="T1126" i="19"/>
  <c r="T1127" i="19"/>
  <c r="T1128" i="19"/>
  <c r="T1129" i="19"/>
  <c r="T1130" i="19"/>
  <c r="T1120" i="19"/>
  <c r="T1131" i="19"/>
  <c r="T1132" i="19"/>
  <c r="T1133" i="19"/>
  <c r="T1134" i="19"/>
  <c r="T1135" i="19"/>
  <c r="T1136" i="19"/>
  <c r="T1137" i="19"/>
  <c r="T1138" i="19"/>
  <c r="T1139" i="19"/>
  <c r="T1140" i="19"/>
  <c r="T1141" i="19"/>
  <c r="T1142" i="19"/>
  <c r="T1143" i="19"/>
  <c r="T1144" i="19"/>
  <c r="T1145" i="19"/>
  <c r="T1146" i="19"/>
  <c r="T1147" i="19"/>
  <c r="T1148" i="19"/>
  <c r="T1149" i="19"/>
  <c r="T1150" i="19"/>
  <c r="T1151" i="19"/>
  <c r="T1152" i="19"/>
  <c r="T1153" i="19"/>
  <c r="T1154" i="19"/>
  <c r="T1155" i="19"/>
  <c r="T1156" i="19"/>
  <c r="T1157" i="19"/>
  <c r="T1158" i="19"/>
  <c r="T1159" i="19"/>
  <c r="T1160" i="19"/>
  <c r="T1161" i="19"/>
  <c r="T1162" i="19"/>
  <c r="T1163" i="19"/>
  <c r="T1164" i="19"/>
  <c r="T1166" i="19"/>
  <c r="T1167" i="19"/>
  <c r="T1168" i="19"/>
  <c r="T1169" i="19"/>
  <c r="T1170" i="19"/>
  <c r="T1171" i="19"/>
  <c r="T1172" i="19"/>
  <c r="T1173" i="19"/>
  <c r="T1174" i="19"/>
  <c r="T1175" i="19"/>
  <c r="T1176" i="19"/>
  <c r="T1177" i="19"/>
  <c r="T1178" i="19"/>
  <c r="T1179" i="19"/>
  <c r="W994" i="19"/>
  <c r="W995" i="19"/>
  <c r="W996" i="19"/>
  <c r="W997" i="19"/>
  <c r="W998" i="19"/>
  <c r="W999" i="19"/>
  <c r="W1000" i="19"/>
  <c r="W1061" i="19"/>
  <c r="W961" i="19"/>
  <c r="W962" i="19"/>
  <c r="W963" i="19"/>
  <c r="W964" i="19"/>
  <c r="W965" i="19"/>
  <c r="W1001" i="19"/>
  <c r="W1002" i="19"/>
  <c r="W966" i="19"/>
  <c r="W967" i="19"/>
  <c r="W968" i="19"/>
  <c r="W969" i="19"/>
  <c r="W970" i="19"/>
  <c r="W971" i="19"/>
  <c r="W1003" i="19"/>
  <c r="W1004" i="19"/>
  <c r="W972" i="19"/>
  <c r="W973" i="19"/>
  <c r="W974" i="19"/>
  <c r="W975" i="19"/>
  <c r="W976" i="19"/>
  <c r="W977" i="19"/>
  <c r="W978" i="19"/>
  <c r="W979" i="19"/>
  <c r="W980" i="19"/>
  <c r="W981" i="19"/>
  <c r="W982" i="19"/>
  <c r="W983" i="19"/>
  <c r="W984" i="19"/>
  <c r="W1005" i="19"/>
  <c r="W1006" i="19"/>
  <c r="W1007" i="19"/>
  <c r="W985" i="19"/>
  <c r="W986" i="19"/>
  <c r="W987" i="19"/>
  <c r="W988" i="19"/>
  <c r="W989" i="19"/>
  <c r="W990" i="19"/>
  <c r="W1008" i="19"/>
  <c r="W991" i="19"/>
  <c r="W992" i="19"/>
  <c r="W993" i="19"/>
  <c r="W1009" i="19"/>
  <c r="W1010" i="19"/>
  <c r="W1011" i="19"/>
  <c r="W1012" i="19"/>
  <c r="W1013" i="19"/>
  <c r="W1014" i="19"/>
  <c r="W1015" i="19"/>
  <c r="W1016" i="19"/>
  <c r="W1017" i="19"/>
  <c r="W1018" i="19"/>
  <c r="W1019" i="19"/>
  <c r="W1020" i="19"/>
  <c r="W1021" i="19"/>
  <c r="W1022" i="19"/>
  <c r="W1023" i="19"/>
  <c r="W1024" i="19"/>
  <c r="W1025" i="19"/>
  <c r="W1026" i="19"/>
  <c r="W1027" i="19"/>
  <c r="W1123" i="19"/>
  <c r="W1028" i="19"/>
  <c r="W1029" i="19"/>
  <c r="W1030" i="19"/>
  <c r="W1031" i="19"/>
  <c r="W1032" i="19"/>
  <c r="W1033" i="19"/>
  <c r="W1034" i="19"/>
  <c r="W1035" i="19"/>
  <c r="W1036" i="19"/>
  <c r="W1037" i="19"/>
  <c r="W1038" i="19"/>
  <c r="W1039" i="19"/>
  <c r="W1040" i="19"/>
  <c r="W1041" i="19"/>
  <c r="W1042" i="19"/>
  <c r="W1043" i="19"/>
  <c r="W1044" i="19"/>
  <c r="W1045" i="19"/>
  <c r="W1062" i="19"/>
  <c r="W1046" i="19"/>
  <c r="W1047" i="19"/>
  <c r="W1048" i="19"/>
  <c r="W1049" i="19"/>
  <c r="W1050" i="19"/>
  <c r="W1051" i="19"/>
  <c r="W1052" i="19"/>
  <c r="W1053" i="19"/>
  <c r="W1054" i="19"/>
  <c r="W1055" i="19"/>
  <c r="W1063" i="19"/>
  <c r="W1064" i="19"/>
  <c r="W1056" i="19"/>
  <c r="W1057" i="19"/>
  <c r="W1058" i="19"/>
  <c r="W1059" i="19"/>
  <c r="W1060" i="19"/>
  <c r="W1065" i="19"/>
  <c r="W1066" i="19"/>
  <c r="W1067" i="19"/>
  <c r="W1068" i="19"/>
  <c r="W1069" i="19"/>
  <c r="W1070" i="19"/>
  <c r="W1071" i="19"/>
  <c r="W1072" i="19"/>
  <c r="W1073" i="19"/>
  <c r="W1074" i="19"/>
  <c r="W1075" i="19"/>
  <c r="W1076" i="19"/>
  <c r="W1077" i="19"/>
  <c r="W1078" i="19"/>
  <c r="W1088" i="19"/>
  <c r="W1089" i="19"/>
  <c r="W1079" i="19"/>
  <c r="W1080" i="19"/>
  <c r="W1081" i="19"/>
  <c r="W1090" i="19"/>
  <c r="W1091" i="19"/>
  <c r="W1082" i="19"/>
  <c r="W1083" i="19"/>
  <c r="W1084" i="19"/>
  <c r="W1092" i="19"/>
  <c r="W1093" i="19"/>
  <c r="W1094" i="19"/>
  <c r="W1095" i="19"/>
  <c r="W1096" i="19"/>
  <c r="W1097" i="19"/>
  <c r="W1098" i="19"/>
  <c r="W1099" i="19"/>
  <c r="W1100" i="19"/>
  <c r="W1101" i="19"/>
  <c r="W1102" i="19"/>
  <c r="W1103" i="19"/>
  <c r="W1104" i="19"/>
  <c r="W1105" i="19"/>
  <c r="W1106" i="19"/>
  <c r="W1107" i="19"/>
  <c r="W1108" i="19"/>
  <c r="W1109" i="19"/>
  <c r="W1110" i="19"/>
  <c r="W1111" i="19"/>
  <c r="W1112" i="19"/>
  <c r="W1113" i="19"/>
  <c r="W1124" i="19"/>
  <c r="W1125" i="19"/>
  <c r="W1114" i="19"/>
  <c r="W1115" i="19"/>
  <c r="W1116" i="19"/>
  <c r="W1117" i="19"/>
  <c r="W1118" i="19"/>
  <c r="W1119" i="19"/>
  <c r="W1126" i="19"/>
  <c r="W1127" i="19"/>
  <c r="W1128" i="19"/>
  <c r="W1129" i="19"/>
  <c r="W1130" i="19"/>
  <c r="W1120" i="19"/>
  <c r="W1131" i="19"/>
  <c r="W1132" i="19"/>
  <c r="W1133" i="19"/>
  <c r="W1134" i="19"/>
  <c r="W1135" i="19"/>
  <c r="W1136" i="19"/>
  <c r="W1137" i="19"/>
  <c r="W1138" i="19"/>
  <c r="W1139" i="19"/>
  <c r="W1140" i="19"/>
  <c r="W1141" i="19"/>
  <c r="W1142" i="19"/>
  <c r="W1143" i="19"/>
  <c r="W1144" i="19"/>
  <c r="W1145" i="19"/>
  <c r="W1146" i="19"/>
  <c r="W1147" i="19"/>
  <c r="W1148" i="19"/>
  <c r="W1149" i="19"/>
  <c r="W1150" i="19"/>
  <c r="W1151" i="19"/>
  <c r="W1152" i="19"/>
  <c r="W1153" i="19"/>
  <c r="W1154" i="19"/>
  <c r="W1155" i="19"/>
  <c r="W1156" i="19"/>
  <c r="W1157" i="19"/>
  <c r="W1158" i="19"/>
  <c r="W1159" i="19"/>
  <c r="W1160" i="19"/>
  <c r="W1161" i="19"/>
  <c r="W1162" i="19"/>
  <c r="W1163" i="19"/>
  <c r="W1164" i="19"/>
  <c r="W1166" i="19"/>
  <c r="W1167" i="19"/>
  <c r="W1168" i="19"/>
  <c r="W1169" i="19"/>
  <c r="W1170" i="19"/>
  <c r="W1171" i="19"/>
  <c r="W1172" i="19"/>
  <c r="W1173" i="19"/>
  <c r="W1174" i="19"/>
  <c r="W1175" i="19"/>
  <c r="W1176" i="19"/>
  <c r="W1177" i="19"/>
  <c r="W1178" i="19"/>
  <c r="W1179" i="19"/>
  <c r="X994" i="19"/>
  <c r="X995" i="19"/>
  <c r="X996" i="19"/>
  <c r="X997" i="19"/>
  <c r="X998" i="19"/>
  <c r="X999" i="19"/>
  <c r="X1000" i="19"/>
  <c r="X1061" i="19"/>
  <c r="X961" i="19"/>
  <c r="X962" i="19"/>
  <c r="X963" i="19"/>
  <c r="X964" i="19"/>
  <c r="X965" i="19"/>
  <c r="X1001" i="19"/>
  <c r="X1002" i="19"/>
  <c r="X966" i="19"/>
  <c r="X967" i="19"/>
  <c r="X968" i="19"/>
  <c r="X969" i="19"/>
  <c r="X970" i="19"/>
  <c r="X971" i="19"/>
  <c r="X1003" i="19"/>
  <c r="X1004" i="19"/>
  <c r="X972" i="19"/>
  <c r="X973" i="19"/>
  <c r="X974" i="19"/>
  <c r="X975" i="19"/>
  <c r="X976" i="19"/>
  <c r="X977" i="19"/>
  <c r="X978" i="19"/>
  <c r="X979" i="19"/>
  <c r="X980" i="19"/>
  <c r="X981" i="19"/>
  <c r="X982" i="19"/>
  <c r="X983" i="19"/>
  <c r="X984" i="19"/>
  <c r="X1005" i="19"/>
  <c r="X1006" i="19"/>
  <c r="X1007" i="19"/>
  <c r="X985" i="19"/>
  <c r="X986" i="19"/>
  <c r="X987" i="19"/>
  <c r="X988" i="19"/>
  <c r="X989" i="19"/>
  <c r="X990" i="19"/>
  <c r="X1008" i="19"/>
  <c r="X991" i="19"/>
  <c r="X992" i="19"/>
  <c r="X993" i="19"/>
  <c r="X1009" i="19"/>
  <c r="X1010" i="19"/>
  <c r="X1011" i="19"/>
  <c r="X1012" i="19"/>
  <c r="X1013" i="19"/>
  <c r="X1014" i="19"/>
  <c r="X1015" i="19"/>
  <c r="X1016" i="19"/>
  <c r="X1017" i="19"/>
  <c r="X1018" i="19"/>
  <c r="X1019" i="19"/>
  <c r="X1020" i="19"/>
  <c r="X1021" i="19"/>
  <c r="X1022" i="19"/>
  <c r="X1023" i="19"/>
  <c r="X1024" i="19"/>
  <c r="X1025" i="19"/>
  <c r="X1026" i="19"/>
  <c r="X1027" i="19"/>
  <c r="X1123" i="19"/>
  <c r="X1028" i="19"/>
  <c r="X1029" i="19"/>
  <c r="X1030" i="19"/>
  <c r="X1031" i="19"/>
  <c r="X1032" i="19"/>
  <c r="X1033" i="19"/>
  <c r="X1034" i="19"/>
  <c r="X1035" i="19"/>
  <c r="X1036" i="19"/>
  <c r="X1037" i="19"/>
  <c r="X1038" i="19"/>
  <c r="X1039" i="19"/>
  <c r="X1040" i="19"/>
  <c r="X1041" i="19"/>
  <c r="X1042" i="19"/>
  <c r="X1043" i="19"/>
  <c r="X1044" i="19"/>
  <c r="X1045" i="19"/>
  <c r="X1062" i="19"/>
  <c r="X1046" i="19"/>
  <c r="X1047" i="19"/>
  <c r="X1048" i="19"/>
  <c r="X1049" i="19"/>
  <c r="X1050" i="19"/>
  <c r="X1051" i="19"/>
  <c r="X1052" i="19"/>
  <c r="X1053" i="19"/>
  <c r="X1054" i="19"/>
  <c r="X1055" i="19"/>
  <c r="X1063" i="19"/>
  <c r="X1064" i="19"/>
  <c r="X1056" i="19"/>
  <c r="X1057" i="19"/>
  <c r="X1058" i="19"/>
  <c r="X1059" i="19"/>
  <c r="X1060" i="19"/>
  <c r="X1065" i="19"/>
  <c r="X1066" i="19"/>
  <c r="X1067" i="19"/>
  <c r="X1068" i="19"/>
  <c r="X1069" i="19"/>
  <c r="X1070" i="19"/>
  <c r="X1071" i="19"/>
  <c r="X1072" i="19"/>
  <c r="X1073" i="19"/>
  <c r="X1074" i="19"/>
  <c r="X1075" i="19"/>
  <c r="X1076" i="19"/>
  <c r="X1077" i="19"/>
  <c r="X1078" i="19"/>
  <c r="X1088" i="19"/>
  <c r="X1089" i="19"/>
  <c r="X1079" i="19"/>
  <c r="X1080" i="19"/>
  <c r="X1081" i="19"/>
  <c r="X1090" i="19"/>
  <c r="X1091" i="19"/>
  <c r="X1082" i="19"/>
  <c r="X1083" i="19"/>
  <c r="X1084" i="19"/>
  <c r="X1092" i="19"/>
  <c r="X1093" i="19"/>
  <c r="X1094" i="19"/>
  <c r="X1095" i="19"/>
  <c r="X1096" i="19"/>
  <c r="X1097" i="19"/>
  <c r="X1098" i="19"/>
  <c r="X1099" i="19"/>
  <c r="X1100" i="19"/>
  <c r="X1101" i="19"/>
  <c r="X1102" i="19"/>
  <c r="X1103" i="19"/>
  <c r="X1104" i="19"/>
  <c r="X1105" i="19"/>
  <c r="X1106" i="19"/>
  <c r="X1107" i="19"/>
  <c r="X1108" i="19"/>
  <c r="X1109" i="19"/>
  <c r="X1110" i="19"/>
  <c r="X1111" i="19"/>
  <c r="X1112" i="19"/>
  <c r="X1113" i="19"/>
  <c r="X1124" i="19"/>
  <c r="X1125" i="19"/>
  <c r="X1114" i="19"/>
  <c r="X1115" i="19"/>
  <c r="X1116" i="19"/>
  <c r="X1117" i="19"/>
  <c r="X1118" i="19"/>
  <c r="X1119" i="19"/>
  <c r="X1126" i="19"/>
  <c r="X1127" i="19"/>
  <c r="X1128" i="19"/>
  <c r="X1129" i="19"/>
  <c r="X1130" i="19"/>
  <c r="X1120" i="19"/>
  <c r="X1131" i="19"/>
  <c r="X1132" i="19"/>
  <c r="X1133" i="19"/>
  <c r="X1134" i="19"/>
  <c r="X1135" i="19"/>
  <c r="X1136" i="19"/>
  <c r="X1137" i="19"/>
  <c r="X1138" i="19"/>
  <c r="X1139" i="19"/>
  <c r="X1140" i="19"/>
  <c r="X1141" i="19"/>
  <c r="X1142" i="19"/>
  <c r="X1143" i="19"/>
  <c r="X1144" i="19"/>
  <c r="X1145" i="19"/>
  <c r="X1146" i="19"/>
  <c r="X1147" i="19"/>
  <c r="X1148" i="19"/>
  <c r="X1149" i="19"/>
  <c r="X1150" i="19"/>
  <c r="X1151" i="19"/>
  <c r="X1152" i="19"/>
  <c r="X1153" i="19"/>
  <c r="X1154" i="19"/>
  <c r="X1155" i="19"/>
  <c r="X1156" i="19"/>
  <c r="X1157" i="19"/>
  <c r="X1158" i="19"/>
  <c r="X1159" i="19"/>
  <c r="X1160" i="19"/>
  <c r="X1161" i="19"/>
  <c r="X1162" i="19"/>
  <c r="X1163" i="19"/>
  <c r="X1164" i="19"/>
  <c r="X1166" i="19"/>
  <c r="X1167" i="19"/>
  <c r="X1168" i="19"/>
  <c r="X1169" i="19"/>
  <c r="X1170" i="19"/>
  <c r="X1171" i="19"/>
  <c r="X1172" i="19"/>
  <c r="X1173" i="19"/>
  <c r="X1174" i="19"/>
  <c r="X1175" i="19"/>
  <c r="X1176" i="19"/>
  <c r="X1177" i="19"/>
  <c r="X1178" i="19"/>
  <c r="X1179" i="19"/>
  <c r="I885" i="21"/>
  <c r="J885" i="21" s="1"/>
  <c r="I886" i="21"/>
  <c r="J886" i="21" s="1"/>
  <c r="I887" i="21"/>
  <c r="J887" i="21" s="1"/>
  <c r="I888" i="21"/>
  <c r="J888" i="21" s="1"/>
  <c r="I889" i="21"/>
  <c r="J889" i="21" s="1"/>
  <c r="I890" i="21"/>
  <c r="J890" i="21" s="1"/>
  <c r="I891" i="21"/>
  <c r="J891" i="21" s="1"/>
  <c r="I892" i="21"/>
  <c r="J892" i="21" s="1"/>
  <c r="I893" i="21"/>
  <c r="J893" i="21" s="1"/>
  <c r="I894" i="21"/>
  <c r="J894" i="21" s="1"/>
  <c r="I895" i="21"/>
  <c r="J895" i="21" s="1"/>
  <c r="I896" i="21"/>
  <c r="J896" i="21" s="1"/>
  <c r="I897" i="21"/>
  <c r="J897" i="21" s="1"/>
  <c r="I898" i="21"/>
  <c r="J898" i="21" s="1"/>
  <c r="I899" i="21"/>
  <c r="J899" i="21" s="1"/>
  <c r="I900" i="21"/>
  <c r="J900" i="21" s="1"/>
  <c r="I901" i="21"/>
  <c r="J901" i="21" s="1"/>
  <c r="I902" i="21"/>
  <c r="J902" i="21" s="1"/>
  <c r="I903" i="21"/>
  <c r="J903" i="21" s="1"/>
  <c r="I904" i="21"/>
  <c r="J904" i="21" s="1"/>
  <c r="I905" i="21"/>
  <c r="J905" i="21" s="1"/>
  <c r="I906" i="21"/>
  <c r="J906" i="21" s="1"/>
  <c r="I907" i="21"/>
  <c r="J907" i="21" s="1"/>
  <c r="I908" i="21"/>
  <c r="J908" i="21" s="1"/>
  <c r="I909" i="21"/>
  <c r="J909" i="21" s="1"/>
  <c r="I910" i="21"/>
  <c r="J910" i="21" s="1"/>
  <c r="I911" i="21"/>
  <c r="J911" i="21" s="1"/>
  <c r="I912" i="21"/>
  <c r="J912" i="21" s="1"/>
  <c r="I913" i="21"/>
  <c r="J913" i="21" s="1"/>
  <c r="I914" i="21"/>
  <c r="J914" i="21" s="1"/>
  <c r="I915" i="21"/>
  <c r="J915" i="21" s="1"/>
  <c r="I916" i="21"/>
  <c r="J916" i="21" s="1"/>
  <c r="I917" i="21"/>
  <c r="J917" i="21" s="1"/>
  <c r="I918" i="21"/>
  <c r="J918" i="21" s="1"/>
  <c r="I919" i="21"/>
  <c r="J919" i="21" s="1"/>
  <c r="I920" i="21"/>
  <c r="J920" i="21" s="1"/>
  <c r="I921" i="21"/>
  <c r="J921" i="21" s="1"/>
  <c r="I922" i="21"/>
  <c r="J922" i="21" s="1"/>
  <c r="I923" i="21"/>
  <c r="J923" i="21" s="1"/>
  <c r="I924" i="21"/>
  <c r="J924" i="21" s="1"/>
  <c r="I925" i="21"/>
  <c r="J925" i="21" s="1"/>
  <c r="I926" i="21"/>
  <c r="J926" i="21" s="1"/>
  <c r="I927" i="21"/>
  <c r="J927" i="21" s="1"/>
  <c r="I928" i="21"/>
  <c r="J928" i="21" s="1"/>
  <c r="I929" i="21"/>
  <c r="J929" i="21" s="1"/>
  <c r="I930" i="21"/>
  <c r="J930" i="21" s="1"/>
  <c r="I931" i="21"/>
  <c r="J931" i="21" s="1"/>
  <c r="I932" i="21"/>
  <c r="J932" i="21" s="1"/>
  <c r="I933" i="21"/>
  <c r="J933" i="21" s="1"/>
  <c r="I934" i="21"/>
  <c r="J934" i="21" s="1"/>
  <c r="I935" i="21"/>
  <c r="J935" i="21" s="1"/>
  <c r="I936" i="21"/>
  <c r="J936" i="21" s="1"/>
  <c r="I937" i="21"/>
  <c r="J937" i="21" s="1"/>
  <c r="I938" i="21"/>
  <c r="J938" i="21" s="1"/>
  <c r="I939" i="21"/>
  <c r="J939" i="21" s="1"/>
  <c r="I940" i="21"/>
  <c r="J940" i="21" s="1"/>
  <c r="I941" i="21"/>
  <c r="J941" i="21" s="1"/>
  <c r="I942" i="21"/>
  <c r="J942" i="21" s="1"/>
  <c r="I943" i="21"/>
  <c r="J943" i="21" s="1"/>
  <c r="I944" i="21"/>
  <c r="J944" i="21" s="1"/>
  <c r="I945" i="21"/>
  <c r="J945" i="21" s="1"/>
  <c r="I946" i="21"/>
  <c r="J946" i="21" s="1"/>
  <c r="I947" i="21"/>
  <c r="J947" i="21" s="1"/>
  <c r="I948" i="21"/>
  <c r="J948" i="21" s="1"/>
  <c r="I949" i="21"/>
  <c r="J949" i="21" s="1"/>
  <c r="I950" i="21"/>
  <c r="J950" i="21" s="1"/>
  <c r="I951" i="21"/>
  <c r="J951" i="21" s="1"/>
  <c r="I952" i="21"/>
  <c r="J952" i="21" s="1"/>
  <c r="I953" i="21"/>
  <c r="J953" i="21" s="1"/>
  <c r="I954" i="21"/>
  <c r="J954" i="21" s="1"/>
  <c r="I955" i="21"/>
  <c r="J955" i="21" s="1"/>
  <c r="I956" i="21"/>
  <c r="J956" i="21" s="1"/>
  <c r="I957" i="21"/>
  <c r="J957" i="21" s="1"/>
  <c r="I958" i="21"/>
  <c r="J958" i="21" s="1"/>
  <c r="I959" i="21"/>
  <c r="J959" i="21" s="1"/>
  <c r="I960" i="21"/>
  <c r="J960" i="21" s="1"/>
  <c r="I961" i="21"/>
  <c r="J961" i="21" s="1"/>
  <c r="I962" i="21"/>
  <c r="J962" i="21" s="1"/>
  <c r="I963" i="21"/>
  <c r="J963" i="21" s="1"/>
  <c r="I964" i="21"/>
  <c r="J964" i="21" s="1"/>
  <c r="I965" i="21"/>
  <c r="J965" i="21" s="1"/>
  <c r="I966" i="21"/>
  <c r="J966" i="21" s="1"/>
  <c r="I967" i="21"/>
  <c r="J967" i="21" s="1"/>
  <c r="I968" i="21"/>
  <c r="J968" i="21" s="1"/>
  <c r="I969" i="21"/>
  <c r="J969" i="21" s="1"/>
  <c r="I970" i="21"/>
  <c r="J970" i="21" s="1"/>
  <c r="I971" i="21"/>
  <c r="J971" i="21" s="1"/>
  <c r="I972" i="21"/>
  <c r="J972" i="21" s="1"/>
  <c r="I973" i="21"/>
  <c r="J973" i="21" s="1"/>
  <c r="I974" i="21"/>
  <c r="J974" i="21" s="1"/>
  <c r="I975" i="21"/>
  <c r="J975" i="21" s="1"/>
  <c r="I976" i="21"/>
  <c r="J976" i="21" s="1"/>
  <c r="I977" i="21"/>
  <c r="J977" i="21" s="1"/>
  <c r="I978" i="21"/>
  <c r="J978" i="21" s="1"/>
  <c r="I979" i="21"/>
  <c r="J979" i="21" s="1"/>
  <c r="I980" i="21"/>
  <c r="J980" i="21" s="1"/>
  <c r="I981" i="21"/>
  <c r="J981" i="21" s="1"/>
  <c r="I982" i="21"/>
  <c r="J982" i="21" s="1"/>
  <c r="I983" i="21"/>
  <c r="J983" i="21" s="1"/>
  <c r="I984" i="21"/>
  <c r="J984" i="21" s="1"/>
  <c r="I985" i="21"/>
  <c r="J985" i="21" s="1"/>
  <c r="I986" i="21"/>
  <c r="J986" i="21" s="1"/>
  <c r="I987" i="21"/>
  <c r="J987" i="21" s="1"/>
  <c r="I988" i="21"/>
  <c r="J988" i="21" s="1"/>
  <c r="I989" i="21"/>
  <c r="J989" i="21" s="1"/>
  <c r="I990" i="21"/>
  <c r="J990" i="21" s="1"/>
  <c r="I991" i="21"/>
  <c r="J991" i="21" s="1"/>
  <c r="I992" i="21"/>
  <c r="J992" i="21" s="1"/>
  <c r="I993" i="21"/>
  <c r="J993" i="21" s="1"/>
  <c r="I994" i="21"/>
  <c r="J994" i="21" s="1"/>
  <c r="I995" i="21"/>
  <c r="J995" i="21" s="1"/>
  <c r="I996" i="21"/>
  <c r="J996" i="21" s="1"/>
  <c r="I997" i="21"/>
  <c r="J997" i="21" s="1"/>
  <c r="I998" i="21"/>
  <c r="J998" i="21" s="1"/>
  <c r="I999" i="21"/>
  <c r="J999" i="21" s="1"/>
  <c r="I1000" i="21"/>
  <c r="J1000" i="21" s="1"/>
  <c r="I1001" i="21"/>
  <c r="J1001" i="21" s="1"/>
  <c r="I1002" i="21"/>
  <c r="J1002" i="21" s="1"/>
  <c r="I1003" i="21"/>
  <c r="J1003" i="21" s="1"/>
  <c r="I1004" i="21"/>
  <c r="J1004" i="21" s="1"/>
  <c r="I1005" i="21"/>
  <c r="J1005" i="21" s="1"/>
  <c r="I1006" i="21"/>
  <c r="J1006" i="21" s="1"/>
  <c r="I1007" i="21"/>
  <c r="J1007" i="21" s="1"/>
  <c r="I1008" i="21"/>
  <c r="J1008" i="21" s="1"/>
  <c r="I1009" i="21"/>
  <c r="J1009" i="21" s="1"/>
  <c r="I1010" i="21"/>
  <c r="J1010" i="21" s="1"/>
  <c r="I1011" i="21"/>
  <c r="J1011" i="21" s="1"/>
  <c r="I1012" i="21"/>
  <c r="J1012" i="21" s="1"/>
  <c r="I1013" i="21"/>
  <c r="J1013" i="21" s="1"/>
  <c r="I1014" i="21"/>
  <c r="J1014" i="21" s="1"/>
  <c r="I1015" i="21"/>
  <c r="J1015" i="21" s="1"/>
  <c r="I1016" i="21"/>
  <c r="J1016" i="21" s="1"/>
  <c r="I1017" i="21"/>
  <c r="J1017" i="21" s="1"/>
  <c r="I1018" i="21"/>
  <c r="J1018" i="21" s="1"/>
  <c r="I1019" i="21"/>
  <c r="J1019" i="21" s="1"/>
  <c r="I1020" i="21"/>
  <c r="J1020" i="21" s="1"/>
  <c r="I1021" i="21"/>
  <c r="J1021" i="21" s="1"/>
  <c r="I1022" i="21"/>
  <c r="J1022" i="21" s="1"/>
  <c r="I1023" i="21"/>
  <c r="J1023" i="21" s="1"/>
  <c r="I1024" i="21"/>
  <c r="J1024" i="21" s="1"/>
  <c r="I1025" i="21"/>
  <c r="J1025" i="21" s="1"/>
  <c r="I1026" i="21"/>
  <c r="J1026" i="21" s="1"/>
  <c r="I1027" i="21"/>
  <c r="J1027" i="21" s="1"/>
  <c r="I1028" i="21"/>
  <c r="J1028" i="21" s="1"/>
  <c r="I1029" i="21"/>
  <c r="J1029" i="21" s="1"/>
  <c r="I1030" i="21"/>
  <c r="J1030" i="21" s="1"/>
  <c r="I1031" i="21"/>
  <c r="J1031" i="21" s="1"/>
  <c r="I1032" i="21"/>
  <c r="J1032" i="21" s="1"/>
  <c r="I1033" i="21"/>
  <c r="J1033" i="21" s="1"/>
  <c r="I1034" i="21"/>
  <c r="J1034" i="21" s="1"/>
  <c r="I1035" i="21"/>
  <c r="J1035" i="21" s="1"/>
  <c r="I1036" i="21"/>
  <c r="J1036" i="21" s="1"/>
  <c r="I1037" i="21"/>
  <c r="J1037" i="21" s="1"/>
  <c r="I1038" i="21"/>
  <c r="J1038" i="21" s="1"/>
  <c r="I1039" i="21"/>
  <c r="J1039" i="21" s="1"/>
  <c r="I1040" i="21"/>
  <c r="J1040" i="21" s="1"/>
  <c r="I1041" i="21"/>
  <c r="J1041" i="21" s="1"/>
  <c r="I1042" i="21"/>
  <c r="J1042" i="21" s="1"/>
  <c r="I1043" i="21"/>
  <c r="J1043" i="21" s="1"/>
  <c r="I1044" i="21"/>
  <c r="J1044" i="21" s="1"/>
  <c r="I1045" i="21"/>
  <c r="J1045" i="21" s="1"/>
  <c r="I1046" i="21"/>
  <c r="J1046" i="21" s="1"/>
  <c r="I1047" i="21"/>
  <c r="J1047" i="21" s="1"/>
  <c r="I1048" i="21"/>
  <c r="J1048" i="21" s="1"/>
  <c r="I1049" i="21"/>
  <c r="J1049" i="21" s="1"/>
  <c r="I1050" i="21"/>
  <c r="J1050" i="21" s="1"/>
  <c r="I1051" i="21"/>
  <c r="J1051" i="21" s="1"/>
  <c r="I1052" i="21"/>
  <c r="J1052" i="21" s="1"/>
  <c r="I1053" i="21"/>
  <c r="J1053" i="21" s="1"/>
  <c r="I1054" i="21"/>
  <c r="J1054" i="21" s="1"/>
  <c r="I1055" i="21"/>
  <c r="J1055" i="21" s="1"/>
  <c r="I1056" i="21"/>
  <c r="J1056" i="21" s="1"/>
  <c r="I1057" i="21"/>
  <c r="J1057" i="21" s="1"/>
  <c r="I1058" i="21"/>
  <c r="J1058" i="21" s="1"/>
  <c r="I1059" i="21"/>
  <c r="J1059" i="21" s="1"/>
  <c r="I1060" i="21"/>
  <c r="J1060" i="21" s="1"/>
  <c r="I1061" i="21"/>
  <c r="J1061" i="21" s="1"/>
  <c r="I1062" i="21"/>
  <c r="J1062" i="21" s="1"/>
  <c r="I1063" i="21"/>
  <c r="J1063" i="21" s="1"/>
  <c r="I1064" i="21"/>
  <c r="J1064" i="21" s="1"/>
  <c r="I1065" i="21"/>
  <c r="J1065" i="21" s="1"/>
  <c r="I1066" i="21"/>
  <c r="J1066" i="21" s="1"/>
  <c r="I1067" i="21"/>
  <c r="J1067" i="21" s="1"/>
  <c r="I1068" i="21"/>
  <c r="J1068" i="21" s="1"/>
  <c r="I1069" i="21"/>
  <c r="J1069" i="21" s="1"/>
  <c r="I1070" i="21"/>
  <c r="J1070" i="21" s="1"/>
  <c r="I1071" i="21"/>
  <c r="J1071" i="21" s="1"/>
  <c r="I1072" i="21"/>
  <c r="J1072" i="21" s="1"/>
  <c r="I1073" i="21"/>
  <c r="J1073" i="21" s="1"/>
  <c r="I1074" i="21"/>
  <c r="J1074" i="21" s="1"/>
  <c r="I1075" i="21"/>
  <c r="J1075" i="21" s="1"/>
  <c r="I1076" i="21"/>
  <c r="J1076" i="21" s="1"/>
  <c r="I1077" i="21"/>
  <c r="J1077" i="21" s="1"/>
  <c r="I1078" i="21"/>
  <c r="J1078" i="21" s="1"/>
  <c r="I1079" i="21"/>
  <c r="J1079" i="21" s="1"/>
  <c r="I1080" i="21"/>
  <c r="J1080" i="21" s="1"/>
  <c r="I1081" i="21"/>
  <c r="J1081" i="21" s="1"/>
  <c r="I1082" i="21"/>
  <c r="J1082" i="21" s="1"/>
  <c r="I1083" i="21"/>
  <c r="J1083" i="21" s="1"/>
  <c r="I1084" i="21"/>
  <c r="J1084" i="21" s="1"/>
  <c r="I1085" i="21"/>
  <c r="J1085" i="21" s="1"/>
  <c r="I1086" i="21"/>
  <c r="J1086" i="21" s="1"/>
  <c r="I1087" i="21"/>
  <c r="J1087" i="21" s="1"/>
  <c r="I1088" i="21"/>
  <c r="J1088" i="21" s="1"/>
  <c r="I1089" i="21"/>
  <c r="J1089" i="21" s="1"/>
  <c r="I1090" i="21"/>
  <c r="J1090" i="21" s="1"/>
  <c r="I1091" i="21"/>
  <c r="J1091" i="21" s="1"/>
  <c r="I1092" i="21"/>
  <c r="J1092" i="21" s="1"/>
  <c r="I1093" i="21"/>
  <c r="J1093" i="21" s="1"/>
  <c r="I1094" i="21"/>
  <c r="J1094" i="21" s="1"/>
  <c r="I1095" i="21"/>
  <c r="J1095" i="21" s="1"/>
  <c r="I1096" i="21"/>
  <c r="J1096" i="21" s="1"/>
  <c r="I884" i="21"/>
  <c r="J884" i="21" s="1"/>
  <c r="K885" i="21"/>
  <c r="K886" i="21"/>
  <c r="K887" i="21"/>
  <c r="K888" i="21"/>
  <c r="K889" i="21"/>
  <c r="K890" i="21"/>
  <c r="K891" i="21"/>
  <c r="K892" i="21"/>
  <c r="K893" i="21"/>
  <c r="K894" i="21"/>
  <c r="K895" i="21"/>
  <c r="K896" i="21"/>
  <c r="K897" i="21"/>
  <c r="K898" i="21"/>
  <c r="K899" i="21"/>
  <c r="K900" i="21"/>
  <c r="K901" i="21"/>
  <c r="K902" i="21"/>
  <c r="K903" i="21"/>
  <c r="K904" i="21"/>
  <c r="K905" i="21"/>
  <c r="K906" i="21"/>
  <c r="K907" i="21"/>
  <c r="K908" i="21"/>
  <c r="K909" i="21"/>
  <c r="K910" i="21"/>
  <c r="K911" i="21"/>
  <c r="K912" i="21"/>
  <c r="K913" i="21"/>
  <c r="K914" i="21"/>
  <c r="K915" i="21"/>
  <c r="K916" i="21"/>
  <c r="K917" i="21"/>
  <c r="K918" i="21"/>
  <c r="K919" i="21"/>
  <c r="K920" i="21"/>
  <c r="K921" i="21"/>
  <c r="K922" i="21"/>
  <c r="K923" i="21"/>
  <c r="K924" i="21"/>
  <c r="K925" i="21"/>
  <c r="K926" i="21"/>
  <c r="K927" i="21"/>
  <c r="K928" i="21"/>
  <c r="K929" i="21"/>
  <c r="K930" i="21"/>
  <c r="K931" i="21"/>
  <c r="K932" i="21"/>
  <c r="K933" i="21"/>
  <c r="K934" i="21"/>
  <c r="K935" i="21"/>
  <c r="K936" i="21"/>
  <c r="K937" i="21"/>
  <c r="K938" i="21"/>
  <c r="K939" i="21"/>
  <c r="K940" i="21"/>
  <c r="K941" i="21"/>
  <c r="K942" i="21"/>
  <c r="K943" i="21"/>
  <c r="K944" i="21"/>
  <c r="K945" i="21"/>
  <c r="K946" i="21"/>
  <c r="K947" i="21"/>
  <c r="K948" i="21"/>
  <c r="K949" i="21"/>
  <c r="K950" i="21"/>
  <c r="K951" i="21"/>
  <c r="K952" i="21"/>
  <c r="K953" i="21"/>
  <c r="K954" i="21"/>
  <c r="K955" i="21"/>
  <c r="K956" i="21"/>
  <c r="K957" i="21"/>
  <c r="K958" i="21"/>
  <c r="K959" i="21"/>
  <c r="K960" i="21"/>
  <c r="K961" i="21"/>
  <c r="K962" i="21"/>
  <c r="K963" i="21"/>
  <c r="K964" i="21"/>
  <c r="K965" i="21"/>
  <c r="K966" i="21"/>
  <c r="K967" i="21"/>
  <c r="K968" i="21"/>
  <c r="K969" i="21"/>
  <c r="K970" i="21"/>
  <c r="K971" i="21"/>
  <c r="K972" i="21"/>
  <c r="K973" i="21"/>
  <c r="K974" i="21"/>
  <c r="K975" i="21"/>
  <c r="K976" i="21"/>
  <c r="K977" i="21"/>
  <c r="K978" i="21"/>
  <c r="K979" i="21"/>
  <c r="K980" i="21"/>
  <c r="K981" i="21"/>
  <c r="K982" i="21"/>
  <c r="K983" i="21"/>
  <c r="K984" i="21"/>
  <c r="K985" i="21"/>
  <c r="K986" i="21"/>
  <c r="K987" i="21"/>
  <c r="K988" i="21"/>
  <c r="K989" i="21"/>
  <c r="K990" i="21"/>
  <c r="K991" i="21"/>
  <c r="K992" i="21"/>
  <c r="K993" i="21"/>
  <c r="K994" i="21"/>
  <c r="K995" i="21"/>
  <c r="K996" i="21"/>
  <c r="K997" i="21"/>
  <c r="K998" i="21"/>
  <c r="K999" i="21"/>
  <c r="K1000" i="21"/>
  <c r="K1001" i="21"/>
  <c r="K1002" i="21"/>
  <c r="K1003" i="21"/>
  <c r="K1004" i="21"/>
  <c r="K1005" i="21"/>
  <c r="K1006" i="21"/>
  <c r="K1007" i="21"/>
  <c r="K1008" i="21"/>
  <c r="K1009" i="21"/>
  <c r="K1010" i="21"/>
  <c r="K1011" i="21"/>
  <c r="K1012" i="21"/>
  <c r="K1013" i="21"/>
  <c r="K1014" i="21"/>
  <c r="K1015" i="21"/>
  <c r="K1016" i="21"/>
  <c r="K1017" i="21"/>
  <c r="K1018" i="21"/>
  <c r="K1019" i="21"/>
  <c r="K1020" i="21"/>
  <c r="K1021" i="21"/>
  <c r="K1022" i="21"/>
  <c r="K1023" i="21"/>
  <c r="K1024" i="21"/>
  <c r="K1025" i="21"/>
  <c r="K1026" i="21"/>
  <c r="K1027" i="21"/>
  <c r="K1028" i="21"/>
  <c r="K1029" i="21"/>
  <c r="K1030" i="21"/>
  <c r="K1031" i="21"/>
  <c r="K1032" i="21"/>
  <c r="K1033" i="21"/>
  <c r="K1034" i="21"/>
  <c r="K1035" i="21"/>
  <c r="K1036" i="21"/>
  <c r="K1037" i="21"/>
  <c r="K1038" i="21"/>
  <c r="K1039" i="21"/>
  <c r="K1040" i="21"/>
  <c r="K1041" i="21"/>
  <c r="K1042" i="21"/>
  <c r="K1043" i="21"/>
  <c r="K1044" i="21"/>
  <c r="K1045" i="21"/>
  <c r="K1046" i="21"/>
  <c r="K1047" i="21"/>
  <c r="K1048" i="21"/>
  <c r="K1049" i="21"/>
  <c r="K1050" i="21"/>
  <c r="K1051" i="21"/>
  <c r="K1052" i="21"/>
  <c r="K1053" i="21"/>
  <c r="K1054" i="21"/>
  <c r="K1055" i="21"/>
  <c r="K1056" i="21"/>
  <c r="K1057" i="21"/>
  <c r="K1058" i="21"/>
  <c r="K1059" i="21"/>
  <c r="K1060" i="21"/>
  <c r="K1061" i="21"/>
  <c r="K1062" i="21"/>
  <c r="K1063" i="21"/>
  <c r="K1064" i="21"/>
  <c r="K1065" i="21"/>
  <c r="K1066" i="21"/>
  <c r="K1067" i="21"/>
  <c r="K1068" i="21"/>
  <c r="K1069" i="21"/>
  <c r="K1070" i="21"/>
  <c r="K1071" i="21"/>
  <c r="K1072" i="21"/>
  <c r="K1073" i="21"/>
  <c r="K1074" i="21"/>
  <c r="K1075" i="21"/>
  <c r="K1076" i="21"/>
  <c r="K1077" i="21"/>
  <c r="K1078" i="21"/>
  <c r="K1079" i="21"/>
  <c r="K1080" i="21"/>
  <c r="K1081" i="21"/>
  <c r="K1082" i="21"/>
  <c r="K1083" i="21"/>
  <c r="K1084" i="21"/>
  <c r="K1085" i="21"/>
  <c r="K1086" i="21"/>
  <c r="K1087" i="21"/>
  <c r="K1088" i="21"/>
  <c r="K1089" i="21"/>
  <c r="K1090" i="21"/>
  <c r="K1091" i="21"/>
  <c r="K1092" i="21"/>
  <c r="K1093" i="21"/>
  <c r="K1094" i="21"/>
  <c r="K1095" i="21"/>
  <c r="K1096" i="21"/>
  <c r="K884" i="21"/>
  <c r="P885" i="21"/>
  <c r="P886" i="21"/>
  <c r="P887" i="21"/>
  <c r="P888" i="21"/>
  <c r="P889" i="21"/>
  <c r="P890" i="21"/>
  <c r="P891" i="21"/>
  <c r="P892" i="21"/>
  <c r="P893" i="21"/>
  <c r="P894" i="21"/>
  <c r="P895" i="21"/>
  <c r="P896" i="21"/>
  <c r="P897" i="21"/>
  <c r="P898" i="21"/>
  <c r="P899" i="21"/>
  <c r="P900" i="21"/>
  <c r="P901" i="21"/>
  <c r="P902" i="21"/>
  <c r="P903" i="21"/>
  <c r="P904" i="21"/>
  <c r="P905" i="21"/>
  <c r="P906" i="21"/>
  <c r="P907" i="21"/>
  <c r="P908" i="21"/>
  <c r="P909" i="21"/>
  <c r="P910" i="21"/>
  <c r="P911" i="21"/>
  <c r="P912" i="21"/>
  <c r="P913" i="21"/>
  <c r="P914" i="21"/>
  <c r="P915" i="21"/>
  <c r="P916" i="21"/>
  <c r="P917" i="21"/>
  <c r="P918" i="21"/>
  <c r="P919" i="21"/>
  <c r="P920" i="21"/>
  <c r="P921" i="21"/>
  <c r="P922" i="21"/>
  <c r="P923" i="21"/>
  <c r="P924" i="21"/>
  <c r="P925" i="21"/>
  <c r="P926" i="21"/>
  <c r="P927" i="21"/>
  <c r="P928" i="21"/>
  <c r="P929" i="21"/>
  <c r="P930" i="21"/>
  <c r="P931" i="21"/>
  <c r="P932" i="21"/>
  <c r="P933" i="21"/>
  <c r="P934" i="21"/>
  <c r="P935" i="21"/>
  <c r="P936" i="21"/>
  <c r="P937" i="21"/>
  <c r="P938" i="21"/>
  <c r="P939" i="21"/>
  <c r="P940" i="21"/>
  <c r="P941" i="21"/>
  <c r="P942" i="21"/>
  <c r="P943" i="21"/>
  <c r="P944" i="21"/>
  <c r="P945" i="21"/>
  <c r="P946" i="21"/>
  <c r="P947" i="21"/>
  <c r="P948" i="21"/>
  <c r="P949" i="21"/>
  <c r="P950" i="21"/>
  <c r="P951" i="21"/>
  <c r="P952" i="21"/>
  <c r="P953" i="21"/>
  <c r="P954" i="21"/>
  <c r="P955" i="21"/>
  <c r="P956" i="21"/>
  <c r="P957" i="21"/>
  <c r="P958" i="21"/>
  <c r="P959" i="21"/>
  <c r="P960" i="21"/>
  <c r="P961" i="21"/>
  <c r="P962" i="21"/>
  <c r="P963" i="21"/>
  <c r="P964" i="21"/>
  <c r="P965" i="21"/>
  <c r="P966" i="21"/>
  <c r="P967" i="21"/>
  <c r="P968" i="21"/>
  <c r="P969" i="21"/>
  <c r="P970" i="21"/>
  <c r="P971" i="21"/>
  <c r="P972" i="21"/>
  <c r="P973" i="21"/>
  <c r="P974" i="21"/>
  <c r="P975" i="21"/>
  <c r="P976" i="21"/>
  <c r="P977" i="21"/>
  <c r="P978" i="21"/>
  <c r="P979" i="21"/>
  <c r="P980" i="21"/>
  <c r="P981" i="21"/>
  <c r="P982" i="21"/>
  <c r="P983" i="21"/>
  <c r="P984" i="21"/>
  <c r="P985" i="21"/>
  <c r="P986" i="21"/>
  <c r="P987" i="21"/>
  <c r="P988" i="21"/>
  <c r="P989" i="21"/>
  <c r="P990" i="21"/>
  <c r="P991" i="21"/>
  <c r="P992" i="21"/>
  <c r="P993" i="21"/>
  <c r="P994" i="21"/>
  <c r="P995" i="21"/>
  <c r="P996" i="21"/>
  <c r="P997" i="21"/>
  <c r="P998" i="21"/>
  <c r="P999" i="21"/>
  <c r="P1000" i="21"/>
  <c r="P1001" i="21"/>
  <c r="P1002" i="21"/>
  <c r="P1003" i="21"/>
  <c r="P1004" i="21"/>
  <c r="P1005" i="21"/>
  <c r="P1006" i="21"/>
  <c r="P1007" i="21"/>
  <c r="P1008" i="21"/>
  <c r="P1009" i="21"/>
  <c r="P1010" i="21"/>
  <c r="P1011" i="21"/>
  <c r="P1012" i="21"/>
  <c r="P1013" i="21"/>
  <c r="P1014" i="21"/>
  <c r="P1015" i="21"/>
  <c r="P1016" i="21"/>
  <c r="P1017" i="21"/>
  <c r="P1018" i="21"/>
  <c r="P1019" i="21"/>
  <c r="P1020" i="21"/>
  <c r="P1021" i="21"/>
  <c r="P1022" i="21"/>
  <c r="P1023" i="21"/>
  <c r="P1024" i="21"/>
  <c r="P1025" i="21"/>
  <c r="P1026" i="21"/>
  <c r="P1027" i="21"/>
  <c r="P1028" i="21"/>
  <c r="P1029" i="21"/>
  <c r="P1030" i="21"/>
  <c r="P1031" i="21"/>
  <c r="P1032" i="21"/>
  <c r="P1033" i="21"/>
  <c r="P1034" i="21"/>
  <c r="P1035" i="21"/>
  <c r="P1036" i="21"/>
  <c r="P1037" i="21"/>
  <c r="P1038" i="21"/>
  <c r="P1039" i="21"/>
  <c r="P1040" i="21"/>
  <c r="P1041" i="21"/>
  <c r="P1042" i="21"/>
  <c r="P1043" i="21"/>
  <c r="P1044" i="21"/>
  <c r="P1045" i="21"/>
  <c r="P1046" i="21"/>
  <c r="P1047" i="21"/>
  <c r="P1048" i="21"/>
  <c r="P1049" i="21"/>
  <c r="P1050" i="21"/>
  <c r="P1051" i="21"/>
  <c r="P1052" i="21"/>
  <c r="P1053" i="21"/>
  <c r="P1054" i="21"/>
  <c r="P1055" i="21"/>
  <c r="P1056" i="21"/>
  <c r="P1057" i="21"/>
  <c r="P1058" i="21"/>
  <c r="P1059" i="21"/>
  <c r="P1060" i="21"/>
  <c r="P1061" i="21"/>
  <c r="P1062" i="21"/>
  <c r="P1063" i="21"/>
  <c r="P1064" i="21"/>
  <c r="P1065" i="21"/>
  <c r="P1066" i="21"/>
  <c r="P1067" i="21"/>
  <c r="P1068" i="21"/>
  <c r="P1069" i="21"/>
  <c r="P1070" i="21"/>
  <c r="P1071" i="21"/>
  <c r="P1072" i="21"/>
  <c r="P1073" i="21"/>
  <c r="P1074" i="21"/>
  <c r="P1075" i="21"/>
  <c r="P1076" i="21"/>
  <c r="P1077" i="21"/>
  <c r="P1078" i="21"/>
  <c r="P1079" i="21"/>
  <c r="P1080" i="21"/>
  <c r="P1081" i="21"/>
  <c r="P1082" i="21"/>
  <c r="P1083" i="21"/>
  <c r="P1084" i="21"/>
  <c r="P1085" i="21"/>
  <c r="P1086" i="21"/>
  <c r="P1087" i="21"/>
  <c r="P1088" i="21"/>
  <c r="P1089" i="21"/>
  <c r="P1090" i="21"/>
  <c r="P1091" i="21"/>
  <c r="P1092" i="21"/>
  <c r="P1093" i="21"/>
  <c r="P1094" i="21"/>
  <c r="P1095" i="21"/>
  <c r="P1096" i="21"/>
  <c r="P884" i="21"/>
  <c r="N674" i="19"/>
  <c r="N677" i="19"/>
  <c r="N678" i="19"/>
  <c r="O674" i="19"/>
  <c r="O677" i="19"/>
  <c r="O678" i="19"/>
  <c r="P674" i="19"/>
  <c r="P677" i="19"/>
  <c r="P678" i="19"/>
  <c r="T674" i="19"/>
  <c r="T677" i="19"/>
  <c r="T678" i="19"/>
  <c r="W674" i="19"/>
  <c r="W677" i="19"/>
  <c r="W678" i="19"/>
  <c r="X674" i="19"/>
  <c r="X677" i="19"/>
  <c r="X678" i="19"/>
  <c r="I618" i="21"/>
  <c r="J618" i="21" s="1"/>
  <c r="I619" i="21"/>
  <c r="J619" i="21" s="1"/>
  <c r="I620" i="21"/>
  <c r="J620" i="21" s="1"/>
  <c r="N686" i="19"/>
  <c r="N703" i="19"/>
  <c r="N704" i="19"/>
  <c r="N693" i="19"/>
  <c r="N684" i="19"/>
  <c r="N679" i="19"/>
  <c r="N687" i="19"/>
  <c r="N688" i="19"/>
  <c r="N682" i="19"/>
  <c r="N683" i="19"/>
  <c r="N695" i="19"/>
  <c r="N733" i="19"/>
  <c r="N734" i="19"/>
  <c r="N718" i="19"/>
  <c r="N735" i="19"/>
  <c r="N680" i="19"/>
  <c r="N681" i="19"/>
  <c r="N685" i="19"/>
  <c r="N701" i="19"/>
  <c r="N702" i="19"/>
  <c r="N691" i="19"/>
  <c r="N692" i="19"/>
  <c r="N689" i="19"/>
  <c r="N690" i="19"/>
  <c r="N694" i="19"/>
  <c r="N696" i="19"/>
  <c r="N705" i="19"/>
  <c r="N699" i="19"/>
  <c r="N700" i="19"/>
  <c r="N697" i="19"/>
  <c r="N698" i="19"/>
  <c r="N706" i="19"/>
  <c r="N707" i="19"/>
  <c r="N712" i="19"/>
  <c r="N713" i="19"/>
  <c r="N714" i="19"/>
  <c r="N708" i="19"/>
  <c r="N709" i="19"/>
  <c r="N715" i="19"/>
  <c r="N719" i="19"/>
  <c r="N716" i="19"/>
  <c r="N710" i="19"/>
  <c r="N711" i="19"/>
  <c r="N720" i="19"/>
  <c r="N721" i="19"/>
  <c r="N722" i="19"/>
  <c r="N717" i="19"/>
  <c r="N731" i="19"/>
  <c r="N732" i="19"/>
  <c r="N725" i="19"/>
  <c r="N726" i="19"/>
  <c r="N723" i="19"/>
  <c r="N727" i="19"/>
  <c r="N728" i="19"/>
  <c r="N724" i="19"/>
  <c r="N729" i="19"/>
  <c r="N730" i="19"/>
  <c r="N736" i="19"/>
  <c r="N737" i="19"/>
  <c r="N738" i="19"/>
  <c r="N750" i="19"/>
  <c r="N751" i="19"/>
  <c r="N752" i="19"/>
  <c r="N746" i="19"/>
  <c r="N747" i="19"/>
  <c r="N748" i="19"/>
  <c r="N753" i="19"/>
  <c r="N754" i="19"/>
  <c r="N818" i="19"/>
  <c r="N749" i="19"/>
  <c r="N755" i="19"/>
  <c r="N756" i="19"/>
  <c r="N757" i="19"/>
  <c r="N759" i="19"/>
  <c r="N760" i="19"/>
  <c r="N761" i="19"/>
  <c r="N762" i="19"/>
  <c r="N763" i="19"/>
  <c r="N764" i="19"/>
  <c r="N766" i="19"/>
  <c r="N767" i="19"/>
  <c r="N768" i="19"/>
  <c r="N785" i="19"/>
  <c r="N765" i="19"/>
  <c r="N769" i="19"/>
  <c r="N770" i="19"/>
  <c r="N771" i="19"/>
  <c r="N772" i="19"/>
  <c r="N773" i="19"/>
  <c r="N774" i="19"/>
  <c r="N775" i="19"/>
  <c r="N776" i="19"/>
  <c r="N777" i="19"/>
  <c r="N779" i="19"/>
  <c r="N780" i="19"/>
  <c r="N781" i="19"/>
  <c r="N782" i="19"/>
  <c r="N783" i="19"/>
  <c r="N784" i="19"/>
  <c r="N789" i="19"/>
  <c r="N786" i="19"/>
  <c r="N787" i="19"/>
  <c r="N788" i="19"/>
  <c r="N792" i="19"/>
  <c r="N793" i="19"/>
  <c r="N794" i="19"/>
  <c r="N790" i="19"/>
  <c r="N795" i="19"/>
  <c r="N796" i="19"/>
  <c r="N797" i="19"/>
  <c r="N791" i="19"/>
  <c r="N813" i="19"/>
  <c r="N801" i="19"/>
  <c r="N802" i="19"/>
  <c r="N803" i="19"/>
  <c r="N804" i="19"/>
  <c r="N807" i="19"/>
  <c r="N805" i="19"/>
  <c r="N806" i="19"/>
  <c r="N808" i="19"/>
  <c r="N810" i="19"/>
  <c r="N809" i="19"/>
  <c r="N811" i="19"/>
  <c r="N812" i="19"/>
  <c r="N819" i="19"/>
  <c r="N814" i="19"/>
  <c r="N815" i="19"/>
  <c r="N816" i="19"/>
  <c r="N817" i="19"/>
  <c r="N825" i="19"/>
  <c r="N826" i="19"/>
  <c r="N821" i="19"/>
  <c r="N822" i="19"/>
  <c r="N846" i="19"/>
  <c r="N827" i="19"/>
  <c r="N828" i="19"/>
  <c r="N829" i="19"/>
  <c r="N820" i="19"/>
  <c r="N842" i="19"/>
  <c r="N824" i="19"/>
  <c r="N845" i="19"/>
  <c r="N823" i="19"/>
  <c r="N832" i="19"/>
  <c r="N836" i="19"/>
  <c r="N837" i="19"/>
  <c r="N840" i="19"/>
  <c r="N833" i="19"/>
  <c r="N834" i="19"/>
  <c r="N830" i="19"/>
  <c r="N831" i="19"/>
  <c r="N835" i="19"/>
  <c r="N841" i="19"/>
  <c r="N838" i="19"/>
  <c r="N839" i="19"/>
  <c r="N871" i="19"/>
  <c r="N872" i="19"/>
  <c r="N843" i="19"/>
  <c r="N844" i="19"/>
  <c r="N847" i="19"/>
  <c r="N848" i="19"/>
  <c r="N849" i="19"/>
  <c r="N850" i="19"/>
  <c r="N851" i="19"/>
  <c r="N852" i="19"/>
  <c r="N853" i="19"/>
  <c r="N854" i="19"/>
  <c r="N855" i="19"/>
  <c r="N857" i="19"/>
  <c r="N858" i="19"/>
  <c r="N860" i="19"/>
  <c r="N859" i="19"/>
  <c r="N874" i="19"/>
  <c r="N861" i="19"/>
  <c r="N862" i="19"/>
  <c r="N863" i="19"/>
  <c r="N864" i="19"/>
  <c r="N865" i="19"/>
  <c r="N866" i="19"/>
  <c r="N867" i="19"/>
  <c r="N868" i="19"/>
  <c r="N869" i="19"/>
  <c r="N870" i="19"/>
  <c r="N882" i="19"/>
  <c r="N873" i="19"/>
  <c r="N875" i="19"/>
  <c r="N878" i="19"/>
  <c r="N876" i="19"/>
  <c r="N884" i="19"/>
  <c r="N885" i="19"/>
  <c r="N879" i="19"/>
  <c r="N880" i="19"/>
  <c r="N877" i="19"/>
  <c r="N881" i="19"/>
  <c r="N883" i="19"/>
  <c r="N886" i="19"/>
  <c r="N888" i="19"/>
  <c r="N887" i="19"/>
  <c r="N889" i="19"/>
  <c r="N890" i="19"/>
  <c r="N891" i="19"/>
  <c r="N892" i="19"/>
  <c r="N893" i="19"/>
  <c r="N938" i="19"/>
  <c r="N894" i="19"/>
  <c r="N895" i="19"/>
  <c r="N898" i="19"/>
  <c r="N899" i="19"/>
  <c r="N900" i="19"/>
  <c r="N896" i="19"/>
  <c r="N897" i="19"/>
  <c r="N901" i="19"/>
  <c r="N902" i="19"/>
  <c r="N903" i="19"/>
  <c r="N904" i="19"/>
  <c r="N905" i="19"/>
  <c r="N906" i="19"/>
  <c r="N907" i="19"/>
  <c r="N908" i="19"/>
  <c r="N909" i="19"/>
  <c r="N910" i="19"/>
  <c r="N911" i="19"/>
  <c r="N915" i="19"/>
  <c r="N926" i="19"/>
  <c r="N917" i="19"/>
  <c r="N931" i="19"/>
  <c r="N918" i="19"/>
  <c r="N919" i="19"/>
  <c r="N920" i="19"/>
  <c r="N924" i="19"/>
  <c r="N925" i="19"/>
  <c r="N916" i="19"/>
  <c r="N921" i="19"/>
  <c r="N922" i="19"/>
  <c r="N923" i="19"/>
  <c r="N929" i="19"/>
  <c r="N927" i="19"/>
  <c r="N937" i="19"/>
  <c r="N928" i="19"/>
  <c r="N932" i="19"/>
  <c r="N933" i="19"/>
  <c r="N939" i="19"/>
  <c r="N940" i="19"/>
  <c r="N934" i="19"/>
  <c r="N935" i="19"/>
  <c r="N936" i="19"/>
  <c r="N943" i="19"/>
  <c r="N944" i="19"/>
  <c r="N945" i="19"/>
  <c r="N946" i="19"/>
  <c r="N941" i="19"/>
  <c r="N947" i="19"/>
  <c r="N948" i="19"/>
  <c r="N957" i="19"/>
  <c r="N958" i="19"/>
  <c r="N942" i="19"/>
  <c r="N949" i="19"/>
  <c r="N950" i="19"/>
  <c r="N956" i="19"/>
  <c r="N951" i="19"/>
  <c r="N952" i="19"/>
  <c r="N953" i="19"/>
  <c r="N954" i="19"/>
  <c r="N955" i="19"/>
  <c r="O686" i="19"/>
  <c r="O703" i="19"/>
  <c r="O704" i="19"/>
  <c r="O693" i="19"/>
  <c r="O684" i="19"/>
  <c r="O679" i="19"/>
  <c r="O687" i="19"/>
  <c r="O688" i="19"/>
  <c r="O682" i="19"/>
  <c r="O683" i="19"/>
  <c r="O695" i="19"/>
  <c r="O733" i="19"/>
  <c r="O734" i="19"/>
  <c r="O718" i="19"/>
  <c r="O735" i="19"/>
  <c r="O680" i="19"/>
  <c r="O681" i="19"/>
  <c r="O685" i="19"/>
  <c r="O701" i="19"/>
  <c r="O702" i="19"/>
  <c r="O691" i="19"/>
  <c r="O692" i="19"/>
  <c r="O689" i="19"/>
  <c r="O690" i="19"/>
  <c r="O694" i="19"/>
  <c r="O696" i="19"/>
  <c r="O705" i="19"/>
  <c r="O699" i="19"/>
  <c r="O700" i="19"/>
  <c r="O697" i="19"/>
  <c r="O698" i="19"/>
  <c r="O706" i="19"/>
  <c r="O707" i="19"/>
  <c r="O712" i="19"/>
  <c r="O713" i="19"/>
  <c r="O714" i="19"/>
  <c r="O708" i="19"/>
  <c r="O709" i="19"/>
  <c r="O715" i="19"/>
  <c r="O719" i="19"/>
  <c r="O716" i="19"/>
  <c r="O710" i="19"/>
  <c r="O711" i="19"/>
  <c r="O720" i="19"/>
  <c r="O721" i="19"/>
  <c r="O722" i="19"/>
  <c r="O717" i="19"/>
  <c r="O731" i="19"/>
  <c r="O732" i="19"/>
  <c r="O725" i="19"/>
  <c r="O726" i="19"/>
  <c r="O723" i="19"/>
  <c r="O727" i="19"/>
  <c r="O728" i="19"/>
  <c r="O724" i="19"/>
  <c r="O729" i="19"/>
  <c r="O730" i="19"/>
  <c r="O736" i="19"/>
  <c r="O737" i="19"/>
  <c r="O738" i="19"/>
  <c r="O750" i="19"/>
  <c r="O751" i="19"/>
  <c r="O752" i="19"/>
  <c r="O746" i="19"/>
  <c r="O747" i="19"/>
  <c r="O748" i="19"/>
  <c r="O753" i="19"/>
  <c r="O754" i="19"/>
  <c r="O818" i="19"/>
  <c r="O749" i="19"/>
  <c r="O755" i="19"/>
  <c r="O756" i="19"/>
  <c r="O757" i="19"/>
  <c r="O759" i="19"/>
  <c r="O760" i="19"/>
  <c r="O761" i="19"/>
  <c r="O762" i="19"/>
  <c r="O763" i="19"/>
  <c r="O764" i="19"/>
  <c r="O766" i="19"/>
  <c r="O767" i="19"/>
  <c r="O768" i="19"/>
  <c r="O785" i="19"/>
  <c r="O765" i="19"/>
  <c r="O769" i="19"/>
  <c r="O770" i="19"/>
  <c r="O771" i="19"/>
  <c r="O772" i="19"/>
  <c r="O773" i="19"/>
  <c r="O774" i="19"/>
  <c r="O775" i="19"/>
  <c r="O776" i="19"/>
  <c r="O777" i="19"/>
  <c r="O779" i="19"/>
  <c r="O780" i="19"/>
  <c r="O781" i="19"/>
  <c r="O782" i="19"/>
  <c r="O783" i="19"/>
  <c r="O784" i="19"/>
  <c r="O789" i="19"/>
  <c r="O786" i="19"/>
  <c r="O787" i="19"/>
  <c r="O788" i="19"/>
  <c r="O792" i="19"/>
  <c r="O793" i="19"/>
  <c r="O794" i="19"/>
  <c r="O790" i="19"/>
  <c r="O795" i="19"/>
  <c r="O796" i="19"/>
  <c r="O797" i="19"/>
  <c r="O791" i="19"/>
  <c r="O813" i="19"/>
  <c r="O801" i="19"/>
  <c r="O802" i="19"/>
  <c r="O803" i="19"/>
  <c r="O804" i="19"/>
  <c r="O807" i="19"/>
  <c r="O805" i="19"/>
  <c r="O806" i="19"/>
  <c r="O808" i="19"/>
  <c r="O810" i="19"/>
  <c r="O809" i="19"/>
  <c r="O811" i="19"/>
  <c r="O812" i="19"/>
  <c r="O819" i="19"/>
  <c r="O814" i="19"/>
  <c r="O815" i="19"/>
  <c r="O816" i="19"/>
  <c r="O817" i="19"/>
  <c r="O825" i="19"/>
  <c r="O826" i="19"/>
  <c r="O821" i="19"/>
  <c r="O822" i="19"/>
  <c r="O846" i="19"/>
  <c r="O827" i="19"/>
  <c r="O828" i="19"/>
  <c r="O829" i="19"/>
  <c r="O820" i="19"/>
  <c r="O842" i="19"/>
  <c r="O824" i="19"/>
  <c r="O845" i="19"/>
  <c r="O823" i="19"/>
  <c r="O832" i="19"/>
  <c r="O836" i="19"/>
  <c r="O837" i="19"/>
  <c r="O840" i="19"/>
  <c r="O833" i="19"/>
  <c r="O834" i="19"/>
  <c r="O830" i="19"/>
  <c r="O831" i="19"/>
  <c r="O835" i="19"/>
  <c r="O841" i="19"/>
  <c r="O838" i="19"/>
  <c r="O839" i="19"/>
  <c r="O871" i="19"/>
  <c r="O872" i="19"/>
  <c r="O843" i="19"/>
  <c r="O844" i="19"/>
  <c r="O847" i="19"/>
  <c r="O848" i="19"/>
  <c r="O849" i="19"/>
  <c r="O850" i="19"/>
  <c r="O851" i="19"/>
  <c r="O852" i="19"/>
  <c r="O853" i="19"/>
  <c r="O854" i="19"/>
  <c r="O855" i="19"/>
  <c r="O857" i="19"/>
  <c r="O858" i="19"/>
  <c r="O860" i="19"/>
  <c r="O859" i="19"/>
  <c r="O874" i="19"/>
  <c r="O861" i="19"/>
  <c r="O862" i="19"/>
  <c r="O863" i="19"/>
  <c r="O864" i="19"/>
  <c r="O865" i="19"/>
  <c r="O866" i="19"/>
  <c r="O867" i="19"/>
  <c r="O868" i="19"/>
  <c r="O869" i="19"/>
  <c r="O870" i="19"/>
  <c r="O882" i="19"/>
  <c r="O873" i="19"/>
  <c r="O875" i="19"/>
  <c r="O878" i="19"/>
  <c r="O876" i="19"/>
  <c r="O884" i="19"/>
  <c r="O885" i="19"/>
  <c r="O879" i="19"/>
  <c r="O880" i="19"/>
  <c r="O877" i="19"/>
  <c r="O881" i="19"/>
  <c r="O883" i="19"/>
  <c r="O886" i="19"/>
  <c r="O888" i="19"/>
  <c r="O887" i="19"/>
  <c r="O889" i="19"/>
  <c r="O890" i="19"/>
  <c r="O891" i="19"/>
  <c r="O892" i="19"/>
  <c r="O893" i="19"/>
  <c r="O938" i="19"/>
  <c r="O894" i="19"/>
  <c r="O895" i="19"/>
  <c r="O898" i="19"/>
  <c r="O899" i="19"/>
  <c r="O900" i="19"/>
  <c r="O896" i="19"/>
  <c r="O897" i="19"/>
  <c r="O901" i="19"/>
  <c r="O902" i="19"/>
  <c r="O903" i="19"/>
  <c r="O904" i="19"/>
  <c r="O905" i="19"/>
  <c r="O906" i="19"/>
  <c r="O907" i="19"/>
  <c r="O908" i="19"/>
  <c r="O909" i="19"/>
  <c r="O910" i="19"/>
  <c r="O911" i="19"/>
  <c r="O915" i="19"/>
  <c r="O926" i="19"/>
  <c r="O917" i="19"/>
  <c r="O931" i="19"/>
  <c r="O918" i="19"/>
  <c r="O919" i="19"/>
  <c r="O920" i="19"/>
  <c r="O924" i="19"/>
  <c r="O925" i="19"/>
  <c r="O916" i="19"/>
  <c r="O921" i="19"/>
  <c r="O922" i="19"/>
  <c r="O923" i="19"/>
  <c r="O929" i="19"/>
  <c r="O927" i="19"/>
  <c r="O937" i="19"/>
  <c r="O928" i="19"/>
  <c r="O932" i="19"/>
  <c r="O933" i="19"/>
  <c r="O939" i="19"/>
  <c r="O940" i="19"/>
  <c r="O934" i="19"/>
  <c r="O935" i="19"/>
  <c r="O936" i="19"/>
  <c r="O943" i="19"/>
  <c r="O944" i="19"/>
  <c r="O945" i="19"/>
  <c r="O946" i="19"/>
  <c r="O941" i="19"/>
  <c r="O947" i="19"/>
  <c r="O948" i="19"/>
  <c r="O957" i="19"/>
  <c r="O958" i="19"/>
  <c r="O942" i="19"/>
  <c r="O949" i="19"/>
  <c r="O950" i="19"/>
  <c r="O956" i="19"/>
  <c r="O951" i="19"/>
  <c r="O952" i="19"/>
  <c r="O953" i="19"/>
  <c r="O954" i="19"/>
  <c r="O955" i="19"/>
  <c r="P686" i="19"/>
  <c r="P703" i="19"/>
  <c r="P704" i="19"/>
  <c r="P693" i="19"/>
  <c r="P684" i="19"/>
  <c r="P679" i="19"/>
  <c r="P687" i="19"/>
  <c r="P688" i="19"/>
  <c r="P682" i="19"/>
  <c r="P683" i="19"/>
  <c r="P695" i="19"/>
  <c r="P733" i="19"/>
  <c r="P734" i="19"/>
  <c r="P718" i="19"/>
  <c r="P735" i="19"/>
  <c r="P680" i="19"/>
  <c r="P681" i="19"/>
  <c r="P685" i="19"/>
  <c r="P701" i="19"/>
  <c r="P702" i="19"/>
  <c r="P691" i="19"/>
  <c r="P692" i="19"/>
  <c r="P689" i="19"/>
  <c r="P690" i="19"/>
  <c r="P694" i="19"/>
  <c r="P696" i="19"/>
  <c r="P705" i="19"/>
  <c r="P699" i="19"/>
  <c r="P700" i="19"/>
  <c r="P697" i="19"/>
  <c r="P698" i="19"/>
  <c r="P706" i="19"/>
  <c r="P707" i="19"/>
  <c r="P712" i="19"/>
  <c r="P713" i="19"/>
  <c r="P714" i="19"/>
  <c r="P708" i="19"/>
  <c r="P709" i="19"/>
  <c r="P715" i="19"/>
  <c r="P719" i="19"/>
  <c r="P716" i="19"/>
  <c r="P710" i="19"/>
  <c r="P711" i="19"/>
  <c r="P720" i="19"/>
  <c r="P721" i="19"/>
  <c r="P722" i="19"/>
  <c r="P717" i="19"/>
  <c r="P731" i="19"/>
  <c r="P732" i="19"/>
  <c r="P725" i="19"/>
  <c r="P726" i="19"/>
  <c r="P723" i="19"/>
  <c r="P727" i="19"/>
  <c r="P728" i="19"/>
  <c r="P724" i="19"/>
  <c r="P729" i="19"/>
  <c r="P730" i="19"/>
  <c r="P736" i="19"/>
  <c r="P737" i="19"/>
  <c r="P738" i="19"/>
  <c r="P750" i="19"/>
  <c r="P751" i="19"/>
  <c r="P752" i="19"/>
  <c r="P746" i="19"/>
  <c r="P747" i="19"/>
  <c r="P748" i="19"/>
  <c r="P753" i="19"/>
  <c r="P754" i="19"/>
  <c r="P818" i="19"/>
  <c r="P749" i="19"/>
  <c r="P755" i="19"/>
  <c r="P756" i="19"/>
  <c r="P757" i="19"/>
  <c r="P759" i="19"/>
  <c r="P760" i="19"/>
  <c r="P761" i="19"/>
  <c r="P762" i="19"/>
  <c r="P763" i="19"/>
  <c r="P764" i="19"/>
  <c r="P766" i="19"/>
  <c r="P767" i="19"/>
  <c r="P768" i="19"/>
  <c r="P785" i="19"/>
  <c r="P765" i="19"/>
  <c r="P769" i="19"/>
  <c r="P770" i="19"/>
  <c r="P771" i="19"/>
  <c r="P772" i="19"/>
  <c r="P773" i="19"/>
  <c r="P774" i="19"/>
  <c r="P775" i="19"/>
  <c r="P776" i="19"/>
  <c r="P777" i="19"/>
  <c r="P779" i="19"/>
  <c r="P780" i="19"/>
  <c r="P781" i="19"/>
  <c r="P782" i="19"/>
  <c r="P783" i="19"/>
  <c r="P784" i="19"/>
  <c r="P789" i="19"/>
  <c r="P786" i="19"/>
  <c r="P787" i="19"/>
  <c r="P788" i="19"/>
  <c r="P792" i="19"/>
  <c r="P793" i="19"/>
  <c r="P794" i="19"/>
  <c r="P790" i="19"/>
  <c r="P795" i="19"/>
  <c r="P796" i="19"/>
  <c r="P797" i="19"/>
  <c r="P791" i="19"/>
  <c r="P813" i="19"/>
  <c r="P801" i="19"/>
  <c r="P802" i="19"/>
  <c r="P803" i="19"/>
  <c r="P804" i="19"/>
  <c r="P807" i="19"/>
  <c r="P805" i="19"/>
  <c r="P806" i="19"/>
  <c r="P808" i="19"/>
  <c r="P810" i="19"/>
  <c r="P809" i="19"/>
  <c r="P811" i="19"/>
  <c r="P812" i="19"/>
  <c r="P819" i="19"/>
  <c r="P814" i="19"/>
  <c r="P815" i="19"/>
  <c r="P816" i="19"/>
  <c r="P817" i="19"/>
  <c r="P825" i="19"/>
  <c r="P826" i="19"/>
  <c r="P821" i="19"/>
  <c r="P822" i="19"/>
  <c r="P846" i="19"/>
  <c r="P827" i="19"/>
  <c r="P828" i="19"/>
  <c r="P829" i="19"/>
  <c r="P820" i="19"/>
  <c r="P842" i="19"/>
  <c r="P824" i="19"/>
  <c r="P845" i="19"/>
  <c r="P823" i="19"/>
  <c r="P832" i="19"/>
  <c r="P836" i="19"/>
  <c r="P837" i="19"/>
  <c r="P840" i="19"/>
  <c r="P833" i="19"/>
  <c r="P834" i="19"/>
  <c r="P830" i="19"/>
  <c r="P831" i="19"/>
  <c r="P835" i="19"/>
  <c r="P841" i="19"/>
  <c r="P838" i="19"/>
  <c r="P839" i="19"/>
  <c r="P871" i="19"/>
  <c r="P872" i="19"/>
  <c r="P843" i="19"/>
  <c r="P844" i="19"/>
  <c r="P847" i="19"/>
  <c r="P848" i="19"/>
  <c r="P849" i="19"/>
  <c r="P850" i="19"/>
  <c r="P851" i="19"/>
  <c r="P852" i="19"/>
  <c r="P853" i="19"/>
  <c r="P854" i="19"/>
  <c r="P855" i="19"/>
  <c r="P857" i="19"/>
  <c r="P858" i="19"/>
  <c r="P860" i="19"/>
  <c r="P859" i="19"/>
  <c r="P874" i="19"/>
  <c r="P861" i="19"/>
  <c r="P862" i="19"/>
  <c r="P863" i="19"/>
  <c r="P864" i="19"/>
  <c r="P865" i="19"/>
  <c r="P866" i="19"/>
  <c r="P867" i="19"/>
  <c r="P868" i="19"/>
  <c r="P869" i="19"/>
  <c r="P870" i="19"/>
  <c r="P882" i="19"/>
  <c r="P873" i="19"/>
  <c r="P875" i="19"/>
  <c r="P878" i="19"/>
  <c r="P876" i="19"/>
  <c r="P884" i="19"/>
  <c r="P885" i="19"/>
  <c r="P879" i="19"/>
  <c r="P880" i="19"/>
  <c r="P877" i="19"/>
  <c r="P881" i="19"/>
  <c r="P883" i="19"/>
  <c r="P886" i="19"/>
  <c r="P888" i="19"/>
  <c r="P887" i="19"/>
  <c r="P889" i="19"/>
  <c r="P890" i="19"/>
  <c r="P891" i="19"/>
  <c r="P892" i="19"/>
  <c r="P893" i="19"/>
  <c r="P938" i="19"/>
  <c r="P894" i="19"/>
  <c r="P895" i="19"/>
  <c r="P898" i="19"/>
  <c r="P899" i="19"/>
  <c r="P900" i="19"/>
  <c r="P896" i="19"/>
  <c r="P897" i="19"/>
  <c r="P901" i="19"/>
  <c r="P902" i="19"/>
  <c r="P903" i="19"/>
  <c r="P904" i="19"/>
  <c r="P905" i="19"/>
  <c r="P906" i="19"/>
  <c r="P907" i="19"/>
  <c r="P908" i="19"/>
  <c r="P909" i="19"/>
  <c r="P910" i="19"/>
  <c r="P911" i="19"/>
  <c r="P915" i="19"/>
  <c r="P926" i="19"/>
  <c r="P917" i="19"/>
  <c r="P931" i="19"/>
  <c r="P918" i="19"/>
  <c r="P919" i="19"/>
  <c r="P920" i="19"/>
  <c r="P924" i="19"/>
  <c r="P925" i="19"/>
  <c r="P916" i="19"/>
  <c r="P921" i="19"/>
  <c r="P922" i="19"/>
  <c r="P923" i="19"/>
  <c r="P929" i="19"/>
  <c r="P927" i="19"/>
  <c r="P937" i="19"/>
  <c r="P928" i="19"/>
  <c r="P932" i="19"/>
  <c r="P933" i="19"/>
  <c r="P939" i="19"/>
  <c r="P940" i="19"/>
  <c r="P934" i="19"/>
  <c r="P935" i="19"/>
  <c r="P936" i="19"/>
  <c r="P943" i="19"/>
  <c r="P944" i="19"/>
  <c r="P945" i="19"/>
  <c r="P946" i="19"/>
  <c r="P941" i="19"/>
  <c r="P947" i="19"/>
  <c r="P948" i="19"/>
  <c r="P957" i="19"/>
  <c r="P958" i="19"/>
  <c r="P942" i="19"/>
  <c r="P949" i="19"/>
  <c r="P950" i="19"/>
  <c r="P956" i="19"/>
  <c r="P951" i="19"/>
  <c r="P952" i="19"/>
  <c r="P953" i="19"/>
  <c r="P954" i="19"/>
  <c r="P955" i="19"/>
  <c r="T686" i="19"/>
  <c r="T703" i="19"/>
  <c r="T704" i="19"/>
  <c r="T693" i="19"/>
  <c r="T684" i="19"/>
  <c r="T679" i="19"/>
  <c r="T687" i="19"/>
  <c r="T688" i="19"/>
  <c r="T682" i="19"/>
  <c r="T683" i="19"/>
  <c r="T695" i="19"/>
  <c r="T733" i="19"/>
  <c r="T734" i="19"/>
  <c r="T718" i="19"/>
  <c r="T735" i="19"/>
  <c r="T680" i="19"/>
  <c r="T681" i="19"/>
  <c r="T685" i="19"/>
  <c r="T701" i="19"/>
  <c r="T702" i="19"/>
  <c r="T691" i="19"/>
  <c r="T692" i="19"/>
  <c r="T689" i="19"/>
  <c r="T690" i="19"/>
  <c r="T694" i="19"/>
  <c r="T696" i="19"/>
  <c r="T705" i="19"/>
  <c r="T699" i="19"/>
  <c r="T700" i="19"/>
  <c r="T697" i="19"/>
  <c r="T698" i="19"/>
  <c r="T706" i="19"/>
  <c r="T707" i="19"/>
  <c r="T712" i="19"/>
  <c r="T713" i="19"/>
  <c r="T714" i="19"/>
  <c r="T708" i="19"/>
  <c r="T709" i="19"/>
  <c r="T715" i="19"/>
  <c r="T719" i="19"/>
  <c r="T716" i="19"/>
  <c r="T710" i="19"/>
  <c r="T711" i="19"/>
  <c r="T720" i="19"/>
  <c r="T721" i="19"/>
  <c r="T722" i="19"/>
  <c r="T717" i="19"/>
  <c r="T731" i="19"/>
  <c r="T732" i="19"/>
  <c r="T725" i="19"/>
  <c r="T726" i="19"/>
  <c r="T723" i="19"/>
  <c r="T727" i="19"/>
  <c r="T728" i="19"/>
  <c r="T724" i="19"/>
  <c r="T729" i="19"/>
  <c r="T730" i="19"/>
  <c r="T736" i="19"/>
  <c r="T737" i="19"/>
  <c r="T738" i="19"/>
  <c r="T750" i="19"/>
  <c r="T751" i="19"/>
  <c r="T752" i="19"/>
  <c r="T746" i="19"/>
  <c r="T747" i="19"/>
  <c r="T748" i="19"/>
  <c r="T753" i="19"/>
  <c r="T754" i="19"/>
  <c r="T818" i="19"/>
  <c r="T749" i="19"/>
  <c r="T755" i="19"/>
  <c r="T756" i="19"/>
  <c r="T757" i="19"/>
  <c r="T759" i="19"/>
  <c r="T760" i="19"/>
  <c r="T761" i="19"/>
  <c r="T762" i="19"/>
  <c r="T763" i="19"/>
  <c r="T764" i="19"/>
  <c r="T766" i="19"/>
  <c r="T767" i="19"/>
  <c r="T768" i="19"/>
  <c r="T785" i="19"/>
  <c r="T765" i="19"/>
  <c r="T769" i="19"/>
  <c r="T770" i="19"/>
  <c r="T771" i="19"/>
  <c r="T772" i="19"/>
  <c r="T773" i="19"/>
  <c r="T774" i="19"/>
  <c r="T775" i="19"/>
  <c r="T776" i="19"/>
  <c r="T777" i="19"/>
  <c r="T779" i="19"/>
  <c r="T780" i="19"/>
  <c r="T781" i="19"/>
  <c r="T782" i="19"/>
  <c r="T783" i="19"/>
  <c r="T784" i="19"/>
  <c r="T789" i="19"/>
  <c r="T786" i="19"/>
  <c r="T787" i="19"/>
  <c r="T788" i="19"/>
  <c r="T792" i="19"/>
  <c r="T793" i="19"/>
  <c r="T794" i="19"/>
  <c r="T790" i="19"/>
  <c r="T795" i="19"/>
  <c r="T796" i="19"/>
  <c r="T797" i="19"/>
  <c r="T791" i="19"/>
  <c r="T813" i="19"/>
  <c r="T801" i="19"/>
  <c r="T802" i="19"/>
  <c r="T803" i="19"/>
  <c r="T804" i="19"/>
  <c r="T807" i="19"/>
  <c r="T805" i="19"/>
  <c r="T806" i="19"/>
  <c r="T808" i="19"/>
  <c r="T810" i="19"/>
  <c r="T809" i="19"/>
  <c r="T811" i="19"/>
  <c r="T812" i="19"/>
  <c r="T819" i="19"/>
  <c r="T814" i="19"/>
  <c r="T815" i="19"/>
  <c r="T816" i="19"/>
  <c r="T817" i="19"/>
  <c r="T825" i="19"/>
  <c r="T826" i="19"/>
  <c r="T821" i="19"/>
  <c r="T822" i="19"/>
  <c r="T846" i="19"/>
  <c r="T827" i="19"/>
  <c r="T828" i="19"/>
  <c r="T829" i="19"/>
  <c r="T820" i="19"/>
  <c r="T842" i="19"/>
  <c r="T824" i="19"/>
  <c r="T845" i="19"/>
  <c r="T823" i="19"/>
  <c r="T832" i="19"/>
  <c r="T836" i="19"/>
  <c r="T837" i="19"/>
  <c r="T840" i="19"/>
  <c r="T833" i="19"/>
  <c r="T834" i="19"/>
  <c r="T830" i="19"/>
  <c r="T831" i="19"/>
  <c r="T835" i="19"/>
  <c r="T841" i="19"/>
  <c r="T838" i="19"/>
  <c r="T839" i="19"/>
  <c r="T871" i="19"/>
  <c r="T872" i="19"/>
  <c r="T843" i="19"/>
  <c r="T844" i="19"/>
  <c r="T847" i="19"/>
  <c r="T848" i="19"/>
  <c r="T849" i="19"/>
  <c r="T850" i="19"/>
  <c r="T851" i="19"/>
  <c r="T852" i="19"/>
  <c r="T853" i="19"/>
  <c r="T854" i="19"/>
  <c r="T855" i="19"/>
  <c r="T857" i="19"/>
  <c r="T858" i="19"/>
  <c r="T860" i="19"/>
  <c r="T859" i="19"/>
  <c r="T874" i="19"/>
  <c r="T861" i="19"/>
  <c r="T862" i="19"/>
  <c r="T863" i="19"/>
  <c r="T864" i="19"/>
  <c r="T865" i="19"/>
  <c r="T866" i="19"/>
  <c r="T867" i="19"/>
  <c r="T868" i="19"/>
  <c r="T869" i="19"/>
  <c r="T870" i="19"/>
  <c r="T882" i="19"/>
  <c r="T873" i="19"/>
  <c r="T875" i="19"/>
  <c r="T878" i="19"/>
  <c r="T876" i="19"/>
  <c r="T884" i="19"/>
  <c r="T885" i="19"/>
  <c r="T879" i="19"/>
  <c r="T880" i="19"/>
  <c r="T877" i="19"/>
  <c r="T881" i="19"/>
  <c r="T883" i="19"/>
  <c r="T886" i="19"/>
  <c r="T888" i="19"/>
  <c r="T887" i="19"/>
  <c r="T889" i="19"/>
  <c r="T890" i="19"/>
  <c r="T891" i="19"/>
  <c r="T892" i="19"/>
  <c r="T893" i="19"/>
  <c r="T938" i="19"/>
  <c r="T894" i="19"/>
  <c r="T895" i="19"/>
  <c r="T898" i="19"/>
  <c r="T899" i="19"/>
  <c r="T900" i="19"/>
  <c r="T896" i="19"/>
  <c r="T897" i="19"/>
  <c r="T901" i="19"/>
  <c r="T902" i="19"/>
  <c r="T903" i="19"/>
  <c r="T904" i="19"/>
  <c r="T905" i="19"/>
  <c r="T906" i="19"/>
  <c r="T907" i="19"/>
  <c r="T908" i="19"/>
  <c r="T909" i="19"/>
  <c r="T910" i="19"/>
  <c r="T911" i="19"/>
  <c r="T915" i="19"/>
  <c r="T926" i="19"/>
  <c r="T917" i="19"/>
  <c r="T931" i="19"/>
  <c r="T918" i="19"/>
  <c r="T919" i="19"/>
  <c r="T920" i="19"/>
  <c r="T924" i="19"/>
  <c r="T925" i="19"/>
  <c r="T916" i="19"/>
  <c r="T921" i="19"/>
  <c r="T922" i="19"/>
  <c r="T923" i="19"/>
  <c r="T929" i="19"/>
  <c r="T927" i="19"/>
  <c r="T937" i="19"/>
  <c r="T928" i="19"/>
  <c r="T932" i="19"/>
  <c r="T933" i="19"/>
  <c r="T939" i="19"/>
  <c r="T940" i="19"/>
  <c r="T934" i="19"/>
  <c r="T935" i="19"/>
  <c r="T936" i="19"/>
  <c r="T943" i="19"/>
  <c r="T944" i="19"/>
  <c r="T945" i="19"/>
  <c r="T946" i="19"/>
  <c r="T941" i="19"/>
  <c r="T947" i="19"/>
  <c r="T948" i="19"/>
  <c r="T957" i="19"/>
  <c r="T958" i="19"/>
  <c r="T942" i="19"/>
  <c r="T949" i="19"/>
  <c r="T950" i="19"/>
  <c r="T956" i="19"/>
  <c r="T951" i="19"/>
  <c r="T952" i="19"/>
  <c r="T953" i="19"/>
  <c r="T954" i="19"/>
  <c r="T955" i="19"/>
  <c r="W686" i="19"/>
  <c r="W703" i="19"/>
  <c r="W704" i="19"/>
  <c r="W693" i="19"/>
  <c r="W684" i="19"/>
  <c r="W679" i="19"/>
  <c r="W687" i="19"/>
  <c r="W688" i="19"/>
  <c r="W682" i="19"/>
  <c r="W683" i="19"/>
  <c r="W695" i="19"/>
  <c r="W733" i="19"/>
  <c r="W734" i="19"/>
  <c r="W718" i="19"/>
  <c r="W735" i="19"/>
  <c r="W680" i="19"/>
  <c r="W681" i="19"/>
  <c r="W685" i="19"/>
  <c r="W701" i="19"/>
  <c r="W702" i="19"/>
  <c r="W691" i="19"/>
  <c r="W692" i="19"/>
  <c r="W689" i="19"/>
  <c r="W690" i="19"/>
  <c r="W694" i="19"/>
  <c r="W696" i="19"/>
  <c r="W705" i="19"/>
  <c r="W699" i="19"/>
  <c r="W700" i="19"/>
  <c r="W697" i="19"/>
  <c r="W698" i="19"/>
  <c r="W706" i="19"/>
  <c r="W707" i="19"/>
  <c r="W712" i="19"/>
  <c r="W713" i="19"/>
  <c r="W714" i="19"/>
  <c r="W708" i="19"/>
  <c r="W709" i="19"/>
  <c r="W715" i="19"/>
  <c r="W719" i="19"/>
  <c r="W716" i="19"/>
  <c r="W710" i="19"/>
  <c r="W711" i="19"/>
  <c r="W720" i="19"/>
  <c r="W721" i="19"/>
  <c r="W722" i="19"/>
  <c r="W717" i="19"/>
  <c r="W731" i="19"/>
  <c r="W732" i="19"/>
  <c r="W725" i="19"/>
  <c r="W726" i="19"/>
  <c r="W723" i="19"/>
  <c r="W727" i="19"/>
  <c r="W728" i="19"/>
  <c r="W724" i="19"/>
  <c r="W729" i="19"/>
  <c r="W730" i="19"/>
  <c r="W736" i="19"/>
  <c r="W737" i="19"/>
  <c r="W738" i="19"/>
  <c r="W750" i="19"/>
  <c r="W751" i="19"/>
  <c r="W752" i="19"/>
  <c r="W746" i="19"/>
  <c r="W747" i="19"/>
  <c r="W748" i="19"/>
  <c r="W753" i="19"/>
  <c r="W754" i="19"/>
  <c r="W818" i="19"/>
  <c r="W749" i="19"/>
  <c r="W755" i="19"/>
  <c r="W756" i="19"/>
  <c r="W757" i="19"/>
  <c r="W759" i="19"/>
  <c r="W760" i="19"/>
  <c r="W761" i="19"/>
  <c r="W762" i="19"/>
  <c r="W763" i="19"/>
  <c r="W764" i="19"/>
  <c r="W766" i="19"/>
  <c r="W767" i="19"/>
  <c r="W768" i="19"/>
  <c r="W785" i="19"/>
  <c r="W765" i="19"/>
  <c r="W769" i="19"/>
  <c r="W770" i="19"/>
  <c r="W771" i="19"/>
  <c r="W772" i="19"/>
  <c r="W773" i="19"/>
  <c r="W774" i="19"/>
  <c r="W775" i="19"/>
  <c r="W776" i="19"/>
  <c r="W777" i="19"/>
  <c r="W779" i="19"/>
  <c r="W780" i="19"/>
  <c r="W781" i="19"/>
  <c r="W782" i="19"/>
  <c r="W783" i="19"/>
  <c r="W784" i="19"/>
  <c r="W789" i="19"/>
  <c r="W786" i="19"/>
  <c r="W787" i="19"/>
  <c r="W788" i="19"/>
  <c r="W792" i="19"/>
  <c r="W793" i="19"/>
  <c r="W794" i="19"/>
  <c r="W790" i="19"/>
  <c r="W795" i="19"/>
  <c r="W796" i="19"/>
  <c r="W797" i="19"/>
  <c r="W791" i="19"/>
  <c r="W813" i="19"/>
  <c r="W801" i="19"/>
  <c r="W802" i="19"/>
  <c r="W803" i="19"/>
  <c r="W804" i="19"/>
  <c r="W807" i="19"/>
  <c r="W805" i="19"/>
  <c r="W806" i="19"/>
  <c r="W808" i="19"/>
  <c r="W810" i="19"/>
  <c r="W809" i="19"/>
  <c r="W811" i="19"/>
  <c r="W812" i="19"/>
  <c r="W819" i="19"/>
  <c r="W814" i="19"/>
  <c r="W815" i="19"/>
  <c r="W816" i="19"/>
  <c r="W817" i="19"/>
  <c r="W825" i="19"/>
  <c r="W826" i="19"/>
  <c r="W821" i="19"/>
  <c r="W822" i="19"/>
  <c r="W846" i="19"/>
  <c r="W827" i="19"/>
  <c r="W828" i="19"/>
  <c r="W829" i="19"/>
  <c r="W820" i="19"/>
  <c r="W842" i="19"/>
  <c r="W824" i="19"/>
  <c r="W845" i="19"/>
  <c r="W823" i="19"/>
  <c r="W832" i="19"/>
  <c r="W836" i="19"/>
  <c r="W837" i="19"/>
  <c r="W840" i="19"/>
  <c r="W833" i="19"/>
  <c r="W834" i="19"/>
  <c r="W830" i="19"/>
  <c r="W831" i="19"/>
  <c r="W835" i="19"/>
  <c r="W841" i="19"/>
  <c r="W838" i="19"/>
  <c r="W839" i="19"/>
  <c r="W871" i="19"/>
  <c r="W872" i="19"/>
  <c r="W843" i="19"/>
  <c r="W844" i="19"/>
  <c r="W847" i="19"/>
  <c r="W848" i="19"/>
  <c r="W849" i="19"/>
  <c r="W850" i="19"/>
  <c r="W851" i="19"/>
  <c r="W852" i="19"/>
  <c r="W853" i="19"/>
  <c r="W854" i="19"/>
  <c r="W855" i="19"/>
  <c r="W857" i="19"/>
  <c r="W858" i="19"/>
  <c r="W860" i="19"/>
  <c r="W859" i="19"/>
  <c r="W874" i="19"/>
  <c r="W861" i="19"/>
  <c r="W862" i="19"/>
  <c r="W863" i="19"/>
  <c r="W864" i="19"/>
  <c r="W865" i="19"/>
  <c r="W866" i="19"/>
  <c r="W867" i="19"/>
  <c r="W868" i="19"/>
  <c r="W869" i="19"/>
  <c r="W870" i="19"/>
  <c r="W882" i="19"/>
  <c r="W873" i="19"/>
  <c r="W875" i="19"/>
  <c r="W878" i="19"/>
  <c r="W876" i="19"/>
  <c r="W884" i="19"/>
  <c r="W885" i="19"/>
  <c r="W879" i="19"/>
  <c r="W880" i="19"/>
  <c r="W877" i="19"/>
  <c r="W881" i="19"/>
  <c r="W883" i="19"/>
  <c r="W886" i="19"/>
  <c r="W888" i="19"/>
  <c r="W887" i="19"/>
  <c r="W889" i="19"/>
  <c r="W890" i="19"/>
  <c r="W891" i="19"/>
  <c r="W892" i="19"/>
  <c r="W893" i="19"/>
  <c r="W938" i="19"/>
  <c r="W894" i="19"/>
  <c r="W895" i="19"/>
  <c r="W898" i="19"/>
  <c r="W899" i="19"/>
  <c r="W900" i="19"/>
  <c r="W896" i="19"/>
  <c r="W897" i="19"/>
  <c r="W901" i="19"/>
  <c r="W902" i="19"/>
  <c r="W903" i="19"/>
  <c r="W904" i="19"/>
  <c r="W905" i="19"/>
  <c r="W906" i="19"/>
  <c r="W907" i="19"/>
  <c r="W908" i="19"/>
  <c r="W909" i="19"/>
  <c r="W910" i="19"/>
  <c r="W911" i="19"/>
  <c r="W915" i="19"/>
  <c r="W926" i="19"/>
  <c r="W917" i="19"/>
  <c r="W931" i="19"/>
  <c r="W918" i="19"/>
  <c r="W919" i="19"/>
  <c r="W920" i="19"/>
  <c r="W924" i="19"/>
  <c r="W925" i="19"/>
  <c r="W916" i="19"/>
  <c r="W921" i="19"/>
  <c r="W922" i="19"/>
  <c r="W923" i="19"/>
  <c r="W929" i="19"/>
  <c r="W927" i="19"/>
  <c r="W937" i="19"/>
  <c r="W928" i="19"/>
  <c r="W932" i="19"/>
  <c r="W933" i="19"/>
  <c r="W939" i="19"/>
  <c r="W940" i="19"/>
  <c r="W934" i="19"/>
  <c r="W935" i="19"/>
  <c r="W936" i="19"/>
  <c r="W943" i="19"/>
  <c r="W944" i="19"/>
  <c r="W945" i="19"/>
  <c r="W946" i="19"/>
  <c r="W941" i="19"/>
  <c r="W947" i="19"/>
  <c r="W948" i="19"/>
  <c r="W957" i="19"/>
  <c r="W958" i="19"/>
  <c r="W942" i="19"/>
  <c r="W949" i="19"/>
  <c r="W950" i="19"/>
  <c r="W956" i="19"/>
  <c r="W951" i="19"/>
  <c r="W952" i="19"/>
  <c r="W953" i="19"/>
  <c r="W954" i="19"/>
  <c r="W955" i="19"/>
  <c r="X686" i="19"/>
  <c r="X703" i="19"/>
  <c r="X704" i="19"/>
  <c r="X693" i="19"/>
  <c r="X684" i="19"/>
  <c r="X679" i="19"/>
  <c r="X687" i="19"/>
  <c r="X688" i="19"/>
  <c r="X682" i="19"/>
  <c r="X683" i="19"/>
  <c r="X695" i="19"/>
  <c r="X733" i="19"/>
  <c r="X734" i="19"/>
  <c r="X718" i="19"/>
  <c r="X735" i="19"/>
  <c r="X680" i="19"/>
  <c r="X681" i="19"/>
  <c r="X685" i="19"/>
  <c r="X701" i="19"/>
  <c r="X702" i="19"/>
  <c r="X691" i="19"/>
  <c r="X692" i="19"/>
  <c r="X689" i="19"/>
  <c r="X690" i="19"/>
  <c r="X694" i="19"/>
  <c r="X696" i="19"/>
  <c r="X705" i="19"/>
  <c r="X699" i="19"/>
  <c r="X700" i="19"/>
  <c r="X697" i="19"/>
  <c r="X698" i="19"/>
  <c r="X706" i="19"/>
  <c r="X707" i="19"/>
  <c r="X712" i="19"/>
  <c r="X713" i="19"/>
  <c r="X714" i="19"/>
  <c r="X708" i="19"/>
  <c r="X709" i="19"/>
  <c r="X715" i="19"/>
  <c r="X719" i="19"/>
  <c r="X716" i="19"/>
  <c r="X710" i="19"/>
  <c r="X711" i="19"/>
  <c r="X720" i="19"/>
  <c r="X721" i="19"/>
  <c r="X722" i="19"/>
  <c r="X717" i="19"/>
  <c r="X731" i="19"/>
  <c r="X732" i="19"/>
  <c r="X725" i="19"/>
  <c r="X726" i="19"/>
  <c r="X723" i="19"/>
  <c r="X727" i="19"/>
  <c r="X728" i="19"/>
  <c r="X724" i="19"/>
  <c r="X729" i="19"/>
  <c r="X730" i="19"/>
  <c r="X736" i="19"/>
  <c r="X737" i="19"/>
  <c r="X738" i="19"/>
  <c r="X750" i="19"/>
  <c r="X751" i="19"/>
  <c r="X752" i="19"/>
  <c r="X746" i="19"/>
  <c r="X747" i="19"/>
  <c r="X748" i="19"/>
  <c r="X753" i="19"/>
  <c r="X754" i="19"/>
  <c r="X818" i="19"/>
  <c r="X749" i="19"/>
  <c r="X755" i="19"/>
  <c r="X756" i="19"/>
  <c r="X757" i="19"/>
  <c r="X759" i="19"/>
  <c r="X760" i="19"/>
  <c r="X761" i="19"/>
  <c r="X762" i="19"/>
  <c r="X763" i="19"/>
  <c r="X764" i="19"/>
  <c r="X766" i="19"/>
  <c r="X767" i="19"/>
  <c r="X768" i="19"/>
  <c r="X785" i="19"/>
  <c r="X765" i="19"/>
  <c r="X769" i="19"/>
  <c r="X770" i="19"/>
  <c r="X771" i="19"/>
  <c r="X772" i="19"/>
  <c r="X773" i="19"/>
  <c r="X774" i="19"/>
  <c r="X775" i="19"/>
  <c r="X776" i="19"/>
  <c r="X777" i="19"/>
  <c r="X779" i="19"/>
  <c r="X780" i="19"/>
  <c r="X781" i="19"/>
  <c r="X782" i="19"/>
  <c r="X783" i="19"/>
  <c r="X784" i="19"/>
  <c r="X789" i="19"/>
  <c r="X786" i="19"/>
  <c r="X787" i="19"/>
  <c r="X788" i="19"/>
  <c r="X792" i="19"/>
  <c r="X793" i="19"/>
  <c r="X794" i="19"/>
  <c r="X790" i="19"/>
  <c r="X795" i="19"/>
  <c r="X796" i="19"/>
  <c r="X797" i="19"/>
  <c r="X791" i="19"/>
  <c r="X813" i="19"/>
  <c r="X801" i="19"/>
  <c r="X802" i="19"/>
  <c r="X803" i="19"/>
  <c r="X804" i="19"/>
  <c r="X807" i="19"/>
  <c r="X805" i="19"/>
  <c r="X806" i="19"/>
  <c r="X808" i="19"/>
  <c r="X810" i="19"/>
  <c r="X809" i="19"/>
  <c r="X811" i="19"/>
  <c r="X812" i="19"/>
  <c r="X819" i="19"/>
  <c r="X814" i="19"/>
  <c r="X815" i="19"/>
  <c r="X816" i="19"/>
  <c r="X817" i="19"/>
  <c r="X825" i="19"/>
  <c r="X826" i="19"/>
  <c r="X821" i="19"/>
  <c r="X822" i="19"/>
  <c r="X846" i="19"/>
  <c r="X827" i="19"/>
  <c r="X828" i="19"/>
  <c r="X829" i="19"/>
  <c r="X820" i="19"/>
  <c r="X842" i="19"/>
  <c r="X824" i="19"/>
  <c r="X845" i="19"/>
  <c r="X823" i="19"/>
  <c r="X832" i="19"/>
  <c r="X836" i="19"/>
  <c r="X837" i="19"/>
  <c r="X840" i="19"/>
  <c r="X833" i="19"/>
  <c r="X834" i="19"/>
  <c r="X830" i="19"/>
  <c r="X831" i="19"/>
  <c r="X835" i="19"/>
  <c r="X841" i="19"/>
  <c r="X838" i="19"/>
  <c r="X839" i="19"/>
  <c r="X871" i="19"/>
  <c r="X872" i="19"/>
  <c r="X843" i="19"/>
  <c r="X844" i="19"/>
  <c r="X847" i="19"/>
  <c r="X848" i="19"/>
  <c r="X849" i="19"/>
  <c r="X850" i="19"/>
  <c r="X851" i="19"/>
  <c r="X852" i="19"/>
  <c r="X853" i="19"/>
  <c r="X854" i="19"/>
  <c r="X855" i="19"/>
  <c r="X857" i="19"/>
  <c r="X858" i="19"/>
  <c r="X860" i="19"/>
  <c r="X859" i="19"/>
  <c r="X874" i="19"/>
  <c r="X861" i="19"/>
  <c r="X862" i="19"/>
  <c r="X863" i="19"/>
  <c r="X864" i="19"/>
  <c r="X865" i="19"/>
  <c r="X866" i="19"/>
  <c r="X867" i="19"/>
  <c r="X868" i="19"/>
  <c r="X869" i="19"/>
  <c r="X870" i="19"/>
  <c r="X882" i="19"/>
  <c r="X873" i="19"/>
  <c r="X875" i="19"/>
  <c r="X878" i="19"/>
  <c r="X876" i="19"/>
  <c r="X884" i="19"/>
  <c r="X885" i="19"/>
  <c r="X879" i="19"/>
  <c r="X880" i="19"/>
  <c r="X877" i="19"/>
  <c r="X881" i="19"/>
  <c r="X883" i="19"/>
  <c r="X886" i="19"/>
  <c r="X888" i="19"/>
  <c r="X887" i="19"/>
  <c r="X889" i="19"/>
  <c r="X890" i="19"/>
  <c r="X891" i="19"/>
  <c r="X892" i="19"/>
  <c r="X893" i="19"/>
  <c r="X938" i="19"/>
  <c r="X894" i="19"/>
  <c r="X895" i="19"/>
  <c r="X898" i="19"/>
  <c r="X899" i="19"/>
  <c r="X900" i="19"/>
  <c r="X896" i="19"/>
  <c r="X897" i="19"/>
  <c r="X901" i="19"/>
  <c r="X902" i="19"/>
  <c r="X903" i="19"/>
  <c r="X904" i="19"/>
  <c r="X905" i="19"/>
  <c r="X906" i="19"/>
  <c r="X907" i="19"/>
  <c r="X908" i="19"/>
  <c r="X909" i="19"/>
  <c r="X910" i="19"/>
  <c r="X911" i="19"/>
  <c r="X915" i="19"/>
  <c r="X926" i="19"/>
  <c r="X917" i="19"/>
  <c r="X931" i="19"/>
  <c r="X918" i="19"/>
  <c r="X919" i="19"/>
  <c r="X920" i="19"/>
  <c r="X924" i="19"/>
  <c r="X925" i="19"/>
  <c r="X916" i="19"/>
  <c r="X921" i="19"/>
  <c r="X922" i="19"/>
  <c r="X923" i="19"/>
  <c r="X929" i="19"/>
  <c r="X927" i="19"/>
  <c r="X937" i="19"/>
  <c r="X928" i="19"/>
  <c r="X932" i="19"/>
  <c r="X933" i="19"/>
  <c r="X939" i="19"/>
  <c r="X940" i="19"/>
  <c r="X934" i="19"/>
  <c r="X935" i="19"/>
  <c r="X936" i="19"/>
  <c r="X943" i="19"/>
  <c r="X944" i="19"/>
  <c r="X945" i="19"/>
  <c r="X946" i="19"/>
  <c r="X941" i="19"/>
  <c r="X947" i="19"/>
  <c r="X948" i="19"/>
  <c r="X957" i="19"/>
  <c r="X958" i="19"/>
  <c r="X942" i="19"/>
  <c r="X949" i="19"/>
  <c r="X950" i="19"/>
  <c r="X956" i="19"/>
  <c r="X951" i="19"/>
  <c r="X952" i="19"/>
  <c r="X953" i="19"/>
  <c r="X954" i="19"/>
  <c r="X955" i="19"/>
  <c r="I646" i="21"/>
  <c r="J646" i="21" s="1"/>
  <c r="I635" i="21"/>
  <c r="J635" i="21" s="1"/>
  <c r="I626" i="21"/>
  <c r="J626" i="21" s="1"/>
  <c r="I621" i="21"/>
  <c r="J621" i="21" s="1"/>
  <c r="I629" i="21"/>
  <c r="J629" i="21" s="1"/>
  <c r="I630" i="21"/>
  <c r="J630" i="21" s="1"/>
  <c r="I624" i="21"/>
  <c r="J624" i="21" s="1"/>
  <c r="I625" i="21"/>
  <c r="J625" i="21" s="1"/>
  <c r="I637" i="21"/>
  <c r="J637" i="21" s="1"/>
  <c r="I675" i="21"/>
  <c r="J675" i="21" s="1"/>
  <c r="I676" i="21"/>
  <c r="J676" i="21" s="1"/>
  <c r="I660" i="21"/>
  <c r="J660" i="21" s="1"/>
  <c r="I677" i="21"/>
  <c r="J677" i="21" s="1"/>
  <c r="I622" i="21"/>
  <c r="J622" i="21" s="1"/>
  <c r="I623" i="21"/>
  <c r="J623" i="21" s="1"/>
  <c r="I627" i="21"/>
  <c r="J627" i="21" s="1"/>
  <c r="I643" i="21"/>
  <c r="J643" i="21" s="1"/>
  <c r="I644" i="21"/>
  <c r="J644" i="21" s="1"/>
  <c r="I633" i="21"/>
  <c r="J633" i="21" s="1"/>
  <c r="I634" i="21"/>
  <c r="J634" i="21" s="1"/>
  <c r="I631" i="21"/>
  <c r="J631" i="21" s="1"/>
  <c r="I632" i="21"/>
  <c r="J632" i="21" s="1"/>
  <c r="I636" i="21"/>
  <c r="J636" i="21" s="1"/>
  <c r="I638" i="21"/>
  <c r="J638" i="21" s="1"/>
  <c r="I647" i="21"/>
  <c r="J647" i="21" s="1"/>
  <c r="I641" i="21"/>
  <c r="J641" i="21" s="1"/>
  <c r="I642" i="21"/>
  <c r="J642" i="21" s="1"/>
  <c r="I639" i="21"/>
  <c r="J639" i="21" s="1"/>
  <c r="I640" i="21"/>
  <c r="J640" i="21" s="1"/>
  <c r="I648" i="21"/>
  <c r="J648" i="21" s="1"/>
  <c r="I649" i="21"/>
  <c r="J649" i="21" s="1"/>
  <c r="I654" i="21"/>
  <c r="J654" i="21" s="1"/>
  <c r="I655" i="21"/>
  <c r="J655" i="21" s="1"/>
  <c r="I656" i="21"/>
  <c r="J656" i="21" s="1"/>
  <c r="I650" i="21"/>
  <c r="J650" i="21" s="1"/>
  <c r="I651" i="21"/>
  <c r="J651" i="21" s="1"/>
  <c r="I657" i="21"/>
  <c r="J657" i="21" s="1"/>
  <c r="I661" i="21"/>
  <c r="J661" i="21" s="1"/>
  <c r="I658" i="21"/>
  <c r="J658" i="21" s="1"/>
  <c r="I652" i="21"/>
  <c r="J652" i="21" s="1"/>
  <c r="I653" i="21"/>
  <c r="J653" i="21" s="1"/>
  <c r="I662" i="21"/>
  <c r="J662" i="21" s="1"/>
  <c r="I663" i="21"/>
  <c r="J663" i="21" s="1"/>
  <c r="I664" i="21"/>
  <c r="J664" i="21" s="1"/>
  <c r="I659" i="21"/>
  <c r="J659" i="21" s="1"/>
  <c r="I673" i="21"/>
  <c r="J673" i="21" s="1"/>
  <c r="I674" i="21"/>
  <c r="J674" i="21" s="1"/>
  <c r="I667" i="21"/>
  <c r="J667" i="21" s="1"/>
  <c r="I668" i="21"/>
  <c r="J668" i="21" s="1"/>
  <c r="I665" i="21"/>
  <c r="J665" i="21" s="1"/>
  <c r="I669" i="21"/>
  <c r="J669" i="21" s="1"/>
  <c r="I670" i="21"/>
  <c r="J670" i="21" s="1"/>
  <c r="I666" i="21"/>
  <c r="J666" i="21" s="1"/>
  <c r="I671" i="21"/>
  <c r="J671" i="21" s="1"/>
  <c r="I672" i="21"/>
  <c r="J672" i="21" s="1"/>
  <c r="I678" i="21"/>
  <c r="J678" i="21" s="1"/>
  <c r="I679" i="21"/>
  <c r="J679" i="21" s="1"/>
  <c r="I680" i="21"/>
  <c r="J680" i="21" s="1"/>
  <c r="I685" i="21"/>
  <c r="J685" i="21" s="1"/>
  <c r="I686" i="21"/>
  <c r="J686" i="21" s="1"/>
  <c r="I687" i="21"/>
  <c r="J687" i="21" s="1"/>
  <c r="I681" i="21"/>
  <c r="J681" i="21" s="1"/>
  <c r="I682" i="21"/>
  <c r="J682" i="21" s="1"/>
  <c r="I683" i="21"/>
  <c r="J683" i="21" s="1"/>
  <c r="I688" i="21"/>
  <c r="J688" i="21" s="1"/>
  <c r="I689" i="21"/>
  <c r="J689" i="21" s="1"/>
  <c r="I748" i="21"/>
  <c r="J748" i="21" s="1"/>
  <c r="I684" i="21"/>
  <c r="J684" i="21" s="1"/>
  <c r="I690" i="21"/>
  <c r="J690" i="21" s="1"/>
  <c r="I691" i="21"/>
  <c r="J691" i="21" s="1"/>
  <c r="I692" i="21"/>
  <c r="J692" i="21" s="1"/>
  <c r="I693" i="21"/>
  <c r="J693" i="21" s="1"/>
  <c r="I694" i="21"/>
  <c r="J694" i="21" s="1"/>
  <c r="I695" i="21"/>
  <c r="J695" i="21" s="1"/>
  <c r="I696" i="21"/>
  <c r="J696" i="21" s="1"/>
  <c r="I697" i="21"/>
  <c r="J697" i="21" s="1"/>
  <c r="I698" i="21"/>
  <c r="J698" i="21" s="1"/>
  <c r="I700" i="21"/>
  <c r="J700" i="21" s="1"/>
  <c r="I701" i="21"/>
  <c r="J701" i="21" s="1"/>
  <c r="I702" i="21"/>
  <c r="J702" i="21" s="1"/>
  <c r="I718" i="21"/>
  <c r="J718" i="21" s="1"/>
  <c r="I699" i="21"/>
  <c r="J699" i="21" s="1"/>
  <c r="I703" i="21"/>
  <c r="J703" i="21" s="1"/>
  <c r="I704" i="21"/>
  <c r="J704" i="21" s="1"/>
  <c r="I705" i="21"/>
  <c r="J705" i="21" s="1"/>
  <c r="I706" i="21"/>
  <c r="J706" i="21" s="1"/>
  <c r="I707" i="21"/>
  <c r="J707" i="21" s="1"/>
  <c r="I708" i="21"/>
  <c r="J708" i="21" s="1"/>
  <c r="I709" i="21"/>
  <c r="J709" i="21" s="1"/>
  <c r="I710" i="21"/>
  <c r="J710" i="21" s="1"/>
  <c r="I711" i="21"/>
  <c r="J711" i="21" s="1"/>
  <c r="I712" i="21"/>
  <c r="J712" i="21" s="1"/>
  <c r="I713" i="21"/>
  <c r="J713" i="21" s="1"/>
  <c r="I714" i="21"/>
  <c r="J714" i="21" s="1"/>
  <c r="I715" i="21"/>
  <c r="J715" i="21" s="1"/>
  <c r="I716" i="21"/>
  <c r="J716" i="21" s="1"/>
  <c r="I717" i="21"/>
  <c r="J717" i="21" s="1"/>
  <c r="I722" i="21"/>
  <c r="J722" i="21" s="1"/>
  <c r="I719" i="21"/>
  <c r="J719" i="21" s="1"/>
  <c r="I720" i="21"/>
  <c r="J720" i="21" s="1"/>
  <c r="I721" i="21"/>
  <c r="J721" i="21" s="1"/>
  <c r="I725" i="21"/>
  <c r="J725" i="21" s="1"/>
  <c r="I726" i="21"/>
  <c r="J726" i="21" s="1"/>
  <c r="I727" i="21"/>
  <c r="J727" i="21" s="1"/>
  <c r="I723" i="21"/>
  <c r="J723" i="21" s="1"/>
  <c r="I728" i="21"/>
  <c r="J728" i="21" s="1"/>
  <c r="I729" i="21"/>
  <c r="J729" i="21" s="1"/>
  <c r="I730" i="21"/>
  <c r="J730" i="21" s="1"/>
  <c r="I724" i="21"/>
  <c r="J724" i="21" s="1"/>
  <c r="I743" i="21"/>
  <c r="J743" i="21" s="1"/>
  <c r="I731" i="21"/>
  <c r="J731" i="21" s="1"/>
  <c r="I732" i="21"/>
  <c r="J732" i="21" s="1"/>
  <c r="I733" i="21"/>
  <c r="J733" i="21" s="1"/>
  <c r="I734" i="21"/>
  <c r="J734" i="21" s="1"/>
  <c r="I737" i="21"/>
  <c r="J737" i="21" s="1"/>
  <c r="I735" i="21"/>
  <c r="J735" i="21" s="1"/>
  <c r="I736" i="21"/>
  <c r="J736" i="21" s="1"/>
  <c r="I738" i="21"/>
  <c r="J738" i="21" s="1"/>
  <c r="I740" i="21"/>
  <c r="J740" i="21" s="1"/>
  <c r="I739" i="21"/>
  <c r="J739" i="21" s="1"/>
  <c r="I741" i="21"/>
  <c r="J741" i="21" s="1"/>
  <c r="I742" i="21"/>
  <c r="J742" i="21" s="1"/>
  <c r="I749" i="21"/>
  <c r="J749" i="21" s="1"/>
  <c r="I744" i="21"/>
  <c r="J744" i="21" s="1"/>
  <c r="I745" i="21"/>
  <c r="J745" i="21" s="1"/>
  <c r="I746" i="21"/>
  <c r="J746" i="21" s="1"/>
  <c r="I747" i="21"/>
  <c r="J747" i="21" s="1"/>
  <c r="I755" i="21"/>
  <c r="J755" i="21" s="1"/>
  <c r="I756" i="21"/>
  <c r="J756" i="21" s="1"/>
  <c r="I751" i="21"/>
  <c r="J751" i="21" s="1"/>
  <c r="I752" i="21"/>
  <c r="J752" i="21" s="1"/>
  <c r="I776" i="21"/>
  <c r="J776" i="21" s="1"/>
  <c r="I757" i="21"/>
  <c r="J757" i="21" s="1"/>
  <c r="I758" i="21"/>
  <c r="J758" i="21" s="1"/>
  <c r="I759" i="21"/>
  <c r="J759" i="21" s="1"/>
  <c r="I750" i="21"/>
  <c r="J750" i="21" s="1"/>
  <c r="I772" i="21"/>
  <c r="J772" i="21" s="1"/>
  <c r="I754" i="21"/>
  <c r="J754" i="21" s="1"/>
  <c r="I775" i="21"/>
  <c r="J775" i="21" s="1"/>
  <c r="I753" i="21"/>
  <c r="J753" i="21" s="1"/>
  <c r="I762" i="21"/>
  <c r="J762" i="21" s="1"/>
  <c r="I766" i="21"/>
  <c r="J766" i="21" s="1"/>
  <c r="I767" i="21"/>
  <c r="J767" i="21" s="1"/>
  <c r="I770" i="21"/>
  <c r="J770" i="21" s="1"/>
  <c r="I763" i="21"/>
  <c r="J763" i="21" s="1"/>
  <c r="I764" i="21"/>
  <c r="J764" i="21" s="1"/>
  <c r="I760" i="21"/>
  <c r="J760" i="21" s="1"/>
  <c r="I761" i="21"/>
  <c r="J761" i="21" s="1"/>
  <c r="I765" i="21"/>
  <c r="J765" i="21" s="1"/>
  <c r="I771" i="21"/>
  <c r="J771" i="21" s="1"/>
  <c r="I768" i="21"/>
  <c r="J768" i="21" s="1"/>
  <c r="I769" i="21"/>
  <c r="J769" i="21" s="1"/>
  <c r="I800" i="21"/>
  <c r="J800" i="21" s="1"/>
  <c r="I801" i="21"/>
  <c r="J801" i="21" s="1"/>
  <c r="I773" i="21"/>
  <c r="J773" i="21" s="1"/>
  <c r="I774" i="21"/>
  <c r="J774" i="21" s="1"/>
  <c r="I777" i="21"/>
  <c r="J777" i="21" s="1"/>
  <c r="I778" i="21"/>
  <c r="J778" i="21" s="1"/>
  <c r="I779" i="21"/>
  <c r="J779" i="21" s="1"/>
  <c r="I780" i="21"/>
  <c r="J780" i="21" s="1"/>
  <c r="I781" i="21"/>
  <c r="J781" i="21" s="1"/>
  <c r="I782" i="21"/>
  <c r="J782" i="21" s="1"/>
  <c r="I783" i="21"/>
  <c r="J783" i="21" s="1"/>
  <c r="I784" i="21"/>
  <c r="J784" i="21" s="1"/>
  <c r="I785" i="21"/>
  <c r="J785" i="21" s="1"/>
  <c r="I786" i="21"/>
  <c r="J786" i="21" s="1"/>
  <c r="I787" i="21"/>
  <c r="J787" i="21" s="1"/>
  <c r="I789" i="21"/>
  <c r="J789" i="21" s="1"/>
  <c r="I788" i="21"/>
  <c r="J788" i="21" s="1"/>
  <c r="I803" i="21"/>
  <c r="J803" i="21" s="1"/>
  <c r="I790" i="21"/>
  <c r="J790" i="21" s="1"/>
  <c r="I791" i="21"/>
  <c r="J791" i="21" s="1"/>
  <c r="I792" i="21"/>
  <c r="J792" i="21" s="1"/>
  <c r="I793" i="21"/>
  <c r="J793" i="21" s="1"/>
  <c r="I794" i="21"/>
  <c r="J794" i="21" s="1"/>
  <c r="I795" i="21"/>
  <c r="J795" i="21" s="1"/>
  <c r="I796" i="21"/>
  <c r="J796" i="21" s="1"/>
  <c r="I797" i="21"/>
  <c r="J797" i="21" s="1"/>
  <c r="I798" i="21"/>
  <c r="J798" i="21" s="1"/>
  <c r="I799" i="21"/>
  <c r="J799" i="21" s="1"/>
  <c r="I811" i="21"/>
  <c r="J811" i="21" s="1"/>
  <c r="I802" i="21"/>
  <c r="J802" i="21" s="1"/>
  <c r="I804" i="21"/>
  <c r="J804" i="21" s="1"/>
  <c r="I807" i="21"/>
  <c r="J807" i="21" s="1"/>
  <c r="I805" i="21"/>
  <c r="J805" i="21" s="1"/>
  <c r="I813" i="21"/>
  <c r="J813" i="21" s="1"/>
  <c r="I814" i="21"/>
  <c r="J814" i="21" s="1"/>
  <c r="I808" i="21"/>
  <c r="J808" i="21" s="1"/>
  <c r="I809" i="21"/>
  <c r="J809" i="21" s="1"/>
  <c r="I806" i="21"/>
  <c r="J806" i="21" s="1"/>
  <c r="I810" i="21"/>
  <c r="J810" i="21" s="1"/>
  <c r="I812" i="21"/>
  <c r="J812" i="21" s="1"/>
  <c r="I815" i="21"/>
  <c r="J815" i="21" s="1"/>
  <c r="I817" i="21"/>
  <c r="J817" i="21" s="1"/>
  <c r="I816" i="21"/>
  <c r="J816" i="21" s="1"/>
  <c r="I818" i="21"/>
  <c r="J818" i="21" s="1"/>
  <c r="I819" i="21"/>
  <c r="J819" i="21" s="1"/>
  <c r="I820" i="21"/>
  <c r="J820" i="21" s="1"/>
  <c r="I821" i="21"/>
  <c r="J821" i="21" s="1"/>
  <c r="I822" i="21"/>
  <c r="J822" i="21" s="1"/>
  <c r="I863" i="21"/>
  <c r="J863" i="21" s="1"/>
  <c r="I823" i="21"/>
  <c r="J823" i="21" s="1"/>
  <c r="I824" i="21"/>
  <c r="J824" i="21" s="1"/>
  <c r="I827" i="21"/>
  <c r="J827" i="21" s="1"/>
  <c r="I828" i="21"/>
  <c r="J828" i="21" s="1"/>
  <c r="I829" i="21"/>
  <c r="J829" i="21" s="1"/>
  <c r="I825" i="21"/>
  <c r="J825" i="21" s="1"/>
  <c r="I826" i="21"/>
  <c r="J826" i="21" s="1"/>
  <c r="I830" i="21"/>
  <c r="J830" i="21" s="1"/>
  <c r="I831" i="21"/>
  <c r="J831" i="21" s="1"/>
  <c r="I832" i="21"/>
  <c r="J832" i="21" s="1"/>
  <c r="I833" i="21"/>
  <c r="J833" i="21" s="1"/>
  <c r="I834" i="21"/>
  <c r="J834" i="21" s="1"/>
  <c r="I835" i="21"/>
  <c r="J835" i="21" s="1"/>
  <c r="I836" i="21"/>
  <c r="J836" i="21" s="1"/>
  <c r="I837" i="21"/>
  <c r="J837" i="21" s="1"/>
  <c r="I838" i="21"/>
  <c r="J838" i="21" s="1"/>
  <c r="I839" i="21"/>
  <c r="J839" i="21" s="1"/>
  <c r="I840" i="21"/>
  <c r="J840" i="21" s="1"/>
  <c r="I841" i="21"/>
  <c r="J841" i="21" s="1"/>
  <c r="I852" i="21"/>
  <c r="J852" i="21" s="1"/>
  <c r="I843" i="21"/>
  <c r="J843" i="21" s="1"/>
  <c r="I856" i="21"/>
  <c r="J856" i="21" s="1"/>
  <c r="I844" i="21"/>
  <c r="J844" i="21" s="1"/>
  <c r="I845" i="21"/>
  <c r="J845" i="21" s="1"/>
  <c r="I846" i="21"/>
  <c r="J846" i="21" s="1"/>
  <c r="I850" i="21"/>
  <c r="J850" i="21" s="1"/>
  <c r="I851" i="21"/>
  <c r="J851" i="21" s="1"/>
  <c r="I842" i="21"/>
  <c r="J842" i="21" s="1"/>
  <c r="I847" i="21"/>
  <c r="J847" i="21" s="1"/>
  <c r="I848" i="21"/>
  <c r="J848" i="21" s="1"/>
  <c r="I849" i="21"/>
  <c r="J849" i="21" s="1"/>
  <c r="I855" i="21"/>
  <c r="J855" i="21" s="1"/>
  <c r="I853" i="21"/>
  <c r="J853" i="21" s="1"/>
  <c r="I862" i="21"/>
  <c r="J862" i="21" s="1"/>
  <c r="I854" i="21"/>
  <c r="J854" i="21" s="1"/>
  <c r="I857" i="21"/>
  <c r="J857" i="21" s="1"/>
  <c r="I858" i="21"/>
  <c r="J858" i="21" s="1"/>
  <c r="I864" i="21"/>
  <c r="J864" i="21" s="1"/>
  <c r="I865" i="21"/>
  <c r="J865" i="21" s="1"/>
  <c r="I859" i="21"/>
  <c r="J859" i="21" s="1"/>
  <c r="I860" i="21"/>
  <c r="J860" i="21" s="1"/>
  <c r="I861" i="21"/>
  <c r="J861" i="21" s="1"/>
  <c r="I868" i="21"/>
  <c r="J868" i="21" s="1"/>
  <c r="I869" i="21"/>
  <c r="J869" i="21" s="1"/>
  <c r="I870" i="21"/>
  <c r="J870" i="21" s="1"/>
  <c r="I871" i="21"/>
  <c r="J871" i="21" s="1"/>
  <c r="I866" i="21"/>
  <c r="J866" i="21" s="1"/>
  <c r="I872" i="21"/>
  <c r="J872" i="21" s="1"/>
  <c r="I873" i="21"/>
  <c r="J873" i="21" s="1"/>
  <c r="I882" i="21"/>
  <c r="J882" i="21" s="1"/>
  <c r="I883" i="21"/>
  <c r="J883" i="21" s="1"/>
  <c r="I867" i="21"/>
  <c r="J867" i="21" s="1"/>
  <c r="I874" i="21"/>
  <c r="J874" i="21" s="1"/>
  <c r="I875" i="21"/>
  <c r="J875" i="21" s="1"/>
  <c r="I881" i="21"/>
  <c r="J881" i="21" s="1"/>
  <c r="I876" i="21"/>
  <c r="J876" i="21" s="1"/>
  <c r="I877" i="21"/>
  <c r="J877" i="21" s="1"/>
  <c r="I878" i="21"/>
  <c r="J878" i="21" s="1"/>
  <c r="I879" i="21"/>
  <c r="J879" i="21" s="1"/>
  <c r="I880" i="21"/>
  <c r="J880" i="21" s="1"/>
  <c r="I628" i="21"/>
  <c r="J628" i="21" s="1"/>
  <c r="I645" i="21"/>
  <c r="J645" i="21" s="1"/>
  <c r="N603" i="19"/>
  <c r="N604" i="19"/>
  <c r="N605" i="19"/>
  <c r="N606" i="19"/>
  <c r="N607" i="19"/>
  <c r="N608" i="19"/>
  <c r="N609" i="19"/>
  <c r="N610" i="19"/>
  <c r="N611" i="19"/>
  <c r="N640" i="19"/>
  <c r="N641" i="19"/>
  <c r="N642" i="19"/>
  <c r="N739" i="19"/>
  <c r="N740" i="19"/>
  <c r="N741" i="19"/>
  <c r="N742" i="19"/>
  <c r="N743" i="19"/>
  <c r="N744" i="19"/>
  <c r="N745" i="19"/>
  <c r="N758" i="19"/>
  <c r="N778" i="19"/>
  <c r="N798" i="19"/>
  <c r="N799" i="19"/>
  <c r="N800" i="19"/>
  <c r="N856" i="19"/>
  <c r="N912" i="19"/>
  <c r="N913" i="19"/>
  <c r="N914" i="19"/>
  <c r="N930" i="19"/>
  <c r="N959" i="19"/>
  <c r="N960" i="19"/>
  <c r="N1165" i="19"/>
  <c r="O603" i="19"/>
  <c r="O604" i="19"/>
  <c r="O605" i="19"/>
  <c r="O606" i="19"/>
  <c r="O607" i="19"/>
  <c r="O608" i="19"/>
  <c r="O609" i="19"/>
  <c r="O610" i="19"/>
  <c r="O611" i="19"/>
  <c r="O640" i="19"/>
  <c r="O641" i="19"/>
  <c r="O642" i="19"/>
  <c r="O739" i="19"/>
  <c r="O740" i="19"/>
  <c r="O741" i="19"/>
  <c r="O742" i="19"/>
  <c r="O743" i="19"/>
  <c r="F30" i="24" s="1"/>
  <c r="O744" i="19"/>
  <c r="O745" i="19"/>
  <c r="O758" i="19"/>
  <c r="O778" i="19"/>
  <c r="O798" i="19"/>
  <c r="O799" i="19"/>
  <c r="O800" i="19"/>
  <c r="O856" i="19"/>
  <c r="O912" i="19"/>
  <c r="O913" i="19"/>
  <c r="O914" i="19"/>
  <c r="O930" i="19"/>
  <c r="O959" i="19"/>
  <c r="O960" i="19"/>
  <c r="O1165" i="19"/>
  <c r="P603" i="19"/>
  <c r="P604" i="19"/>
  <c r="P605" i="19"/>
  <c r="P606" i="19"/>
  <c r="P607" i="19"/>
  <c r="P608" i="19"/>
  <c r="P609" i="19"/>
  <c r="P610" i="19"/>
  <c r="P611" i="19"/>
  <c r="P640" i="19"/>
  <c r="P641" i="19"/>
  <c r="P642" i="19"/>
  <c r="P739" i="19"/>
  <c r="P740" i="19"/>
  <c r="P741" i="19"/>
  <c r="P742" i="19"/>
  <c r="P743" i="19"/>
  <c r="P744" i="19"/>
  <c r="P745" i="19"/>
  <c r="P758" i="19"/>
  <c r="P778" i="19"/>
  <c r="P798" i="19"/>
  <c r="P799" i="19"/>
  <c r="P800" i="19"/>
  <c r="P856" i="19"/>
  <c r="P912" i="19"/>
  <c r="P913" i="19"/>
  <c r="P914" i="19"/>
  <c r="P930" i="19"/>
  <c r="P959" i="19"/>
  <c r="P960" i="19"/>
  <c r="P1165" i="19"/>
  <c r="T603" i="19"/>
  <c r="T604" i="19"/>
  <c r="T605" i="19"/>
  <c r="T606" i="19"/>
  <c r="T607" i="19"/>
  <c r="T608" i="19"/>
  <c r="T609" i="19"/>
  <c r="T610" i="19"/>
  <c r="T611" i="19"/>
  <c r="T640" i="19"/>
  <c r="T641" i="19"/>
  <c r="T642" i="19"/>
  <c r="T739" i="19"/>
  <c r="T740" i="19"/>
  <c r="T741" i="19"/>
  <c r="T742" i="19"/>
  <c r="T743" i="19"/>
  <c r="T744" i="19"/>
  <c r="T745" i="19"/>
  <c r="T758" i="19"/>
  <c r="T778" i="19"/>
  <c r="T798" i="19"/>
  <c r="T799" i="19"/>
  <c r="T800" i="19"/>
  <c r="T856" i="19"/>
  <c r="T912" i="19"/>
  <c r="T913" i="19"/>
  <c r="T914" i="19"/>
  <c r="T930" i="19"/>
  <c r="T959" i="19"/>
  <c r="T960" i="19"/>
  <c r="T1165" i="19"/>
  <c r="W603" i="19"/>
  <c r="W604" i="19"/>
  <c r="W605" i="19"/>
  <c r="W606" i="19"/>
  <c r="W607" i="19"/>
  <c r="W608" i="19"/>
  <c r="W609" i="19"/>
  <c r="W610" i="19"/>
  <c r="W611" i="19"/>
  <c r="W640" i="19"/>
  <c r="W641" i="19"/>
  <c r="W642" i="19"/>
  <c r="W739" i="19"/>
  <c r="W740" i="19"/>
  <c r="W741" i="19"/>
  <c r="W742" i="19"/>
  <c r="W743" i="19"/>
  <c r="W744" i="19"/>
  <c r="W745" i="19"/>
  <c r="W758" i="19"/>
  <c r="W778" i="19"/>
  <c r="W798" i="19"/>
  <c r="W799" i="19"/>
  <c r="W800" i="19"/>
  <c r="W856" i="19"/>
  <c r="W912" i="19"/>
  <c r="W913" i="19"/>
  <c r="W914" i="19"/>
  <c r="W930" i="19"/>
  <c r="W959" i="19"/>
  <c r="W960" i="19"/>
  <c r="W1165" i="19"/>
  <c r="X603" i="19"/>
  <c r="X604" i="19"/>
  <c r="X605" i="19"/>
  <c r="X606" i="19"/>
  <c r="X607" i="19"/>
  <c r="X608" i="19"/>
  <c r="X609" i="19"/>
  <c r="X610" i="19"/>
  <c r="X611" i="19"/>
  <c r="X640" i="19"/>
  <c r="X641" i="19"/>
  <c r="X642" i="19"/>
  <c r="X739" i="19"/>
  <c r="X740" i="19"/>
  <c r="X741" i="19"/>
  <c r="X742" i="19"/>
  <c r="X743" i="19"/>
  <c r="X744" i="19"/>
  <c r="X745" i="19"/>
  <c r="X758" i="19"/>
  <c r="X778" i="19"/>
  <c r="X798" i="19"/>
  <c r="X799" i="19"/>
  <c r="X800" i="19"/>
  <c r="X856" i="19"/>
  <c r="X912" i="19"/>
  <c r="X913" i="19"/>
  <c r="X914" i="19"/>
  <c r="X930" i="19"/>
  <c r="X959" i="19"/>
  <c r="X960" i="19"/>
  <c r="X1165" i="19"/>
  <c r="X2" i="19"/>
  <c r="X43" i="19"/>
  <c r="X85" i="19"/>
  <c r="X86" i="19"/>
  <c r="X87" i="19"/>
  <c r="X88" i="19"/>
  <c r="X89" i="19"/>
  <c r="X90" i="19"/>
  <c r="X91" i="19"/>
  <c r="X173" i="19"/>
  <c r="X193" i="19"/>
  <c r="X194" i="19"/>
  <c r="X195" i="19"/>
  <c r="X196" i="19"/>
  <c r="X197" i="19"/>
  <c r="X202" i="19"/>
  <c r="X203" i="19"/>
  <c r="X230" i="19"/>
  <c r="X431" i="19"/>
  <c r="X502" i="19"/>
  <c r="X503" i="19"/>
  <c r="X504" i="19"/>
  <c r="X505" i="19"/>
  <c r="X3" i="19"/>
  <c r="X4" i="19"/>
  <c r="X13" i="19"/>
  <c r="X52" i="19"/>
  <c r="X10" i="19"/>
  <c r="X11" i="19"/>
  <c r="X5" i="19"/>
  <c r="X16" i="19"/>
  <c r="X59" i="19"/>
  <c r="X60" i="19"/>
  <c r="X6" i="19"/>
  <c r="X7" i="19"/>
  <c r="X8" i="19"/>
  <c r="X61" i="19"/>
  <c r="X22" i="19"/>
  <c r="X20" i="19"/>
  <c r="X14" i="19"/>
  <c r="X9" i="19"/>
  <c r="X15" i="19"/>
  <c r="X23" i="19"/>
  <c r="X17" i="19"/>
  <c r="X25" i="19"/>
  <c r="X21" i="19"/>
  <c r="X24" i="19"/>
  <c r="X34" i="19"/>
  <c r="X27" i="19"/>
  <c r="X28" i="19"/>
  <c r="X32" i="19"/>
  <c r="X110" i="19"/>
  <c r="X35" i="19"/>
  <c r="X29" i="19"/>
  <c r="X38" i="19"/>
  <c r="X45" i="19"/>
  <c r="X30" i="19"/>
  <c r="X31" i="19"/>
  <c r="X18" i="19"/>
  <c r="X19" i="19"/>
  <c r="X40" i="19"/>
  <c r="X41" i="19"/>
  <c r="X42" i="19"/>
  <c r="X39" i="19"/>
  <c r="X36" i="19"/>
  <c r="X51" i="19"/>
  <c r="X33" i="19"/>
  <c r="X37" i="19"/>
  <c r="X26" i="19"/>
  <c r="X46" i="19"/>
  <c r="X47" i="19"/>
  <c r="X48" i="19"/>
  <c r="X49" i="19"/>
  <c r="X44" i="19"/>
  <c r="X12" i="19"/>
  <c r="X53" i="19"/>
  <c r="X57" i="19"/>
  <c r="X55" i="19"/>
  <c r="X54" i="19"/>
  <c r="X58" i="19"/>
  <c r="X56" i="19"/>
  <c r="X65" i="19"/>
  <c r="X62" i="19"/>
  <c r="X64" i="19"/>
  <c r="X80" i="19"/>
  <c r="X63" i="19"/>
  <c r="X66" i="19"/>
  <c r="X67" i="19"/>
  <c r="X68" i="19"/>
  <c r="X137" i="19"/>
  <c r="X138" i="19"/>
  <c r="X139" i="19"/>
  <c r="X70" i="19"/>
  <c r="X69" i="19"/>
  <c r="X71" i="19"/>
  <c r="X72" i="19"/>
  <c r="X73" i="19"/>
  <c r="X74" i="19"/>
  <c r="X75" i="19"/>
  <c r="X76" i="19"/>
  <c r="X77" i="19"/>
  <c r="X78" i="19"/>
  <c r="X79" i="19"/>
  <c r="X82" i="19"/>
  <c r="X97" i="19"/>
  <c r="X92" i="19"/>
  <c r="X81" i="19"/>
  <c r="X83" i="19"/>
  <c r="X84" i="19"/>
  <c r="X117" i="19"/>
  <c r="X98" i="19"/>
  <c r="X128" i="19"/>
  <c r="X96" i="19"/>
  <c r="X94" i="19"/>
  <c r="X99" i="19"/>
  <c r="X95" i="19"/>
  <c r="X93" i="19"/>
  <c r="X114" i="19"/>
  <c r="X105" i="19"/>
  <c r="X100" i="19"/>
  <c r="X101" i="19"/>
  <c r="X102" i="19"/>
  <c r="X103" i="19"/>
  <c r="X104" i="19"/>
  <c r="X109" i="19"/>
  <c r="X106" i="19"/>
  <c r="X115" i="19"/>
  <c r="X107" i="19"/>
  <c r="X108" i="19"/>
  <c r="X113" i="19"/>
  <c r="X120" i="19"/>
  <c r="X118" i="19"/>
  <c r="X116" i="19"/>
  <c r="X112" i="19"/>
  <c r="X111" i="19"/>
  <c r="X121" i="19"/>
  <c r="X122" i="19"/>
  <c r="X119" i="19"/>
  <c r="X124" i="19"/>
  <c r="X126" i="19"/>
  <c r="X146" i="19"/>
  <c r="X50" i="19"/>
  <c r="X133" i="19"/>
  <c r="X134" i="19"/>
  <c r="X159" i="19"/>
  <c r="X160" i="19"/>
  <c r="X130" i="19"/>
  <c r="X135" i="19"/>
  <c r="X132" i="19"/>
  <c r="X129" i="19"/>
  <c r="X131" i="19"/>
  <c r="X164" i="19"/>
  <c r="X136" i="19"/>
  <c r="X140" i="19"/>
  <c r="X142" i="19"/>
  <c r="X143" i="19"/>
  <c r="X144" i="19"/>
  <c r="X141" i="19"/>
  <c r="X156" i="19"/>
  <c r="X147" i="19"/>
  <c r="X145" i="19"/>
  <c r="X152" i="19"/>
  <c r="X153" i="19"/>
  <c r="X150" i="19"/>
  <c r="X148" i="19"/>
  <c r="X149" i="19"/>
  <c r="X151" i="19"/>
  <c r="X157" i="19"/>
  <c r="X154" i="19"/>
  <c r="X155" i="19"/>
  <c r="X162" i="19"/>
  <c r="X158" i="19"/>
  <c r="X161" i="19"/>
  <c r="X165" i="19"/>
  <c r="X163" i="19"/>
  <c r="X166" i="19"/>
  <c r="X167" i="19"/>
  <c r="X168" i="19"/>
  <c r="X127" i="19"/>
  <c r="X172" i="19"/>
  <c r="X174" i="19"/>
  <c r="X188" i="19"/>
  <c r="X189" i="19"/>
  <c r="X256" i="19"/>
  <c r="X179" i="19"/>
  <c r="X175" i="19"/>
  <c r="X176" i="19"/>
  <c r="X177" i="19"/>
  <c r="X180" i="19"/>
  <c r="X181" i="19"/>
  <c r="X183" i="19"/>
  <c r="X182" i="19"/>
  <c r="X184" i="19"/>
  <c r="X185" i="19"/>
  <c r="X186" i="19"/>
  <c r="X187" i="19"/>
  <c r="X191" i="19"/>
  <c r="X190" i="19"/>
  <c r="X192" i="19"/>
  <c r="X178" i="19"/>
  <c r="X207" i="19"/>
  <c r="X201" i="19"/>
  <c r="X198" i="19"/>
  <c r="X199" i="19"/>
  <c r="X200" i="19"/>
  <c r="X240" i="19"/>
  <c r="X204" i="19"/>
  <c r="X205" i="19"/>
  <c r="X206" i="19"/>
  <c r="X208" i="19"/>
  <c r="X209" i="19"/>
  <c r="X246" i="19"/>
  <c r="X210" i="19"/>
  <c r="X211" i="19"/>
  <c r="X212" i="19"/>
  <c r="X214" i="19"/>
  <c r="X221" i="19"/>
  <c r="X213" i="19"/>
  <c r="X231" i="19"/>
  <c r="X219" i="19"/>
  <c r="X248" i="19"/>
  <c r="X226" i="19"/>
  <c r="X218" i="19"/>
  <c r="X220" i="19"/>
  <c r="X222" i="19"/>
  <c r="X223" i="19"/>
  <c r="X224" i="19"/>
  <c r="X225" i="19"/>
  <c r="X227" i="19"/>
  <c r="X229" i="19"/>
  <c r="X228" i="19"/>
  <c r="X234" i="19"/>
  <c r="X236" i="19"/>
  <c r="X232" i="19"/>
  <c r="X233" i="19"/>
  <c r="X235" i="19"/>
  <c r="X237" i="19"/>
  <c r="X239" i="19"/>
  <c r="X241" i="19"/>
  <c r="X243" i="19"/>
  <c r="X242" i="19"/>
  <c r="X250" i="19"/>
  <c r="X247" i="19"/>
  <c r="X245" i="19"/>
  <c r="X249" i="19"/>
  <c r="X255" i="19"/>
  <c r="X252" i="19"/>
  <c r="X251" i="19"/>
  <c r="X267" i="19"/>
  <c r="X268" i="19"/>
  <c r="X253" i="19"/>
  <c r="X254" i="19"/>
  <c r="X257" i="19"/>
  <c r="X263" i="19"/>
  <c r="X282" i="19"/>
  <c r="X258" i="19"/>
  <c r="X259" i="19"/>
  <c r="X269" i="19"/>
  <c r="X260" i="19"/>
  <c r="X261" i="19"/>
  <c r="X262" i="19"/>
  <c r="X270" i="19"/>
  <c r="X271" i="19"/>
  <c r="X264" i="19"/>
  <c r="X265" i="19"/>
  <c r="X266" i="19"/>
  <c r="X272" i="19"/>
  <c r="X273" i="19"/>
  <c r="X274" i="19"/>
  <c r="X275" i="19"/>
  <c r="X277" i="19"/>
  <c r="X283" i="19"/>
  <c r="X284" i="19"/>
  <c r="X293" i="19"/>
  <c r="X289" i="19"/>
  <c r="X287" i="19"/>
  <c r="X290" i="19"/>
  <c r="X291" i="19"/>
  <c r="X295" i="19"/>
  <c r="X292" i="19"/>
  <c r="X298" i="19"/>
  <c r="X294" i="19"/>
  <c r="X297" i="19"/>
  <c r="X296" i="19"/>
  <c r="X299" i="19"/>
  <c r="X300" i="19"/>
  <c r="X305" i="19"/>
  <c r="X301" i="19"/>
  <c r="X303" i="19"/>
  <c r="X302" i="19"/>
  <c r="X304" i="19"/>
  <c r="X307" i="19"/>
  <c r="X309" i="19"/>
  <c r="X308" i="19"/>
  <c r="X310" i="19"/>
  <c r="X311" i="19"/>
  <c r="X312" i="19"/>
  <c r="X288" i="19"/>
  <c r="X313" i="19"/>
  <c r="X314" i="19"/>
  <c r="X315" i="19"/>
  <c r="X316" i="19"/>
  <c r="X317" i="19"/>
  <c r="X318" i="19"/>
  <c r="X319" i="19"/>
  <c r="X321" i="19"/>
  <c r="X320" i="19"/>
  <c r="X322" i="19"/>
  <c r="X323" i="19"/>
  <c r="X324" i="19"/>
  <c r="X328" i="19"/>
  <c r="X325" i="19"/>
  <c r="X344" i="19"/>
  <c r="X326" i="19"/>
  <c r="X327" i="19"/>
  <c r="X330" i="19"/>
  <c r="X329" i="19"/>
  <c r="X331" i="19"/>
  <c r="X332" i="19"/>
  <c r="X343" i="19"/>
  <c r="X336" i="19"/>
  <c r="X337" i="19"/>
  <c r="X338" i="19"/>
  <c r="X339" i="19"/>
  <c r="X341" i="19"/>
  <c r="X340" i="19"/>
  <c r="X342" i="19"/>
  <c r="X345" i="19"/>
  <c r="X346" i="19"/>
  <c r="X123" i="19"/>
  <c r="X125" i="19"/>
  <c r="X169" i="19"/>
  <c r="X170" i="19"/>
  <c r="X171" i="19"/>
  <c r="X238" i="19"/>
  <c r="X244" i="19"/>
  <c r="X276" i="19"/>
  <c r="X306" i="19"/>
  <c r="X367" i="19"/>
  <c r="X348" i="19"/>
  <c r="X368" i="19"/>
  <c r="X374" i="19"/>
  <c r="X375" i="19"/>
  <c r="X349" i="19"/>
  <c r="X364" i="19"/>
  <c r="X352" i="19"/>
  <c r="X350" i="19"/>
  <c r="X351" i="19"/>
  <c r="X373" i="19"/>
  <c r="X354" i="19"/>
  <c r="X359" i="19"/>
  <c r="X353" i="19"/>
  <c r="X355" i="19"/>
  <c r="X360" i="19"/>
  <c r="X366" i="19"/>
  <c r="X362" i="19"/>
  <c r="X363" i="19"/>
  <c r="X370" i="19"/>
  <c r="X369" i="19"/>
  <c r="X365" i="19"/>
  <c r="X371" i="19"/>
  <c r="X372" i="19"/>
  <c r="X377" i="19"/>
  <c r="X361" i="19"/>
  <c r="X376" i="19"/>
  <c r="X390" i="19"/>
  <c r="X356" i="19"/>
  <c r="X381" i="19"/>
  <c r="X383" i="19"/>
  <c r="X384" i="19"/>
  <c r="X378" i="19"/>
  <c r="X380" i="19"/>
  <c r="X379" i="19"/>
  <c r="X394" i="19"/>
  <c r="X382" i="19"/>
  <c r="X388" i="19"/>
  <c r="X393" i="19"/>
  <c r="X385" i="19"/>
  <c r="X386" i="19"/>
  <c r="X387" i="19"/>
  <c r="X391" i="19"/>
  <c r="X392" i="19"/>
  <c r="X398" i="19"/>
  <c r="X399" i="19"/>
  <c r="X400" i="19"/>
  <c r="X389" i="19"/>
  <c r="X402" i="19"/>
  <c r="X404" i="19"/>
  <c r="X395" i="19"/>
  <c r="X396" i="19"/>
  <c r="X397" i="19"/>
  <c r="X403" i="19"/>
  <c r="X401" i="19"/>
  <c r="X405" i="19"/>
  <c r="X406" i="19"/>
  <c r="X407" i="19"/>
  <c r="X408" i="19"/>
  <c r="X409" i="19"/>
  <c r="X410" i="19"/>
  <c r="X411" i="19"/>
  <c r="X412" i="19"/>
  <c r="X413" i="19"/>
  <c r="X414" i="19"/>
  <c r="X428" i="19"/>
  <c r="X429" i="19"/>
  <c r="X415" i="19"/>
  <c r="X417" i="19"/>
  <c r="X418" i="19"/>
  <c r="X419" i="19"/>
  <c r="X416" i="19"/>
  <c r="X423" i="19"/>
  <c r="X420" i="19"/>
  <c r="X424" i="19"/>
  <c r="X426" i="19"/>
  <c r="X425" i="19"/>
  <c r="X421" i="19"/>
  <c r="X422" i="19"/>
  <c r="X427" i="19"/>
  <c r="X430" i="19"/>
  <c r="X215" i="19"/>
  <c r="X216" i="19"/>
  <c r="X217" i="19"/>
  <c r="X278" i="19"/>
  <c r="X279" i="19"/>
  <c r="X280" i="19"/>
  <c r="X281" i="19"/>
  <c r="X285" i="19"/>
  <c r="X286" i="19"/>
  <c r="X333" i="19"/>
  <c r="X334" i="19"/>
  <c r="X335" i="19"/>
  <c r="X347" i="19"/>
  <c r="X357" i="19"/>
  <c r="X358" i="19"/>
  <c r="X534" i="19"/>
  <c r="X432" i="19"/>
  <c r="X538" i="19"/>
  <c r="X469" i="19"/>
  <c r="X544" i="19"/>
  <c r="X433" i="19"/>
  <c r="X434" i="19"/>
  <c r="X477" i="19"/>
  <c r="X441" i="19"/>
  <c r="X435" i="19"/>
  <c r="X436" i="19"/>
  <c r="X437" i="19"/>
  <c r="X458" i="19"/>
  <c r="X459" i="19"/>
  <c r="X442" i="19"/>
  <c r="X443" i="19"/>
  <c r="X445" i="19"/>
  <c r="X448" i="19"/>
  <c r="X444" i="19"/>
  <c r="X446" i="19"/>
  <c r="X447" i="19"/>
  <c r="X461" i="19"/>
  <c r="X463" i="19"/>
  <c r="X449" i="19"/>
  <c r="X450" i="19"/>
  <c r="X451" i="19"/>
  <c r="X491" i="19"/>
  <c r="X460" i="19"/>
  <c r="X454" i="19"/>
  <c r="X513" i="19"/>
  <c r="X453" i="19"/>
  <c r="X457" i="19"/>
  <c r="X452" i="19"/>
  <c r="X455" i="19"/>
  <c r="X456" i="19"/>
  <c r="X462" i="19"/>
  <c r="X464" i="19"/>
  <c r="X465" i="19"/>
  <c r="X470" i="19"/>
  <c r="X466" i="19"/>
  <c r="X467" i="19"/>
  <c r="X468" i="19"/>
  <c r="X570" i="19"/>
  <c r="X515" i="19"/>
  <c r="X549" i="19"/>
  <c r="X471" i="19"/>
  <c r="X483" i="19"/>
  <c r="X492" i="19"/>
  <c r="X493" i="19"/>
  <c r="X475" i="19"/>
  <c r="X473" i="19"/>
  <c r="X568" i="19"/>
  <c r="X480" i="19"/>
  <c r="X474" i="19"/>
  <c r="X472" i="19"/>
  <c r="X518" i="19"/>
  <c r="X476" i="19"/>
  <c r="X478" i="19"/>
  <c r="X479" i="19"/>
  <c r="X531" i="19"/>
  <c r="X487" i="19"/>
  <c r="X481" i="19"/>
  <c r="X482" i="19"/>
  <c r="X498" i="19"/>
  <c r="X488" i="19"/>
  <c r="X489" i="19"/>
  <c r="X484" i="19"/>
  <c r="X485" i="19"/>
  <c r="X486" i="19"/>
  <c r="X490" i="19"/>
  <c r="X495" i="19"/>
  <c r="X496" i="19"/>
  <c r="X494" i="19"/>
  <c r="X497" i="19"/>
  <c r="X499" i="19"/>
  <c r="X501" i="19"/>
  <c r="X511" i="19"/>
  <c r="X520" i="19"/>
  <c r="X521" i="19"/>
  <c r="X536" i="19"/>
  <c r="X516" i="19"/>
  <c r="X517" i="19"/>
  <c r="X512" i="19"/>
  <c r="X514" i="19"/>
  <c r="X551" i="19"/>
  <c r="X519" i="19"/>
  <c r="X523" i="19"/>
  <c r="X522" i="19"/>
  <c r="X527" i="19"/>
  <c r="X524" i="19"/>
  <c r="X525" i="19"/>
  <c r="X528" i="19"/>
  <c r="X529" i="19"/>
  <c r="X526" i="19"/>
  <c r="X576" i="19"/>
  <c r="X577" i="19"/>
  <c r="X506" i="19"/>
  <c r="X530" i="19"/>
  <c r="X532" i="19"/>
  <c r="X533" i="19"/>
  <c r="X535" i="19"/>
  <c r="X539" i="19"/>
  <c r="X537" i="19"/>
  <c r="X573" i="19"/>
  <c r="X545" i="19"/>
  <c r="X546" i="19"/>
  <c r="X540" i="19"/>
  <c r="X541" i="19"/>
  <c r="X542" i="19"/>
  <c r="X543" i="19"/>
  <c r="X550" i="19"/>
  <c r="X569" i="19"/>
  <c r="X547" i="19"/>
  <c r="X571" i="19"/>
  <c r="X548" i="19"/>
  <c r="X552" i="19"/>
  <c r="X553" i="19"/>
  <c r="X554" i="19"/>
  <c r="X555" i="19"/>
  <c r="X556" i="19"/>
  <c r="X557" i="19"/>
  <c r="X558" i="19"/>
  <c r="X559" i="19"/>
  <c r="X560" i="19"/>
  <c r="X561" i="19"/>
  <c r="X562" i="19"/>
  <c r="X563" i="19"/>
  <c r="X564" i="19"/>
  <c r="X565" i="19"/>
  <c r="X566" i="19"/>
  <c r="X567" i="19"/>
  <c r="X583" i="19"/>
  <c r="X586" i="19"/>
  <c r="X574" i="19"/>
  <c r="X594" i="19"/>
  <c r="X579" i="19"/>
  <c r="X572" i="19"/>
  <c r="X575" i="19"/>
  <c r="X578" i="19"/>
  <c r="X584" i="19"/>
  <c r="X580" i="19"/>
  <c r="X581" i="19"/>
  <c r="X582" i="19"/>
  <c r="X585" i="19"/>
  <c r="X587" i="19"/>
  <c r="X588" i="19"/>
  <c r="X590" i="19"/>
  <c r="X589" i="19"/>
  <c r="X591" i="19"/>
  <c r="X592" i="19"/>
  <c r="X593" i="19"/>
  <c r="X595" i="19"/>
  <c r="X596" i="19"/>
  <c r="X653" i="19"/>
  <c r="X654" i="19"/>
  <c r="X597" i="19"/>
  <c r="X598" i="19"/>
  <c r="X599" i="19"/>
  <c r="X600" i="19"/>
  <c r="X601" i="19"/>
  <c r="X602" i="19"/>
  <c r="X612" i="19"/>
  <c r="X634" i="19"/>
  <c r="X635" i="19"/>
  <c r="X616" i="19"/>
  <c r="X613" i="19"/>
  <c r="X617" i="19"/>
  <c r="X618" i="19"/>
  <c r="X619" i="19"/>
  <c r="X620" i="19"/>
  <c r="X614" i="19"/>
  <c r="X615" i="19"/>
  <c r="X625" i="19"/>
  <c r="X621" i="19"/>
  <c r="X622" i="19"/>
  <c r="X636" i="19"/>
  <c r="X623" i="19"/>
  <c r="X624" i="19"/>
  <c r="X626" i="19"/>
  <c r="X657" i="19"/>
  <c r="X627" i="19"/>
  <c r="X628" i="19"/>
  <c r="X629" i="19"/>
  <c r="X632" i="19"/>
  <c r="X633" i="19"/>
  <c r="X630" i="19"/>
  <c r="X631" i="19"/>
  <c r="X637" i="19"/>
  <c r="X643" i="19"/>
  <c r="X655" i="19"/>
  <c r="X671" i="19"/>
  <c r="X672" i="19"/>
  <c r="X648" i="19"/>
  <c r="X644" i="19"/>
  <c r="X645" i="19"/>
  <c r="X647" i="19"/>
  <c r="X646" i="19"/>
  <c r="X649" i="19"/>
  <c r="X651" i="19"/>
  <c r="X650" i="19"/>
  <c r="X652" i="19"/>
  <c r="X666" i="19"/>
  <c r="X667" i="19"/>
  <c r="X656" i="19"/>
  <c r="X658" i="19"/>
  <c r="X665" i="19"/>
  <c r="X659" i="19"/>
  <c r="X660" i="19"/>
  <c r="X661" i="19"/>
  <c r="X664" i="19"/>
  <c r="X662" i="19"/>
  <c r="X663" i="19"/>
  <c r="X673" i="19"/>
  <c r="X668" i="19"/>
  <c r="X669" i="19"/>
  <c r="X670" i="19"/>
  <c r="X638" i="19"/>
  <c r="X639" i="19"/>
  <c r="X675" i="19"/>
  <c r="X676" i="19"/>
  <c r="X438" i="19"/>
  <c r="X439" i="19"/>
  <c r="X440" i="19"/>
  <c r="X500" i="19"/>
  <c r="X507" i="19"/>
  <c r="X508" i="19"/>
  <c r="X509" i="19"/>
  <c r="X510" i="19"/>
  <c r="W2" i="19"/>
  <c r="W43" i="19"/>
  <c r="W85" i="19"/>
  <c r="W86" i="19"/>
  <c r="W87" i="19"/>
  <c r="W88" i="19"/>
  <c r="W89" i="19"/>
  <c r="W90" i="19"/>
  <c r="W91" i="19"/>
  <c r="W173" i="19"/>
  <c r="W193" i="19"/>
  <c r="W194" i="19"/>
  <c r="W195" i="19"/>
  <c r="W196" i="19"/>
  <c r="W197" i="19"/>
  <c r="W202" i="19"/>
  <c r="W203" i="19"/>
  <c r="W230" i="19"/>
  <c r="W431" i="19"/>
  <c r="W502" i="19"/>
  <c r="W503" i="19"/>
  <c r="W504" i="19"/>
  <c r="W505" i="19"/>
  <c r="W3" i="19"/>
  <c r="W4" i="19"/>
  <c r="W13" i="19"/>
  <c r="W52" i="19"/>
  <c r="W10" i="19"/>
  <c r="W11" i="19"/>
  <c r="W5" i="19"/>
  <c r="W16" i="19"/>
  <c r="W59" i="19"/>
  <c r="W60" i="19"/>
  <c r="W6" i="19"/>
  <c r="W7" i="19"/>
  <c r="W8" i="19"/>
  <c r="W61" i="19"/>
  <c r="W22" i="19"/>
  <c r="W20" i="19"/>
  <c r="W14" i="19"/>
  <c r="W9" i="19"/>
  <c r="W15" i="19"/>
  <c r="W23" i="19"/>
  <c r="W17" i="19"/>
  <c r="W25" i="19"/>
  <c r="W21" i="19"/>
  <c r="W24" i="19"/>
  <c r="W34" i="19"/>
  <c r="W27" i="19"/>
  <c r="W28" i="19"/>
  <c r="W32" i="19"/>
  <c r="W110" i="19"/>
  <c r="W35" i="19"/>
  <c r="W29" i="19"/>
  <c r="W38" i="19"/>
  <c r="W45" i="19"/>
  <c r="W30" i="19"/>
  <c r="W31" i="19"/>
  <c r="W18" i="19"/>
  <c r="W19" i="19"/>
  <c r="W40" i="19"/>
  <c r="W41" i="19"/>
  <c r="W42" i="19"/>
  <c r="W39" i="19"/>
  <c r="W36" i="19"/>
  <c r="W51" i="19"/>
  <c r="W33" i="19"/>
  <c r="W37" i="19"/>
  <c r="W26" i="19"/>
  <c r="W46" i="19"/>
  <c r="W47" i="19"/>
  <c r="W48" i="19"/>
  <c r="W49" i="19"/>
  <c r="W44" i="19"/>
  <c r="W12" i="19"/>
  <c r="W53" i="19"/>
  <c r="W57" i="19"/>
  <c r="W55" i="19"/>
  <c r="W54" i="19"/>
  <c r="W58" i="19"/>
  <c r="W56" i="19"/>
  <c r="W65" i="19"/>
  <c r="W62" i="19"/>
  <c r="W64" i="19"/>
  <c r="W80" i="19"/>
  <c r="W63" i="19"/>
  <c r="W66" i="19"/>
  <c r="W67" i="19"/>
  <c r="W68" i="19"/>
  <c r="W137" i="19"/>
  <c r="W138" i="19"/>
  <c r="W139" i="19"/>
  <c r="W70" i="19"/>
  <c r="W69" i="19"/>
  <c r="W71" i="19"/>
  <c r="W72" i="19"/>
  <c r="W73" i="19"/>
  <c r="W74" i="19"/>
  <c r="W75" i="19"/>
  <c r="W76" i="19"/>
  <c r="W77" i="19"/>
  <c r="W78" i="19"/>
  <c r="W79" i="19"/>
  <c r="W82" i="19"/>
  <c r="W97" i="19"/>
  <c r="W92" i="19"/>
  <c r="W81" i="19"/>
  <c r="W83" i="19"/>
  <c r="W84" i="19"/>
  <c r="W117" i="19"/>
  <c r="W98" i="19"/>
  <c r="W128" i="19"/>
  <c r="W96" i="19"/>
  <c r="W94" i="19"/>
  <c r="W99" i="19"/>
  <c r="W95" i="19"/>
  <c r="W93" i="19"/>
  <c r="W114" i="19"/>
  <c r="W105" i="19"/>
  <c r="W100" i="19"/>
  <c r="W101" i="19"/>
  <c r="W102" i="19"/>
  <c r="W103" i="19"/>
  <c r="W104" i="19"/>
  <c r="W109" i="19"/>
  <c r="W106" i="19"/>
  <c r="W115" i="19"/>
  <c r="W107" i="19"/>
  <c r="W108" i="19"/>
  <c r="W113" i="19"/>
  <c r="W120" i="19"/>
  <c r="W118" i="19"/>
  <c r="W116" i="19"/>
  <c r="W112" i="19"/>
  <c r="W111" i="19"/>
  <c r="W121" i="19"/>
  <c r="W122" i="19"/>
  <c r="W119" i="19"/>
  <c r="W124" i="19"/>
  <c r="W126" i="19"/>
  <c r="W146" i="19"/>
  <c r="W50" i="19"/>
  <c r="W133" i="19"/>
  <c r="W134" i="19"/>
  <c r="W159" i="19"/>
  <c r="W160" i="19"/>
  <c r="W130" i="19"/>
  <c r="W135" i="19"/>
  <c r="W132" i="19"/>
  <c r="W129" i="19"/>
  <c r="W131" i="19"/>
  <c r="W164" i="19"/>
  <c r="W136" i="19"/>
  <c r="W140" i="19"/>
  <c r="W142" i="19"/>
  <c r="W143" i="19"/>
  <c r="W144" i="19"/>
  <c r="W141" i="19"/>
  <c r="W156" i="19"/>
  <c r="W147" i="19"/>
  <c r="W145" i="19"/>
  <c r="W152" i="19"/>
  <c r="W153" i="19"/>
  <c r="W150" i="19"/>
  <c r="W148" i="19"/>
  <c r="W149" i="19"/>
  <c r="W151" i="19"/>
  <c r="W157" i="19"/>
  <c r="W154" i="19"/>
  <c r="W155" i="19"/>
  <c r="W162" i="19"/>
  <c r="W158" i="19"/>
  <c r="W161" i="19"/>
  <c r="W165" i="19"/>
  <c r="W163" i="19"/>
  <c r="W166" i="19"/>
  <c r="W167" i="19"/>
  <c r="W168" i="19"/>
  <c r="W127" i="19"/>
  <c r="W172" i="19"/>
  <c r="W174" i="19"/>
  <c r="W188" i="19"/>
  <c r="W189" i="19"/>
  <c r="W256" i="19"/>
  <c r="W179" i="19"/>
  <c r="W175" i="19"/>
  <c r="W176" i="19"/>
  <c r="W177" i="19"/>
  <c r="W180" i="19"/>
  <c r="W181" i="19"/>
  <c r="W183" i="19"/>
  <c r="W182" i="19"/>
  <c r="W184" i="19"/>
  <c r="W185" i="19"/>
  <c r="W186" i="19"/>
  <c r="W187" i="19"/>
  <c r="W191" i="19"/>
  <c r="W190" i="19"/>
  <c r="W192" i="19"/>
  <c r="W178" i="19"/>
  <c r="W207" i="19"/>
  <c r="W201" i="19"/>
  <c r="W198" i="19"/>
  <c r="W199" i="19"/>
  <c r="W200" i="19"/>
  <c r="W240" i="19"/>
  <c r="W204" i="19"/>
  <c r="W205" i="19"/>
  <c r="W206" i="19"/>
  <c r="W208" i="19"/>
  <c r="W209" i="19"/>
  <c r="W246" i="19"/>
  <c r="W210" i="19"/>
  <c r="W211" i="19"/>
  <c r="W212" i="19"/>
  <c r="W214" i="19"/>
  <c r="W221" i="19"/>
  <c r="W213" i="19"/>
  <c r="W231" i="19"/>
  <c r="W219" i="19"/>
  <c r="W248" i="19"/>
  <c r="W226" i="19"/>
  <c r="W218" i="19"/>
  <c r="W220" i="19"/>
  <c r="W222" i="19"/>
  <c r="W223" i="19"/>
  <c r="W224" i="19"/>
  <c r="W225" i="19"/>
  <c r="W227" i="19"/>
  <c r="W229" i="19"/>
  <c r="W228" i="19"/>
  <c r="W234" i="19"/>
  <c r="W236" i="19"/>
  <c r="W232" i="19"/>
  <c r="W233" i="19"/>
  <c r="W235" i="19"/>
  <c r="W237" i="19"/>
  <c r="W239" i="19"/>
  <c r="W241" i="19"/>
  <c r="W243" i="19"/>
  <c r="W242" i="19"/>
  <c r="W250" i="19"/>
  <c r="W247" i="19"/>
  <c r="W245" i="19"/>
  <c r="W249" i="19"/>
  <c r="W255" i="19"/>
  <c r="W252" i="19"/>
  <c r="W251" i="19"/>
  <c r="W267" i="19"/>
  <c r="W268" i="19"/>
  <c r="W253" i="19"/>
  <c r="W254" i="19"/>
  <c r="W257" i="19"/>
  <c r="W263" i="19"/>
  <c r="W282" i="19"/>
  <c r="W258" i="19"/>
  <c r="W259" i="19"/>
  <c r="W269" i="19"/>
  <c r="W260" i="19"/>
  <c r="W261" i="19"/>
  <c r="W262" i="19"/>
  <c r="W270" i="19"/>
  <c r="W271" i="19"/>
  <c r="W264" i="19"/>
  <c r="W265" i="19"/>
  <c r="W266" i="19"/>
  <c r="W272" i="19"/>
  <c r="W273" i="19"/>
  <c r="W274" i="19"/>
  <c r="W275" i="19"/>
  <c r="W277" i="19"/>
  <c r="W283" i="19"/>
  <c r="W284" i="19"/>
  <c r="W293" i="19"/>
  <c r="W289" i="19"/>
  <c r="W287" i="19"/>
  <c r="W290" i="19"/>
  <c r="W291" i="19"/>
  <c r="W295" i="19"/>
  <c r="W292" i="19"/>
  <c r="W298" i="19"/>
  <c r="W294" i="19"/>
  <c r="W297" i="19"/>
  <c r="W296" i="19"/>
  <c r="W299" i="19"/>
  <c r="W300" i="19"/>
  <c r="W305" i="19"/>
  <c r="W301" i="19"/>
  <c r="W303" i="19"/>
  <c r="W302" i="19"/>
  <c r="W304" i="19"/>
  <c r="W307" i="19"/>
  <c r="W309" i="19"/>
  <c r="W308" i="19"/>
  <c r="W310" i="19"/>
  <c r="W311" i="19"/>
  <c r="W312" i="19"/>
  <c r="W288" i="19"/>
  <c r="W313" i="19"/>
  <c r="W314" i="19"/>
  <c r="W315" i="19"/>
  <c r="W316" i="19"/>
  <c r="W317" i="19"/>
  <c r="W318" i="19"/>
  <c r="W319" i="19"/>
  <c r="W321" i="19"/>
  <c r="W320" i="19"/>
  <c r="W322" i="19"/>
  <c r="W323" i="19"/>
  <c r="W324" i="19"/>
  <c r="W328" i="19"/>
  <c r="W325" i="19"/>
  <c r="W344" i="19"/>
  <c r="W326" i="19"/>
  <c r="W327" i="19"/>
  <c r="W330" i="19"/>
  <c r="W329" i="19"/>
  <c r="W331" i="19"/>
  <c r="W332" i="19"/>
  <c r="W343" i="19"/>
  <c r="W336" i="19"/>
  <c r="W337" i="19"/>
  <c r="W338" i="19"/>
  <c r="W339" i="19"/>
  <c r="W341" i="19"/>
  <c r="W340" i="19"/>
  <c r="W342" i="19"/>
  <c r="W345" i="19"/>
  <c r="W346" i="19"/>
  <c r="W123" i="19"/>
  <c r="W125" i="19"/>
  <c r="W169" i="19"/>
  <c r="W170" i="19"/>
  <c r="W171" i="19"/>
  <c r="W238" i="19"/>
  <c r="W244" i="19"/>
  <c r="W276" i="19"/>
  <c r="W306" i="19"/>
  <c r="W367" i="19"/>
  <c r="W348" i="19"/>
  <c r="W368" i="19"/>
  <c r="W374" i="19"/>
  <c r="W375" i="19"/>
  <c r="W349" i="19"/>
  <c r="W364" i="19"/>
  <c r="W352" i="19"/>
  <c r="W350" i="19"/>
  <c r="W351" i="19"/>
  <c r="W373" i="19"/>
  <c r="W354" i="19"/>
  <c r="W359" i="19"/>
  <c r="W353" i="19"/>
  <c r="W355" i="19"/>
  <c r="W360" i="19"/>
  <c r="W366" i="19"/>
  <c r="W362" i="19"/>
  <c r="W363" i="19"/>
  <c r="W370" i="19"/>
  <c r="W369" i="19"/>
  <c r="W365" i="19"/>
  <c r="W371" i="19"/>
  <c r="W372" i="19"/>
  <c r="W377" i="19"/>
  <c r="W361" i="19"/>
  <c r="W376" i="19"/>
  <c r="W390" i="19"/>
  <c r="W356" i="19"/>
  <c r="W381" i="19"/>
  <c r="W383" i="19"/>
  <c r="W384" i="19"/>
  <c r="W378" i="19"/>
  <c r="W380" i="19"/>
  <c r="W379" i="19"/>
  <c r="W394" i="19"/>
  <c r="W382" i="19"/>
  <c r="W388" i="19"/>
  <c r="W393" i="19"/>
  <c r="W385" i="19"/>
  <c r="W386" i="19"/>
  <c r="W387" i="19"/>
  <c r="W391" i="19"/>
  <c r="W392" i="19"/>
  <c r="W398" i="19"/>
  <c r="W399" i="19"/>
  <c r="W400" i="19"/>
  <c r="W389" i="19"/>
  <c r="W402" i="19"/>
  <c r="W404" i="19"/>
  <c r="W395" i="19"/>
  <c r="W396" i="19"/>
  <c r="W397" i="19"/>
  <c r="W403" i="19"/>
  <c r="W401" i="19"/>
  <c r="W405" i="19"/>
  <c r="W406" i="19"/>
  <c r="W407" i="19"/>
  <c r="W408" i="19"/>
  <c r="W409" i="19"/>
  <c r="W410" i="19"/>
  <c r="W411" i="19"/>
  <c r="W412" i="19"/>
  <c r="W413" i="19"/>
  <c r="W414" i="19"/>
  <c r="W428" i="19"/>
  <c r="W429" i="19"/>
  <c r="W415" i="19"/>
  <c r="W417" i="19"/>
  <c r="W418" i="19"/>
  <c r="W419" i="19"/>
  <c r="W416" i="19"/>
  <c r="W423" i="19"/>
  <c r="W420" i="19"/>
  <c r="W424" i="19"/>
  <c r="W426" i="19"/>
  <c r="W425" i="19"/>
  <c r="W421" i="19"/>
  <c r="W422" i="19"/>
  <c r="W427" i="19"/>
  <c r="W430" i="19"/>
  <c r="W215" i="19"/>
  <c r="W216" i="19"/>
  <c r="W217" i="19"/>
  <c r="W278" i="19"/>
  <c r="W279" i="19"/>
  <c r="W280" i="19"/>
  <c r="W281" i="19"/>
  <c r="W285" i="19"/>
  <c r="W286" i="19"/>
  <c r="W333" i="19"/>
  <c r="W334" i="19"/>
  <c r="W335" i="19"/>
  <c r="W347" i="19"/>
  <c r="W357" i="19"/>
  <c r="W358" i="19"/>
  <c r="W534" i="19"/>
  <c r="W432" i="19"/>
  <c r="W538" i="19"/>
  <c r="W469" i="19"/>
  <c r="W544" i="19"/>
  <c r="W433" i="19"/>
  <c r="W434" i="19"/>
  <c r="W477" i="19"/>
  <c r="W441" i="19"/>
  <c r="W435" i="19"/>
  <c r="W436" i="19"/>
  <c r="W437" i="19"/>
  <c r="W458" i="19"/>
  <c r="W459" i="19"/>
  <c r="W442" i="19"/>
  <c r="W443" i="19"/>
  <c r="W445" i="19"/>
  <c r="W448" i="19"/>
  <c r="W444" i="19"/>
  <c r="W446" i="19"/>
  <c r="W447" i="19"/>
  <c r="W461" i="19"/>
  <c r="W463" i="19"/>
  <c r="W449" i="19"/>
  <c r="W450" i="19"/>
  <c r="W451" i="19"/>
  <c r="W491" i="19"/>
  <c r="W460" i="19"/>
  <c r="W454" i="19"/>
  <c r="W513" i="19"/>
  <c r="W453" i="19"/>
  <c r="W457" i="19"/>
  <c r="W452" i="19"/>
  <c r="W455" i="19"/>
  <c r="W456" i="19"/>
  <c r="W462" i="19"/>
  <c r="W464" i="19"/>
  <c r="W465" i="19"/>
  <c r="W470" i="19"/>
  <c r="W466" i="19"/>
  <c r="W467" i="19"/>
  <c r="W468" i="19"/>
  <c r="W570" i="19"/>
  <c r="W515" i="19"/>
  <c r="W549" i="19"/>
  <c r="W471" i="19"/>
  <c r="W483" i="19"/>
  <c r="W492" i="19"/>
  <c r="W493" i="19"/>
  <c r="W475" i="19"/>
  <c r="W473" i="19"/>
  <c r="W568" i="19"/>
  <c r="W480" i="19"/>
  <c r="W474" i="19"/>
  <c r="W472" i="19"/>
  <c r="W518" i="19"/>
  <c r="W476" i="19"/>
  <c r="W478" i="19"/>
  <c r="W479" i="19"/>
  <c r="W531" i="19"/>
  <c r="W487" i="19"/>
  <c r="W481" i="19"/>
  <c r="W482" i="19"/>
  <c r="W498" i="19"/>
  <c r="W488" i="19"/>
  <c r="W489" i="19"/>
  <c r="W484" i="19"/>
  <c r="W485" i="19"/>
  <c r="W486" i="19"/>
  <c r="W490" i="19"/>
  <c r="W495" i="19"/>
  <c r="W496" i="19"/>
  <c r="W494" i="19"/>
  <c r="W497" i="19"/>
  <c r="W499" i="19"/>
  <c r="W501" i="19"/>
  <c r="W511" i="19"/>
  <c r="W520" i="19"/>
  <c r="W521" i="19"/>
  <c r="W536" i="19"/>
  <c r="W516" i="19"/>
  <c r="W517" i="19"/>
  <c r="W512" i="19"/>
  <c r="W514" i="19"/>
  <c r="W551" i="19"/>
  <c r="W519" i="19"/>
  <c r="W523" i="19"/>
  <c r="W522" i="19"/>
  <c r="W527" i="19"/>
  <c r="W524" i="19"/>
  <c r="W525" i="19"/>
  <c r="W528" i="19"/>
  <c r="W529" i="19"/>
  <c r="W526" i="19"/>
  <c r="W576" i="19"/>
  <c r="W577" i="19"/>
  <c r="W506" i="19"/>
  <c r="W530" i="19"/>
  <c r="W532" i="19"/>
  <c r="W533" i="19"/>
  <c r="W535" i="19"/>
  <c r="W539" i="19"/>
  <c r="W537" i="19"/>
  <c r="W573" i="19"/>
  <c r="W545" i="19"/>
  <c r="W546" i="19"/>
  <c r="W540" i="19"/>
  <c r="W541" i="19"/>
  <c r="W542" i="19"/>
  <c r="W543" i="19"/>
  <c r="W550" i="19"/>
  <c r="W569" i="19"/>
  <c r="W547" i="19"/>
  <c r="W571" i="19"/>
  <c r="W548" i="19"/>
  <c r="W552" i="19"/>
  <c r="W553" i="19"/>
  <c r="W554" i="19"/>
  <c r="W555" i="19"/>
  <c r="W556" i="19"/>
  <c r="W557" i="19"/>
  <c r="W558" i="19"/>
  <c r="W559" i="19"/>
  <c r="W560" i="19"/>
  <c r="W561" i="19"/>
  <c r="W562" i="19"/>
  <c r="W563" i="19"/>
  <c r="W564" i="19"/>
  <c r="W565" i="19"/>
  <c r="W566" i="19"/>
  <c r="W567" i="19"/>
  <c r="W583" i="19"/>
  <c r="W586" i="19"/>
  <c r="W574" i="19"/>
  <c r="W594" i="19"/>
  <c r="W579" i="19"/>
  <c r="W572" i="19"/>
  <c r="W575" i="19"/>
  <c r="W578" i="19"/>
  <c r="W584" i="19"/>
  <c r="W580" i="19"/>
  <c r="W581" i="19"/>
  <c r="W582" i="19"/>
  <c r="W585" i="19"/>
  <c r="W587" i="19"/>
  <c r="W588" i="19"/>
  <c r="W590" i="19"/>
  <c r="W589" i="19"/>
  <c r="W591" i="19"/>
  <c r="W592" i="19"/>
  <c r="W593" i="19"/>
  <c r="W595" i="19"/>
  <c r="W596" i="19"/>
  <c r="W653" i="19"/>
  <c r="W654" i="19"/>
  <c r="W597" i="19"/>
  <c r="W598" i="19"/>
  <c r="W599" i="19"/>
  <c r="W600" i="19"/>
  <c r="W601" i="19"/>
  <c r="W602" i="19"/>
  <c r="W612" i="19"/>
  <c r="W634" i="19"/>
  <c r="W635" i="19"/>
  <c r="W616" i="19"/>
  <c r="W613" i="19"/>
  <c r="W617" i="19"/>
  <c r="W618" i="19"/>
  <c r="W619" i="19"/>
  <c r="W620" i="19"/>
  <c r="W614" i="19"/>
  <c r="W615" i="19"/>
  <c r="W625" i="19"/>
  <c r="W621" i="19"/>
  <c r="W622" i="19"/>
  <c r="W636" i="19"/>
  <c r="W623" i="19"/>
  <c r="W624" i="19"/>
  <c r="W626" i="19"/>
  <c r="W657" i="19"/>
  <c r="W627" i="19"/>
  <c r="W628" i="19"/>
  <c r="W629" i="19"/>
  <c r="W632" i="19"/>
  <c r="W633" i="19"/>
  <c r="W630" i="19"/>
  <c r="W631" i="19"/>
  <c r="W637" i="19"/>
  <c r="W643" i="19"/>
  <c r="W655" i="19"/>
  <c r="W671" i="19"/>
  <c r="W672" i="19"/>
  <c r="W648" i="19"/>
  <c r="W644" i="19"/>
  <c r="W645" i="19"/>
  <c r="W647" i="19"/>
  <c r="W646" i="19"/>
  <c r="W649" i="19"/>
  <c r="W651" i="19"/>
  <c r="W650" i="19"/>
  <c r="W652" i="19"/>
  <c r="W666" i="19"/>
  <c r="W667" i="19"/>
  <c r="W656" i="19"/>
  <c r="W658" i="19"/>
  <c r="W665" i="19"/>
  <c r="W659" i="19"/>
  <c r="W660" i="19"/>
  <c r="W661" i="19"/>
  <c r="W664" i="19"/>
  <c r="W662" i="19"/>
  <c r="W663" i="19"/>
  <c r="W673" i="19"/>
  <c r="W668" i="19"/>
  <c r="W669" i="19"/>
  <c r="W670" i="19"/>
  <c r="W638" i="19"/>
  <c r="W639" i="19"/>
  <c r="W675" i="19"/>
  <c r="W676" i="19"/>
  <c r="W438" i="19"/>
  <c r="W439" i="19"/>
  <c r="W440" i="19"/>
  <c r="W500" i="19"/>
  <c r="W507" i="19"/>
  <c r="W508" i="19"/>
  <c r="W509" i="19"/>
  <c r="W510" i="19"/>
  <c r="I143" i="22" l="1"/>
  <c r="J157" i="22"/>
  <c r="J142" i="22"/>
  <c r="J145" i="22"/>
  <c r="J2002" i="21"/>
  <c r="Q1837" i="21"/>
  <c r="M1713" i="21"/>
  <c r="J1757" i="21"/>
  <c r="Q1949" i="21"/>
  <c r="J1749" i="21"/>
  <c r="J1829" i="21"/>
  <c r="J1805" i="21"/>
  <c r="Q1873" i="21"/>
  <c r="J1857" i="21"/>
  <c r="J1937" i="21"/>
  <c r="J1793" i="21"/>
  <c r="F8" i="24"/>
  <c r="Q1799" i="21"/>
  <c r="Q1798" i="21"/>
  <c r="J160" i="22"/>
  <c r="J153" i="22"/>
  <c r="J146" i="22"/>
  <c r="I156" i="22"/>
  <c r="I144" i="22"/>
  <c r="J159" i="22"/>
  <c r="I140" i="22"/>
  <c r="J148" i="22"/>
  <c r="J1966" i="21"/>
  <c r="J1983" i="21"/>
  <c r="Q2007" i="21"/>
  <c r="J1990" i="21"/>
  <c r="J1959" i="21"/>
  <c r="J1871" i="21"/>
  <c r="L1711" i="21"/>
  <c r="D34" i="24"/>
  <c r="E34" i="24"/>
  <c r="F34" i="24"/>
  <c r="L5" i="24"/>
  <c r="K5" i="24"/>
  <c r="N5" i="24"/>
  <c r="D20" i="24"/>
  <c r="D19" i="24"/>
  <c r="D26" i="24"/>
  <c r="E19" i="24"/>
  <c r="E26" i="24"/>
  <c r="E20" i="24"/>
  <c r="F26" i="24"/>
  <c r="F19" i="24"/>
  <c r="F20" i="24"/>
  <c r="F11" i="24"/>
  <c r="Q1987" i="21"/>
  <c r="Q1769" i="21"/>
  <c r="Q1739" i="21"/>
  <c r="Q1747" i="21"/>
  <c r="J1963" i="21"/>
  <c r="E30" i="24"/>
  <c r="D30" i="24"/>
  <c r="D8" i="24"/>
  <c r="E8" i="24"/>
  <c r="D11" i="24"/>
  <c r="E11" i="24"/>
  <c r="D12" i="24"/>
  <c r="E12" i="24"/>
  <c r="M1712" i="21"/>
  <c r="J1975" i="21"/>
  <c r="Q1780" i="21"/>
  <c r="M1715" i="21"/>
  <c r="J147" i="22"/>
  <c r="I154" i="22"/>
  <c r="I5" i="24"/>
  <c r="J1971" i="21"/>
  <c r="H5" i="24"/>
  <c r="M5" i="24"/>
  <c r="L1714" i="21"/>
  <c r="J141" i="22"/>
  <c r="J155" i="22"/>
  <c r="J5" i="24"/>
  <c r="J1999" i="21"/>
  <c r="J1995" i="21"/>
  <c r="J151" i="22"/>
  <c r="J149" i="22"/>
  <c r="J152" i="22"/>
  <c r="J150" i="22"/>
  <c r="J161" i="22"/>
  <c r="J1854" i="21"/>
  <c r="Q1734" i="21"/>
  <c r="J2008" i="21"/>
  <c r="J2001" i="21"/>
  <c r="J1984" i="21"/>
  <c r="J1977" i="21"/>
  <c r="J1960" i="21"/>
  <c r="J1817" i="21"/>
  <c r="J1807" i="21"/>
  <c r="J2005" i="21"/>
  <c r="J1981" i="21"/>
  <c r="J1935" i="21"/>
  <c r="J1878" i="21"/>
  <c r="J1801" i="21"/>
  <c r="Q1770" i="21"/>
  <c r="Q1744" i="21"/>
  <c r="Q1725" i="21"/>
  <c r="J1996" i="21"/>
  <c r="J1989" i="21"/>
  <c r="J1972" i="21"/>
  <c r="J1965" i="21"/>
  <c r="J1955" i="21"/>
  <c r="J1862" i="21"/>
  <c r="J1835" i="21"/>
  <c r="J1812" i="21"/>
  <c r="J1802" i="21"/>
  <c r="Q1774" i="21"/>
  <c r="Q1745" i="21"/>
  <c r="J1869" i="21"/>
  <c r="J1845" i="21"/>
  <c r="J1809" i="21"/>
  <c r="J1993" i="21"/>
  <c r="J1969" i="21"/>
  <c r="J1943" i="21"/>
  <c r="J1876" i="21"/>
  <c r="J1866" i="21"/>
  <c r="J1859" i="21"/>
  <c r="J1849" i="21"/>
  <c r="J1842" i="21"/>
  <c r="J1826" i="21"/>
  <c r="J1813" i="21"/>
  <c r="Q1765" i="21"/>
  <c r="Q1727" i="21"/>
  <c r="J1860" i="21"/>
  <c r="J1853" i="21"/>
  <c r="J1833" i="21"/>
  <c r="J1823" i="21"/>
  <c r="Q1750" i="21"/>
  <c r="J2006" i="21"/>
  <c r="J2000" i="21"/>
  <c r="J1994" i="21"/>
  <c r="J1988" i="21"/>
  <c r="J1982" i="21"/>
  <c r="J1976" i="21"/>
  <c r="J1970" i="21"/>
  <c r="J1964" i="21"/>
  <c r="J1939" i="21"/>
  <c r="J1872" i="21"/>
  <c r="J1945" i="21"/>
  <c r="J1838" i="21"/>
  <c r="J1818" i="21"/>
  <c r="J1874" i="21"/>
  <c r="Q1751" i="21"/>
  <c r="Q1726" i="21"/>
  <c r="Q1721" i="21"/>
  <c r="J1941" i="21"/>
  <c r="J1814" i="21"/>
  <c r="J1803" i="21"/>
  <c r="Q1794" i="21"/>
  <c r="Q1789" i="21"/>
  <c r="Q1756" i="21"/>
  <c r="Q1746" i="21"/>
  <c r="Q1741" i="21"/>
  <c r="J2003" i="21"/>
  <c r="J1997" i="21"/>
  <c r="J1991" i="21"/>
  <c r="J1985" i="21"/>
  <c r="J1979" i="21"/>
  <c r="J1973" i="21"/>
  <c r="J1967" i="21"/>
  <c r="J1961" i="21"/>
  <c r="J1951" i="21"/>
  <c r="J1804" i="21"/>
  <c r="J2004" i="21"/>
  <c r="J1998" i="21"/>
  <c r="J1992" i="21"/>
  <c r="J1986" i="21"/>
  <c r="J1980" i="21"/>
  <c r="J1974" i="21"/>
  <c r="J1968" i="21"/>
  <c r="J1962" i="21"/>
  <c r="J1947" i="21"/>
  <c r="J1870" i="21"/>
  <c r="J1865" i="21"/>
  <c r="J1850" i="21"/>
  <c r="J1830" i="21"/>
  <c r="J1825" i="21"/>
  <c r="Q1781" i="21"/>
  <c r="Q1762" i="21"/>
  <c r="Q1737" i="21"/>
  <c r="Q1732" i="21"/>
  <c r="J1957" i="21"/>
  <c r="J1933" i="21"/>
  <c r="Q1786" i="21"/>
  <c r="Q1758" i="21"/>
  <c r="Q1753" i="21"/>
  <c r="Q1723" i="21"/>
  <c r="Q1782" i="21"/>
  <c r="Q1777" i="21"/>
  <c r="Q1763" i="21"/>
  <c r="Q1738" i="21"/>
  <c r="Q1733" i="21"/>
  <c r="J1953" i="21"/>
  <c r="J1877" i="21"/>
  <c r="J1861" i="21"/>
  <c r="J1841" i="21"/>
  <c r="J1836" i="21"/>
  <c r="J1821" i="21"/>
  <c r="J1811" i="21"/>
  <c r="J1806" i="21"/>
  <c r="Q1768" i="21"/>
  <c r="Q1915" i="21"/>
  <c r="J1915" i="21"/>
  <c r="Q1903" i="21"/>
  <c r="J1903" i="21"/>
  <c r="Q1808" i="21"/>
  <c r="J1808" i="21"/>
  <c r="J1958" i="21"/>
  <c r="J1946" i="21"/>
  <c r="J1934" i="21"/>
  <c r="Q1868" i="21"/>
  <c r="J1868" i="21"/>
  <c r="Q1891" i="21"/>
  <c r="J1891" i="21"/>
  <c r="J1717" i="21"/>
  <c r="Q1717" i="21"/>
  <c r="J1948" i="21"/>
  <c r="J1936" i="21"/>
  <c r="Q1928" i="21"/>
  <c r="J1928" i="21"/>
  <c r="Q1922" i="21"/>
  <c r="J1922" i="21"/>
  <c r="Q1916" i="21"/>
  <c r="J1916" i="21"/>
  <c r="Q1910" i="21"/>
  <c r="J1910" i="21"/>
  <c r="Q1904" i="21"/>
  <c r="J1904" i="21"/>
  <c r="Q1898" i="21"/>
  <c r="J1898" i="21"/>
  <c r="Q1892" i="21"/>
  <c r="J1892" i="21"/>
  <c r="Q1886" i="21"/>
  <c r="J1886" i="21"/>
  <c r="Q1880" i="21"/>
  <c r="J1880" i="21"/>
  <c r="Q1852" i="21"/>
  <c r="J1852" i="21"/>
  <c r="J1950" i="21"/>
  <c r="J1938" i="21"/>
  <c r="Q1844" i="21"/>
  <c r="J1844" i="21"/>
  <c r="Q1929" i="21"/>
  <c r="J1929" i="21"/>
  <c r="Q1923" i="21"/>
  <c r="J1923" i="21"/>
  <c r="Q1917" i="21"/>
  <c r="J1917" i="21"/>
  <c r="Q1911" i="21"/>
  <c r="J1911" i="21"/>
  <c r="Q1905" i="21"/>
  <c r="J1905" i="21"/>
  <c r="Q1899" i="21"/>
  <c r="J1899" i="21"/>
  <c r="Q1893" i="21"/>
  <c r="J1893" i="21"/>
  <c r="Q1887" i="21"/>
  <c r="J1887" i="21"/>
  <c r="Q1881" i="21"/>
  <c r="J1881" i="21"/>
  <c r="Q1921" i="21"/>
  <c r="J1921" i="21"/>
  <c r="J1952" i="21"/>
  <c r="J1940" i="21"/>
  <c r="Q1820" i="21"/>
  <c r="J1820" i="21"/>
  <c r="Q1909" i="21"/>
  <c r="J1909" i="21"/>
  <c r="Q1897" i="21"/>
  <c r="J1897" i="21"/>
  <c r="Q1930" i="21"/>
  <c r="J1930" i="21"/>
  <c r="Q1924" i="21"/>
  <c r="J1924" i="21"/>
  <c r="Q1918" i="21"/>
  <c r="J1918" i="21"/>
  <c r="Q1912" i="21"/>
  <c r="J1912" i="21"/>
  <c r="Q1906" i="21"/>
  <c r="J1906" i="21"/>
  <c r="Q1900" i="21"/>
  <c r="J1900" i="21"/>
  <c r="Q1894" i="21"/>
  <c r="J1894" i="21"/>
  <c r="Q1888" i="21"/>
  <c r="J1888" i="21"/>
  <c r="Q1882" i="21"/>
  <c r="J1882" i="21"/>
  <c r="J1954" i="21"/>
  <c r="J1942" i="21"/>
  <c r="Q1875" i="21"/>
  <c r="J1875" i="21"/>
  <c r="Q1931" i="21"/>
  <c r="J1931" i="21"/>
  <c r="Q1925" i="21"/>
  <c r="J1925" i="21"/>
  <c r="Q1919" i="21"/>
  <c r="J1919" i="21"/>
  <c r="Q1913" i="21"/>
  <c r="J1913" i="21"/>
  <c r="Q1907" i="21"/>
  <c r="J1907" i="21"/>
  <c r="Q1901" i="21"/>
  <c r="J1901" i="21"/>
  <c r="Q1895" i="21"/>
  <c r="J1895" i="21"/>
  <c r="Q1889" i="21"/>
  <c r="J1889" i="21"/>
  <c r="Q1883" i="21"/>
  <c r="J1883" i="21"/>
  <c r="Q1856" i="21"/>
  <c r="J1856" i="21"/>
  <c r="J1956" i="21"/>
  <c r="J1944" i="21"/>
  <c r="J1932" i="21"/>
  <c r="Q1927" i="21"/>
  <c r="J1927" i="21"/>
  <c r="Q1885" i="21"/>
  <c r="J1885" i="21"/>
  <c r="Q1926" i="21"/>
  <c r="J1926" i="21"/>
  <c r="Q1920" i="21"/>
  <c r="J1920" i="21"/>
  <c r="Q1914" i="21"/>
  <c r="J1914" i="21"/>
  <c r="Q1908" i="21"/>
  <c r="J1908" i="21"/>
  <c r="Q1902" i="21"/>
  <c r="J1902" i="21"/>
  <c r="Q1896" i="21"/>
  <c r="J1896" i="21"/>
  <c r="Q1890" i="21"/>
  <c r="J1890" i="21"/>
  <c r="Q1884" i="21"/>
  <c r="J1884" i="21"/>
  <c r="J1858" i="21"/>
  <c r="Q1832" i="21"/>
  <c r="J1832" i="21"/>
  <c r="J1846" i="21"/>
  <c r="J1834" i="21"/>
  <c r="J1822" i="21"/>
  <c r="J1810" i="21"/>
  <c r="J1752" i="21"/>
  <c r="Q1752" i="21"/>
  <c r="J1776" i="21"/>
  <c r="Q1776" i="21"/>
  <c r="J1800" i="21"/>
  <c r="Q1800" i="21"/>
  <c r="J1728" i="21"/>
  <c r="Q1728" i="21"/>
  <c r="J1863" i="21"/>
  <c r="J1851" i="21"/>
  <c r="J1839" i="21"/>
  <c r="J1827" i="21"/>
  <c r="J1815" i="21"/>
  <c r="J1840" i="21"/>
  <c r="J1828" i="21"/>
  <c r="J1816" i="21"/>
  <c r="J1764" i="21"/>
  <c r="Q1764" i="21"/>
  <c r="J1879" i="21"/>
  <c r="J1867" i="21"/>
  <c r="J1855" i="21"/>
  <c r="J1843" i="21"/>
  <c r="J1831" i="21"/>
  <c r="J1819" i="21"/>
  <c r="J1788" i="21"/>
  <c r="Q1788" i="21"/>
  <c r="J1740" i="21"/>
  <c r="Q1740" i="21"/>
  <c r="Q1722" i="21"/>
  <c r="Q1795" i="21"/>
  <c r="Q1783" i="21"/>
  <c r="Q1771" i="21"/>
  <c r="Q1759" i="21"/>
  <c r="Q1735" i="21"/>
  <c r="Q1796" i="21"/>
  <c r="Q1784" i="21"/>
  <c r="Q1772" i="21"/>
  <c r="Q1760" i="21"/>
  <c r="Q1748" i="21"/>
  <c r="Q1736" i="21"/>
  <c r="Q1724" i="21"/>
  <c r="Q1797" i="21"/>
  <c r="Q1785" i="21"/>
  <c r="Q1773" i="21"/>
  <c r="Q1761" i="21"/>
  <c r="Q1787" i="21"/>
  <c r="Q1775" i="21"/>
  <c r="Q1729" i="21"/>
  <c r="Q1790" i="21"/>
  <c r="Q1778" i="21"/>
  <c r="Q1766" i="21"/>
  <c r="Q1754" i="21"/>
  <c r="Q1742" i="21"/>
  <c r="Q1730" i="21"/>
  <c r="Q1718" i="21"/>
  <c r="Q1791" i="21"/>
  <c r="Q1779" i="21"/>
  <c r="Q1767" i="21"/>
  <c r="Q1755" i="21"/>
  <c r="Q1743" i="21"/>
  <c r="Q1731" i="21"/>
  <c r="Q1719" i="21"/>
  <c r="Q1716" i="21"/>
  <c r="Q1715" i="21"/>
  <c r="J1711" i="21"/>
  <c r="J1714" i="21"/>
  <c r="J1713" i="21"/>
  <c r="J1712" i="21"/>
  <c r="J1706" i="21"/>
  <c r="P1694" i="21"/>
  <c r="P1682" i="21"/>
  <c r="P1701" i="21"/>
  <c r="J1674" i="21"/>
  <c r="P1689" i="21"/>
  <c r="P1677" i="21"/>
  <c r="J1690" i="21"/>
  <c r="P1670" i="21"/>
  <c r="P1699" i="21"/>
  <c r="P1687" i="21"/>
  <c r="P1675" i="21"/>
  <c r="P1704" i="21"/>
  <c r="P1692" i="21"/>
  <c r="P1680" i="21"/>
  <c r="P1668" i="21"/>
  <c r="P1709" i="21"/>
  <c r="P1697" i="21"/>
  <c r="P1685" i="21"/>
  <c r="P1673" i="21"/>
  <c r="J1710" i="21"/>
  <c r="J1678" i="21"/>
  <c r="P1702" i="21"/>
  <c r="P1707" i="21"/>
  <c r="P1695" i="21"/>
  <c r="P1683" i="21"/>
  <c r="P1671" i="21"/>
  <c r="P1700" i="21"/>
  <c r="P1688" i="21"/>
  <c r="P1676" i="21"/>
  <c r="J1698" i="21"/>
  <c r="P1705" i="21"/>
  <c r="P1693" i="21"/>
  <c r="P1681" i="21"/>
  <c r="P1669" i="21"/>
  <c r="P1686" i="21"/>
  <c r="P1666" i="21"/>
  <c r="P1703" i="21"/>
  <c r="P1691" i="21"/>
  <c r="P1679" i="21"/>
  <c r="P1667" i="21"/>
  <c r="P1708" i="21"/>
  <c r="P1696" i="21"/>
  <c r="P1684" i="21"/>
  <c r="P1672" i="21"/>
  <c r="O4" i="23"/>
  <c r="N4" i="23"/>
  <c r="M4" i="23"/>
  <c r="L4" i="23"/>
  <c r="K4" i="23"/>
  <c r="J4" i="23"/>
  <c r="I4" i="23"/>
  <c r="H4" i="23"/>
  <c r="G4" i="23"/>
  <c r="F4" i="23"/>
  <c r="E4" i="23"/>
  <c r="D4" i="23"/>
  <c r="G30" i="24" l="1"/>
  <c r="G26" i="24"/>
  <c r="G8" i="24"/>
  <c r="G19" i="24"/>
  <c r="G20" i="24"/>
  <c r="G34" i="24"/>
  <c r="G12" i="24"/>
  <c r="O9" i="23"/>
  <c r="O24" i="23"/>
  <c r="O10" i="23"/>
  <c r="O26" i="23"/>
  <c r="O23" i="23"/>
  <c r="I23" i="23"/>
  <c r="I9" i="23"/>
  <c r="I24" i="23"/>
  <c r="I10" i="23"/>
  <c r="I26" i="23"/>
  <c r="J23" i="23"/>
  <c r="J9" i="23"/>
  <c r="J24" i="23"/>
  <c r="J10" i="23"/>
  <c r="J26" i="23"/>
  <c r="N10" i="23"/>
  <c r="N26" i="23"/>
  <c r="N23" i="23"/>
  <c r="N9" i="23"/>
  <c r="N24" i="23"/>
  <c r="H23" i="23"/>
  <c r="H9" i="23"/>
  <c r="H24" i="23"/>
  <c r="H10" i="23"/>
  <c r="H26" i="23"/>
  <c r="K23" i="23"/>
  <c r="K9" i="23"/>
  <c r="K24" i="23"/>
  <c r="K10" i="23"/>
  <c r="K26" i="23"/>
  <c r="F26" i="23"/>
  <c r="F10" i="23"/>
  <c r="F9" i="23"/>
  <c r="F23" i="23"/>
  <c r="F24" i="23"/>
  <c r="G9" i="23"/>
  <c r="G24" i="23"/>
  <c r="G10" i="23"/>
  <c r="G26" i="23"/>
  <c r="G23" i="23"/>
  <c r="D9" i="23"/>
  <c r="D23" i="23"/>
  <c r="D10" i="23"/>
  <c r="D24" i="23"/>
  <c r="D26" i="23"/>
  <c r="L26" i="23"/>
  <c r="L23" i="23"/>
  <c r="L9" i="23"/>
  <c r="L24" i="23"/>
  <c r="L10" i="23"/>
  <c r="E23" i="23"/>
  <c r="E10" i="23"/>
  <c r="E9" i="23"/>
  <c r="M23" i="23"/>
  <c r="M9" i="23"/>
  <c r="M24" i="23"/>
  <c r="M10" i="23"/>
  <c r="M26" i="23"/>
  <c r="E26" i="23"/>
  <c r="E24" i="23"/>
  <c r="N510" i="19"/>
  <c r="O510" i="19"/>
  <c r="P510" i="19"/>
  <c r="T510" i="19"/>
  <c r="N438" i="19"/>
  <c r="N439" i="19"/>
  <c r="N440" i="19"/>
  <c r="N500" i="19"/>
  <c r="N507" i="19"/>
  <c r="N508" i="19"/>
  <c r="N509" i="19"/>
  <c r="O438" i="19"/>
  <c r="O439" i="19"/>
  <c r="O440" i="19"/>
  <c r="O500" i="19"/>
  <c r="O507" i="19"/>
  <c r="O508" i="19"/>
  <c r="O509" i="19"/>
  <c r="P438" i="19"/>
  <c r="P439" i="19"/>
  <c r="P440" i="19"/>
  <c r="P500" i="19"/>
  <c r="P507" i="19"/>
  <c r="P508" i="19"/>
  <c r="P509" i="19"/>
  <c r="T438" i="19"/>
  <c r="T439" i="19"/>
  <c r="T440" i="19"/>
  <c r="T500" i="19"/>
  <c r="T507" i="19"/>
  <c r="T508" i="19"/>
  <c r="T509" i="19"/>
  <c r="N534" i="19"/>
  <c r="N432" i="19"/>
  <c r="N538" i="19"/>
  <c r="N469" i="19"/>
  <c r="N544" i="19"/>
  <c r="N433" i="19"/>
  <c r="N434" i="19"/>
  <c r="N477" i="19"/>
  <c r="N441" i="19"/>
  <c r="N435" i="19"/>
  <c r="N436" i="19"/>
  <c r="N437" i="19"/>
  <c r="N458" i="19"/>
  <c r="N459" i="19"/>
  <c r="N442" i="19"/>
  <c r="N443" i="19"/>
  <c r="N445" i="19"/>
  <c r="N448" i="19"/>
  <c r="N444" i="19"/>
  <c r="N446" i="19"/>
  <c r="N447" i="19"/>
  <c r="N461" i="19"/>
  <c r="N463" i="19"/>
  <c r="N449" i="19"/>
  <c r="N450" i="19"/>
  <c r="N451" i="19"/>
  <c r="N491" i="19"/>
  <c r="N460" i="19"/>
  <c r="N454" i="19"/>
  <c r="N513" i="19"/>
  <c r="N453" i="19"/>
  <c r="N457" i="19"/>
  <c r="N452" i="19"/>
  <c r="N455" i="19"/>
  <c r="N456" i="19"/>
  <c r="N462" i="19"/>
  <c r="N464" i="19"/>
  <c r="N465" i="19"/>
  <c r="N470" i="19"/>
  <c r="N466" i="19"/>
  <c r="N467" i="19"/>
  <c r="N468" i="19"/>
  <c r="N570" i="19"/>
  <c r="N515" i="19"/>
  <c r="N549" i="19"/>
  <c r="N471" i="19"/>
  <c r="N483" i="19"/>
  <c r="N492" i="19"/>
  <c r="N493" i="19"/>
  <c r="N475" i="19"/>
  <c r="N473" i="19"/>
  <c r="N568" i="19"/>
  <c r="N480" i="19"/>
  <c r="N474" i="19"/>
  <c r="N472" i="19"/>
  <c r="N518" i="19"/>
  <c r="N476" i="19"/>
  <c r="N478" i="19"/>
  <c r="N479" i="19"/>
  <c r="N531" i="19"/>
  <c r="N487" i="19"/>
  <c r="N481" i="19"/>
  <c r="N482" i="19"/>
  <c r="N498" i="19"/>
  <c r="N488" i="19"/>
  <c r="N489" i="19"/>
  <c r="N484" i="19"/>
  <c r="N485" i="19"/>
  <c r="N486" i="19"/>
  <c r="N490" i="19"/>
  <c r="N495" i="19"/>
  <c r="N496" i="19"/>
  <c r="N494" i="19"/>
  <c r="N497" i="19"/>
  <c r="N499" i="19"/>
  <c r="N501" i="19"/>
  <c r="N511" i="19"/>
  <c r="N520" i="19"/>
  <c r="N521" i="19"/>
  <c r="N536" i="19"/>
  <c r="N516" i="19"/>
  <c r="N517" i="19"/>
  <c r="N512" i="19"/>
  <c r="N514" i="19"/>
  <c r="N551" i="19"/>
  <c r="N519" i="19"/>
  <c r="N523" i="19"/>
  <c r="N522" i="19"/>
  <c r="N527" i="19"/>
  <c r="N524" i="19"/>
  <c r="N525" i="19"/>
  <c r="N528" i="19"/>
  <c r="N529" i="19"/>
  <c r="N526" i="19"/>
  <c r="N576" i="19"/>
  <c r="N577" i="19"/>
  <c r="N506" i="19"/>
  <c r="N530" i="19"/>
  <c r="N532" i="19"/>
  <c r="N533" i="19"/>
  <c r="N535" i="19"/>
  <c r="N539" i="19"/>
  <c r="N537" i="19"/>
  <c r="N573" i="19"/>
  <c r="N545" i="19"/>
  <c r="N546" i="19"/>
  <c r="N540" i="19"/>
  <c r="N541" i="19"/>
  <c r="N542" i="19"/>
  <c r="N543" i="19"/>
  <c r="N550" i="19"/>
  <c r="N569" i="19"/>
  <c r="N547" i="19"/>
  <c r="N571" i="19"/>
  <c r="N548" i="19"/>
  <c r="N552" i="19"/>
  <c r="N553" i="19"/>
  <c r="N554" i="19"/>
  <c r="N555" i="19"/>
  <c r="N556" i="19"/>
  <c r="N557" i="19"/>
  <c r="N558" i="19"/>
  <c r="N559" i="19"/>
  <c r="N560" i="19"/>
  <c r="N561" i="19"/>
  <c r="N562" i="19"/>
  <c r="N563" i="19"/>
  <c r="N564" i="19"/>
  <c r="N565" i="19"/>
  <c r="N566" i="19"/>
  <c r="N567" i="19"/>
  <c r="N583" i="19"/>
  <c r="N586" i="19"/>
  <c r="N574" i="19"/>
  <c r="N594" i="19"/>
  <c r="N579" i="19"/>
  <c r="N572" i="19"/>
  <c r="N575" i="19"/>
  <c r="N578" i="19"/>
  <c r="N584" i="19"/>
  <c r="N580" i="19"/>
  <c r="N581" i="19"/>
  <c r="N582" i="19"/>
  <c r="N585" i="19"/>
  <c r="N587" i="19"/>
  <c r="N588" i="19"/>
  <c r="N590" i="19"/>
  <c r="N589" i="19"/>
  <c r="N591" i="19"/>
  <c r="N592" i="19"/>
  <c r="N593" i="19"/>
  <c r="N595" i="19"/>
  <c r="N596" i="19"/>
  <c r="N653" i="19"/>
  <c r="N654" i="19"/>
  <c r="N597" i="19"/>
  <c r="N598" i="19"/>
  <c r="N599" i="19"/>
  <c r="N600" i="19"/>
  <c r="N601" i="19"/>
  <c r="N602" i="19"/>
  <c r="N612" i="19"/>
  <c r="N634" i="19"/>
  <c r="N635" i="19"/>
  <c r="N616" i="19"/>
  <c r="N613" i="19"/>
  <c r="N617" i="19"/>
  <c r="N618" i="19"/>
  <c r="N619" i="19"/>
  <c r="N620" i="19"/>
  <c r="N614" i="19"/>
  <c r="N615" i="19"/>
  <c r="N625" i="19"/>
  <c r="N621" i="19"/>
  <c r="N622" i="19"/>
  <c r="N636" i="19"/>
  <c r="N623" i="19"/>
  <c r="N624" i="19"/>
  <c r="N626" i="19"/>
  <c r="N657" i="19"/>
  <c r="N627" i="19"/>
  <c r="N628" i="19"/>
  <c r="N629" i="19"/>
  <c r="N632" i="19"/>
  <c r="N633" i="19"/>
  <c r="N630" i="19"/>
  <c r="N631" i="19"/>
  <c r="N637" i="19"/>
  <c r="N643" i="19"/>
  <c r="N655" i="19"/>
  <c r="N671" i="19"/>
  <c r="N672" i="19"/>
  <c r="N648" i="19"/>
  <c r="N644" i="19"/>
  <c r="N645" i="19"/>
  <c r="N647" i="19"/>
  <c r="N646" i="19"/>
  <c r="N649" i="19"/>
  <c r="N651" i="19"/>
  <c r="N650" i="19"/>
  <c r="N652" i="19"/>
  <c r="N666" i="19"/>
  <c r="N667" i="19"/>
  <c r="N656" i="19"/>
  <c r="N658" i="19"/>
  <c r="N665" i="19"/>
  <c r="N659" i="19"/>
  <c r="N660" i="19"/>
  <c r="N661" i="19"/>
  <c r="N664" i="19"/>
  <c r="N662" i="19"/>
  <c r="N663" i="19"/>
  <c r="N673" i="19"/>
  <c r="N668" i="19"/>
  <c r="N669" i="19"/>
  <c r="N670" i="19"/>
  <c r="N638" i="19"/>
  <c r="N639" i="19"/>
  <c r="N675" i="19"/>
  <c r="N676" i="19"/>
  <c r="O534" i="19"/>
  <c r="O432" i="19"/>
  <c r="O538" i="19"/>
  <c r="O469" i="19"/>
  <c r="O544" i="19"/>
  <c r="O433" i="19"/>
  <c r="O434" i="19"/>
  <c r="O477" i="19"/>
  <c r="O441" i="19"/>
  <c r="O435" i="19"/>
  <c r="O436" i="19"/>
  <c r="O437" i="19"/>
  <c r="O458" i="19"/>
  <c r="O459" i="19"/>
  <c r="O442" i="19"/>
  <c r="O443" i="19"/>
  <c r="O445" i="19"/>
  <c r="O448" i="19"/>
  <c r="O444" i="19"/>
  <c r="O446" i="19"/>
  <c r="O447" i="19"/>
  <c r="O461" i="19"/>
  <c r="O463" i="19"/>
  <c r="O449" i="19"/>
  <c r="O450" i="19"/>
  <c r="O451" i="19"/>
  <c r="O491" i="19"/>
  <c r="O460" i="19"/>
  <c r="O454" i="19"/>
  <c r="O513" i="19"/>
  <c r="O453" i="19"/>
  <c r="O457" i="19"/>
  <c r="O452" i="19"/>
  <c r="O455" i="19"/>
  <c r="O456" i="19"/>
  <c r="O462" i="19"/>
  <c r="O464" i="19"/>
  <c r="O465" i="19"/>
  <c r="O470" i="19"/>
  <c r="O466" i="19"/>
  <c r="O467" i="19"/>
  <c r="O468" i="19"/>
  <c r="O570" i="19"/>
  <c r="O515" i="19"/>
  <c r="O549" i="19"/>
  <c r="O471" i="19"/>
  <c r="O483" i="19"/>
  <c r="O492" i="19"/>
  <c r="O493" i="19"/>
  <c r="O475" i="19"/>
  <c r="O473" i="19"/>
  <c r="O568" i="19"/>
  <c r="O480" i="19"/>
  <c r="O474" i="19"/>
  <c r="O472" i="19"/>
  <c r="O518" i="19"/>
  <c r="O476" i="19"/>
  <c r="O478" i="19"/>
  <c r="O479" i="19"/>
  <c r="O531" i="19"/>
  <c r="O487" i="19"/>
  <c r="O481" i="19"/>
  <c r="O482" i="19"/>
  <c r="O498" i="19"/>
  <c r="O488" i="19"/>
  <c r="O489" i="19"/>
  <c r="O484" i="19"/>
  <c r="O485" i="19"/>
  <c r="O486" i="19"/>
  <c r="O490" i="19"/>
  <c r="O495" i="19"/>
  <c r="O496" i="19"/>
  <c r="O494" i="19"/>
  <c r="O497" i="19"/>
  <c r="O499" i="19"/>
  <c r="O501" i="19"/>
  <c r="O511" i="19"/>
  <c r="O520" i="19"/>
  <c r="O521" i="19"/>
  <c r="O536" i="19"/>
  <c r="O516" i="19"/>
  <c r="O517" i="19"/>
  <c r="O512" i="19"/>
  <c r="O514" i="19"/>
  <c r="O551" i="19"/>
  <c r="O519" i="19"/>
  <c r="O523" i="19"/>
  <c r="O522" i="19"/>
  <c r="O527" i="19"/>
  <c r="O524" i="19"/>
  <c r="O525" i="19"/>
  <c r="O528" i="19"/>
  <c r="O529" i="19"/>
  <c r="O526" i="19"/>
  <c r="O576" i="19"/>
  <c r="O577" i="19"/>
  <c r="O506" i="19"/>
  <c r="O530" i="19"/>
  <c r="O532" i="19"/>
  <c r="O533" i="19"/>
  <c r="O535" i="19"/>
  <c r="O539" i="19"/>
  <c r="O537" i="19"/>
  <c r="O573" i="19"/>
  <c r="O545" i="19"/>
  <c r="O546" i="19"/>
  <c r="O540" i="19"/>
  <c r="O541" i="19"/>
  <c r="O542" i="19"/>
  <c r="O543" i="19"/>
  <c r="O550" i="19"/>
  <c r="O569" i="19"/>
  <c r="O547" i="19"/>
  <c r="O571" i="19"/>
  <c r="O548" i="19"/>
  <c r="O552" i="19"/>
  <c r="O553" i="19"/>
  <c r="O554" i="19"/>
  <c r="O555" i="19"/>
  <c r="O556" i="19"/>
  <c r="O557" i="19"/>
  <c r="O558" i="19"/>
  <c r="O559" i="19"/>
  <c r="O560" i="19"/>
  <c r="O561" i="19"/>
  <c r="O562" i="19"/>
  <c r="O563" i="19"/>
  <c r="O564" i="19"/>
  <c r="O565" i="19"/>
  <c r="O566" i="19"/>
  <c r="O567" i="19"/>
  <c r="O583" i="19"/>
  <c r="O586" i="19"/>
  <c r="O574" i="19"/>
  <c r="O594" i="19"/>
  <c r="O579" i="19"/>
  <c r="O572" i="19"/>
  <c r="O575" i="19"/>
  <c r="O578" i="19"/>
  <c r="O584" i="19"/>
  <c r="O580" i="19"/>
  <c r="O581" i="19"/>
  <c r="O582" i="19"/>
  <c r="O585" i="19"/>
  <c r="O587" i="19"/>
  <c r="O588" i="19"/>
  <c r="O590" i="19"/>
  <c r="O589" i="19"/>
  <c r="O591" i="19"/>
  <c r="O592" i="19"/>
  <c r="O593" i="19"/>
  <c r="O595" i="19"/>
  <c r="O596" i="19"/>
  <c r="O653" i="19"/>
  <c r="O654" i="19"/>
  <c r="O597" i="19"/>
  <c r="O598" i="19"/>
  <c r="O599" i="19"/>
  <c r="O600" i="19"/>
  <c r="O601" i="19"/>
  <c r="O602" i="19"/>
  <c r="O612" i="19"/>
  <c r="O634" i="19"/>
  <c r="O635" i="19"/>
  <c r="O616" i="19"/>
  <c r="O613" i="19"/>
  <c r="O617" i="19"/>
  <c r="O618" i="19"/>
  <c r="O619" i="19"/>
  <c r="O620" i="19"/>
  <c r="O614" i="19"/>
  <c r="O615" i="19"/>
  <c r="O625" i="19"/>
  <c r="O621" i="19"/>
  <c r="O622" i="19"/>
  <c r="O636" i="19"/>
  <c r="O623" i="19"/>
  <c r="O624" i="19"/>
  <c r="O626" i="19"/>
  <c r="O657" i="19"/>
  <c r="O627" i="19"/>
  <c r="O628" i="19"/>
  <c r="O629" i="19"/>
  <c r="O632" i="19"/>
  <c r="O633" i="19"/>
  <c r="O630" i="19"/>
  <c r="O631" i="19"/>
  <c r="O637" i="19"/>
  <c r="O643" i="19"/>
  <c r="O655" i="19"/>
  <c r="O671" i="19"/>
  <c r="O672" i="19"/>
  <c r="O648" i="19"/>
  <c r="O644" i="19"/>
  <c r="O645" i="19"/>
  <c r="O647" i="19"/>
  <c r="O646" i="19"/>
  <c r="O649" i="19"/>
  <c r="O651" i="19"/>
  <c r="O650" i="19"/>
  <c r="O652" i="19"/>
  <c r="O666" i="19"/>
  <c r="O667" i="19"/>
  <c r="O656" i="19"/>
  <c r="O658" i="19"/>
  <c r="O665" i="19"/>
  <c r="O659" i="19"/>
  <c r="O660" i="19"/>
  <c r="O661" i="19"/>
  <c r="O664" i="19"/>
  <c r="O662" i="19"/>
  <c r="O663" i="19"/>
  <c r="O673" i="19"/>
  <c r="O668" i="19"/>
  <c r="O669" i="19"/>
  <c r="O670" i="19"/>
  <c r="O638" i="19"/>
  <c r="O639" i="19"/>
  <c r="O675" i="19"/>
  <c r="O676" i="19"/>
  <c r="P534" i="19"/>
  <c r="P432" i="19"/>
  <c r="P538" i="19"/>
  <c r="P469" i="19"/>
  <c r="P544" i="19"/>
  <c r="P433" i="19"/>
  <c r="P434" i="19"/>
  <c r="P477" i="19"/>
  <c r="P441" i="19"/>
  <c r="P435" i="19"/>
  <c r="P436" i="19"/>
  <c r="P437" i="19"/>
  <c r="P458" i="19"/>
  <c r="P459" i="19"/>
  <c r="P442" i="19"/>
  <c r="P443" i="19"/>
  <c r="P445" i="19"/>
  <c r="P448" i="19"/>
  <c r="P444" i="19"/>
  <c r="P446" i="19"/>
  <c r="P447" i="19"/>
  <c r="P461" i="19"/>
  <c r="P463" i="19"/>
  <c r="P449" i="19"/>
  <c r="P450" i="19"/>
  <c r="P451" i="19"/>
  <c r="P491" i="19"/>
  <c r="P460" i="19"/>
  <c r="P454" i="19"/>
  <c r="P513" i="19"/>
  <c r="P453" i="19"/>
  <c r="P457" i="19"/>
  <c r="P452" i="19"/>
  <c r="P455" i="19"/>
  <c r="P456" i="19"/>
  <c r="P462" i="19"/>
  <c r="P464" i="19"/>
  <c r="P465" i="19"/>
  <c r="P470" i="19"/>
  <c r="P466" i="19"/>
  <c r="P467" i="19"/>
  <c r="P468" i="19"/>
  <c r="P570" i="19"/>
  <c r="P515" i="19"/>
  <c r="P549" i="19"/>
  <c r="P471" i="19"/>
  <c r="P483" i="19"/>
  <c r="P492" i="19"/>
  <c r="P493" i="19"/>
  <c r="P475" i="19"/>
  <c r="P473" i="19"/>
  <c r="P568" i="19"/>
  <c r="P480" i="19"/>
  <c r="P474" i="19"/>
  <c r="P472" i="19"/>
  <c r="P518" i="19"/>
  <c r="P476" i="19"/>
  <c r="P478" i="19"/>
  <c r="P479" i="19"/>
  <c r="P531" i="19"/>
  <c r="P487" i="19"/>
  <c r="P481" i="19"/>
  <c r="P482" i="19"/>
  <c r="P498" i="19"/>
  <c r="P488" i="19"/>
  <c r="P489" i="19"/>
  <c r="P484" i="19"/>
  <c r="P485" i="19"/>
  <c r="P486" i="19"/>
  <c r="P490" i="19"/>
  <c r="P495" i="19"/>
  <c r="P496" i="19"/>
  <c r="P494" i="19"/>
  <c r="P497" i="19"/>
  <c r="P499" i="19"/>
  <c r="P501" i="19"/>
  <c r="P511" i="19"/>
  <c r="P520" i="19"/>
  <c r="P521" i="19"/>
  <c r="P536" i="19"/>
  <c r="P516" i="19"/>
  <c r="P517" i="19"/>
  <c r="P512" i="19"/>
  <c r="P514" i="19"/>
  <c r="P551" i="19"/>
  <c r="P519" i="19"/>
  <c r="P523" i="19"/>
  <c r="P522" i="19"/>
  <c r="P527" i="19"/>
  <c r="P524" i="19"/>
  <c r="P525" i="19"/>
  <c r="P528" i="19"/>
  <c r="P529" i="19"/>
  <c r="P526" i="19"/>
  <c r="P576" i="19"/>
  <c r="P577" i="19"/>
  <c r="P506" i="19"/>
  <c r="P530" i="19"/>
  <c r="P532" i="19"/>
  <c r="P533" i="19"/>
  <c r="P535" i="19"/>
  <c r="P539" i="19"/>
  <c r="P537" i="19"/>
  <c r="P573" i="19"/>
  <c r="P545" i="19"/>
  <c r="P546" i="19"/>
  <c r="P540" i="19"/>
  <c r="P541" i="19"/>
  <c r="P542" i="19"/>
  <c r="P543" i="19"/>
  <c r="P550" i="19"/>
  <c r="P569" i="19"/>
  <c r="P547" i="19"/>
  <c r="P571" i="19"/>
  <c r="P548" i="19"/>
  <c r="P552" i="19"/>
  <c r="P553" i="19"/>
  <c r="P554" i="19"/>
  <c r="P555" i="19"/>
  <c r="P556" i="19"/>
  <c r="P557" i="19"/>
  <c r="P558" i="19"/>
  <c r="P559" i="19"/>
  <c r="P560" i="19"/>
  <c r="P561" i="19"/>
  <c r="P562" i="19"/>
  <c r="P563" i="19"/>
  <c r="P564" i="19"/>
  <c r="P565" i="19"/>
  <c r="P566" i="19"/>
  <c r="P567" i="19"/>
  <c r="P583" i="19"/>
  <c r="P586" i="19"/>
  <c r="P574" i="19"/>
  <c r="P594" i="19"/>
  <c r="P579" i="19"/>
  <c r="P572" i="19"/>
  <c r="P575" i="19"/>
  <c r="P578" i="19"/>
  <c r="P584" i="19"/>
  <c r="P580" i="19"/>
  <c r="P581" i="19"/>
  <c r="P582" i="19"/>
  <c r="P585" i="19"/>
  <c r="P587" i="19"/>
  <c r="P588" i="19"/>
  <c r="P590" i="19"/>
  <c r="P589" i="19"/>
  <c r="P591" i="19"/>
  <c r="P592" i="19"/>
  <c r="P593" i="19"/>
  <c r="P595" i="19"/>
  <c r="P596" i="19"/>
  <c r="P653" i="19"/>
  <c r="P654" i="19"/>
  <c r="P597" i="19"/>
  <c r="P598" i="19"/>
  <c r="P599" i="19"/>
  <c r="P600" i="19"/>
  <c r="P601" i="19"/>
  <c r="P602" i="19"/>
  <c r="P612" i="19"/>
  <c r="P634" i="19"/>
  <c r="P635" i="19"/>
  <c r="P616" i="19"/>
  <c r="P613" i="19"/>
  <c r="P617" i="19"/>
  <c r="P618" i="19"/>
  <c r="P619" i="19"/>
  <c r="P620" i="19"/>
  <c r="P614" i="19"/>
  <c r="P615" i="19"/>
  <c r="P625" i="19"/>
  <c r="P621" i="19"/>
  <c r="P622" i="19"/>
  <c r="P636" i="19"/>
  <c r="P623" i="19"/>
  <c r="P624" i="19"/>
  <c r="P626" i="19"/>
  <c r="P657" i="19"/>
  <c r="P627" i="19"/>
  <c r="P628" i="19"/>
  <c r="P629" i="19"/>
  <c r="P632" i="19"/>
  <c r="P633" i="19"/>
  <c r="P630" i="19"/>
  <c r="P631" i="19"/>
  <c r="P637" i="19"/>
  <c r="P643" i="19"/>
  <c r="P655" i="19"/>
  <c r="P671" i="19"/>
  <c r="P672" i="19"/>
  <c r="P648" i="19"/>
  <c r="P644" i="19"/>
  <c r="P645" i="19"/>
  <c r="P647" i="19"/>
  <c r="P646" i="19"/>
  <c r="P649" i="19"/>
  <c r="P651" i="19"/>
  <c r="P650" i="19"/>
  <c r="P652" i="19"/>
  <c r="P666" i="19"/>
  <c r="P667" i="19"/>
  <c r="P656" i="19"/>
  <c r="P658" i="19"/>
  <c r="P665" i="19"/>
  <c r="P659" i="19"/>
  <c r="P660" i="19"/>
  <c r="P661" i="19"/>
  <c r="P664" i="19"/>
  <c r="P662" i="19"/>
  <c r="P663" i="19"/>
  <c r="P673" i="19"/>
  <c r="P668" i="19"/>
  <c r="P669" i="19"/>
  <c r="P670" i="19"/>
  <c r="P638" i="19"/>
  <c r="P639" i="19"/>
  <c r="P675" i="19"/>
  <c r="P676" i="19"/>
  <c r="T534" i="19"/>
  <c r="T432" i="19"/>
  <c r="T538" i="19"/>
  <c r="T469" i="19"/>
  <c r="T544" i="19"/>
  <c r="T433" i="19"/>
  <c r="T434" i="19"/>
  <c r="T477" i="19"/>
  <c r="T441" i="19"/>
  <c r="T435" i="19"/>
  <c r="T436" i="19"/>
  <c r="T437" i="19"/>
  <c r="T458" i="19"/>
  <c r="T459" i="19"/>
  <c r="T442" i="19"/>
  <c r="T443" i="19"/>
  <c r="T445" i="19"/>
  <c r="T448" i="19"/>
  <c r="T444" i="19"/>
  <c r="T446" i="19"/>
  <c r="T447" i="19"/>
  <c r="T461" i="19"/>
  <c r="T463" i="19"/>
  <c r="T449" i="19"/>
  <c r="T450" i="19"/>
  <c r="T451" i="19"/>
  <c r="T491" i="19"/>
  <c r="T460" i="19"/>
  <c r="T454" i="19"/>
  <c r="T513" i="19"/>
  <c r="T453" i="19"/>
  <c r="T457" i="19"/>
  <c r="T452" i="19"/>
  <c r="T455" i="19"/>
  <c r="T456" i="19"/>
  <c r="T462" i="19"/>
  <c r="T464" i="19"/>
  <c r="T465" i="19"/>
  <c r="T470" i="19"/>
  <c r="T466" i="19"/>
  <c r="T467" i="19"/>
  <c r="T468" i="19"/>
  <c r="T570" i="19"/>
  <c r="T515" i="19"/>
  <c r="T549" i="19"/>
  <c r="T471" i="19"/>
  <c r="T483" i="19"/>
  <c r="T492" i="19"/>
  <c r="T493" i="19"/>
  <c r="T475" i="19"/>
  <c r="T473" i="19"/>
  <c r="T568" i="19"/>
  <c r="T480" i="19"/>
  <c r="T474" i="19"/>
  <c r="T472" i="19"/>
  <c r="T518" i="19"/>
  <c r="T476" i="19"/>
  <c r="T478" i="19"/>
  <c r="T479" i="19"/>
  <c r="T531" i="19"/>
  <c r="T487" i="19"/>
  <c r="T481" i="19"/>
  <c r="T482" i="19"/>
  <c r="T498" i="19"/>
  <c r="T488" i="19"/>
  <c r="T489" i="19"/>
  <c r="T484" i="19"/>
  <c r="T485" i="19"/>
  <c r="T486" i="19"/>
  <c r="T490" i="19"/>
  <c r="T495" i="19"/>
  <c r="T496" i="19"/>
  <c r="T494" i="19"/>
  <c r="T497" i="19"/>
  <c r="T499" i="19"/>
  <c r="T501" i="19"/>
  <c r="T511" i="19"/>
  <c r="T520" i="19"/>
  <c r="T521" i="19"/>
  <c r="T536" i="19"/>
  <c r="T516" i="19"/>
  <c r="T517" i="19"/>
  <c r="T512" i="19"/>
  <c r="T514" i="19"/>
  <c r="T551" i="19"/>
  <c r="T519" i="19"/>
  <c r="T523" i="19"/>
  <c r="T522" i="19"/>
  <c r="T527" i="19"/>
  <c r="T524" i="19"/>
  <c r="T525" i="19"/>
  <c r="T528" i="19"/>
  <c r="T529" i="19"/>
  <c r="T526" i="19"/>
  <c r="T576" i="19"/>
  <c r="T577" i="19"/>
  <c r="T506" i="19"/>
  <c r="T530" i="19"/>
  <c r="T532" i="19"/>
  <c r="T533" i="19"/>
  <c r="T535" i="19"/>
  <c r="T539" i="19"/>
  <c r="T537" i="19"/>
  <c r="T573" i="19"/>
  <c r="T545" i="19"/>
  <c r="T546" i="19"/>
  <c r="T540" i="19"/>
  <c r="T541" i="19"/>
  <c r="T542" i="19"/>
  <c r="T543" i="19"/>
  <c r="T550" i="19"/>
  <c r="T569" i="19"/>
  <c r="T547" i="19"/>
  <c r="T571" i="19"/>
  <c r="T548" i="19"/>
  <c r="T552" i="19"/>
  <c r="T553" i="19"/>
  <c r="T554" i="19"/>
  <c r="T555" i="19"/>
  <c r="T556" i="19"/>
  <c r="T557" i="19"/>
  <c r="T558" i="19"/>
  <c r="T559" i="19"/>
  <c r="T560" i="19"/>
  <c r="T561" i="19"/>
  <c r="T562" i="19"/>
  <c r="T563" i="19"/>
  <c r="T564" i="19"/>
  <c r="T565" i="19"/>
  <c r="T566" i="19"/>
  <c r="T567" i="19"/>
  <c r="T583" i="19"/>
  <c r="T586" i="19"/>
  <c r="T574" i="19"/>
  <c r="T594" i="19"/>
  <c r="T579" i="19"/>
  <c r="T572" i="19"/>
  <c r="T575" i="19"/>
  <c r="T578" i="19"/>
  <c r="T584" i="19"/>
  <c r="T580" i="19"/>
  <c r="T581" i="19"/>
  <c r="T582" i="19"/>
  <c r="T585" i="19"/>
  <c r="T587" i="19"/>
  <c r="T588" i="19"/>
  <c r="T590" i="19"/>
  <c r="T589" i="19"/>
  <c r="T591" i="19"/>
  <c r="T592" i="19"/>
  <c r="T593" i="19"/>
  <c r="T595" i="19"/>
  <c r="T596" i="19"/>
  <c r="T653" i="19"/>
  <c r="T654" i="19"/>
  <c r="T597" i="19"/>
  <c r="T598" i="19"/>
  <c r="T599" i="19"/>
  <c r="T600" i="19"/>
  <c r="T601" i="19"/>
  <c r="T602" i="19"/>
  <c r="T612" i="19"/>
  <c r="T634" i="19"/>
  <c r="T635" i="19"/>
  <c r="T616" i="19"/>
  <c r="T613" i="19"/>
  <c r="T617" i="19"/>
  <c r="T618" i="19"/>
  <c r="T619" i="19"/>
  <c r="T620" i="19"/>
  <c r="T614" i="19"/>
  <c r="T615" i="19"/>
  <c r="T625" i="19"/>
  <c r="T621" i="19"/>
  <c r="T622" i="19"/>
  <c r="T636" i="19"/>
  <c r="T623" i="19"/>
  <c r="T624" i="19"/>
  <c r="T626" i="19"/>
  <c r="T657" i="19"/>
  <c r="T627" i="19"/>
  <c r="T628" i="19"/>
  <c r="T629" i="19"/>
  <c r="T632" i="19"/>
  <c r="T633" i="19"/>
  <c r="T630" i="19"/>
  <c r="T631" i="19"/>
  <c r="T637" i="19"/>
  <c r="T643" i="19"/>
  <c r="T655" i="19"/>
  <c r="T671" i="19"/>
  <c r="T672" i="19"/>
  <c r="T648" i="19"/>
  <c r="T644" i="19"/>
  <c r="T645" i="19"/>
  <c r="T647" i="19"/>
  <c r="T646" i="19"/>
  <c r="T649" i="19"/>
  <c r="T651" i="19"/>
  <c r="T650" i="19"/>
  <c r="T652" i="19"/>
  <c r="T666" i="19"/>
  <c r="T667" i="19"/>
  <c r="T656" i="19"/>
  <c r="T658" i="19"/>
  <c r="T665" i="19"/>
  <c r="T659" i="19"/>
  <c r="T660" i="19"/>
  <c r="T661" i="19"/>
  <c r="T664" i="19"/>
  <c r="T662" i="19"/>
  <c r="T663" i="19"/>
  <c r="T673" i="19"/>
  <c r="T668" i="19"/>
  <c r="T669" i="19"/>
  <c r="T670" i="19"/>
  <c r="T638" i="19"/>
  <c r="T639" i="19"/>
  <c r="T675" i="19"/>
  <c r="T676" i="19"/>
  <c r="I398" i="21"/>
  <c r="J398" i="21" s="1"/>
  <c r="I492" i="21"/>
  <c r="J492" i="21" s="1"/>
  <c r="I432" i="21"/>
  <c r="J432" i="21" s="1"/>
  <c r="I498" i="21"/>
  <c r="J498" i="21" s="1"/>
  <c r="I399" i="21"/>
  <c r="J399" i="21" s="1"/>
  <c r="I400" i="21"/>
  <c r="J400" i="21" s="1"/>
  <c r="I440" i="21"/>
  <c r="J440" i="21" s="1"/>
  <c r="I404" i="21"/>
  <c r="J404" i="21" s="1"/>
  <c r="I401" i="21"/>
  <c r="J401" i="21" s="1"/>
  <c r="I402" i="21"/>
  <c r="J402" i="21" s="1"/>
  <c r="I403" i="21"/>
  <c r="J403" i="21" s="1"/>
  <c r="I421" i="21"/>
  <c r="J421" i="21" s="1"/>
  <c r="I422" i="21"/>
  <c r="J422" i="21" s="1"/>
  <c r="I405" i="21"/>
  <c r="J405" i="21" s="1"/>
  <c r="I406" i="21"/>
  <c r="J406" i="21" s="1"/>
  <c r="I408" i="21"/>
  <c r="J408" i="21" s="1"/>
  <c r="I411" i="21"/>
  <c r="J411" i="21" s="1"/>
  <c r="I407" i="21"/>
  <c r="J407" i="21" s="1"/>
  <c r="I409" i="21"/>
  <c r="J409" i="21" s="1"/>
  <c r="I410" i="21"/>
  <c r="J410" i="21" s="1"/>
  <c r="I424" i="21"/>
  <c r="J424" i="21" s="1"/>
  <c r="I426" i="21"/>
  <c r="J426" i="21" s="1"/>
  <c r="I412" i="21"/>
  <c r="J412" i="21" s="1"/>
  <c r="I413" i="21"/>
  <c r="J413" i="21" s="1"/>
  <c r="I414" i="21"/>
  <c r="J414" i="21" s="1"/>
  <c r="I454" i="21"/>
  <c r="J454" i="21" s="1"/>
  <c r="I423" i="21"/>
  <c r="J423" i="21" s="1"/>
  <c r="I417" i="21"/>
  <c r="J417" i="21" s="1"/>
  <c r="I467" i="21"/>
  <c r="J467" i="21" s="1"/>
  <c r="I416" i="21"/>
  <c r="J416" i="21" s="1"/>
  <c r="I420" i="21"/>
  <c r="J420" i="21" s="1"/>
  <c r="I415" i="21"/>
  <c r="J415" i="21" s="1"/>
  <c r="I418" i="21"/>
  <c r="J418" i="21" s="1"/>
  <c r="I419" i="21"/>
  <c r="J419" i="21" s="1"/>
  <c r="I425" i="21"/>
  <c r="J425" i="21" s="1"/>
  <c r="I427" i="21"/>
  <c r="J427" i="21" s="1"/>
  <c r="I428" i="21"/>
  <c r="J428" i="21" s="1"/>
  <c r="I433" i="21"/>
  <c r="J433" i="21" s="1"/>
  <c r="I429" i="21"/>
  <c r="J429" i="21" s="1"/>
  <c r="I430" i="21"/>
  <c r="J430" i="21" s="1"/>
  <c r="I431" i="21"/>
  <c r="J431" i="21" s="1"/>
  <c r="I524" i="21"/>
  <c r="J524" i="21" s="1"/>
  <c r="I469" i="21"/>
  <c r="J469" i="21" s="1"/>
  <c r="I503" i="21"/>
  <c r="J503" i="21" s="1"/>
  <c r="I434" i="21"/>
  <c r="J434" i="21" s="1"/>
  <c r="I446" i="21"/>
  <c r="J446" i="21" s="1"/>
  <c r="I455" i="21"/>
  <c r="J455" i="21" s="1"/>
  <c r="I456" i="21"/>
  <c r="J456" i="21" s="1"/>
  <c r="I438" i="21"/>
  <c r="J438" i="21" s="1"/>
  <c r="I436" i="21"/>
  <c r="J436" i="21" s="1"/>
  <c r="I522" i="21"/>
  <c r="J522" i="21" s="1"/>
  <c r="I443" i="21"/>
  <c r="J443" i="21" s="1"/>
  <c r="I437" i="21"/>
  <c r="J437" i="21" s="1"/>
  <c r="I435" i="21"/>
  <c r="J435" i="21" s="1"/>
  <c r="I472" i="21"/>
  <c r="J472" i="21" s="1"/>
  <c r="I439" i="21"/>
  <c r="J439" i="21" s="1"/>
  <c r="I441" i="21"/>
  <c r="J441" i="21" s="1"/>
  <c r="I442" i="21"/>
  <c r="J442" i="21" s="1"/>
  <c r="I485" i="21"/>
  <c r="J485" i="21" s="1"/>
  <c r="I450" i="21"/>
  <c r="J450" i="21" s="1"/>
  <c r="I444" i="21"/>
  <c r="J444" i="21" s="1"/>
  <c r="I445" i="21"/>
  <c r="J445" i="21" s="1"/>
  <c r="I461" i="21"/>
  <c r="J461" i="21" s="1"/>
  <c r="I451" i="21"/>
  <c r="J451" i="21" s="1"/>
  <c r="I452" i="21"/>
  <c r="J452" i="21" s="1"/>
  <c r="I447" i="21"/>
  <c r="J447" i="21" s="1"/>
  <c r="I448" i="21"/>
  <c r="J448" i="21" s="1"/>
  <c r="I449" i="21"/>
  <c r="J449" i="21" s="1"/>
  <c r="I453" i="21"/>
  <c r="J453" i="21" s="1"/>
  <c r="I458" i="21"/>
  <c r="J458" i="21" s="1"/>
  <c r="I459" i="21"/>
  <c r="J459" i="21" s="1"/>
  <c r="I457" i="21"/>
  <c r="J457" i="21" s="1"/>
  <c r="I460" i="21"/>
  <c r="J460" i="21" s="1"/>
  <c r="I462" i="21"/>
  <c r="J462" i="21" s="1"/>
  <c r="I463" i="21"/>
  <c r="J463" i="21" s="1"/>
  <c r="I465" i="21"/>
  <c r="J465" i="21" s="1"/>
  <c r="I474" i="21"/>
  <c r="J474" i="21" s="1"/>
  <c r="I475" i="21"/>
  <c r="J475" i="21" s="1"/>
  <c r="I490" i="21"/>
  <c r="J490" i="21" s="1"/>
  <c r="I470" i="21"/>
  <c r="J470" i="21" s="1"/>
  <c r="I471" i="21"/>
  <c r="J471" i="21" s="1"/>
  <c r="I466" i="21"/>
  <c r="J466" i="21" s="1"/>
  <c r="I468" i="21"/>
  <c r="J468" i="21" s="1"/>
  <c r="I505" i="21"/>
  <c r="J505" i="21" s="1"/>
  <c r="I473" i="21"/>
  <c r="J473" i="21" s="1"/>
  <c r="I477" i="21"/>
  <c r="J477" i="21" s="1"/>
  <c r="I476" i="21"/>
  <c r="J476" i="21" s="1"/>
  <c r="I481" i="21"/>
  <c r="J481" i="21" s="1"/>
  <c r="I478" i="21"/>
  <c r="J478" i="21" s="1"/>
  <c r="I479" i="21"/>
  <c r="J479" i="21" s="1"/>
  <c r="I482" i="21"/>
  <c r="J482" i="21" s="1"/>
  <c r="I483" i="21"/>
  <c r="J483" i="21" s="1"/>
  <c r="I480" i="21"/>
  <c r="J480" i="21" s="1"/>
  <c r="I530" i="21"/>
  <c r="J530" i="21" s="1"/>
  <c r="I531" i="21"/>
  <c r="J531" i="21" s="1"/>
  <c r="I464" i="21"/>
  <c r="J464" i="21" s="1"/>
  <c r="I484" i="21"/>
  <c r="J484" i="21" s="1"/>
  <c r="I486" i="21"/>
  <c r="J486" i="21" s="1"/>
  <c r="I487" i="21"/>
  <c r="J487" i="21" s="1"/>
  <c r="I489" i="21"/>
  <c r="J489" i="21" s="1"/>
  <c r="I493" i="21"/>
  <c r="J493" i="21" s="1"/>
  <c r="I491" i="21"/>
  <c r="J491" i="21" s="1"/>
  <c r="I527" i="21"/>
  <c r="J527" i="21" s="1"/>
  <c r="I499" i="21"/>
  <c r="J499" i="21" s="1"/>
  <c r="I500" i="21"/>
  <c r="J500" i="21" s="1"/>
  <c r="I494" i="21"/>
  <c r="J494" i="21" s="1"/>
  <c r="I495" i="21"/>
  <c r="J495" i="21" s="1"/>
  <c r="I496" i="21"/>
  <c r="J496" i="21" s="1"/>
  <c r="I497" i="21"/>
  <c r="J497" i="21" s="1"/>
  <c r="I504" i="21"/>
  <c r="J504" i="21" s="1"/>
  <c r="I523" i="21"/>
  <c r="J523" i="21" s="1"/>
  <c r="I501" i="21"/>
  <c r="J501" i="21" s="1"/>
  <c r="I525" i="21"/>
  <c r="J525" i="21" s="1"/>
  <c r="I502" i="21"/>
  <c r="J502" i="21" s="1"/>
  <c r="I506" i="21"/>
  <c r="J506" i="21" s="1"/>
  <c r="I507" i="21"/>
  <c r="J507" i="21" s="1"/>
  <c r="I508" i="21"/>
  <c r="J508" i="21" s="1"/>
  <c r="I509" i="21"/>
  <c r="J509" i="21" s="1"/>
  <c r="I510" i="21"/>
  <c r="J510" i="21" s="1"/>
  <c r="I511" i="21"/>
  <c r="J511" i="21" s="1"/>
  <c r="I512" i="21"/>
  <c r="J512" i="21" s="1"/>
  <c r="I513" i="21"/>
  <c r="J513" i="21" s="1"/>
  <c r="I514" i="21"/>
  <c r="J514" i="21" s="1"/>
  <c r="I515" i="21"/>
  <c r="J515" i="21" s="1"/>
  <c r="I516" i="21"/>
  <c r="J516" i="21" s="1"/>
  <c r="I517" i="21"/>
  <c r="J517" i="21" s="1"/>
  <c r="I518" i="21"/>
  <c r="J518" i="21" s="1"/>
  <c r="I519" i="21"/>
  <c r="J519" i="21" s="1"/>
  <c r="I520" i="21"/>
  <c r="J520" i="21" s="1"/>
  <c r="I521" i="21"/>
  <c r="J521" i="21" s="1"/>
  <c r="I537" i="21"/>
  <c r="J537" i="21" s="1"/>
  <c r="I540" i="21"/>
  <c r="J540" i="21" s="1"/>
  <c r="I528" i="21"/>
  <c r="J528" i="21" s="1"/>
  <c r="I548" i="21"/>
  <c r="J548" i="21" s="1"/>
  <c r="I533" i="21"/>
  <c r="J533" i="21" s="1"/>
  <c r="I526" i="21"/>
  <c r="J526" i="21" s="1"/>
  <c r="I529" i="21"/>
  <c r="J529" i="21" s="1"/>
  <c r="I532" i="21"/>
  <c r="J532" i="21" s="1"/>
  <c r="I538" i="21"/>
  <c r="J538" i="21" s="1"/>
  <c r="I534" i="21"/>
  <c r="J534" i="21" s="1"/>
  <c r="I535" i="21"/>
  <c r="J535" i="21" s="1"/>
  <c r="I536" i="21"/>
  <c r="J536" i="21" s="1"/>
  <c r="I539" i="21"/>
  <c r="J539" i="21" s="1"/>
  <c r="I541" i="21"/>
  <c r="J541" i="21" s="1"/>
  <c r="I542" i="21"/>
  <c r="J542" i="21" s="1"/>
  <c r="I544" i="21"/>
  <c r="J544" i="21" s="1"/>
  <c r="I543" i="21"/>
  <c r="J543" i="21" s="1"/>
  <c r="I545" i="21"/>
  <c r="J545" i="21" s="1"/>
  <c r="I546" i="21"/>
  <c r="J546" i="21" s="1"/>
  <c r="I547" i="21"/>
  <c r="J547" i="21" s="1"/>
  <c r="I549" i="21"/>
  <c r="J549" i="21" s="1"/>
  <c r="I550" i="21"/>
  <c r="J550" i="21" s="1"/>
  <c r="I595" i="21"/>
  <c r="J595" i="21" s="1"/>
  <c r="I596" i="21"/>
  <c r="J596" i="21" s="1"/>
  <c r="I551" i="21"/>
  <c r="J551" i="21" s="1"/>
  <c r="I552" i="21"/>
  <c r="J552" i="21" s="1"/>
  <c r="I553" i="21"/>
  <c r="J553" i="21" s="1"/>
  <c r="I554" i="21"/>
  <c r="J554" i="21" s="1"/>
  <c r="I555" i="21"/>
  <c r="J555" i="21" s="1"/>
  <c r="I556" i="21"/>
  <c r="J556" i="21" s="1"/>
  <c r="I557" i="21"/>
  <c r="J557" i="21" s="1"/>
  <c r="I579" i="21"/>
  <c r="J579" i="21" s="1"/>
  <c r="I580" i="21"/>
  <c r="J580" i="21" s="1"/>
  <c r="I561" i="21"/>
  <c r="J561" i="21" s="1"/>
  <c r="I558" i="21"/>
  <c r="J558" i="21" s="1"/>
  <c r="I562" i="21"/>
  <c r="J562" i="21" s="1"/>
  <c r="I563" i="21"/>
  <c r="J563" i="21" s="1"/>
  <c r="I564" i="21"/>
  <c r="J564" i="21" s="1"/>
  <c r="I565" i="21"/>
  <c r="J565" i="21" s="1"/>
  <c r="I559" i="21"/>
  <c r="J559" i="21" s="1"/>
  <c r="I560" i="21"/>
  <c r="J560" i="21" s="1"/>
  <c r="I570" i="21"/>
  <c r="J570" i="21" s="1"/>
  <c r="I566" i="21"/>
  <c r="J566" i="21" s="1"/>
  <c r="I567" i="21"/>
  <c r="J567" i="21" s="1"/>
  <c r="I581" i="21"/>
  <c r="J581" i="21" s="1"/>
  <c r="I568" i="21"/>
  <c r="J568" i="21" s="1"/>
  <c r="I569" i="21"/>
  <c r="J569" i="21" s="1"/>
  <c r="I571" i="21"/>
  <c r="J571" i="21" s="1"/>
  <c r="I599" i="21"/>
  <c r="J599" i="21" s="1"/>
  <c r="I572" i="21"/>
  <c r="J572" i="21" s="1"/>
  <c r="I573" i="21"/>
  <c r="J573" i="21" s="1"/>
  <c r="I574" i="21"/>
  <c r="J574" i="21" s="1"/>
  <c r="I577" i="21"/>
  <c r="J577" i="21" s="1"/>
  <c r="I578" i="21"/>
  <c r="J578" i="21" s="1"/>
  <c r="I575" i="21"/>
  <c r="J575" i="21" s="1"/>
  <c r="I576" i="21"/>
  <c r="J576" i="21" s="1"/>
  <c r="I582" i="21"/>
  <c r="J582" i="21" s="1"/>
  <c r="I585" i="21"/>
  <c r="J585" i="21" s="1"/>
  <c r="I597" i="21"/>
  <c r="J597" i="21" s="1"/>
  <c r="I613" i="21"/>
  <c r="J613" i="21" s="1"/>
  <c r="I614" i="21"/>
  <c r="J614" i="21" s="1"/>
  <c r="I590" i="21"/>
  <c r="J590" i="21" s="1"/>
  <c r="I586" i="21"/>
  <c r="J586" i="21" s="1"/>
  <c r="I587" i="21"/>
  <c r="J587" i="21" s="1"/>
  <c r="I589" i="21"/>
  <c r="J589" i="21" s="1"/>
  <c r="I588" i="21"/>
  <c r="J588" i="21" s="1"/>
  <c r="I591" i="21"/>
  <c r="J591" i="21" s="1"/>
  <c r="I593" i="21"/>
  <c r="J593" i="21" s="1"/>
  <c r="I592" i="21"/>
  <c r="J592" i="21" s="1"/>
  <c r="I594" i="21"/>
  <c r="J594" i="21" s="1"/>
  <c r="I608" i="21"/>
  <c r="J608" i="21" s="1"/>
  <c r="I609" i="21"/>
  <c r="J609" i="21" s="1"/>
  <c r="I598" i="21"/>
  <c r="J598" i="21" s="1"/>
  <c r="I600" i="21"/>
  <c r="J600" i="21" s="1"/>
  <c r="I607" i="21"/>
  <c r="J607" i="21" s="1"/>
  <c r="I601" i="21"/>
  <c r="J601" i="21" s="1"/>
  <c r="I602" i="21"/>
  <c r="J602" i="21" s="1"/>
  <c r="I603" i="21"/>
  <c r="J603" i="21" s="1"/>
  <c r="I606" i="21"/>
  <c r="J606" i="21" s="1"/>
  <c r="I604" i="21"/>
  <c r="J604" i="21" s="1"/>
  <c r="I605" i="21"/>
  <c r="J605" i="21" s="1"/>
  <c r="I615" i="21"/>
  <c r="J615" i="21" s="1"/>
  <c r="I610" i="21"/>
  <c r="J610" i="21" s="1"/>
  <c r="I611" i="21"/>
  <c r="J611" i="21" s="1"/>
  <c r="I612" i="21"/>
  <c r="J612" i="21" s="1"/>
  <c r="I583" i="21"/>
  <c r="J583" i="21" s="1"/>
  <c r="I584" i="21"/>
  <c r="J584" i="21" s="1"/>
  <c r="I616" i="21"/>
  <c r="J616" i="21" s="1"/>
  <c r="I488" i="21"/>
  <c r="J488" i="21" s="1"/>
  <c r="P43" i="19"/>
  <c r="P85" i="19"/>
  <c r="P86" i="19"/>
  <c r="P87" i="19"/>
  <c r="P88" i="19"/>
  <c r="P89" i="19"/>
  <c r="P90" i="19"/>
  <c r="P91" i="19"/>
  <c r="P173" i="19"/>
  <c r="P193" i="19"/>
  <c r="P194" i="19"/>
  <c r="P195" i="19"/>
  <c r="P196" i="19"/>
  <c r="P197" i="19"/>
  <c r="P202" i="19"/>
  <c r="P203" i="19"/>
  <c r="P230" i="19"/>
  <c r="P431" i="19"/>
  <c r="P502" i="19"/>
  <c r="P503" i="19"/>
  <c r="P504" i="19"/>
  <c r="P505" i="19"/>
  <c r="P3" i="19"/>
  <c r="P4" i="19"/>
  <c r="P13" i="19"/>
  <c r="P52" i="19"/>
  <c r="P10" i="19"/>
  <c r="P11" i="19"/>
  <c r="P5" i="19"/>
  <c r="P16" i="19"/>
  <c r="P59" i="19"/>
  <c r="P60" i="19"/>
  <c r="P6" i="19"/>
  <c r="P7" i="19"/>
  <c r="P8" i="19"/>
  <c r="P61" i="19"/>
  <c r="P22" i="19"/>
  <c r="P20" i="19"/>
  <c r="P14" i="19"/>
  <c r="P9" i="19"/>
  <c r="P15" i="19"/>
  <c r="P23" i="19"/>
  <c r="P17" i="19"/>
  <c r="P25" i="19"/>
  <c r="P21" i="19"/>
  <c r="P24" i="19"/>
  <c r="P34" i="19"/>
  <c r="P27" i="19"/>
  <c r="P28" i="19"/>
  <c r="P32" i="19"/>
  <c r="P110" i="19"/>
  <c r="P35" i="19"/>
  <c r="P29" i="19"/>
  <c r="P38" i="19"/>
  <c r="P45" i="19"/>
  <c r="P30" i="19"/>
  <c r="P31" i="19"/>
  <c r="P18" i="19"/>
  <c r="P19" i="19"/>
  <c r="P40" i="19"/>
  <c r="P41" i="19"/>
  <c r="P42" i="19"/>
  <c r="P39" i="19"/>
  <c r="P36" i="19"/>
  <c r="P51" i="19"/>
  <c r="P33" i="19"/>
  <c r="P37" i="19"/>
  <c r="P26" i="19"/>
  <c r="P46" i="19"/>
  <c r="P47" i="19"/>
  <c r="P48" i="19"/>
  <c r="P49" i="19"/>
  <c r="P44" i="19"/>
  <c r="P12" i="19"/>
  <c r="P53" i="19"/>
  <c r="P57" i="19"/>
  <c r="P55" i="19"/>
  <c r="P54" i="19"/>
  <c r="P58" i="19"/>
  <c r="P56" i="19"/>
  <c r="P65" i="19"/>
  <c r="P62" i="19"/>
  <c r="P64" i="19"/>
  <c r="P80" i="19"/>
  <c r="P63" i="19"/>
  <c r="P66" i="19"/>
  <c r="P67" i="19"/>
  <c r="P68" i="19"/>
  <c r="P137" i="19"/>
  <c r="P138" i="19"/>
  <c r="P139" i="19"/>
  <c r="P70" i="19"/>
  <c r="P69" i="19"/>
  <c r="P71" i="19"/>
  <c r="P72" i="19"/>
  <c r="P73" i="19"/>
  <c r="P74" i="19"/>
  <c r="P75" i="19"/>
  <c r="P76" i="19"/>
  <c r="P77" i="19"/>
  <c r="P78" i="19"/>
  <c r="P79" i="19"/>
  <c r="P82" i="19"/>
  <c r="P97" i="19"/>
  <c r="P92" i="19"/>
  <c r="P81" i="19"/>
  <c r="P83" i="19"/>
  <c r="P84" i="19"/>
  <c r="P117" i="19"/>
  <c r="P98" i="19"/>
  <c r="P128" i="19"/>
  <c r="P96" i="19"/>
  <c r="P94" i="19"/>
  <c r="P99" i="19"/>
  <c r="P95" i="19"/>
  <c r="P93" i="19"/>
  <c r="P114" i="19"/>
  <c r="P105" i="19"/>
  <c r="P100" i="19"/>
  <c r="P101" i="19"/>
  <c r="P102" i="19"/>
  <c r="P103" i="19"/>
  <c r="P104" i="19"/>
  <c r="P109" i="19"/>
  <c r="P106" i="19"/>
  <c r="P115" i="19"/>
  <c r="P107" i="19"/>
  <c r="P108" i="19"/>
  <c r="P113" i="19"/>
  <c r="P120" i="19"/>
  <c r="P118" i="19"/>
  <c r="P116" i="19"/>
  <c r="P112" i="19"/>
  <c r="P111" i="19"/>
  <c r="P121" i="19"/>
  <c r="P122" i="19"/>
  <c r="P119" i="19"/>
  <c r="P124" i="19"/>
  <c r="P126" i="19"/>
  <c r="P146" i="19"/>
  <c r="P50" i="19"/>
  <c r="P133" i="19"/>
  <c r="P134" i="19"/>
  <c r="P159" i="19"/>
  <c r="P160" i="19"/>
  <c r="P130" i="19"/>
  <c r="P135" i="19"/>
  <c r="P132" i="19"/>
  <c r="P129" i="19"/>
  <c r="P131" i="19"/>
  <c r="P164" i="19"/>
  <c r="P136" i="19"/>
  <c r="P140" i="19"/>
  <c r="P142" i="19"/>
  <c r="P143" i="19"/>
  <c r="P144" i="19"/>
  <c r="P141" i="19"/>
  <c r="P156" i="19"/>
  <c r="P147" i="19"/>
  <c r="P145" i="19"/>
  <c r="P152" i="19"/>
  <c r="P153" i="19"/>
  <c r="P150" i="19"/>
  <c r="P148" i="19"/>
  <c r="P149" i="19"/>
  <c r="P151" i="19"/>
  <c r="P157" i="19"/>
  <c r="P154" i="19"/>
  <c r="P155" i="19"/>
  <c r="P162" i="19"/>
  <c r="P158" i="19"/>
  <c r="P161" i="19"/>
  <c r="P165" i="19"/>
  <c r="P163" i="19"/>
  <c r="P166" i="19"/>
  <c r="P167" i="19"/>
  <c r="P168" i="19"/>
  <c r="P127" i="19"/>
  <c r="P172" i="19"/>
  <c r="P174" i="19"/>
  <c r="P188" i="19"/>
  <c r="P189" i="19"/>
  <c r="P256" i="19"/>
  <c r="P179" i="19"/>
  <c r="P175" i="19"/>
  <c r="P176" i="19"/>
  <c r="P177" i="19"/>
  <c r="P180" i="19"/>
  <c r="P181" i="19"/>
  <c r="P183" i="19"/>
  <c r="P182" i="19"/>
  <c r="P184" i="19"/>
  <c r="P185" i="19"/>
  <c r="P186" i="19"/>
  <c r="P187" i="19"/>
  <c r="P191" i="19"/>
  <c r="P190" i="19"/>
  <c r="P192" i="19"/>
  <c r="P178" i="19"/>
  <c r="P207" i="19"/>
  <c r="P201" i="19"/>
  <c r="P198" i="19"/>
  <c r="P199" i="19"/>
  <c r="P200" i="19"/>
  <c r="P240" i="19"/>
  <c r="P204" i="19"/>
  <c r="P205" i="19"/>
  <c r="P206" i="19"/>
  <c r="P208" i="19"/>
  <c r="P209" i="19"/>
  <c r="P246" i="19"/>
  <c r="P210" i="19"/>
  <c r="P211" i="19"/>
  <c r="P212" i="19"/>
  <c r="P214" i="19"/>
  <c r="P221" i="19"/>
  <c r="P213" i="19"/>
  <c r="P231" i="19"/>
  <c r="P219" i="19"/>
  <c r="P248" i="19"/>
  <c r="P226" i="19"/>
  <c r="P218" i="19"/>
  <c r="P220" i="19"/>
  <c r="P222" i="19"/>
  <c r="P223" i="19"/>
  <c r="P224" i="19"/>
  <c r="P225" i="19"/>
  <c r="P227" i="19"/>
  <c r="P229" i="19"/>
  <c r="P228" i="19"/>
  <c r="P234" i="19"/>
  <c r="P236" i="19"/>
  <c r="P232" i="19"/>
  <c r="P233" i="19"/>
  <c r="P235" i="19"/>
  <c r="P237" i="19"/>
  <c r="P239" i="19"/>
  <c r="P241" i="19"/>
  <c r="P243" i="19"/>
  <c r="P242" i="19"/>
  <c r="P250" i="19"/>
  <c r="P247" i="19"/>
  <c r="P245" i="19"/>
  <c r="P249" i="19"/>
  <c r="P255" i="19"/>
  <c r="P252" i="19"/>
  <c r="P251" i="19"/>
  <c r="P267" i="19"/>
  <c r="P268" i="19"/>
  <c r="P253" i="19"/>
  <c r="P254" i="19"/>
  <c r="P257" i="19"/>
  <c r="P263" i="19"/>
  <c r="P282" i="19"/>
  <c r="P258" i="19"/>
  <c r="P259" i="19"/>
  <c r="P269" i="19"/>
  <c r="P260" i="19"/>
  <c r="P261" i="19"/>
  <c r="P262" i="19"/>
  <c r="P270" i="19"/>
  <c r="P271" i="19"/>
  <c r="P264" i="19"/>
  <c r="P265" i="19"/>
  <c r="P266" i="19"/>
  <c r="P272" i="19"/>
  <c r="P273" i="19"/>
  <c r="P274" i="19"/>
  <c r="P275" i="19"/>
  <c r="P277" i="19"/>
  <c r="P283" i="19"/>
  <c r="P284" i="19"/>
  <c r="P293" i="19"/>
  <c r="P289" i="19"/>
  <c r="P287" i="19"/>
  <c r="P290" i="19"/>
  <c r="P291" i="19"/>
  <c r="P295" i="19"/>
  <c r="P292" i="19"/>
  <c r="P298" i="19"/>
  <c r="P294" i="19"/>
  <c r="P297" i="19"/>
  <c r="P296" i="19"/>
  <c r="P299" i="19"/>
  <c r="P300" i="19"/>
  <c r="P305" i="19"/>
  <c r="P301" i="19"/>
  <c r="P303" i="19"/>
  <c r="P302" i="19"/>
  <c r="P304" i="19"/>
  <c r="P307" i="19"/>
  <c r="P309" i="19"/>
  <c r="P308" i="19"/>
  <c r="P310" i="19"/>
  <c r="P311" i="19"/>
  <c r="P312" i="19"/>
  <c r="P288" i="19"/>
  <c r="P313" i="19"/>
  <c r="P314" i="19"/>
  <c r="P315" i="19"/>
  <c r="P316" i="19"/>
  <c r="P317" i="19"/>
  <c r="P318" i="19"/>
  <c r="P319" i="19"/>
  <c r="P321" i="19"/>
  <c r="P320" i="19"/>
  <c r="P322" i="19"/>
  <c r="P323" i="19"/>
  <c r="P324" i="19"/>
  <c r="P328" i="19"/>
  <c r="P325" i="19"/>
  <c r="P344" i="19"/>
  <c r="P326" i="19"/>
  <c r="P327" i="19"/>
  <c r="P330" i="19"/>
  <c r="P329" i="19"/>
  <c r="P331" i="19"/>
  <c r="P332" i="19"/>
  <c r="P343" i="19"/>
  <c r="P336" i="19"/>
  <c r="P337" i="19"/>
  <c r="P338" i="19"/>
  <c r="P339" i="19"/>
  <c r="P341" i="19"/>
  <c r="P340" i="19"/>
  <c r="P342" i="19"/>
  <c r="P345" i="19"/>
  <c r="P346" i="19"/>
  <c r="P123" i="19"/>
  <c r="P125" i="19"/>
  <c r="P169" i="19"/>
  <c r="P170" i="19"/>
  <c r="P171" i="19"/>
  <c r="P238" i="19"/>
  <c r="P244" i="19"/>
  <c r="P276" i="19"/>
  <c r="P306" i="19"/>
  <c r="P367" i="19"/>
  <c r="P348" i="19"/>
  <c r="P368" i="19"/>
  <c r="P374" i="19"/>
  <c r="P375" i="19"/>
  <c r="P349" i="19"/>
  <c r="P364" i="19"/>
  <c r="P352" i="19"/>
  <c r="P350" i="19"/>
  <c r="P351" i="19"/>
  <c r="P373" i="19"/>
  <c r="P354" i="19"/>
  <c r="P359" i="19"/>
  <c r="P353" i="19"/>
  <c r="P355" i="19"/>
  <c r="P360" i="19"/>
  <c r="P366" i="19"/>
  <c r="P362" i="19"/>
  <c r="P363" i="19"/>
  <c r="P370" i="19"/>
  <c r="P369" i="19"/>
  <c r="P365" i="19"/>
  <c r="P371" i="19"/>
  <c r="P372" i="19"/>
  <c r="P377" i="19"/>
  <c r="P361" i="19"/>
  <c r="P376" i="19"/>
  <c r="P390" i="19"/>
  <c r="P356" i="19"/>
  <c r="P381" i="19"/>
  <c r="P383" i="19"/>
  <c r="P384" i="19"/>
  <c r="P378" i="19"/>
  <c r="P380" i="19"/>
  <c r="P379" i="19"/>
  <c r="P394" i="19"/>
  <c r="P382" i="19"/>
  <c r="P388" i="19"/>
  <c r="P393" i="19"/>
  <c r="P385" i="19"/>
  <c r="P386" i="19"/>
  <c r="P387" i="19"/>
  <c r="P391" i="19"/>
  <c r="P392" i="19"/>
  <c r="P398" i="19"/>
  <c r="P399" i="19"/>
  <c r="P400" i="19"/>
  <c r="P389" i="19"/>
  <c r="P402" i="19"/>
  <c r="P404" i="19"/>
  <c r="P395" i="19"/>
  <c r="P396" i="19"/>
  <c r="P397" i="19"/>
  <c r="P403" i="19"/>
  <c r="P401" i="19"/>
  <c r="P405" i="19"/>
  <c r="P406" i="19"/>
  <c r="P407" i="19"/>
  <c r="P408" i="19"/>
  <c r="P409" i="19"/>
  <c r="P410" i="19"/>
  <c r="P411" i="19"/>
  <c r="P412" i="19"/>
  <c r="P413" i="19"/>
  <c r="P414" i="19"/>
  <c r="P428" i="19"/>
  <c r="P429" i="19"/>
  <c r="P415" i="19"/>
  <c r="P417" i="19"/>
  <c r="P418" i="19"/>
  <c r="P419" i="19"/>
  <c r="P416" i="19"/>
  <c r="P423" i="19"/>
  <c r="P420" i="19"/>
  <c r="P424" i="19"/>
  <c r="P426" i="19"/>
  <c r="P425" i="19"/>
  <c r="P421" i="19"/>
  <c r="P422" i="19"/>
  <c r="P427" i="19"/>
  <c r="P430" i="19"/>
  <c r="P215" i="19"/>
  <c r="P216" i="19"/>
  <c r="P217" i="19"/>
  <c r="P278" i="19"/>
  <c r="P279" i="19"/>
  <c r="P280" i="19"/>
  <c r="P281" i="19"/>
  <c r="P285" i="19"/>
  <c r="P286" i="19"/>
  <c r="P333" i="19"/>
  <c r="P334" i="19"/>
  <c r="P335" i="19"/>
  <c r="P347" i="19"/>
  <c r="P357" i="19"/>
  <c r="P358" i="19"/>
  <c r="N215" i="19"/>
  <c r="N216" i="19"/>
  <c r="N217" i="19"/>
  <c r="N278" i="19"/>
  <c r="N279" i="19"/>
  <c r="N280" i="19"/>
  <c r="N281" i="19"/>
  <c r="N285" i="19"/>
  <c r="N286" i="19"/>
  <c r="N333" i="19"/>
  <c r="N334" i="19"/>
  <c r="N335" i="19"/>
  <c r="N347" i="19"/>
  <c r="N357" i="19"/>
  <c r="N358" i="19"/>
  <c r="O215" i="19"/>
  <c r="F9" i="24" s="1"/>
  <c r="O216" i="19"/>
  <c r="F17" i="24" s="1"/>
  <c r="O217" i="19"/>
  <c r="O278" i="19"/>
  <c r="O279" i="19"/>
  <c r="O280" i="19"/>
  <c r="O281" i="19"/>
  <c r="O285" i="19"/>
  <c r="O286" i="19"/>
  <c r="O333" i="19"/>
  <c r="O334" i="19"/>
  <c r="O335" i="19"/>
  <c r="O347" i="19"/>
  <c r="O357" i="19"/>
  <c r="O358" i="19"/>
  <c r="T215" i="19"/>
  <c r="T216" i="19"/>
  <c r="T217" i="19"/>
  <c r="T278" i="19"/>
  <c r="T279" i="19"/>
  <c r="T280" i="19"/>
  <c r="T281" i="19"/>
  <c r="T285" i="19"/>
  <c r="T286" i="19"/>
  <c r="T333" i="19"/>
  <c r="T334" i="19"/>
  <c r="T335" i="19"/>
  <c r="T347" i="19"/>
  <c r="T357" i="19"/>
  <c r="T358" i="19"/>
  <c r="N367" i="19"/>
  <c r="N348" i="19"/>
  <c r="N368" i="19"/>
  <c r="N374" i="19"/>
  <c r="N375" i="19"/>
  <c r="N349" i="19"/>
  <c r="N364" i="19"/>
  <c r="N352" i="19"/>
  <c r="N350" i="19"/>
  <c r="N351" i="19"/>
  <c r="N373" i="19"/>
  <c r="N354" i="19"/>
  <c r="N359" i="19"/>
  <c r="N353" i="19"/>
  <c r="N355" i="19"/>
  <c r="N360" i="19"/>
  <c r="N366" i="19"/>
  <c r="N362" i="19"/>
  <c r="N363" i="19"/>
  <c r="N370" i="19"/>
  <c r="N369" i="19"/>
  <c r="N365" i="19"/>
  <c r="N371" i="19"/>
  <c r="N372" i="19"/>
  <c r="N377" i="19"/>
  <c r="N361" i="19"/>
  <c r="N376" i="19"/>
  <c r="N390" i="19"/>
  <c r="N356" i="19"/>
  <c r="N381" i="19"/>
  <c r="N383" i="19"/>
  <c r="N384" i="19"/>
  <c r="N378" i="19"/>
  <c r="N380" i="19"/>
  <c r="N379" i="19"/>
  <c r="N394" i="19"/>
  <c r="N382" i="19"/>
  <c r="N388" i="19"/>
  <c r="N393" i="19"/>
  <c r="N385" i="19"/>
  <c r="N386" i="19"/>
  <c r="N387" i="19"/>
  <c r="N391" i="19"/>
  <c r="N392" i="19"/>
  <c r="N398" i="19"/>
  <c r="N399" i="19"/>
  <c r="N400" i="19"/>
  <c r="N389" i="19"/>
  <c r="N402" i="19"/>
  <c r="N404" i="19"/>
  <c r="N395" i="19"/>
  <c r="N396" i="19"/>
  <c r="N397" i="19"/>
  <c r="N403" i="19"/>
  <c r="N401" i="19"/>
  <c r="N405" i="19"/>
  <c r="N406" i="19"/>
  <c r="N407" i="19"/>
  <c r="N408" i="19"/>
  <c r="N409" i="19"/>
  <c r="N410" i="19"/>
  <c r="N411" i="19"/>
  <c r="N412" i="19"/>
  <c r="N413" i="19"/>
  <c r="N414" i="19"/>
  <c r="N428" i="19"/>
  <c r="N429" i="19"/>
  <c r="N415" i="19"/>
  <c r="N417" i="19"/>
  <c r="N418" i="19"/>
  <c r="N419" i="19"/>
  <c r="N416" i="19"/>
  <c r="N423" i="19"/>
  <c r="N420" i="19"/>
  <c r="N424" i="19"/>
  <c r="N426" i="19"/>
  <c r="N425" i="19"/>
  <c r="N421" i="19"/>
  <c r="N422" i="19"/>
  <c r="N427" i="19"/>
  <c r="N430" i="19"/>
  <c r="O367" i="19"/>
  <c r="O348" i="19"/>
  <c r="O368" i="19"/>
  <c r="O374" i="19"/>
  <c r="O375" i="19"/>
  <c r="O349" i="19"/>
  <c r="O364" i="19"/>
  <c r="O352" i="19"/>
  <c r="O350" i="19"/>
  <c r="O351" i="19"/>
  <c r="O373" i="19"/>
  <c r="O354" i="19"/>
  <c r="O359" i="19"/>
  <c r="O353" i="19"/>
  <c r="O355" i="19"/>
  <c r="O360" i="19"/>
  <c r="O366" i="19"/>
  <c r="O362" i="19"/>
  <c r="O363" i="19"/>
  <c r="O370" i="19"/>
  <c r="O369" i="19"/>
  <c r="O365" i="19"/>
  <c r="O371" i="19"/>
  <c r="O372" i="19"/>
  <c r="O377" i="19"/>
  <c r="O361" i="19"/>
  <c r="O376" i="19"/>
  <c r="O390" i="19"/>
  <c r="O356" i="19"/>
  <c r="O381" i="19"/>
  <c r="O383" i="19"/>
  <c r="O384" i="19"/>
  <c r="O378" i="19"/>
  <c r="O380" i="19"/>
  <c r="O379" i="19"/>
  <c r="O394" i="19"/>
  <c r="O382" i="19"/>
  <c r="O388" i="19"/>
  <c r="O393" i="19"/>
  <c r="O385" i="19"/>
  <c r="O386" i="19"/>
  <c r="O387" i="19"/>
  <c r="O391" i="19"/>
  <c r="O392" i="19"/>
  <c r="O398" i="19"/>
  <c r="O399" i="19"/>
  <c r="O400" i="19"/>
  <c r="O389" i="19"/>
  <c r="O402" i="19"/>
  <c r="O404" i="19"/>
  <c r="O395" i="19"/>
  <c r="O396" i="19"/>
  <c r="O397" i="19"/>
  <c r="O403" i="19"/>
  <c r="O401" i="19"/>
  <c r="O405" i="19"/>
  <c r="O406" i="19"/>
  <c r="O407" i="19"/>
  <c r="O408" i="19"/>
  <c r="O409" i="19"/>
  <c r="O410" i="19"/>
  <c r="O411" i="19"/>
  <c r="O412" i="19"/>
  <c r="O413" i="19"/>
  <c r="O414" i="19"/>
  <c r="O428" i="19"/>
  <c r="O429" i="19"/>
  <c r="O415" i="19"/>
  <c r="O417" i="19"/>
  <c r="O418" i="19"/>
  <c r="O419" i="19"/>
  <c r="O416" i="19"/>
  <c r="O423" i="19"/>
  <c r="O420" i="19"/>
  <c r="O424" i="19"/>
  <c r="O426" i="19"/>
  <c r="O425" i="19"/>
  <c r="O421" i="19"/>
  <c r="O422" i="19"/>
  <c r="O427" i="19"/>
  <c r="O430" i="19"/>
  <c r="T367" i="19"/>
  <c r="T348" i="19"/>
  <c r="T368" i="19"/>
  <c r="T374" i="19"/>
  <c r="T375" i="19"/>
  <c r="T349" i="19"/>
  <c r="T364" i="19"/>
  <c r="T352" i="19"/>
  <c r="T350" i="19"/>
  <c r="T351" i="19"/>
  <c r="T373" i="19"/>
  <c r="T354" i="19"/>
  <c r="T359" i="19"/>
  <c r="T353" i="19"/>
  <c r="T355" i="19"/>
  <c r="T360" i="19"/>
  <c r="T366" i="19"/>
  <c r="T362" i="19"/>
  <c r="T363" i="19"/>
  <c r="T370" i="19"/>
  <c r="T369" i="19"/>
  <c r="T365" i="19"/>
  <c r="T371" i="19"/>
  <c r="T372" i="19"/>
  <c r="T377" i="19"/>
  <c r="T361" i="19"/>
  <c r="T376" i="19"/>
  <c r="T390" i="19"/>
  <c r="T356" i="19"/>
  <c r="T381" i="19"/>
  <c r="T383" i="19"/>
  <c r="T384" i="19"/>
  <c r="T378" i="19"/>
  <c r="T380" i="19"/>
  <c r="T379" i="19"/>
  <c r="T394" i="19"/>
  <c r="T382" i="19"/>
  <c r="T388" i="19"/>
  <c r="T393" i="19"/>
  <c r="T385" i="19"/>
  <c r="T386" i="19"/>
  <c r="T387" i="19"/>
  <c r="T391" i="19"/>
  <c r="T392" i="19"/>
  <c r="T398" i="19"/>
  <c r="T399" i="19"/>
  <c r="T400" i="19"/>
  <c r="T389" i="19"/>
  <c r="T402" i="19"/>
  <c r="T404" i="19"/>
  <c r="T395" i="19"/>
  <c r="T396" i="19"/>
  <c r="T397" i="19"/>
  <c r="T403" i="19"/>
  <c r="T401" i="19"/>
  <c r="T405" i="19"/>
  <c r="T406" i="19"/>
  <c r="T407" i="19"/>
  <c r="T408" i="19"/>
  <c r="T409" i="19"/>
  <c r="T410" i="19"/>
  <c r="T411" i="19"/>
  <c r="T412" i="19"/>
  <c r="T413" i="19"/>
  <c r="T414" i="19"/>
  <c r="T428" i="19"/>
  <c r="T429" i="19"/>
  <c r="T415" i="19"/>
  <c r="T417" i="19"/>
  <c r="T418" i="19"/>
  <c r="T419" i="19"/>
  <c r="T416" i="19"/>
  <c r="T423" i="19"/>
  <c r="T420" i="19"/>
  <c r="T424" i="19"/>
  <c r="T426" i="19"/>
  <c r="T425" i="19"/>
  <c r="T421" i="19"/>
  <c r="T422" i="19"/>
  <c r="T427" i="19"/>
  <c r="T430" i="19"/>
  <c r="I317" i="21"/>
  <c r="J317" i="21" s="1"/>
  <c r="I335" i="21"/>
  <c r="J335" i="21" s="1"/>
  <c r="I341" i="21"/>
  <c r="J341" i="21" s="1"/>
  <c r="I342" i="21"/>
  <c r="J342" i="21" s="1"/>
  <c r="I318" i="21"/>
  <c r="J318" i="21" s="1"/>
  <c r="I331" i="21"/>
  <c r="J331" i="21" s="1"/>
  <c r="I321" i="21"/>
  <c r="J321" i="21" s="1"/>
  <c r="I319" i="21"/>
  <c r="J319" i="21" s="1"/>
  <c r="I320" i="21"/>
  <c r="J320" i="21" s="1"/>
  <c r="I340" i="21"/>
  <c r="J340" i="21" s="1"/>
  <c r="I323" i="21"/>
  <c r="J323" i="21" s="1"/>
  <c r="I326" i="21"/>
  <c r="J326" i="21" s="1"/>
  <c r="I322" i="21"/>
  <c r="J322" i="21" s="1"/>
  <c r="I324" i="21"/>
  <c r="J324" i="21" s="1"/>
  <c r="I327" i="21"/>
  <c r="J327" i="21" s="1"/>
  <c r="I333" i="21"/>
  <c r="J333" i="21" s="1"/>
  <c r="I329" i="21"/>
  <c r="J329" i="21" s="1"/>
  <c r="I330" i="21"/>
  <c r="J330" i="21" s="1"/>
  <c r="I337" i="21"/>
  <c r="J337" i="21" s="1"/>
  <c r="I336" i="21"/>
  <c r="J336" i="21" s="1"/>
  <c r="I332" i="21"/>
  <c r="J332" i="21" s="1"/>
  <c r="I338" i="21"/>
  <c r="J338" i="21" s="1"/>
  <c r="I339" i="21"/>
  <c r="J339" i="21" s="1"/>
  <c r="I344" i="21"/>
  <c r="J344" i="21" s="1"/>
  <c r="I328" i="21"/>
  <c r="J328" i="21" s="1"/>
  <c r="I343" i="21"/>
  <c r="J343" i="21" s="1"/>
  <c r="I357" i="21"/>
  <c r="J357" i="21" s="1"/>
  <c r="I325" i="21"/>
  <c r="J325" i="21" s="1"/>
  <c r="I348" i="21"/>
  <c r="J348" i="21" s="1"/>
  <c r="I350" i="21"/>
  <c r="J350" i="21" s="1"/>
  <c r="I351" i="21"/>
  <c r="J351" i="21" s="1"/>
  <c r="I345" i="21"/>
  <c r="J345" i="21" s="1"/>
  <c r="I347" i="21"/>
  <c r="J347" i="21" s="1"/>
  <c r="I346" i="21"/>
  <c r="J346" i="21" s="1"/>
  <c r="I361" i="21"/>
  <c r="J361" i="21" s="1"/>
  <c r="I349" i="21"/>
  <c r="J349" i="21" s="1"/>
  <c r="I355" i="21"/>
  <c r="J355" i="21" s="1"/>
  <c r="I360" i="21"/>
  <c r="J360" i="21" s="1"/>
  <c r="I352" i="21"/>
  <c r="J352" i="21" s="1"/>
  <c r="I353" i="21"/>
  <c r="J353" i="21" s="1"/>
  <c r="I354" i="21"/>
  <c r="J354" i="21" s="1"/>
  <c r="I358" i="21"/>
  <c r="J358" i="21" s="1"/>
  <c r="I359" i="21"/>
  <c r="J359" i="21" s="1"/>
  <c r="I365" i="21"/>
  <c r="J365" i="21" s="1"/>
  <c r="I366" i="21"/>
  <c r="J366" i="21" s="1"/>
  <c r="I367" i="21"/>
  <c r="J367" i="21" s="1"/>
  <c r="I356" i="21"/>
  <c r="J356" i="21" s="1"/>
  <c r="I369" i="21"/>
  <c r="J369" i="21" s="1"/>
  <c r="I371" i="21"/>
  <c r="J371" i="21" s="1"/>
  <c r="I362" i="21"/>
  <c r="J362" i="21" s="1"/>
  <c r="I363" i="21"/>
  <c r="J363" i="21" s="1"/>
  <c r="I364" i="21"/>
  <c r="J364" i="21" s="1"/>
  <c r="I370" i="21"/>
  <c r="J370" i="21" s="1"/>
  <c r="I368" i="21"/>
  <c r="J368" i="21" s="1"/>
  <c r="I372" i="21"/>
  <c r="J372" i="21" s="1"/>
  <c r="I373" i="21"/>
  <c r="J373" i="21" s="1"/>
  <c r="I374" i="21"/>
  <c r="J374" i="21" s="1"/>
  <c r="I375" i="21"/>
  <c r="J375" i="21" s="1"/>
  <c r="I376" i="21"/>
  <c r="J376" i="21" s="1"/>
  <c r="I377" i="21"/>
  <c r="J377" i="21" s="1"/>
  <c r="I378" i="21"/>
  <c r="J378" i="21" s="1"/>
  <c r="I379" i="21"/>
  <c r="J379" i="21" s="1"/>
  <c r="I380" i="21"/>
  <c r="J380" i="21" s="1"/>
  <c r="I381" i="21"/>
  <c r="J381" i="21" s="1"/>
  <c r="I395" i="21"/>
  <c r="J395" i="21" s="1"/>
  <c r="I396" i="21"/>
  <c r="J396" i="21" s="1"/>
  <c r="I382" i="21"/>
  <c r="J382" i="21" s="1"/>
  <c r="I384" i="21"/>
  <c r="J384" i="21" s="1"/>
  <c r="I385" i="21"/>
  <c r="J385" i="21" s="1"/>
  <c r="I386" i="21"/>
  <c r="J386" i="21" s="1"/>
  <c r="I383" i="21"/>
  <c r="J383" i="21" s="1"/>
  <c r="I390" i="21"/>
  <c r="J390" i="21" s="1"/>
  <c r="I387" i="21"/>
  <c r="J387" i="21" s="1"/>
  <c r="I391" i="21"/>
  <c r="J391" i="21" s="1"/>
  <c r="I393" i="21"/>
  <c r="J393" i="21" s="1"/>
  <c r="I392" i="21"/>
  <c r="J392" i="21" s="1"/>
  <c r="I388" i="21"/>
  <c r="J388" i="21" s="1"/>
  <c r="I389" i="21"/>
  <c r="J389" i="21" s="1"/>
  <c r="I394" i="21"/>
  <c r="J394" i="21" s="1"/>
  <c r="I397" i="21"/>
  <c r="J397" i="21" s="1"/>
  <c r="I334" i="21"/>
  <c r="J334" i="21" s="1"/>
  <c r="K315" i="21"/>
  <c r="K316" i="21"/>
  <c r="K314" i="21"/>
  <c r="K313" i="21"/>
  <c r="K310" i="21"/>
  <c r="K311" i="21"/>
  <c r="K309" i="21"/>
  <c r="K312" i="21"/>
  <c r="K308" i="21"/>
  <c r="N2" i="19"/>
  <c r="N43" i="19"/>
  <c r="N85" i="19"/>
  <c r="N86" i="19"/>
  <c r="N87" i="19"/>
  <c r="N88" i="19"/>
  <c r="N89" i="19"/>
  <c r="N90" i="19"/>
  <c r="N91" i="19"/>
  <c r="N173" i="19"/>
  <c r="N193" i="19"/>
  <c r="N194" i="19"/>
  <c r="N195" i="19"/>
  <c r="N196" i="19"/>
  <c r="N197" i="19"/>
  <c r="N202" i="19"/>
  <c r="N203" i="19"/>
  <c r="N230" i="19"/>
  <c r="N431" i="19"/>
  <c r="N502" i="19"/>
  <c r="N503" i="19"/>
  <c r="N504" i="19"/>
  <c r="N505" i="19"/>
  <c r="N3" i="19"/>
  <c r="N4" i="19"/>
  <c r="N13" i="19"/>
  <c r="N52" i="19"/>
  <c r="N10" i="19"/>
  <c r="N11" i="19"/>
  <c r="N5" i="19"/>
  <c r="N16" i="19"/>
  <c r="N59" i="19"/>
  <c r="N60" i="19"/>
  <c r="N6" i="19"/>
  <c r="N7" i="19"/>
  <c r="N8" i="19"/>
  <c r="N61" i="19"/>
  <c r="N22" i="19"/>
  <c r="N20" i="19"/>
  <c r="N14" i="19"/>
  <c r="N9" i="19"/>
  <c r="N15" i="19"/>
  <c r="N23" i="19"/>
  <c r="N17" i="19"/>
  <c r="N25" i="19"/>
  <c r="N21" i="19"/>
  <c r="N24" i="19"/>
  <c r="N34" i="19"/>
  <c r="N27" i="19"/>
  <c r="N28" i="19"/>
  <c r="N32" i="19"/>
  <c r="N110" i="19"/>
  <c r="N35" i="19"/>
  <c r="N29" i="19"/>
  <c r="N38" i="19"/>
  <c r="N45" i="19"/>
  <c r="N30" i="19"/>
  <c r="N31" i="19"/>
  <c r="N18" i="19"/>
  <c r="N19" i="19"/>
  <c r="N40" i="19"/>
  <c r="N41" i="19"/>
  <c r="N42" i="19"/>
  <c r="N39" i="19"/>
  <c r="N36" i="19"/>
  <c r="N51" i="19"/>
  <c r="N33" i="19"/>
  <c r="N37" i="19"/>
  <c r="N26" i="19"/>
  <c r="N46" i="19"/>
  <c r="N47" i="19"/>
  <c r="N48" i="19"/>
  <c r="N49" i="19"/>
  <c r="N44" i="19"/>
  <c r="N12" i="19"/>
  <c r="N53" i="19"/>
  <c r="N57" i="19"/>
  <c r="N55" i="19"/>
  <c r="N54" i="19"/>
  <c r="N58" i="19"/>
  <c r="N56" i="19"/>
  <c r="N65" i="19"/>
  <c r="N62" i="19"/>
  <c r="N64" i="19"/>
  <c r="N80" i="19"/>
  <c r="N63" i="19"/>
  <c r="N66" i="19"/>
  <c r="N67" i="19"/>
  <c r="N68" i="19"/>
  <c r="N137" i="19"/>
  <c r="N138" i="19"/>
  <c r="N139" i="19"/>
  <c r="N70" i="19"/>
  <c r="N69" i="19"/>
  <c r="N71" i="19"/>
  <c r="N72" i="19"/>
  <c r="N73" i="19"/>
  <c r="N74" i="19"/>
  <c r="N75" i="19"/>
  <c r="N76" i="19"/>
  <c r="N77" i="19"/>
  <c r="N78" i="19"/>
  <c r="N79" i="19"/>
  <c r="N82" i="19"/>
  <c r="N97" i="19"/>
  <c r="N92" i="19"/>
  <c r="N81" i="19"/>
  <c r="N83" i="19"/>
  <c r="N84" i="19"/>
  <c r="N117" i="19"/>
  <c r="N98" i="19"/>
  <c r="N128" i="19"/>
  <c r="N96" i="19"/>
  <c r="N94" i="19"/>
  <c r="N99" i="19"/>
  <c r="N95" i="19"/>
  <c r="N93" i="19"/>
  <c r="N114" i="19"/>
  <c r="N105" i="19"/>
  <c r="N100" i="19"/>
  <c r="N101" i="19"/>
  <c r="N102" i="19"/>
  <c r="N103" i="19"/>
  <c r="N104" i="19"/>
  <c r="N109" i="19"/>
  <c r="N106" i="19"/>
  <c r="N115" i="19"/>
  <c r="N107" i="19"/>
  <c r="N108" i="19"/>
  <c r="N113" i="19"/>
  <c r="N120" i="19"/>
  <c r="N118" i="19"/>
  <c r="N116" i="19"/>
  <c r="N112" i="19"/>
  <c r="N111" i="19"/>
  <c r="N121" i="19"/>
  <c r="N122" i="19"/>
  <c r="N119" i="19"/>
  <c r="N124" i="19"/>
  <c r="N126" i="19"/>
  <c r="N146" i="19"/>
  <c r="N50" i="19"/>
  <c r="N133" i="19"/>
  <c r="N134" i="19"/>
  <c r="N159" i="19"/>
  <c r="N160" i="19"/>
  <c r="N130" i="19"/>
  <c r="N135" i="19"/>
  <c r="N132" i="19"/>
  <c r="N129" i="19"/>
  <c r="N131" i="19"/>
  <c r="N164" i="19"/>
  <c r="N136" i="19"/>
  <c r="N140" i="19"/>
  <c r="N142" i="19"/>
  <c r="N143" i="19"/>
  <c r="N144" i="19"/>
  <c r="N141" i="19"/>
  <c r="N156" i="19"/>
  <c r="N147" i="19"/>
  <c r="N145" i="19"/>
  <c r="N152" i="19"/>
  <c r="N153" i="19"/>
  <c r="N150" i="19"/>
  <c r="N148" i="19"/>
  <c r="N149" i="19"/>
  <c r="N151" i="19"/>
  <c r="N157" i="19"/>
  <c r="N154" i="19"/>
  <c r="N155" i="19"/>
  <c r="N162" i="19"/>
  <c r="N158" i="19"/>
  <c r="N161" i="19"/>
  <c r="N165" i="19"/>
  <c r="N163" i="19"/>
  <c r="N166" i="19"/>
  <c r="N167" i="19"/>
  <c r="N168" i="19"/>
  <c r="N127" i="19"/>
  <c r="N172" i="19"/>
  <c r="N174" i="19"/>
  <c r="N188" i="19"/>
  <c r="N189" i="19"/>
  <c r="N256" i="19"/>
  <c r="N179" i="19"/>
  <c r="N175" i="19"/>
  <c r="N176" i="19"/>
  <c r="N177" i="19"/>
  <c r="N180" i="19"/>
  <c r="N181" i="19"/>
  <c r="N183" i="19"/>
  <c r="N182" i="19"/>
  <c r="N184" i="19"/>
  <c r="N185" i="19"/>
  <c r="N186" i="19"/>
  <c r="N187" i="19"/>
  <c r="N191" i="19"/>
  <c r="N190" i="19"/>
  <c r="N192" i="19"/>
  <c r="N178" i="19"/>
  <c r="N207" i="19"/>
  <c r="N201" i="19"/>
  <c r="N198" i="19"/>
  <c r="N199" i="19"/>
  <c r="N200" i="19"/>
  <c r="N240" i="19"/>
  <c r="N204" i="19"/>
  <c r="N205" i="19"/>
  <c r="N206" i="19"/>
  <c r="N208" i="19"/>
  <c r="N209" i="19"/>
  <c r="N246" i="19"/>
  <c r="N210" i="19"/>
  <c r="N211" i="19"/>
  <c r="N212" i="19"/>
  <c r="N214" i="19"/>
  <c r="N221" i="19"/>
  <c r="N213" i="19"/>
  <c r="N231" i="19"/>
  <c r="N219" i="19"/>
  <c r="N248" i="19"/>
  <c r="N226" i="19"/>
  <c r="N218" i="19"/>
  <c r="N220" i="19"/>
  <c r="N222" i="19"/>
  <c r="N223" i="19"/>
  <c r="N224" i="19"/>
  <c r="N225" i="19"/>
  <c r="N227" i="19"/>
  <c r="N229" i="19"/>
  <c r="N228" i="19"/>
  <c r="N234" i="19"/>
  <c r="N236" i="19"/>
  <c r="N232" i="19"/>
  <c r="N233" i="19"/>
  <c r="N235" i="19"/>
  <c r="N237" i="19"/>
  <c r="N239" i="19"/>
  <c r="N241" i="19"/>
  <c r="N243" i="19"/>
  <c r="N242" i="19"/>
  <c r="N250" i="19"/>
  <c r="N247" i="19"/>
  <c r="N245" i="19"/>
  <c r="N249" i="19"/>
  <c r="N255" i="19"/>
  <c r="N252" i="19"/>
  <c r="N251" i="19"/>
  <c r="N267" i="19"/>
  <c r="N268" i="19"/>
  <c r="N253" i="19"/>
  <c r="N254" i="19"/>
  <c r="N257" i="19"/>
  <c r="N263" i="19"/>
  <c r="N282" i="19"/>
  <c r="N258" i="19"/>
  <c r="N259" i="19"/>
  <c r="N269" i="19"/>
  <c r="N260" i="19"/>
  <c r="N261" i="19"/>
  <c r="N262" i="19"/>
  <c r="N270" i="19"/>
  <c r="N271" i="19"/>
  <c r="N264" i="19"/>
  <c r="N265" i="19"/>
  <c r="N266" i="19"/>
  <c r="N272" i="19"/>
  <c r="N273" i="19"/>
  <c r="N274" i="19"/>
  <c r="N275" i="19"/>
  <c r="N277" i="19"/>
  <c r="N283" i="19"/>
  <c r="N284" i="19"/>
  <c r="N293" i="19"/>
  <c r="N289" i="19"/>
  <c r="N287" i="19"/>
  <c r="N290" i="19"/>
  <c r="N291" i="19"/>
  <c r="N295" i="19"/>
  <c r="N292" i="19"/>
  <c r="N298" i="19"/>
  <c r="N294" i="19"/>
  <c r="N297" i="19"/>
  <c r="N296" i="19"/>
  <c r="N299" i="19"/>
  <c r="N300" i="19"/>
  <c r="N305" i="19"/>
  <c r="N301" i="19"/>
  <c r="N303" i="19"/>
  <c r="N302" i="19"/>
  <c r="N304" i="19"/>
  <c r="N307" i="19"/>
  <c r="N309" i="19"/>
  <c r="N308" i="19"/>
  <c r="N310" i="19"/>
  <c r="N311" i="19"/>
  <c r="N312" i="19"/>
  <c r="N288" i="19"/>
  <c r="N313" i="19"/>
  <c r="N314" i="19"/>
  <c r="N315" i="19"/>
  <c r="N316" i="19"/>
  <c r="N317" i="19"/>
  <c r="N318" i="19"/>
  <c r="N319" i="19"/>
  <c r="N321" i="19"/>
  <c r="N320" i="19"/>
  <c r="N322" i="19"/>
  <c r="N323" i="19"/>
  <c r="N324" i="19"/>
  <c r="N328" i="19"/>
  <c r="N325" i="19"/>
  <c r="N344" i="19"/>
  <c r="N326" i="19"/>
  <c r="N327" i="19"/>
  <c r="N330" i="19"/>
  <c r="N329" i="19"/>
  <c r="N331" i="19"/>
  <c r="N332" i="19"/>
  <c r="N343" i="19"/>
  <c r="N336" i="19"/>
  <c r="N337" i="19"/>
  <c r="N338" i="19"/>
  <c r="N339" i="19"/>
  <c r="N341" i="19"/>
  <c r="N340" i="19"/>
  <c r="N342" i="19"/>
  <c r="N345" i="19"/>
  <c r="N346" i="19"/>
  <c r="N123" i="19"/>
  <c r="N125" i="19"/>
  <c r="N169" i="19"/>
  <c r="N170" i="19"/>
  <c r="N171" i="19"/>
  <c r="N238" i="19"/>
  <c r="N244" i="19"/>
  <c r="N276" i="19"/>
  <c r="N306" i="19"/>
  <c r="O123" i="19"/>
  <c r="O125" i="19"/>
  <c r="O169" i="19"/>
  <c r="O170" i="19"/>
  <c r="O171" i="19"/>
  <c r="O238" i="19"/>
  <c r="O244" i="19"/>
  <c r="O276" i="19"/>
  <c r="O306" i="19"/>
  <c r="T123" i="19"/>
  <c r="T125" i="19"/>
  <c r="T169" i="19"/>
  <c r="T170" i="19"/>
  <c r="T171" i="19"/>
  <c r="T238" i="19"/>
  <c r="T244" i="19"/>
  <c r="T276" i="19"/>
  <c r="T306" i="19"/>
  <c r="O3" i="19"/>
  <c r="O4" i="19"/>
  <c r="O13" i="19"/>
  <c r="O52" i="19"/>
  <c r="O10" i="19"/>
  <c r="O11" i="19"/>
  <c r="O5" i="19"/>
  <c r="O16" i="19"/>
  <c r="O59" i="19"/>
  <c r="O60" i="19"/>
  <c r="O6" i="19"/>
  <c r="O7" i="19"/>
  <c r="O8" i="19"/>
  <c r="O61" i="19"/>
  <c r="O22" i="19"/>
  <c r="O20" i="19"/>
  <c r="O14" i="19"/>
  <c r="O9" i="19"/>
  <c r="O15" i="19"/>
  <c r="O23" i="19"/>
  <c r="O17" i="19"/>
  <c r="O25" i="19"/>
  <c r="O21" i="19"/>
  <c r="O24" i="19"/>
  <c r="O34" i="19"/>
  <c r="O27" i="19"/>
  <c r="O28" i="19"/>
  <c r="O32" i="19"/>
  <c r="O110" i="19"/>
  <c r="O35" i="19"/>
  <c r="O29" i="19"/>
  <c r="O38" i="19"/>
  <c r="O45" i="19"/>
  <c r="O30" i="19"/>
  <c r="O31" i="19"/>
  <c r="O18" i="19"/>
  <c r="O19" i="19"/>
  <c r="O40" i="19"/>
  <c r="O41" i="19"/>
  <c r="O42" i="19"/>
  <c r="O39" i="19"/>
  <c r="O36" i="19"/>
  <c r="O51" i="19"/>
  <c r="O33" i="19"/>
  <c r="O37" i="19"/>
  <c r="O26" i="19"/>
  <c r="O46" i="19"/>
  <c r="O47" i="19"/>
  <c r="O48" i="19"/>
  <c r="O49" i="19"/>
  <c r="O44" i="19"/>
  <c r="O12" i="19"/>
  <c r="O53" i="19"/>
  <c r="O57" i="19"/>
  <c r="O55" i="19"/>
  <c r="O54" i="19"/>
  <c r="O58" i="19"/>
  <c r="O56" i="19"/>
  <c r="O65" i="19"/>
  <c r="O62" i="19"/>
  <c r="O64" i="19"/>
  <c r="O80" i="19"/>
  <c r="O63" i="19"/>
  <c r="O66" i="19"/>
  <c r="O67" i="19"/>
  <c r="O68" i="19"/>
  <c r="O137" i="19"/>
  <c r="O138" i="19"/>
  <c r="O139" i="19"/>
  <c r="O70" i="19"/>
  <c r="O69" i="19"/>
  <c r="O71" i="19"/>
  <c r="O72" i="19"/>
  <c r="O73" i="19"/>
  <c r="O74" i="19"/>
  <c r="O75" i="19"/>
  <c r="O76" i="19"/>
  <c r="O77" i="19"/>
  <c r="O78" i="19"/>
  <c r="O79" i="19"/>
  <c r="O82" i="19"/>
  <c r="O97" i="19"/>
  <c r="O92" i="19"/>
  <c r="O81" i="19"/>
  <c r="O83" i="19"/>
  <c r="O84" i="19"/>
  <c r="O117" i="19"/>
  <c r="O98" i="19"/>
  <c r="O128" i="19"/>
  <c r="O96" i="19"/>
  <c r="O94" i="19"/>
  <c r="O99" i="19"/>
  <c r="O95" i="19"/>
  <c r="O93" i="19"/>
  <c r="O114" i="19"/>
  <c r="O105" i="19"/>
  <c r="O100" i="19"/>
  <c r="O101" i="19"/>
  <c r="O102" i="19"/>
  <c r="O103" i="19"/>
  <c r="O104" i="19"/>
  <c r="O109" i="19"/>
  <c r="O106" i="19"/>
  <c r="O115" i="19"/>
  <c r="O107" i="19"/>
  <c r="O108" i="19"/>
  <c r="O113" i="19"/>
  <c r="O120" i="19"/>
  <c r="O118" i="19"/>
  <c r="O116" i="19"/>
  <c r="O112" i="19"/>
  <c r="O111" i="19"/>
  <c r="O121" i="19"/>
  <c r="O122" i="19"/>
  <c r="O119" i="19"/>
  <c r="O124" i="19"/>
  <c r="O126" i="19"/>
  <c r="O146" i="19"/>
  <c r="O50" i="19"/>
  <c r="O133" i="19"/>
  <c r="O134" i="19"/>
  <c r="O159" i="19"/>
  <c r="O160" i="19"/>
  <c r="O130" i="19"/>
  <c r="O135" i="19"/>
  <c r="O132" i="19"/>
  <c r="O129" i="19"/>
  <c r="O131" i="19"/>
  <c r="O164" i="19"/>
  <c r="O136" i="19"/>
  <c r="O140" i="19"/>
  <c r="O142" i="19"/>
  <c r="O143" i="19"/>
  <c r="O144" i="19"/>
  <c r="O141" i="19"/>
  <c r="O156" i="19"/>
  <c r="O147" i="19"/>
  <c r="O145" i="19"/>
  <c r="O152" i="19"/>
  <c r="O153" i="19"/>
  <c r="O150" i="19"/>
  <c r="O148" i="19"/>
  <c r="O149" i="19"/>
  <c r="O151" i="19"/>
  <c r="O157" i="19"/>
  <c r="O154" i="19"/>
  <c r="O155" i="19"/>
  <c r="O162" i="19"/>
  <c r="O158" i="19"/>
  <c r="O161" i="19"/>
  <c r="O165" i="19"/>
  <c r="O163" i="19"/>
  <c r="O166" i="19"/>
  <c r="O167" i="19"/>
  <c r="O168" i="19"/>
  <c r="O127" i="19"/>
  <c r="O172" i="19"/>
  <c r="O174" i="19"/>
  <c r="O188" i="19"/>
  <c r="O189" i="19"/>
  <c r="O256" i="19"/>
  <c r="O179" i="19"/>
  <c r="O175" i="19"/>
  <c r="O176" i="19"/>
  <c r="O177" i="19"/>
  <c r="O180" i="19"/>
  <c r="O181" i="19"/>
  <c r="O183" i="19"/>
  <c r="O182" i="19"/>
  <c r="O184" i="19"/>
  <c r="O185" i="19"/>
  <c r="O186" i="19"/>
  <c r="O187" i="19"/>
  <c r="O191" i="19"/>
  <c r="O190" i="19"/>
  <c r="O192" i="19"/>
  <c r="O178" i="19"/>
  <c r="O207" i="19"/>
  <c r="O201" i="19"/>
  <c r="O198" i="19"/>
  <c r="O199" i="19"/>
  <c r="O200" i="19"/>
  <c r="O240" i="19"/>
  <c r="O204" i="19"/>
  <c r="O205" i="19"/>
  <c r="O206" i="19"/>
  <c r="O208" i="19"/>
  <c r="O209" i="19"/>
  <c r="O246" i="19"/>
  <c r="O210" i="19"/>
  <c r="O211" i="19"/>
  <c r="O212" i="19"/>
  <c r="O214" i="19"/>
  <c r="O221" i="19"/>
  <c r="O213" i="19"/>
  <c r="O231" i="19"/>
  <c r="O219" i="19"/>
  <c r="O248" i="19"/>
  <c r="O226" i="19"/>
  <c r="O218" i="19"/>
  <c r="O220" i="19"/>
  <c r="O222" i="19"/>
  <c r="O223" i="19"/>
  <c r="O224" i="19"/>
  <c r="O225" i="19"/>
  <c r="O227" i="19"/>
  <c r="O229" i="19"/>
  <c r="O228" i="19"/>
  <c r="O234" i="19"/>
  <c r="O236" i="19"/>
  <c r="O232" i="19"/>
  <c r="O233" i="19"/>
  <c r="O235" i="19"/>
  <c r="O237" i="19"/>
  <c r="O239" i="19"/>
  <c r="O241" i="19"/>
  <c r="O243" i="19"/>
  <c r="O242" i="19"/>
  <c r="O250" i="19"/>
  <c r="O247" i="19"/>
  <c r="O245" i="19"/>
  <c r="O249" i="19"/>
  <c r="O255" i="19"/>
  <c r="O252" i="19"/>
  <c r="O251" i="19"/>
  <c r="O267" i="19"/>
  <c r="O268" i="19"/>
  <c r="O253" i="19"/>
  <c r="O254" i="19"/>
  <c r="O257" i="19"/>
  <c r="O263" i="19"/>
  <c r="O282" i="19"/>
  <c r="O258" i="19"/>
  <c r="O259" i="19"/>
  <c r="O269" i="19"/>
  <c r="O260" i="19"/>
  <c r="O261" i="19"/>
  <c r="O262" i="19"/>
  <c r="O270" i="19"/>
  <c r="O271" i="19"/>
  <c r="O264" i="19"/>
  <c r="O265" i="19"/>
  <c r="O266" i="19"/>
  <c r="O272" i="19"/>
  <c r="O273" i="19"/>
  <c r="O274" i="19"/>
  <c r="O275" i="19"/>
  <c r="O277" i="19"/>
  <c r="O283" i="19"/>
  <c r="O284" i="19"/>
  <c r="O293" i="19"/>
  <c r="O289" i="19"/>
  <c r="O287" i="19"/>
  <c r="O290" i="19"/>
  <c r="O291" i="19"/>
  <c r="O295" i="19"/>
  <c r="O292" i="19"/>
  <c r="O298" i="19"/>
  <c r="O294" i="19"/>
  <c r="O297" i="19"/>
  <c r="O296" i="19"/>
  <c r="O299" i="19"/>
  <c r="O300" i="19"/>
  <c r="O305" i="19"/>
  <c r="O301" i="19"/>
  <c r="O303" i="19"/>
  <c r="O302" i="19"/>
  <c r="O304" i="19"/>
  <c r="O307" i="19"/>
  <c r="O309" i="19"/>
  <c r="O308" i="19"/>
  <c r="O310" i="19"/>
  <c r="O311" i="19"/>
  <c r="O312" i="19"/>
  <c r="O288" i="19"/>
  <c r="O313" i="19"/>
  <c r="O314" i="19"/>
  <c r="O315" i="19"/>
  <c r="O316" i="19"/>
  <c r="O317" i="19"/>
  <c r="O318" i="19"/>
  <c r="O319" i="19"/>
  <c r="O321" i="19"/>
  <c r="O320" i="19"/>
  <c r="O322" i="19"/>
  <c r="O323" i="19"/>
  <c r="O324" i="19"/>
  <c r="O328" i="19"/>
  <c r="O325" i="19"/>
  <c r="O344" i="19"/>
  <c r="O326" i="19"/>
  <c r="O327" i="19"/>
  <c r="O330" i="19"/>
  <c r="O329" i="19"/>
  <c r="O331" i="19"/>
  <c r="O332" i="19"/>
  <c r="O343" i="19"/>
  <c r="O336" i="19"/>
  <c r="O337" i="19"/>
  <c r="O338" i="19"/>
  <c r="O339" i="19"/>
  <c r="O341" i="19"/>
  <c r="O340" i="19"/>
  <c r="O342" i="19"/>
  <c r="O345" i="19"/>
  <c r="O346" i="19"/>
  <c r="T3" i="19"/>
  <c r="T4" i="19"/>
  <c r="T13" i="19"/>
  <c r="T52" i="19"/>
  <c r="T10" i="19"/>
  <c r="T11" i="19"/>
  <c r="T5" i="19"/>
  <c r="T16" i="19"/>
  <c r="T59" i="19"/>
  <c r="T60" i="19"/>
  <c r="T6" i="19"/>
  <c r="T7" i="19"/>
  <c r="T8" i="19"/>
  <c r="T61" i="19"/>
  <c r="T22" i="19"/>
  <c r="T20" i="19"/>
  <c r="T14" i="19"/>
  <c r="T9" i="19"/>
  <c r="T15" i="19"/>
  <c r="T23" i="19"/>
  <c r="T17" i="19"/>
  <c r="T25" i="19"/>
  <c r="T21" i="19"/>
  <c r="T24" i="19"/>
  <c r="T34" i="19"/>
  <c r="T27" i="19"/>
  <c r="T28" i="19"/>
  <c r="T32" i="19"/>
  <c r="T110" i="19"/>
  <c r="T35" i="19"/>
  <c r="T29" i="19"/>
  <c r="T38" i="19"/>
  <c r="T45" i="19"/>
  <c r="T30" i="19"/>
  <c r="T31" i="19"/>
  <c r="T18" i="19"/>
  <c r="T19" i="19"/>
  <c r="T40" i="19"/>
  <c r="T41" i="19"/>
  <c r="T42" i="19"/>
  <c r="T39" i="19"/>
  <c r="T36" i="19"/>
  <c r="T51" i="19"/>
  <c r="T33" i="19"/>
  <c r="T37" i="19"/>
  <c r="T26" i="19"/>
  <c r="T46" i="19"/>
  <c r="T47" i="19"/>
  <c r="T48" i="19"/>
  <c r="T49" i="19"/>
  <c r="T44" i="19"/>
  <c r="T12" i="19"/>
  <c r="T53" i="19"/>
  <c r="T57" i="19"/>
  <c r="T55" i="19"/>
  <c r="T54" i="19"/>
  <c r="T58" i="19"/>
  <c r="T56" i="19"/>
  <c r="T65" i="19"/>
  <c r="T62" i="19"/>
  <c r="T64" i="19"/>
  <c r="T80" i="19"/>
  <c r="T63" i="19"/>
  <c r="T66" i="19"/>
  <c r="T67" i="19"/>
  <c r="T68" i="19"/>
  <c r="T137" i="19"/>
  <c r="T138" i="19"/>
  <c r="T139" i="19"/>
  <c r="T70" i="19"/>
  <c r="T69" i="19"/>
  <c r="T71" i="19"/>
  <c r="T72" i="19"/>
  <c r="T73" i="19"/>
  <c r="T74" i="19"/>
  <c r="T75" i="19"/>
  <c r="T76" i="19"/>
  <c r="T77" i="19"/>
  <c r="T78" i="19"/>
  <c r="T79" i="19"/>
  <c r="T82" i="19"/>
  <c r="T97" i="19"/>
  <c r="T92" i="19"/>
  <c r="T81" i="19"/>
  <c r="T83" i="19"/>
  <c r="T84" i="19"/>
  <c r="T117" i="19"/>
  <c r="T98" i="19"/>
  <c r="T128" i="19"/>
  <c r="T96" i="19"/>
  <c r="T94" i="19"/>
  <c r="T99" i="19"/>
  <c r="T95" i="19"/>
  <c r="T93" i="19"/>
  <c r="T114" i="19"/>
  <c r="T105" i="19"/>
  <c r="T100" i="19"/>
  <c r="T101" i="19"/>
  <c r="T102" i="19"/>
  <c r="T103" i="19"/>
  <c r="T104" i="19"/>
  <c r="T109" i="19"/>
  <c r="T106" i="19"/>
  <c r="T115" i="19"/>
  <c r="T107" i="19"/>
  <c r="T108" i="19"/>
  <c r="T113" i="19"/>
  <c r="T120" i="19"/>
  <c r="T118" i="19"/>
  <c r="T116" i="19"/>
  <c r="T112" i="19"/>
  <c r="T111" i="19"/>
  <c r="T121" i="19"/>
  <c r="T122" i="19"/>
  <c r="T119" i="19"/>
  <c r="T124" i="19"/>
  <c r="T126" i="19"/>
  <c r="T146" i="19"/>
  <c r="T50" i="19"/>
  <c r="T133" i="19"/>
  <c r="T134" i="19"/>
  <c r="T159" i="19"/>
  <c r="T160" i="19"/>
  <c r="T130" i="19"/>
  <c r="T135" i="19"/>
  <c r="T132" i="19"/>
  <c r="T129" i="19"/>
  <c r="T131" i="19"/>
  <c r="T164" i="19"/>
  <c r="T136" i="19"/>
  <c r="T140" i="19"/>
  <c r="T142" i="19"/>
  <c r="T143" i="19"/>
  <c r="T144" i="19"/>
  <c r="T141" i="19"/>
  <c r="T156" i="19"/>
  <c r="T147" i="19"/>
  <c r="T145" i="19"/>
  <c r="T152" i="19"/>
  <c r="T153" i="19"/>
  <c r="T150" i="19"/>
  <c r="T148" i="19"/>
  <c r="T149" i="19"/>
  <c r="T151" i="19"/>
  <c r="T157" i="19"/>
  <c r="T154" i="19"/>
  <c r="T155" i="19"/>
  <c r="T162" i="19"/>
  <c r="T158" i="19"/>
  <c r="T161" i="19"/>
  <c r="T165" i="19"/>
  <c r="T163" i="19"/>
  <c r="T166" i="19"/>
  <c r="T167" i="19"/>
  <c r="T168" i="19"/>
  <c r="T127" i="19"/>
  <c r="T172" i="19"/>
  <c r="T174" i="19"/>
  <c r="T188" i="19"/>
  <c r="T189" i="19"/>
  <c r="T256" i="19"/>
  <c r="T179" i="19"/>
  <c r="T175" i="19"/>
  <c r="T176" i="19"/>
  <c r="T177" i="19"/>
  <c r="T180" i="19"/>
  <c r="T181" i="19"/>
  <c r="T183" i="19"/>
  <c r="T182" i="19"/>
  <c r="T184" i="19"/>
  <c r="T185" i="19"/>
  <c r="T186" i="19"/>
  <c r="T187" i="19"/>
  <c r="T191" i="19"/>
  <c r="T190" i="19"/>
  <c r="T192" i="19"/>
  <c r="T178" i="19"/>
  <c r="T207" i="19"/>
  <c r="T201" i="19"/>
  <c r="T198" i="19"/>
  <c r="T199" i="19"/>
  <c r="T200" i="19"/>
  <c r="T240" i="19"/>
  <c r="T204" i="19"/>
  <c r="T205" i="19"/>
  <c r="T206" i="19"/>
  <c r="T208" i="19"/>
  <c r="T209" i="19"/>
  <c r="T246" i="19"/>
  <c r="T210" i="19"/>
  <c r="T211" i="19"/>
  <c r="T212" i="19"/>
  <c r="T214" i="19"/>
  <c r="T221" i="19"/>
  <c r="T213" i="19"/>
  <c r="T231" i="19"/>
  <c r="T219" i="19"/>
  <c r="T248" i="19"/>
  <c r="T226" i="19"/>
  <c r="T218" i="19"/>
  <c r="T220" i="19"/>
  <c r="T222" i="19"/>
  <c r="T223" i="19"/>
  <c r="T224" i="19"/>
  <c r="T225" i="19"/>
  <c r="T227" i="19"/>
  <c r="T229" i="19"/>
  <c r="T228" i="19"/>
  <c r="T234" i="19"/>
  <c r="T236" i="19"/>
  <c r="T232" i="19"/>
  <c r="T233" i="19"/>
  <c r="T235" i="19"/>
  <c r="T237" i="19"/>
  <c r="T239" i="19"/>
  <c r="T241" i="19"/>
  <c r="T243" i="19"/>
  <c r="T242" i="19"/>
  <c r="T250" i="19"/>
  <c r="T247" i="19"/>
  <c r="T245" i="19"/>
  <c r="T249" i="19"/>
  <c r="T255" i="19"/>
  <c r="T252" i="19"/>
  <c r="T251" i="19"/>
  <c r="T267" i="19"/>
  <c r="T268" i="19"/>
  <c r="T253" i="19"/>
  <c r="T254" i="19"/>
  <c r="T257" i="19"/>
  <c r="T263" i="19"/>
  <c r="T282" i="19"/>
  <c r="T258" i="19"/>
  <c r="T259" i="19"/>
  <c r="T269" i="19"/>
  <c r="T260" i="19"/>
  <c r="T261" i="19"/>
  <c r="T262" i="19"/>
  <c r="T270" i="19"/>
  <c r="T271" i="19"/>
  <c r="T264" i="19"/>
  <c r="T265" i="19"/>
  <c r="T266" i="19"/>
  <c r="T272" i="19"/>
  <c r="T273" i="19"/>
  <c r="T274" i="19"/>
  <c r="T275" i="19"/>
  <c r="T277" i="19"/>
  <c r="T283" i="19"/>
  <c r="T284" i="19"/>
  <c r="T293" i="19"/>
  <c r="T289" i="19"/>
  <c r="T287" i="19"/>
  <c r="T290" i="19"/>
  <c r="T291" i="19"/>
  <c r="T295" i="19"/>
  <c r="T292" i="19"/>
  <c r="T298" i="19"/>
  <c r="T294" i="19"/>
  <c r="T297" i="19"/>
  <c r="T296" i="19"/>
  <c r="T299" i="19"/>
  <c r="T300" i="19"/>
  <c r="T305" i="19"/>
  <c r="T301" i="19"/>
  <c r="T303" i="19"/>
  <c r="T302" i="19"/>
  <c r="T304" i="19"/>
  <c r="T307" i="19"/>
  <c r="T309" i="19"/>
  <c r="T308" i="19"/>
  <c r="T310" i="19"/>
  <c r="T311" i="19"/>
  <c r="T312" i="19"/>
  <c r="T288" i="19"/>
  <c r="T313" i="19"/>
  <c r="T314" i="19"/>
  <c r="T315" i="19"/>
  <c r="T316" i="19"/>
  <c r="T317" i="19"/>
  <c r="T318" i="19"/>
  <c r="T319" i="19"/>
  <c r="T321" i="19"/>
  <c r="T320" i="19"/>
  <c r="T322" i="19"/>
  <c r="T323" i="19"/>
  <c r="T324" i="19"/>
  <c r="T328" i="19"/>
  <c r="T325" i="19"/>
  <c r="T344" i="19"/>
  <c r="T326" i="19"/>
  <c r="T327" i="19"/>
  <c r="T330" i="19"/>
  <c r="T329" i="19"/>
  <c r="T331" i="19"/>
  <c r="T332" i="19"/>
  <c r="T343" i="19"/>
  <c r="T336" i="19"/>
  <c r="T337" i="19"/>
  <c r="T338" i="19"/>
  <c r="T339" i="19"/>
  <c r="T341" i="19"/>
  <c r="T340" i="19"/>
  <c r="T342" i="19"/>
  <c r="T345" i="19"/>
  <c r="T346" i="19"/>
  <c r="I2" i="21"/>
  <c r="J2" i="21" s="1"/>
  <c r="I3" i="21"/>
  <c r="J3" i="21" s="1"/>
  <c r="I12" i="21"/>
  <c r="J12" i="21" s="1"/>
  <c r="I50" i="21"/>
  <c r="J50" i="21" s="1"/>
  <c r="I9" i="21"/>
  <c r="J9" i="21" s="1"/>
  <c r="I10" i="21"/>
  <c r="J10" i="21" s="1"/>
  <c r="I4" i="21"/>
  <c r="J4" i="21" s="1"/>
  <c r="I15" i="21"/>
  <c r="J15" i="21" s="1"/>
  <c r="I57" i="21"/>
  <c r="J57" i="21" s="1"/>
  <c r="I58" i="21"/>
  <c r="J58" i="21" s="1"/>
  <c r="I5" i="21"/>
  <c r="J5" i="21" s="1"/>
  <c r="I6" i="21"/>
  <c r="J6" i="21" s="1"/>
  <c r="I7" i="21"/>
  <c r="J7" i="21" s="1"/>
  <c r="I59" i="21"/>
  <c r="J59" i="21" s="1"/>
  <c r="I21" i="21"/>
  <c r="J21" i="21" s="1"/>
  <c r="I19" i="21"/>
  <c r="J19" i="21" s="1"/>
  <c r="I13" i="21"/>
  <c r="J13" i="21" s="1"/>
  <c r="I8" i="21"/>
  <c r="J8" i="21" s="1"/>
  <c r="I14" i="21"/>
  <c r="J14" i="21" s="1"/>
  <c r="I22" i="21"/>
  <c r="J22" i="21" s="1"/>
  <c r="I16" i="21"/>
  <c r="J16" i="21" s="1"/>
  <c r="I24" i="21"/>
  <c r="J24" i="21" s="1"/>
  <c r="I20" i="21"/>
  <c r="J20" i="21" s="1"/>
  <c r="I23" i="21"/>
  <c r="J23" i="21" s="1"/>
  <c r="I33" i="21"/>
  <c r="J33" i="21" s="1"/>
  <c r="I26" i="21"/>
  <c r="J26" i="21" s="1"/>
  <c r="I27" i="21"/>
  <c r="J27" i="21" s="1"/>
  <c r="I31" i="21"/>
  <c r="J31" i="21" s="1"/>
  <c r="I101" i="21"/>
  <c r="J101" i="21" s="1"/>
  <c r="I34" i="21"/>
  <c r="J34" i="21" s="1"/>
  <c r="I28" i="21"/>
  <c r="J28" i="21" s="1"/>
  <c r="I37" i="21"/>
  <c r="J37" i="21" s="1"/>
  <c r="I43" i="21"/>
  <c r="J43" i="21" s="1"/>
  <c r="I29" i="21"/>
  <c r="J29" i="21" s="1"/>
  <c r="I30" i="21"/>
  <c r="J30" i="21" s="1"/>
  <c r="I17" i="21"/>
  <c r="J17" i="21" s="1"/>
  <c r="I18" i="21"/>
  <c r="J18" i="21" s="1"/>
  <c r="I39" i="21"/>
  <c r="J39" i="21" s="1"/>
  <c r="I40" i="21"/>
  <c r="J40" i="21" s="1"/>
  <c r="I41" i="21"/>
  <c r="J41" i="21" s="1"/>
  <c r="I38" i="21"/>
  <c r="J38" i="21" s="1"/>
  <c r="I35" i="21"/>
  <c r="J35" i="21" s="1"/>
  <c r="I49" i="21"/>
  <c r="J49" i="21" s="1"/>
  <c r="I32" i="21"/>
  <c r="J32" i="21" s="1"/>
  <c r="I36" i="21"/>
  <c r="J36" i="21" s="1"/>
  <c r="I25" i="21"/>
  <c r="J25" i="21" s="1"/>
  <c r="I44" i="21"/>
  <c r="J44" i="21" s="1"/>
  <c r="I45" i="21"/>
  <c r="J45" i="21" s="1"/>
  <c r="I46" i="21"/>
  <c r="J46" i="21" s="1"/>
  <c r="I47" i="21"/>
  <c r="J47" i="21" s="1"/>
  <c r="I42" i="21"/>
  <c r="J42" i="21" s="1"/>
  <c r="I11" i="21"/>
  <c r="J11" i="21" s="1"/>
  <c r="I51" i="21"/>
  <c r="J51" i="21" s="1"/>
  <c r="I55" i="21"/>
  <c r="J55" i="21" s="1"/>
  <c r="I53" i="21"/>
  <c r="J53" i="21" s="1"/>
  <c r="I52" i="21"/>
  <c r="J52" i="21" s="1"/>
  <c r="I56" i="21"/>
  <c r="J56" i="21" s="1"/>
  <c r="I54" i="21"/>
  <c r="J54" i="21" s="1"/>
  <c r="I63" i="21"/>
  <c r="J63" i="21" s="1"/>
  <c r="I60" i="21"/>
  <c r="J60" i="21" s="1"/>
  <c r="I62" i="21"/>
  <c r="J62" i="21" s="1"/>
  <c r="I78" i="21"/>
  <c r="J78" i="21" s="1"/>
  <c r="I61" i="21"/>
  <c r="J61" i="21" s="1"/>
  <c r="I64" i="21"/>
  <c r="J64" i="21" s="1"/>
  <c r="I65" i="21"/>
  <c r="J65" i="21" s="1"/>
  <c r="I66" i="21"/>
  <c r="J66" i="21" s="1"/>
  <c r="I128" i="21"/>
  <c r="J128" i="21" s="1"/>
  <c r="I129" i="21"/>
  <c r="J129" i="21" s="1"/>
  <c r="I130" i="21"/>
  <c r="J130" i="21" s="1"/>
  <c r="I68" i="21"/>
  <c r="J68" i="21" s="1"/>
  <c r="I67" i="21"/>
  <c r="J67" i="21" s="1"/>
  <c r="I69" i="21"/>
  <c r="J69" i="21" s="1"/>
  <c r="I70" i="21"/>
  <c r="J70" i="21" s="1"/>
  <c r="I71" i="21"/>
  <c r="J71" i="21" s="1"/>
  <c r="I72" i="21"/>
  <c r="J72" i="21" s="1"/>
  <c r="I73" i="21"/>
  <c r="J73" i="21" s="1"/>
  <c r="I74" i="21"/>
  <c r="J74" i="21" s="1"/>
  <c r="I75" i="21"/>
  <c r="J75" i="21" s="1"/>
  <c r="I76" i="21"/>
  <c r="J76" i="21" s="1"/>
  <c r="I77" i="21"/>
  <c r="J77" i="21" s="1"/>
  <c r="I80" i="21"/>
  <c r="J80" i="21" s="1"/>
  <c r="I88" i="21"/>
  <c r="J88" i="21" s="1"/>
  <c r="I83" i="21"/>
  <c r="J83" i="21" s="1"/>
  <c r="I79" i="21"/>
  <c r="J79" i="21" s="1"/>
  <c r="I81" i="21"/>
  <c r="J81" i="21" s="1"/>
  <c r="I82" i="21"/>
  <c r="J82" i="21" s="1"/>
  <c r="I108" i="21"/>
  <c r="J108" i="21" s="1"/>
  <c r="I89" i="21"/>
  <c r="J89" i="21" s="1"/>
  <c r="I119" i="21"/>
  <c r="J119" i="21" s="1"/>
  <c r="I87" i="21"/>
  <c r="J87" i="21" s="1"/>
  <c r="I85" i="21"/>
  <c r="J85" i="21" s="1"/>
  <c r="I90" i="21"/>
  <c r="J90" i="21" s="1"/>
  <c r="I86" i="21"/>
  <c r="J86" i="21" s="1"/>
  <c r="I84" i="21"/>
  <c r="J84" i="21" s="1"/>
  <c r="I105" i="21"/>
  <c r="J105" i="21" s="1"/>
  <c r="I96" i="21"/>
  <c r="J96" i="21" s="1"/>
  <c r="I91" i="21"/>
  <c r="J91" i="21" s="1"/>
  <c r="I92" i="21"/>
  <c r="J92" i="21" s="1"/>
  <c r="I93" i="21"/>
  <c r="J93" i="21" s="1"/>
  <c r="I94" i="21"/>
  <c r="J94" i="21" s="1"/>
  <c r="I95" i="21"/>
  <c r="J95" i="21" s="1"/>
  <c r="I100" i="21"/>
  <c r="J100" i="21" s="1"/>
  <c r="I97" i="21"/>
  <c r="J97" i="21" s="1"/>
  <c r="I106" i="21"/>
  <c r="J106" i="21" s="1"/>
  <c r="I98" i="21"/>
  <c r="J98" i="21" s="1"/>
  <c r="I99" i="21"/>
  <c r="J99" i="21" s="1"/>
  <c r="I104" i="21"/>
  <c r="J104" i="21" s="1"/>
  <c r="I111" i="21"/>
  <c r="J111" i="21" s="1"/>
  <c r="I109" i="21"/>
  <c r="J109" i="21" s="1"/>
  <c r="I107" i="21"/>
  <c r="J107" i="21" s="1"/>
  <c r="I103" i="21"/>
  <c r="J103" i="21" s="1"/>
  <c r="I102" i="21"/>
  <c r="J102" i="21" s="1"/>
  <c r="I112" i="21"/>
  <c r="J112" i="21" s="1"/>
  <c r="I113" i="21"/>
  <c r="J113" i="21" s="1"/>
  <c r="I110" i="21"/>
  <c r="J110" i="21" s="1"/>
  <c r="I115" i="21"/>
  <c r="J115" i="21" s="1"/>
  <c r="I117" i="21"/>
  <c r="J117" i="21" s="1"/>
  <c r="I137" i="21"/>
  <c r="J137" i="21" s="1"/>
  <c r="I48" i="21"/>
  <c r="J48" i="21" s="1"/>
  <c r="I124" i="21"/>
  <c r="J124" i="21" s="1"/>
  <c r="I125" i="21"/>
  <c r="J125" i="21" s="1"/>
  <c r="I150" i="21"/>
  <c r="J150" i="21" s="1"/>
  <c r="I151" i="21"/>
  <c r="J151" i="21" s="1"/>
  <c r="I121" i="21"/>
  <c r="J121" i="21" s="1"/>
  <c r="I126" i="21"/>
  <c r="J126" i="21" s="1"/>
  <c r="I123" i="21"/>
  <c r="J123" i="21" s="1"/>
  <c r="I120" i="21"/>
  <c r="J120" i="21" s="1"/>
  <c r="I122" i="21"/>
  <c r="J122" i="21" s="1"/>
  <c r="I155" i="21"/>
  <c r="J155" i="21" s="1"/>
  <c r="I127" i="21"/>
  <c r="J127" i="21" s="1"/>
  <c r="I131" i="21"/>
  <c r="J131" i="21" s="1"/>
  <c r="I133" i="21"/>
  <c r="J133" i="21" s="1"/>
  <c r="I134" i="21"/>
  <c r="J134" i="21" s="1"/>
  <c r="I135" i="21"/>
  <c r="J135" i="21" s="1"/>
  <c r="I132" i="21"/>
  <c r="J132" i="21" s="1"/>
  <c r="I147" i="21"/>
  <c r="J147" i="21" s="1"/>
  <c r="I138" i="21"/>
  <c r="J138" i="21" s="1"/>
  <c r="I136" i="21"/>
  <c r="J136" i="21" s="1"/>
  <c r="I143" i="21"/>
  <c r="J143" i="21" s="1"/>
  <c r="I144" i="21"/>
  <c r="J144" i="21" s="1"/>
  <c r="I141" i="21"/>
  <c r="J141" i="21" s="1"/>
  <c r="I139" i="21"/>
  <c r="J139" i="21" s="1"/>
  <c r="I140" i="21"/>
  <c r="J140" i="21" s="1"/>
  <c r="I142" i="21"/>
  <c r="J142" i="21" s="1"/>
  <c r="I148" i="21"/>
  <c r="J148" i="21" s="1"/>
  <c r="I145" i="21"/>
  <c r="J145" i="21" s="1"/>
  <c r="I146" i="21"/>
  <c r="J146" i="21" s="1"/>
  <c r="I153" i="21"/>
  <c r="J153" i="21" s="1"/>
  <c r="I149" i="21"/>
  <c r="J149" i="21" s="1"/>
  <c r="I152" i="21"/>
  <c r="J152" i="21" s="1"/>
  <c r="I156" i="21"/>
  <c r="J156" i="21" s="1"/>
  <c r="I154" i="21"/>
  <c r="J154" i="21" s="1"/>
  <c r="I157" i="21"/>
  <c r="J157" i="21" s="1"/>
  <c r="I158" i="21"/>
  <c r="J158" i="21" s="1"/>
  <c r="I159" i="21"/>
  <c r="J159" i="21" s="1"/>
  <c r="I118" i="21"/>
  <c r="J118" i="21" s="1"/>
  <c r="I163" i="21"/>
  <c r="J163" i="21" s="1"/>
  <c r="I164" i="21"/>
  <c r="J164" i="21" s="1"/>
  <c r="I178" i="21"/>
  <c r="J178" i="21" s="1"/>
  <c r="I179" i="21"/>
  <c r="J179" i="21" s="1"/>
  <c r="I235" i="21"/>
  <c r="J235" i="21" s="1"/>
  <c r="I169" i="21"/>
  <c r="J169" i="21" s="1"/>
  <c r="I165" i="21"/>
  <c r="J165" i="21" s="1"/>
  <c r="I166" i="21"/>
  <c r="J166" i="21" s="1"/>
  <c r="I167" i="21"/>
  <c r="J167" i="21" s="1"/>
  <c r="I170" i="21"/>
  <c r="J170" i="21" s="1"/>
  <c r="I171" i="21"/>
  <c r="J171" i="21" s="1"/>
  <c r="I173" i="21"/>
  <c r="J173" i="21" s="1"/>
  <c r="I172" i="21"/>
  <c r="J172" i="21" s="1"/>
  <c r="I174" i="21"/>
  <c r="J174" i="21" s="1"/>
  <c r="I175" i="21"/>
  <c r="J175" i="21" s="1"/>
  <c r="I176" i="21"/>
  <c r="J176" i="21" s="1"/>
  <c r="I177" i="21"/>
  <c r="J177" i="21" s="1"/>
  <c r="I181" i="21"/>
  <c r="J181" i="21" s="1"/>
  <c r="I180" i="21"/>
  <c r="J180" i="21" s="1"/>
  <c r="I182" i="21"/>
  <c r="J182" i="21" s="1"/>
  <c r="I168" i="21"/>
  <c r="J168" i="21" s="1"/>
  <c r="I190" i="21"/>
  <c r="J190" i="21" s="1"/>
  <c r="I186" i="21"/>
  <c r="J186" i="21" s="1"/>
  <c r="I183" i="21"/>
  <c r="J183" i="21" s="1"/>
  <c r="I184" i="21"/>
  <c r="J184" i="21" s="1"/>
  <c r="I185" i="21"/>
  <c r="J185" i="21" s="1"/>
  <c r="I219" i="21"/>
  <c r="J219" i="21" s="1"/>
  <c r="I187" i="21"/>
  <c r="J187" i="21" s="1"/>
  <c r="I188" i="21"/>
  <c r="J188" i="21" s="1"/>
  <c r="I189" i="21"/>
  <c r="J189" i="21" s="1"/>
  <c r="I191" i="21"/>
  <c r="J191" i="21" s="1"/>
  <c r="I192" i="21"/>
  <c r="J192" i="21" s="1"/>
  <c r="I225" i="21"/>
  <c r="J225" i="21" s="1"/>
  <c r="I193" i="21"/>
  <c r="J193" i="21" s="1"/>
  <c r="I194" i="21"/>
  <c r="J194" i="21" s="1"/>
  <c r="I195" i="21"/>
  <c r="J195" i="21" s="1"/>
  <c r="I197" i="21"/>
  <c r="J197" i="21" s="1"/>
  <c r="I201" i="21"/>
  <c r="J201" i="21" s="1"/>
  <c r="I196" i="21"/>
  <c r="J196" i="21" s="1"/>
  <c r="I210" i="21"/>
  <c r="J210" i="21" s="1"/>
  <c r="I199" i="21"/>
  <c r="J199" i="21" s="1"/>
  <c r="I227" i="21"/>
  <c r="J227" i="21" s="1"/>
  <c r="I206" i="21"/>
  <c r="J206" i="21" s="1"/>
  <c r="I198" i="21"/>
  <c r="J198" i="21" s="1"/>
  <c r="I200" i="21"/>
  <c r="J200" i="21" s="1"/>
  <c r="I202" i="21"/>
  <c r="J202" i="21" s="1"/>
  <c r="I203" i="21"/>
  <c r="J203" i="21" s="1"/>
  <c r="I204" i="21"/>
  <c r="J204" i="21" s="1"/>
  <c r="I205" i="21"/>
  <c r="J205" i="21" s="1"/>
  <c r="I207" i="21"/>
  <c r="J207" i="21" s="1"/>
  <c r="I209" i="21"/>
  <c r="J209" i="21" s="1"/>
  <c r="I208" i="21"/>
  <c r="J208" i="21" s="1"/>
  <c r="I213" i="21"/>
  <c r="J213" i="21" s="1"/>
  <c r="I215" i="21"/>
  <c r="J215" i="21" s="1"/>
  <c r="I211" i="21"/>
  <c r="J211" i="21" s="1"/>
  <c r="I212" i="21"/>
  <c r="J212" i="21" s="1"/>
  <c r="I214" i="21"/>
  <c r="J214" i="21" s="1"/>
  <c r="I216" i="21"/>
  <c r="J216" i="21" s="1"/>
  <c r="I218" i="21"/>
  <c r="J218" i="21" s="1"/>
  <c r="I220" i="21"/>
  <c r="J220" i="21" s="1"/>
  <c r="I222" i="21"/>
  <c r="J222" i="21" s="1"/>
  <c r="I221" i="21"/>
  <c r="J221" i="21" s="1"/>
  <c r="I229" i="21"/>
  <c r="J229" i="21" s="1"/>
  <c r="I226" i="21"/>
  <c r="J226" i="21" s="1"/>
  <c r="I224" i="21"/>
  <c r="J224" i="21" s="1"/>
  <c r="I228" i="21"/>
  <c r="J228" i="21" s="1"/>
  <c r="I234" i="21"/>
  <c r="J234" i="21" s="1"/>
  <c r="I231" i="21"/>
  <c r="J231" i="21" s="1"/>
  <c r="I230" i="21"/>
  <c r="J230" i="21" s="1"/>
  <c r="I246" i="21"/>
  <c r="J246" i="21" s="1"/>
  <c r="I247" i="21"/>
  <c r="J247" i="21" s="1"/>
  <c r="I232" i="21"/>
  <c r="J232" i="21" s="1"/>
  <c r="I233" i="21"/>
  <c r="J233" i="21" s="1"/>
  <c r="I236" i="21"/>
  <c r="J236" i="21" s="1"/>
  <c r="I242" i="21"/>
  <c r="J242" i="21" s="1"/>
  <c r="I257" i="21"/>
  <c r="J257" i="21" s="1"/>
  <c r="I237" i="21"/>
  <c r="J237" i="21" s="1"/>
  <c r="I238" i="21"/>
  <c r="J238" i="21" s="1"/>
  <c r="I248" i="21"/>
  <c r="J248" i="21" s="1"/>
  <c r="I239" i="21"/>
  <c r="J239" i="21" s="1"/>
  <c r="I240" i="21"/>
  <c r="J240" i="21" s="1"/>
  <c r="I241" i="21"/>
  <c r="J241" i="21" s="1"/>
  <c r="I249" i="21"/>
  <c r="J249" i="21" s="1"/>
  <c r="I250" i="21"/>
  <c r="J250" i="21" s="1"/>
  <c r="I243" i="21"/>
  <c r="J243" i="21" s="1"/>
  <c r="I244" i="21"/>
  <c r="J244" i="21" s="1"/>
  <c r="I245" i="21"/>
  <c r="J245" i="21" s="1"/>
  <c r="I251" i="21"/>
  <c r="J251" i="21" s="1"/>
  <c r="I252" i="21"/>
  <c r="J252" i="21" s="1"/>
  <c r="I253" i="21"/>
  <c r="J253" i="21" s="1"/>
  <c r="I254" i="21"/>
  <c r="J254" i="21" s="1"/>
  <c r="I256" i="21"/>
  <c r="J256" i="21" s="1"/>
  <c r="I258" i="21"/>
  <c r="J258" i="21" s="1"/>
  <c r="I259" i="21"/>
  <c r="J259" i="21" s="1"/>
  <c r="I266" i="21"/>
  <c r="J266" i="21" s="1"/>
  <c r="I262" i="21"/>
  <c r="J262" i="21" s="1"/>
  <c r="I260" i="21"/>
  <c r="J260" i="21" s="1"/>
  <c r="I263" i="21"/>
  <c r="J263" i="21" s="1"/>
  <c r="I264" i="21"/>
  <c r="J264" i="21" s="1"/>
  <c r="I268" i="21"/>
  <c r="J268" i="21" s="1"/>
  <c r="I265" i="21"/>
  <c r="J265" i="21" s="1"/>
  <c r="I271" i="21"/>
  <c r="J271" i="21" s="1"/>
  <c r="I267" i="21"/>
  <c r="J267" i="21" s="1"/>
  <c r="I270" i="21"/>
  <c r="J270" i="21" s="1"/>
  <c r="I269" i="21"/>
  <c r="J269" i="21" s="1"/>
  <c r="I272" i="21"/>
  <c r="J272" i="21" s="1"/>
  <c r="I273" i="21"/>
  <c r="J273" i="21" s="1"/>
  <c r="I278" i="21"/>
  <c r="J278" i="21" s="1"/>
  <c r="I274" i="21"/>
  <c r="J274" i="21" s="1"/>
  <c r="I276" i="21"/>
  <c r="J276" i="21" s="1"/>
  <c r="I275" i="21"/>
  <c r="J275" i="21" s="1"/>
  <c r="I277" i="21"/>
  <c r="J277" i="21" s="1"/>
  <c r="I280" i="21"/>
  <c r="J280" i="21" s="1"/>
  <c r="I282" i="21"/>
  <c r="J282" i="21" s="1"/>
  <c r="I281" i="21"/>
  <c r="J281" i="21" s="1"/>
  <c r="I283" i="21"/>
  <c r="J283" i="21" s="1"/>
  <c r="I284" i="21"/>
  <c r="J284" i="21" s="1"/>
  <c r="I285" i="21"/>
  <c r="J285" i="21" s="1"/>
  <c r="I261" i="21"/>
  <c r="J261" i="21" s="1"/>
  <c r="I286" i="21"/>
  <c r="J286" i="21" s="1"/>
  <c r="I287" i="21"/>
  <c r="J287" i="21" s="1"/>
  <c r="I288" i="21"/>
  <c r="J288" i="21" s="1"/>
  <c r="I289" i="21"/>
  <c r="J289" i="21" s="1"/>
  <c r="I290" i="21"/>
  <c r="J290" i="21" s="1"/>
  <c r="I291" i="21"/>
  <c r="J291" i="21" s="1"/>
  <c r="I292" i="21"/>
  <c r="J292" i="21" s="1"/>
  <c r="I294" i="21"/>
  <c r="J294" i="21" s="1"/>
  <c r="I293" i="21"/>
  <c r="J293" i="21" s="1"/>
  <c r="I295" i="21"/>
  <c r="J295" i="21" s="1"/>
  <c r="I296" i="21"/>
  <c r="J296" i="21" s="1"/>
  <c r="I297" i="21"/>
  <c r="J297" i="21" s="1"/>
  <c r="I301" i="21"/>
  <c r="J301" i="21" s="1"/>
  <c r="I298" i="21"/>
  <c r="J298" i="21" s="1"/>
  <c r="I314" i="21"/>
  <c r="J314" i="21" s="1"/>
  <c r="I299" i="21"/>
  <c r="J299" i="21" s="1"/>
  <c r="I300" i="21"/>
  <c r="J300" i="21" s="1"/>
  <c r="I303" i="21"/>
  <c r="J303" i="21" s="1"/>
  <c r="I302" i="21"/>
  <c r="J302" i="21" s="1"/>
  <c r="I304" i="21"/>
  <c r="J304" i="21" s="1"/>
  <c r="I305" i="21"/>
  <c r="J305" i="21" s="1"/>
  <c r="I313" i="21"/>
  <c r="J313" i="21" s="1"/>
  <c r="I306" i="21"/>
  <c r="J306" i="21" s="1"/>
  <c r="I307" i="21"/>
  <c r="J307" i="21" s="1"/>
  <c r="I308" i="21"/>
  <c r="J308" i="21" s="1"/>
  <c r="I309" i="21"/>
  <c r="J309" i="21" s="1"/>
  <c r="I311" i="21"/>
  <c r="J311" i="21" s="1"/>
  <c r="I310" i="21"/>
  <c r="J310" i="21" s="1"/>
  <c r="I312" i="21"/>
  <c r="J312" i="21" s="1"/>
  <c r="I315" i="21"/>
  <c r="J315" i="21" s="1"/>
  <c r="I316" i="21"/>
  <c r="J316" i="21" s="1"/>
  <c r="Q1" i="21"/>
  <c r="F33" i="24" l="1"/>
  <c r="F22" i="24"/>
  <c r="E22" i="24"/>
  <c r="D22" i="24"/>
  <c r="E33" i="24"/>
  <c r="D33" i="24"/>
  <c r="D17" i="24"/>
  <c r="E17" i="24"/>
  <c r="D9" i="24"/>
  <c r="E9" i="24"/>
  <c r="E20" i="23"/>
  <c r="N6" i="23"/>
  <c r="N8" i="23"/>
  <c r="O22" i="23"/>
  <c r="F22" i="23"/>
  <c r="O8" i="23"/>
  <c r="L8" i="23"/>
  <c r="K8" i="23"/>
  <c r="J22" i="23"/>
  <c r="H8" i="23"/>
  <c r="J8" i="23"/>
  <c r="K22" i="23"/>
  <c r="F8" i="23"/>
  <c r="E7" i="23"/>
  <c r="M20" i="23"/>
  <c r="L20" i="23"/>
  <c r="L6" i="23"/>
  <c r="F6" i="23"/>
  <c r="H7" i="23"/>
  <c r="H20" i="23"/>
  <c r="O6" i="23"/>
  <c r="N7" i="23"/>
  <c r="M22" i="23"/>
  <c r="L22" i="23"/>
  <c r="D22" i="23"/>
  <c r="G22" i="23"/>
  <c r="I7" i="23"/>
  <c r="F20" i="23"/>
  <c r="D8" i="23"/>
  <c r="G20" i="23"/>
  <c r="K7" i="23"/>
  <c r="J7" i="23"/>
  <c r="E6" i="23"/>
  <c r="D20" i="23"/>
  <c r="G7" i="23"/>
  <c r="G8" i="23"/>
  <c r="H6" i="23"/>
  <c r="I22" i="23"/>
  <c r="M7" i="23"/>
  <c r="L7" i="23"/>
  <c r="D7" i="23"/>
  <c r="G6" i="23"/>
  <c r="K6" i="23"/>
  <c r="N20" i="23"/>
  <c r="N22" i="23"/>
  <c r="J6" i="23"/>
  <c r="I20" i="23"/>
  <c r="F7" i="23"/>
  <c r="K20" i="23"/>
  <c r="J20" i="23"/>
  <c r="I8" i="23"/>
  <c r="O7" i="23"/>
  <c r="O20" i="23"/>
  <c r="M8" i="23"/>
  <c r="M6" i="23"/>
  <c r="D6" i="23"/>
  <c r="H22" i="23"/>
  <c r="I6" i="23"/>
  <c r="Q5" i="21"/>
  <c r="S5" i="21" s="1"/>
  <c r="Q2" i="21"/>
  <c r="S2" i="21" s="1"/>
  <c r="Q8" i="21"/>
  <c r="S8" i="21" s="1"/>
  <c r="Q3" i="21"/>
  <c r="Q4" i="21"/>
  <c r="R1" i="21"/>
  <c r="T1" i="21" s="1"/>
  <c r="Q6" i="21"/>
  <c r="Q7" i="21"/>
  <c r="Q9" i="21"/>
  <c r="Q10" i="21"/>
  <c r="S10" i="21" s="1"/>
  <c r="G33" i="24" l="1"/>
  <c r="G22" i="24"/>
  <c r="G17" i="24"/>
  <c r="G9" i="24"/>
  <c r="M5" i="23"/>
  <c r="M11" i="23" s="1"/>
  <c r="N5" i="23"/>
  <c r="N11" i="23" s="1"/>
  <c r="J5" i="23"/>
  <c r="J11" i="23" s="1"/>
  <c r="K5" i="23"/>
  <c r="K11" i="23" s="1"/>
  <c r="I5" i="23"/>
  <c r="I11" i="23" s="1"/>
  <c r="E5" i="23"/>
  <c r="L5" i="23"/>
  <c r="L11" i="23" s="1"/>
  <c r="D5" i="23"/>
  <c r="D11" i="23" s="1"/>
  <c r="O5" i="23"/>
  <c r="O11" i="23" s="1"/>
  <c r="F5" i="23"/>
  <c r="F11" i="23" s="1"/>
  <c r="G5" i="23"/>
  <c r="G11" i="23" s="1"/>
  <c r="H5" i="23"/>
  <c r="H11" i="23" s="1"/>
  <c r="O2" i="19"/>
  <c r="F10" i="24" s="1"/>
  <c r="P2" i="19"/>
  <c r="T2" i="19"/>
  <c r="O43" i="19"/>
  <c r="F15" i="24" s="1"/>
  <c r="T43" i="19"/>
  <c r="O85" i="19"/>
  <c r="T85" i="19"/>
  <c r="O86" i="19"/>
  <c r="F23" i="24" s="1"/>
  <c r="T86" i="19"/>
  <c r="O87" i="19"/>
  <c r="F16" i="24" s="1"/>
  <c r="T87" i="19"/>
  <c r="O88" i="19"/>
  <c r="T88" i="19"/>
  <c r="O89" i="19"/>
  <c r="T89" i="19"/>
  <c r="O90" i="19"/>
  <c r="F21" i="24" s="1"/>
  <c r="T90" i="19"/>
  <c r="O91" i="19"/>
  <c r="T91" i="19"/>
  <c r="O173" i="19"/>
  <c r="T173" i="19"/>
  <c r="O193" i="19"/>
  <c r="T193" i="19"/>
  <c r="O194" i="19"/>
  <c r="T194" i="19"/>
  <c r="O195" i="19"/>
  <c r="T195" i="19"/>
  <c r="O196" i="19"/>
  <c r="T196" i="19"/>
  <c r="O197" i="19"/>
  <c r="T197" i="19"/>
  <c r="O202" i="19"/>
  <c r="F13" i="24" s="1"/>
  <c r="T202" i="19"/>
  <c r="O203" i="19"/>
  <c r="T203" i="19"/>
  <c r="O230" i="19"/>
  <c r="T230" i="19"/>
  <c r="O431" i="19"/>
  <c r="T431" i="19"/>
  <c r="O502" i="19"/>
  <c r="T502" i="19"/>
  <c r="O503" i="19"/>
  <c r="T503" i="19"/>
  <c r="O504" i="19"/>
  <c r="T504" i="19"/>
  <c r="O505" i="19"/>
  <c r="F14" i="24" s="1"/>
  <c r="T505" i="19"/>
  <c r="C23" i="17"/>
  <c r="C37" i="17" s="1"/>
  <c r="I37" i="17" s="1"/>
  <c r="C24" i="17"/>
  <c r="C38" i="17" s="1"/>
  <c r="I38" i="17" s="1"/>
  <c r="C22" i="17"/>
  <c r="C36" i="17" s="1"/>
  <c r="I36" i="17" s="1"/>
  <c r="C26" i="17"/>
  <c r="C33" i="17"/>
  <c r="C19" i="17"/>
  <c r="F4" i="17"/>
  <c r="G4" i="17"/>
  <c r="H4" i="17"/>
  <c r="I4" i="17"/>
  <c r="J4" i="17"/>
  <c r="K4" i="17"/>
  <c r="K41" i="17" s="1"/>
  <c r="L4" i="17"/>
  <c r="M4" i="17"/>
  <c r="N4" i="17"/>
  <c r="N41" i="17" s="1"/>
  <c r="O4" i="17"/>
  <c r="O41" i="17" s="1"/>
  <c r="E4" i="17"/>
  <c r="D4" i="17"/>
  <c r="D65" i="17" s="1"/>
  <c r="H34" i="17" l="1"/>
  <c r="F27" i="24"/>
  <c r="E7" i="24"/>
  <c r="F7" i="24"/>
  <c r="F6" i="24" s="1"/>
  <c r="F28" i="24"/>
  <c r="F31" i="24"/>
  <c r="E31" i="24"/>
  <c r="D31" i="24"/>
  <c r="F32" i="24"/>
  <c r="F24" i="24"/>
  <c r="F18" i="24" s="1"/>
  <c r="H40" i="17"/>
  <c r="E32" i="24"/>
  <c r="D32" i="24"/>
  <c r="D21" i="24"/>
  <c r="E21" i="24"/>
  <c r="E23" i="24"/>
  <c r="D23" i="24"/>
  <c r="E28" i="24"/>
  <c r="D28" i="24"/>
  <c r="E24" i="24"/>
  <c r="D24" i="24"/>
  <c r="E27" i="24"/>
  <c r="D27" i="24"/>
  <c r="D7" i="24"/>
  <c r="E15" i="24"/>
  <c r="D15" i="24"/>
  <c r="D16" i="24"/>
  <c r="E16" i="24"/>
  <c r="D10" i="24"/>
  <c r="E10" i="24"/>
  <c r="D13" i="24"/>
  <c r="E13" i="24"/>
  <c r="D14" i="24"/>
  <c r="E14" i="24"/>
  <c r="H27" i="17"/>
  <c r="H41" i="17"/>
  <c r="H11" i="17"/>
  <c r="H43" i="17"/>
  <c r="H10" i="17"/>
  <c r="H12" i="17"/>
  <c r="H13" i="17"/>
  <c r="H16" i="17"/>
  <c r="G11" i="17"/>
  <c r="G10" i="17"/>
  <c r="G12" i="17"/>
  <c r="G13" i="17"/>
  <c r="H42" i="17"/>
  <c r="F11" i="17"/>
  <c r="F10" i="17"/>
  <c r="H36" i="17"/>
  <c r="H22" i="17"/>
  <c r="H37" i="17"/>
  <c r="H23" i="17"/>
  <c r="H38" i="17"/>
  <c r="H24" i="17"/>
  <c r="H39" i="17"/>
  <c r="H25" i="17"/>
  <c r="H19" i="17" s="1"/>
  <c r="H21" i="17" s="1"/>
  <c r="H32" i="17"/>
  <c r="H26" i="17" s="1"/>
  <c r="H28" i="17" s="1"/>
  <c r="H15" i="17"/>
  <c r="H33" i="17"/>
  <c r="H35" i="17" s="1"/>
  <c r="G65" i="17"/>
  <c r="G6" i="17"/>
  <c r="F43" i="17"/>
  <c r="F65" i="17"/>
  <c r="E43" i="17"/>
  <c r="E65" i="17"/>
  <c r="G27" i="17"/>
  <c r="G36" i="17"/>
  <c r="D43" i="17"/>
  <c r="D18" i="17"/>
  <c r="G38" i="17"/>
  <c r="G23" i="17"/>
  <c r="G37" i="17"/>
  <c r="G41" i="17"/>
  <c r="G43" i="17"/>
  <c r="G7" i="17"/>
  <c r="G9" i="17"/>
  <c r="G8" i="17"/>
  <c r="G34" i="17"/>
  <c r="G16" i="17"/>
  <c r="G39" i="17"/>
  <c r="G25" i="17"/>
  <c r="G19" i="17" s="1"/>
  <c r="G24" i="17"/>
  <c r="G22" i="17"/>
  <c r="G42" i="17"/>
  <c r="G40" i="17"/>
  <c r="G32" i="17"/>
  <c r="G26" i="17" s="1"/>
  <c r="G33" i="17"/>
  <c r="G15" i="17"/>
  <c r="F37" i="17"/>
  <c r="F16" i="17"/>
  <c r="F36" i="17"/>
  <c r="F27" i="17"/>
  <c r="E27" i="17"/>
  <c r="F38" i="17"/>
  <c r="F20" i="17"/>
  <c r="E20" i="17"/>
  <c r="F34" i="17"/>
  <c r="E34" i="17"/>
  <c r="F39" i="17"/>
  <c r="N19" i="23"/>
  <c r="D19" i="23"/>
  <c r="O19" i="23"/>
  <c r="H19" i="23"/>
  <c r="L19" i="23"/>
  <c r="M19" i="23"/>
  <c r="K19" i="23"/>
  <c r="G19" i="23"/>
  <c r="F19" i="23"/>
  <c r="J19" i="23"/>
  <c r="I19" i="23"/>
  <c r="H18" i="23"/>
  <c r="G18" i="23"/>
  <c r="O18" i="23"/>
  <c r="E18" i="23"/>
  <c r="F18" i="23"/>
  <c r="L18" i="23"/>
  <c r="M18" i="23"/>
  <c r="D18" i="23"/>
  <c r="J18" i="23"/>
  <c r="K18" i="23"/>
  <c r="I18" i="23"/>
  <c r="N18" i="23"/>
  <c r="E14" i="23"/>
  <c r="F14" i="23"/>
  <c r="K14" i="23"/>
  <c r="D14" i="23"/>
  <c r="N14" i="23"/>
  <c r="G14" i="23"/>
  <c r="O14" i="23"/>
  <c r="J14" i="23"/>
  <c r="L14" i="23"/>
  <c r="H14" i="23"/>
  <c r="M14" i="23"/>
  <c r="I14" i="23"/>
  <c r="E13" i="23"/>
  <c r="D13" i="23"/>
  <c r="N13" i="23"/>
  <c r="G13" i="23"/>
  <c r="H13" i="23"/>
  <c r="I13" i="23"/>
  <c r="O13" i="23"/>
  <c r="J13" i="23"/>
  <c r="K13" i="23"/>
  <c r="L13" i="23"/>
  <c r="M13" i="23"/>
  <c r="F13" i="23"/>
  <c r="O17" i="23"/>
  <c r="L17" i="23"/>
  <c r="I17" i="23"/>
  <c r="M17" i="23"/>
  <c r="F17" i="23"/>
  <c r="J17" i="23"/>
  <c r="K17" i="23"/>
  <c r="D17" i="23"/>
  <c r="N17" i="23"/>
  <c r="G17" i="23"/>
  <c r="H17" i="23"/>
  <c r="E19" i="23"/>
  <c r="E17" i="23"/>
  <c r="E39" i="17"/>
  <c r="E33" i="17" s="1"/>
  <c r="E32" i="17"/>
  <c r="E26" i="17" s="1"/>
  <c r="E25" i="17"/>
  <c r="E19" i="17" s="1"/>
  <c r="F22" i="17"/>
  <c r="F23" i="17"/>
  <c r="F24" i="17"/>
  <c r="F25" i="17"/>
  <c r="F19" i="17" s="1"/>
  <c r="F21" i="17" s="1"/>
  <c r="F32" i="17"/>
  <c r="F26" i="17" s="1"/>
  <c r="F33" i="17"/>
  <c r="D42" i="17"/>
  <c r="D13" i="17"/>
  <c r="E11" i="17"/>
  <c r="E13" i="17"/>
  <c r="E12" i="17"/>
  <c r="F41" i="17"/>
  <c r="F13" i="17"/>
  <c r="F12" i="17"/>
  <c r="E16" i="17"/>
  <c r="J9" i="17"/>
  <c r="J41" i="17"/>
  <c r="D12" i="17"/>
  <c r="D41" i="17"/>
  <c r="E10" i="17"/>
  <c r="E9" i="17" s="1"/>
  <c r="E41" i="17"/>
  <c r="M9" i="17"/>
  <c r="M41" i="17"/>
  <c r="L9" i="17"/>
  <c r="L41" i="17"/>
  <c r="O42" i="17"/>
  <c r="N42" i="17"/>
  <c r="M42" i="17"/>
  <c r="L42" i="17"/>
  <c r="K42" i="17"/>
  <c r="J42" i="17"/>
  <c r="F42" i="17"/>
  <c r="E42" i="17"/>
  <c r="D10" i="17"/>
  <c r="D11" i="17"/>
  <c r="F40" i="17"/>
  <c r="F9" i="17"/>
  <c r="N40" i="17"/>
  <c r="N9" i="17"/>
  <c r="K40" i="17"/>
  <c r="K9" i="17"/>
  <c r="E40" i="17"/>
  <c r="H9" i="17"/>
  <c r="D40" i="17"/>
  <c r="D9" i="17"/>
  <c r="O40" i="17"/>
  <c r="O9" i="17"/>
  <c r="E22" i="17"/>
  <c r="C29" i="17"/>
  <c r="C31" i="17"/>
  <c r="C30" i="17"/>
  <c r="E24" i="17"/>
  <c r="E23" i="17"/>
  <c r="E36" i="17"/>
  <c r="E38" i="17"/>
  <c r="E37" i="17"/>
  <c r="D17" i="17"/>
  <c r="O8" i="17"/>
  <c r="N6" i="17"/>
  <c r="M7" i="17"/>
  <c r="E7" i="17"/>
  <c r="D6" i="17"/>
  <c r="F8" i="17"/>
  <c r="N7" i="17"/>
  <c r="L6" i="17"/>
  <c r="D7" i="17"/>
  <c r="O7" i="17"/>
  <c r="M6" i="17"/>
  <c r="K6" i="17"/>
  <c r="N8" i="17"/>
  <c r="L7" i="17"/>
  <c r="J6" i="17"/>
  <c r="M8" i="17"/>
  <c r="K7" i="17"/>
  <c r="L8" i="17"/>
  <c r="J7" i="17"/>
  <c r="H6" i="17"/>
  <c r="K8" i="17"/>
  <c r="J8" i="17"/>
  <c r="H7" i="17"/>
  <c r="F6" i="17"/>
  <c r="E6" i="17"/>
  <c r="E8" i="17"/>
  <c r="H8" i="17"/>
  <c r="F7" i="17"/>
  <c r="O6" i="17"/>
  <c r="D8" i="17"/>
  <c r="O16" i="17"/>
  <c r="N17" i="17"/>
  <c r="K16" i="17"/>
  <c r="K17" i="17"/>
  <c r="K15" i="17"/>
  <c r="O15" i="17"/>
  <c r="O17" i="17"/>
  <c r="E15" i="17"/>
  <c r="N16" i="17"/>
  <c r="M17" i="17"/>
  <c r="M16" i="17"/>
  <c r="L17" i="17"/>
  <c r="L16" i="17"/>
  <c r="J17" i="17"/>
  <c r="N15" i="17"/>
  <c r="M15" i="17"/>
  <c r="L15" i="17"/>
  <c r="J15" i="17"/>
  <c r="M40" i="17"/>
  <c r="L40" i="17"/>
  <c r="J16" i="17"/>
  <c r="J40" i="17"/>
  <c r="F15" i="17"/>
  <c r="D16" i="17"/>
  <c r="D15" i="17"/>
  <c r="G29" i="17" l="1"/>
  <c r="I29" i="17"/>
  <c r="G30" i="17"/>
  <c r="I30" i="17"/>
  <c r="G31" i="17"/>
  <c r="I31" i="17"/>
  <c r="G7" i="24"/>
  <c r="H17" i="17"/>
  <c r="H14" i="17" s="1"/>
  <c r="E29" i="24"/>
  <c r="G24" i="24"/>
  <c r="G16" i="24"/>
  <c r="G23" i="24"/>
  <c r="G31" i="24"/>
  <c r="G32" i="24"/>
  <c r="G15" i="24"/>
  <c r="G27" i="24"/>
  <c r="G28" i="24"/>
  <c r="G13" i="24"/>
  <c r="D29" i="24"/>
  <c r="G10" i="24"/>
  <c r="F25" i="24"/>
  <c r="F29" i="24"/>
  <c r="D25" i="24"/>
  <c r="E25" i="24"/>
  <c r="E18" i="24"/>
  <c r="D18" i="24"/>
  <c r="E6" i="24"/>
  <c r="D6" i="24"/>
  <c r="H31" i="17"/>
  <c r="H30" i="17"/>
  <c r="H29" i="17"/>
  <c r="H5" i="17"/>
  <c r="H66" i="17" s="1"/>
  <c r="H18" i="17"/>
  <c r="E18" i="17"/>
  <c r="F18" i="17"/>
  <c r="G21" i="17"/>
  <c r="G35" i="17"/>
  <c r="G17" i="17"/>
  <c r="G14" i="17" s="1"/>
  <c r="G28" i="17"/>
  <c r="G18" i="17"/>
  <c r="G5" i="17"/>
  <c r="G66" i="17" s="1"/>
  <c r="E28" i="17"/>
  <c r="M14" i="17"/>
  <c r="N14" i="17"/>
  <c r="O14" i="17"/>
  <c r="J14" i="17"/>
  <c r="K14" i="17"/>
  <c r="L14" i="17"/>
  <c r="F35" i="17"/>
  <c r="E17" i="17"/>
  <c r="E14" i="17" s="1"/>
  <c r="E35" i="17"/>
  <c r="F17" i="17"/>
  <c r="F14" i="17" s="1"/>
  <c r="F5" i="17"/>
  <c r="F66" i="17" s="1"/>
  <c r="F28" i="17"/>
  <c r="F53" i="17"/>
  <c r="F54" i="17" s="1"/>
  <c r="L16" i="23"/>
  <c r="F12" i="23"/>
  <c r="F15" i="23" s="1"/>
  <c r="H12" i="23"/>
  <c r="H15" i="23" s="1"/>
  <c r="J16" i="23"/>
  <c r="G12" i="23"/>
  <c r="G15" i="23" s="1"/>
  <c r="E12" i="23"/>
  <c r="K12" i="23"/>
  <c r="K15" i="23" s="1"/>
  <c r="D16" i="23"/>
  <c r="K16" i="23"/>
  <c r="O12" i="23"/>
  <c r="O15" i="23" s="1"/>
  <c r="O16" i="23"/>
  <c r="L12" i="23"/>
  <c r="L15" i="23" s="1"/>
  <c r="D12" i="23"/>
  <c r="D15" i="23" s="1"/>
  <c r="E16" i="23"/>
  <c r="F16" i="23"/>
  <c r="G16" i="23"/>
  <c r="N16" i="23"/>
  <c r="J12" i="23"/>
  <c r="J15" i="23" s="1"/>
  <c r="N12" i="23"/>
  <c r="N15" i="23" s="1"/>
  <c r="H16" i="23"/>
  <c r="I16" i="23"/>
  <c r="I12" i="23"/>
  <c r="I15" i="23" s="1"/>
  <c r="M12" i="23"/>
  <c r="M15" i="23" s="1"/>
  <c r="M16" i="23"/>
  <c r="E30" i="17"/>
  <c r="F30" i="17"/>
  <c r="E29" i="17"/>
  <c r="F29" i="17"/>
  <c r="E31" i="17"/>
  <c r="F31" i="17"/>
  <c r="E5" i="17"/>
  <c r="E66" i="17" s="1"/>
  <c r="E21" i="17"/>
  <c r="N5" i="17"/>
  <c r="K5" i="17"/>
  <c r="O5" i="17"/>
  <c r="J5" i="17"/>
  <c r="L5" i="17"/>
  <c r="M5" i="17"/>
  <c r="D14" i="17"/>
  <c r="H67" i="17" l="1"/>
  <c r="I68" i="17"/>
  <c r="I69" i="17" s="1"/>
  <c r="G18" i="24"/>
  <c r="G29" i="24"/>
  <c r="G25" i="24"/>
  <c r="F5" i="24"/>
  <c r="G6" i="24"/>
  <c r="D5" i="24"/>
  <c r="E5" i="24"/>
  <c r="H47" i="17"/>
  <c r="H69" i="17" s="1"/>
  <c r="H70" i="17" s="1"/>
  <c r="F67" i="17"/>
  <c r="G67" i="17"/>
  <c r="G47" i="17"/>
  <c r="G69" i="17" s="1"/>
  <c r="G70" i="17" s="1"/>
  <c r="F21" i="23"/>
  <c r="F25" i="23" s="1"/>
  <c r="F28" i="23" s="1"/>
  <c r="L21" i="23"/>
  <c r="L25" i="23" s="1"/>
  <c r="L28" i="23" s="1"/>
  <c r="H21" i="23"/>
  <c r="H25" i="23" s="1"/>
  <c r="H28" i="23" s="1"/>
  <c r="J21" i="23"/>
  <c r="J25" i="23" s="1"/>
  <c r="J28" i="23" s="1"/>
  <c r="G21" i="23"/>
  <c r="G25" i="23" s="1"/>
  <c r="G28" i="23" s="1"/>
  <c r="O21" i="23"/>
  <c r="O25" i="23" s="1"/>
  <c r="O28" i="23" s="1"/>
  <c r="K21" i="23"/>
  <c r="K25" i="23" s="1"/>
  <c r="K28" i="23" s="1"/>
  <c r="D21" i="23"/>
  <c r="D25" i="23" s="1"/>
  <c r="D28" i="23" s="1"/>
  <c r="M21" i="23"/>
  <c r="M25" i="23" s="1"/>
  <c r="M28" i="23" s="1"/>
  <c r="N21" i="23"/>
  <c r="N25" i="23" s="1"/>
  <c r="N28" i="23" s="1"/>
  <c r="I21" i="23"/>
  <c r="I25" i="23" s="1"/>
  <c r="I28" i="23" s="1"/>
  <c r="E47" i="17"/>
  <c r="E69" i="17" s="1"/>
  <c r="E70" i="17" s="1"/>
  <c r="D5" i="17"/>
  <c r="D66" i="17" s="1"/>
  <c r="G5" i="24" l="1"/>
  <c r="F47" i="17"/>
  <c r="D49" i="17"/>
  <c r="E46" i="17" l="1"/>
  <c r="E49" i="17" s="1"/>
  <c r="E72" i="17" s="1"/>
  <c r="D72" i="17"/>
  <c r="F69" i="17"/>
  <c r="F70" i="17" s="1"/>
  <c r="E22" i="23"/>
  <c r="E8" i="23"/>
  <c r="E11" i="23" s="1"/>
  <c r="E15" i="23" s="1"/>
  <c r="E21" i="23" s="1"/>
  <c r="F46" i="17" l="1"/>
  <c r="F49" i="17" s="1"/>
  <c r="F72" i="17" s="1"/>
  <c r="F73" i="17" s="1"/>
  <c r="E73" i="17"/>
  <c r="E25" i="23"/>
  <c r="E28" i="23" s="1"/>
  <c r="F51" i="17" l="1"/>
  <c r="G46" i="17"/>
  <c r="G49" i="17" s="1"/>
  <c r="H46" i="17" s="1"/>
  <c r="H49" i="17" s="1"/>
  <c r="H72" i="17" l="1"/>
  <c r="I46" i="17"/>
  <c r="I49" i="17" s="1"/>
  <c r="G72" i="17"/>
  <c r="G73" i="17" s="1"/>
  <c r="G51" i="17"/>
  <c r="H73" i="1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DA888B-CD76-48C4-BCDF-0C590DB7FD4F}" keepAlive="1" name="Consulta - Plan1" description="Conexão com a consulta 'Plan1' na pasta de trabalho." type="5" refreshedVersion="8" background="1" saveData="1">
    <dbPr connection="Provider=Microsoft.Mashup.OleDb.1;Data Source=$Workbook$;Location=Plan1;Extended Properties=&quot;&quot;" command="SELECT * FROM [Plan1]"/>
  </connection>
</connections>
</file>

<file path=xl/sharedStrings.xml><?xml version="1.0" encoding="utf-8"?>
<sst xmlns="http://schemas.openxmlformats.org/spreadsheetml/2006/main" count="33079" uniqueCount="3530">
  <si>
    <t>Forma de Pagamento</t>
  </si>
  <si>
    <t>PIX</t>
  </si>
  <si>
    <t>Dinheiro</t>
  </si>
  <si>
    <t>Crédito</t>
  </si>
  <si>
    <t>Débito</t>
  </si>
  <si>
    <t>Crédito de Cliente</t>
  </si>
  <si>
    <t>Cliente</t>
  </si>
  <si>
    <t>Edelvan santos</t>
  </si>
  <si>
    <t>William marinho</t>
  </si>
  <si>
    <t>Anderson costa</t>
  </si>
  <si>
    <t>Valcir Pedro</t>
  </si>
  <si>
    <t>caio miranda</t>
  </si>
  <si>
    <t>David Mendes</t>
  </si>
  <si>
    <t>Lorran Gabriel</t>
  </si>
  <si>
    <t>Jackson carneiro Ramos</t>
  </si>
  <si>
    <t>Matheus Oliveira</t>
  </si>
  <si>
    <t>Luis Carlos paixão</t>
  </si>
  <si>
    <t>Vitor Vinicius Machado goncalves</t>
  </si>
  <si>
    <t>Igor Ferreira</t>
  </si>
  <si>
    <t>Emanuel da Silva</t>
  </si>
  <si>
    <t>Julio Cesar da silva rodrigues de faria</t>
  </si>
  <si>
    <t>Alfierre dos Santos</t>
  </si>
  <si>
    <t>Kauan faleiro rosa</t>
  </si>
  <si>
    <t>Raphael da Silva Correa Balbino</t>
  </si>
  <si>
    <t>Luis De Gonzaga Neto</t>
  </si>
  <si>
    <t>Rodrigo Barros</t>
  </si>
  <si>
    <t>Fagner Luis Oliveira da Silva</t>
  </si>
  <si>
    <t>Davi de Mattos Prata</t>
  </si>
  <si>
    <t>Huan Fernandes</t>
  </si>
  <si>
    <t>Flávio dias Mota</t>
  </si>
  <si>
    <t>roberto martins</t>
  </si>
  <si>
    <t>Pedro Lucas</t>
  </si>
  <si>
    <t>Rafael Ferreira dos Santos</t>
  </si>
  <si>
    <t>Wesley da Cruz</t>
  </si>
  <si>
    <t>Bruno santos rodrigues</t>
  </si>
  <si>
    <t>Warley vitor</t>
  </si>
  <si>
    <t>Derek  lima</t>
  </si>
  <si>
    <t>Weverson Rosa</t>
  </si>
  <si>
    <t>Roni silva</t>
  </si>
  <si>
    <t>Thiago Abreu</t>
  </si>
  <si>
    <t>MARLON DE CASTRO FRANCELINO</t>
  </si>
  <si>
    <t>evandro martins</t>
  </si>
  <si>
    <t>Kaua ataide da silva</t>
  </si>
  <si>
    <t>Kaio vitor</t>
  </si>
  <si>
    <t>Marcio Felipe</t>
  </si>
  <si>
    <t>Lucas Tenório</t>
  </si>
  <si>
    <t>Pedro Oliveira de Almeida</t>
  </si>
  <si>
    <t>João Mateus Silva de Paula</t>
  </si>
  <si>
    <t>Matheus Magon Teixeira</t>
  </si>
  <si>
    <t>Keverson da Silva chaves</t>
  </si>
  <si>
    <t>Lorena Gomes</t>
  </si>
  <si>
    <t>aroldo  rocha</t>
  </si>
  <si>
    <t>Felipe rosa</t>
  </si>
  <si>
    <t>Ramon Fernandes Da Silva</t>
  </si>
  <si>
    <t>Laerte Maciqueira</t>
  </si>
  <si>
    <t>João Paulo</t>
  </si>
  <si>
    <t>André</t>
  </si>
  <si>
    <t>Yago Pereira</t>
  </si>
  <si>
    <t>Carlos Vinicius Amaral da Silva</t>
  </si>
  <si>
    <t>Maria Eduarda Pereira Camargo</t>
  </si>
  <si>
    <t>Luiz Felipe seixas da Silva</t>
  </si>
  <si>
    <t>luiz fernado pereira</t>
  </si>
  <si>
    <t>Bruno Masello</t>
  </si>
  <si>
    <t>Cleiton Leal</t>
  </si>
  <si>
    <t>Gabriel de Oliveira Santos</t>
  </si>
  <si>
    <t>David Vinicius Barbosa</t>
  </si>
  <si>
    <t>Alyne Soares</t>
  </si>
  <si>
    <t>Felipe de Souza Macedo</t>
  </si>
  <si>
    <t>Roger Claudio</t>
  </si>
  <si>
    <t>Benigno piovesan</t>
  </si>
  <si>
    <t>João Guilherme de Andrade Ferreira</t>
  </si>
  <si>
    <t>Fellipe Maia</t>
  </si>
  <si>
    <t>Lu Amorim</t>
  </si>
  <si>
    <t>Lucas Aniceto</t>
  </si>
  <si>
    <t>Gabriel Lucas</t>
  </si>
  <si>
    <t>joaquin varão</t>
  </si>
  <si>
    <t>Lennon Jaya</t>
  </si>
  <si>
    <t>Matheus simao lira</t>
  </si>
  <si>
    <t>Ricardo Amorim</t>
  </si>
  <si>
    <t>Wallace braz</t>
  </si>
  <si>
    <t>Gabriel Pereira</t>
  </si>
  <si>
    <t>Mahao Levi</t>
  </si>
  <si>
    <t>Caio Andrey de Freitas Santos</t>
  </si>
  <si>
    <t>Jayme henrique</t>
  </si>
  <si>
    <t>Thomás Baptista dos Santos Oliveira</t>
  </si>
  <si>
    <t>Jonathan Brandão</t>
  </si>
  <si>
    <t>Alexandre Andrade</t>
  </si>
  <si>
    <t>Yasmin do nascimento</t>
  </si>
  <si>
    <t>Luciano Teixeira Silva</t>
  </si>
  <si>
    <t>Bruna lima da silva</t>
  </si>
  <si>
    <t>Guilherme da Costa Belo</t>
  </si>
  <si>
    <t>Luiz Felipe Braga pacífico Reis</t>
  </si>
  <si>
    <t>MARCO ANTÔNIO PEREIRA</t>
  </si>
  <si>
    <t>Leonardo Santiago</t>
  </si>
  <si>
    <t>João victor</t>
  </si>
  <si>
    <t>Jefferson Bruno</t>
  </si>
  <si>
    <t>Jhonatha Ferreira</t>
  </si>
  <si>
    <t>Pedro Gabriel</t>
  </si>
  <si>
    <t>matheus eduardo</t>
  </si>
  <si>
    <t>Paulo Silva</t>
  </si>
  <si>
    <t>Diego nascimento</t>
  </si>
  <si>
    <t>Ronaldo dos santos</t>
  </si>
  <si>
    <t>Maria Luzia Leão Pedrosa da Costa</t>
  </si>
  <si>
    <t>Kátia Regina dos Santos Silva</t>
  </si>
  <si>
    <t>Paulo Fernando Lécio</t>
  </si>
  <si>
    <t>Rodrigo Alves Ribeiro</t>
  </si>
  <si>
    <t>Ravi Cruz de Pinho</t>
  </si>
  <si>
    <t>Jhonatan Gabriel Martins Barboza</t>
  </si>
  <si>
    <t>João Pedro Bezerra</t>
  </si>
  <si>
    <t>João Vitor</t>
  </si>
  <si>
    <t>Vinicius villela</t>
  </si>
  <si>
    <t>Reginaldo Rodrigues pires</t>
  </si>
  <si>
    <t>Rafael Pereira de Lima</t>
  </si>
  <si>
    <t>João A.</t>
  </si>
  <si>
    <t>Pamela Natura</t>
  </si>
  <si>
    <t>Cleyton Correa cordeiro</t>
  </si>
  <si>
    <t>Marcio Cavalcante</t>
  </si>
  <si>
    <t>vania fernandes</t>
  </si>
  <si>
    <t>nillton do nascimento</t>
  </si>
  <si>
    <t>Rodrigo Lacerda</t>
  </si>
  <si>
    <t>Carlos Alberto Ribeiro Lima</t>
  </si>
  <si>
    <t>Allan Santos</t>
  </si>
  <si>
    <t>Paulo Roberto</t>
  </si>
  <si>
    <t>Dayvison Alves</t>
  </si>
  <si>
    <t>Caue almeida de oliveira</t>
  </si>
  <si>
    <t>Bruno ramos</t>
  </si>
  <si>
    <t>Marcos Nobre</t>
  </si>
  <si>
    <t>Rafael Xavier</t>
  </si>
  <si>
    <t>Antonio Carlos Barbosa Ferreira</t>
  </si>
  <si>
    <t>Marcelo Max Sergio azeredo</t>
  </si>
  <si>
    <t>Gabriel  GBL</t>
  </si>
  <si>
    <t>Lucas Ribeiro</t>
  </si>
  <si>
    <t>Jonatas Costa</t>
  </si>
  <si>
    <t>Gláucio Roberto Fernandes Dos Santos</t>
  </si>
  <si>
    <t>Wallace Antonio Carvalho Araujo</t>
  </si>
  <si>
    <t>Itaú</t>
  </si>
  <si>
    <t>Caixa</t>
  </si>
  <si>
    <t>Despesas</t>
  </si>
  <si>
    <t>Fixas</t>
  </si>
  <si>
    <t>Variáveis</t>
  </si>
  <si>
    <t>Empréstimos</t>
  </si>
  <si>
    <t>Segurança</t>
  </si>
  <si>
    <t>Conta Financeira</t>
  </si>
  <si>
    <t>Limpeza</t>
  </si>
  <si>
    <t>Alimentação</t>
  </si>
  <si>
    <t>Imposto</t>
  </si>
  <si>
    <t>Investimentos</t>
  </si>
  <si>
    <t>Serviços</t>
  </si>
  <si>
    <t>Profissional</t>
  </si>
  <si>
    <t>Receitas</t>
  </si>
  <si>
    <t>Produtos</t>
  </si>
  <si>
    <t>Serviço</t>
  </si>
  <si>
    <t>Combos</t>
  </si>
  <si>
    <t>Combo (Corte + Barba Modelada + Sobrancelha)</t>
  </si>
  <si>
    <t>Combo (Corte + Barba Simples + Sobrancelha)</t>
  </si>
  <si>
    <t>Combo (Corte + Cavanhaque + Sobrancelha)</t>
  </si>
  <si>
    <t>Combo (Corte + Neve + Sobrancelha)</t>
  </si>
  <si>
    <t>Combo (Corte + Pigmentação + Sobrancelha)</t>
  </si>
  <si>
    <t>Combo (Corte + Reflexo/Luzes + Sobrancelha)</t>
  </si>
  <si>
    <t>Combo (Corte + Sobrancelha)</t>
  </si>
  <si>
    <t>Acabamento</t>
  </si>
  <si>
    <t>Barba Modelada</t>
  </si>
  <si>
    <t>Barba Simples</t>
  </si>
  <si>
    <t>Corte</t>
  </si>
  <si>
    <t>Corte Masculino Simples</t>
  </si>
  <si>
    <t>Luzes/Reflexo</t>
  </si>
  <si>
    <t>Pigmentação</t>
  </si>
  <si>
    <t>Sobrancelha</t>
  </si>
  <si>
    <t>Pasta Hawk 150g Matte</t>
  </si>
  <si>
    <t>Pasta Hawk 150g Incolor</t>
  </si>
  <si>
    <t>Gel Cola Hawk 300g</t>
  </si>
  <si>
    <t>Oleo de Barba Hawk 30ml</t>
  </si>
  <si>
    <t>Pasta Hawk Caramelo 150g</t>
  </si>
  <si>
    <t>Saque</t>
  </si>
  <si>
    <t>Tipo</t>
  </si>
  <si>
    <t>Entrada</t>
  </si>
  <si>
    <t>Entrada/Saída</t>
  </si>
  <si>
    <t>Categoria</t>
  </si>
  <si>
    <t>Descrição</t>
  </si>
  <si>
    <t>Parcelas</t>
  </si>
  <si>
    <t>Bonificações</t>
  </si>
  <si>
    <t>Luciano Félix</t>
  </si>
  <si>
    <t>Walter Villela</t>
  </si>
  <si>
    <t>Gabriel Nunes</t>
  </si>
  <si>
    <t>Marcus Piza</t>
  </si>
  <si>
    <t>Leonardo Lima</t>
  </si>
  <si>
    <t>eduardo junior</t>
  </si>
  <si>
    <t>sebastiao joseval</t>
  </si>
  <si>
    <t>maicon bruno de almeida silva</t>
  </si>
  <si>
    <t>Leonan Eduardo</t>
  </si>
  <si>
    <t>WAGNER FELIPE SANTA ROSA OLIVEIRA</t>
  </si>
  <si>
    <t>Pedro fedele</t>
  </si>
  <si>
    <t>weivisson lopes ferreira</t>
  </si>
  <si>
    <t>Raynia Almeida</t>
  </si>
  <si>
    <t>Esther Araujo dos Anjos</t>
  </si>
  <si>
    <t>Hortencia S A Silva</t>
  </si>
  <si>
    <t>Ronaldo santos dos anjos</t>
  </si>
  <si>
    <t>Lorran Reymond</t>
  </si>
  <si>
    <t>rene pires</t>
  </si>
  <si>
    <t>felipe ferreira</t>
  </si>
  <si>
    <t>ruan ouverney</t>
  </si>
  <si>
    <t>Tatiana Santos</t>
  </si>
  <si>
    <t>Iuri almeida</t>
  </si>
  <si>
    <t>augusto venancio</t>
  </si>
  <si>
    <t>Roger</t>
  </si>
  <si>
    <t>Glaucia Souza</t>
  </si>
  <si>
    <t>fabio dias</t>
  </si>
  <si>
    <t>Luís Eduardo</t>
  </si>
  <si>
    <t>marcelo</t>
  </si>
  <si>
    <t>Joao Pablo</t>
  </si>
  <si>
    <t>vitor vinicius</t>
  </si>
  <si>
    <t>enzo</t>
  </si>
  <si>
    <t>igor mendes</t>
  </si>
  <si>
    <t>Rafael borges</t>
  </si>
  <si>
    <t>fabio nascimento</t>
  </si>
  <si>
    <t>maycon</t>
  </si>
  <si>
    <t>Novo</t>
  </si>
  <si>
    <t>Combo depilação ( nariz + orelha )</t>
  </si>
  <si>
    <t>Tipo Cliente</t>
  </si>
  <si>
    <t>Recorrente</t>
  </si>
  <si>
    <t>Comissão</t>
  </si>
  <si>
    <t>Nome</t>
  </si>
  <si>
    <t>Duração</t>
  </si>
  <si>
    <t>Categoria Padrão</t>
  </si>
  <si>
    <t>Tipo de Preço</t>
  </si>
  <si>
    <t>Preço Padrão</t>
  </si>
  <si>
    <t>Preço Promocional</t>
  </si>
  <si>
    <t>Custo Médio dos Produtos</t>
  </si>
  <si>
    <t>Custo Médio dos Produtos para Profissional</t>
  </si>
  <si>
    <t>Descartáveis e outras despesas</t>
  </si>
  <si>
    <t>Custo Operacional para Estabelecimento</t>
  </si>
  <si>
    <t>Custo Operacional para Profissional</t>
  </si>
  <si>
    <t>3 serviços em 1</t>
  </si>
  <si>
    <t>50 min</t>
  </si>
  <si>
    <t>Barba e Bigode</t>
  </si>
  <si>
    <t>Preço Fixo</t>
  </si>
  <si>
    <t>3h e 20 min</t>
  </si>
  <si>
    <t>2h e 30 min</t>
  </si>
  <si>
    <t>2 serviços em 1</t>
  </si>
  <si>
    <t>40 min</t>
  </si>
  <si>
    <t>Depilação dos pelos do nariz e ouvidos, com cera.</t>
  </si>
  <si>
    <t>20 min</t>
  </si>
  <si>
    <t>Depilação</t>
  </si>
  <si>
    <t>Acabamentos do cabelo.</t>
  </si>
  <si>
    <t>10 min</t>
  </si>
  <si>
    <t>Barba Desenhada/Modelada</t>
  </si>
  <si>
    <t>Barba Completa</t>
  </si>
  <si>
    <t>Corte de cabelo.</t>
  </si>
  <si>
    <t>Sem Higienização e Secagem.</t>
  </si>
  <si>
    <t>30 min</t>
  </si>
  <si>
    <t>Luzes</t>
  </si>
  <si>
    <t>2h</t>
  </si>
  <si>
    <t>Christian Magon</t>
  </si>
  <si>
    <t>Gustavo de Castro</t>
  </si>
  <si>
    <t>Podutos Corte</t>
  </si>
  <si>
    <t>Boleto</t>
  </si>
  <si>
    <t>Coleta lâminas</t>
  </si>
  <si>
    <t>Gola higiênica</t>
  </si>
  <si>
    <t>Gilete</t>
  </si>
  <si>
    <t>Palito</t>
  </si>
  <si>
    <t>Cera</t>
  </si>
  <si>
    <t>Luvas</t>
  </si>
  <si>
    <t>Data de Pagamento</t>
  </si>
  <si>
    <t>Crédito_de_Cliente</t>
  </si>
  <si>
    <t>PATRICK CARDOSO</t>
  </si>
  <si>
    <t>Pacote Silver (Corte)</t>
  </si>
  <si>
    <t>Aluguel</t>
  </si>
  <si>
    <t>Data de Registro</t>
  </si>
  <si>
    <t>claudio Fernandes</t>
  </si>
  <si>
    <t>Thiago martins</t>
  </si>
  <si>
    <t>Lucas phelipe</t>
  </si>
  <si>
    <t>MARCIO ANDRE BARROSO</t>
  </si>
  <si>
    <t>Marco Carvalho</t>
  </si>
  <si>
    <t>Vitor hugo oliveira</t>
  </si>
  <si>
    <t>Ester brito</t>
  </si>
  <si>
    <t>thiago da silva lima</t>
  </si>
  <si>
    <t>saimon gomes</t>
  </si>
  <si>
    <t>Akilles Aguiar</t>
  </si>
  <si>
    <t>Jorge Luiz pereira</t>
  </si>
  <si>
    <t>Kawan Santos</t>
  </si>
  <si>
    <t>hailton carlos jesus</t>
  </si>
  <si>
    <t>Jonas evangelista</t>
  </si>
  <si>
    <t>Eduardo Menndes</t>
  </si>
  <si>
    <t>betinho melo</t>
  </si>
  <si>
    <t>Luis miguel da Silva</t>
  </si>
  <si>
    <t>jefferson martins</t>
  </si>
  <si>
    <t>isaias berçort</t>
  </si>
  <si>
    <t>Daniella Dos Santos Lopes de Castro</t>
  </si>
  <si>
    <t>Daniel Fernandes Ruas</t>
  </si>
  <si>
    <t>Gabriel Camargo</t>
  </si>
  <si>
    <t>leonardo cortezz</t>
  </si>
  <si>
    <t>rodolfo de souza rocha</t>
  </si>
  <si>
    <t>Paulo César Medeiros dantas</t>
  </si>
  <si>
    <t>Marlon de Jesus Guimarães</t>
  </si>
  <si>
    <t>Lúcio do Espírito Santo</t>
  </si>
  <si>
    <t>Luiz Felipe Seixas da silva</t>
  </si>
  <si>
    <t>Joao vitor</t>
  </si>
  <si>
    <t>Carlos Fernando dos santos</t>
  </si>
  <si>
    <t>Jairon Santos</t>
  </si>
  <si>
    <t>Paulo Duque</t>
  </si>
  <si>
    <t>FELIPE ALMEIDA</t>
  </si>
  <si>
    <t>JOSE ACELINO</t>
  </si>
  <si>
    <t>Laís da Silva Soares Cassiano</t>
  </si>
  <si>
    <t>suiane alves silva</t>
  </si>
  <si>
    <t>combo depilação ( nariz + orelha )</t>
  </si>
  <si>
    <t>Combo ( corte + barba + pigmentação)</t>
  </si>
  <si>
    <t>combo ( corte + pigmentação)</t>
  </si>
  <si>
    <t>Crédito Cliente</t>
  </si>
  <si>
    <t>Combo ( Corte + Barba)</t>
  </si>
  <si>
    <t>Shampoo 4 em 1</t>
  </si>
  <si>
    <t>Cartão de Débito</t>
  </si>
  <si>
    <t>TON</t>
  </si>
  <si>
    <t>Água</t>
  </si>
  <si>
    <t>Construção</t>
  </si>
  <si>
    <t>Equipamento</t>
  </si>
  <si>
    <t>Imobilizado</t>
  </si>
  <si>
    <t>Resultado</t>
  </si>
  <si>
    <t>1.1</t>
  </si>
  <si>
    <t>1.2</t>
  </si>
  <si>
    <t>1.3</t>
  </si>
  <si>
    <t>Contas</t>
  </si>
  <si>
    <t>2.1</t>
  </si>
  <si>
    <t>2.2</t>
  </si>
  <si>
    <t>2.3</t>
  </si>
  <si>
    <t>2.4</t>
  </si>
  <si>
    <t>Saldo Mês</t>
  </si>
  <si>
    <t>Acumulado</t>
  </si>
  <si>
    <t>Jan</t>
  </si>
  <si>
    <t>Saldo Inicial</t>
  </si>
  <si>
    <t>Patrick Cardoso</t>
  </si>
  <si>
    <t>Luz &amp; Água</t>
  </si>
  <si>
    <t>Mercadorias Revenda</t>
  </si>
  <si>
    <t>Matéria Prima Serviços</t>
  </si>
  <si>
    <t xml:space="preserve">Adiantamento Quinzenal </t>
  </si>
  <si>
    <t>Salários a Pagar</t>
  </si>
  <si>
    <t>Treinamento</t>
  </si>
  <si>
    <t>Comissões a Pagar</t>
  </si>
  <si>
    <t>Propaganda e publicidade</t>
  </si>
  <si>
    <t>Telefone e Internet</t>
  </si>
  <si>
    <t>Mercado &amp; Descartáveis</t>
  </si>
  <si>
    <t>Produtos de Limpeza</t>
  </si>
  <si>
    <t>Receitas Produtos</t>
  </si>
  <si>
    <t>Receitas Serviços</t>
  </si>
  <si>
    <t>Despesas Operacionais</t>
  </si>
  <si>
    <t>Despesas RH</t>
  </si>
  <si>
    <t>Despesas Administrativas</t>
  </si>
  <si>
    <t>Treinamentos</t>
  </si>
  <si>
    <t>Despesas Gerias &amp; Vendas</t>
  </si>
  <si>
    <t>Duas formas</t>
  </si>
  <si>
    <t>Valor Ajuste</t>
  </si>
  <si>
    <t>Conta Ajuste</t>
  </si>
  <si>
    <t>Valor Atualizado</t>
  </si>
  <si>
    <t>Combo ( depilação nariz e orelha )</t>
  </si>
  <si>
    <t>Combo ( Corte + Barba )</t>
  </si>
  <si>
    <t>Cartão de Crédito</t>
  </si>
  <si>
    <t>PIX  / Cartão de Crédito</t>
  </si>
  <si>
    <t>Dinheiro  / Cartão de Débito</t>
  </si>
  <si>
    <t>Pagadores Duvidosos</t>
  </si>
  <si>
    <t>Mês/Ano Pag</t>
  </si>
  <si>
    <t>Mês/Ano Regs</t>
  </si>
  <si>
    <t>Anderson cleyton</t>
  </si>
  <si>
    <t>Ana beatriz Paes</t>
  </si>
  <si>
    <t>Taynara dos santos de Assumpção</t>
  </si>
  <si>
    <t>Clayton Queroz</t>
  </si>
  <si>
    <t>Gabriel lucas</t>
  </si>
  <si>
    <t>lidiane oliveira</t>
  </si>
  <si>
    <t>felipe gomes de andrade</t>
  </si>
  <si>
    <t>anderson de santana</t>
  </si>
  <si>
    <t>Hugo de Paula</t>
  </si>
  <si>
    <t>dilan barbosa pereira</t>
  </si>
  <si>
    <t>Ciara Nascimento</t>
  </si>
  <si>
    <t>marcio joser</t>
  </si>
  <si>
    <t>Joao Paulo</t>
  </si>
  <si>
    <t>Danilo Nascimento</t>
  </si>
  <si>
    <t>Marcos Aurelio Souza</t>
  </si>
  <si>
    <t>Ítalo Almeida</t>
  </si>
  <si>
    <t>Alex Pimenta</t>
  </si>
  <si>
    <t>Jonatan</t>
  </si>
  <si>
    <t>Fellipe Figueiredo Maia</t>
  </si>
  <si>
    <t>DAVIDSON FELIPE ACYOLI DOS SANTOS</t>
  </si>
  <si>
    <t>anderson bernardo</t>
  </si>
  <si>
    <t>joyce vianna</t>
  </si>
  <si>
    <t>Sem Cadastro</t>
  </si>
  <si>
    <t>Ycaro frança</t>
  </si>
  <si>
    <t>Matheus Rodriguês</t>
  </si>
  <si>
    <t>Rafael Ferreira</t>
  </si>
  <si>
    <t>junior ferreira</t>
  </si>
  <si>
    <t>Matheus Eduardo</t>
  </si>
  <si>
    <t>Anderson Desideratti</t>
  </si>
  <si>
    <t>rennan leandro</t>
  </si>
  <si>
    <t>THIAGO ABREU</t>
  </si>
  <si>
    <t>DANIEL NASCIMENTO</t>
  </si>
  <si>
    <t>rogerio macedo</t>
  </si>
  <si>
    <t>Ian Murilo</t>
  </si>
  <si>
    <t>roberto azevedo</t>
  </si>
  <si>
    <t>Davi Ramos</t>
  </si>
  <si>
    <t>Jose Wilson</t>
  </si>
  <si>
    <t>caio guido</t>
  </si>
  <si>
    <t>Leonardo de Oliveira Vieira Dias</t>
  </si>
  <si>
    <t>Joao Pedro Marques Pimentel da Silva</t>
  </si>
  <si>
    <t>Luciano Felix</t>
  </si>
  <si>
    <t>Daniel Ramos</t>
  </si>
  <si>
    <t>GILCIMAR SILVA de Barros</t>
  </si>
  <si>
    <t>robson dos santos moura</t>
  </si>
  <si>
    <t>Francisco Jose</t>
  </si>
  <si>
    <t>bruno ramos</t>
  </si>
  <si>
    <t>Kaio Vitor</t>
  </si>
  <si>
    <t>Eduardo Cassiano</t>
  </si>
  <si>
    <t>silviane ribeiro</t>
  </si>
  <si>
    <t>Marcelo Xeren</t>
  </si>
  <si>
    <t>marcus vinicius santos</t>
  </si>
  <si>
    <t>Daniel Almeida</t>
  </si>
  <si>
    <t>Emerson</t>
  </si>
  <si>
    <t>ryan terra</t>
  </si>
  <si>
    <t>Alexandre andrade</t>
  </si>
  <si>
    <t>GERLANE DOS SANTOS</t>
  </si>
  <si>
    <t>jorge luiz baptista</t>
  </si>
  <si>
    <t>DANIEL MOREIRA DA SILVA</t>
  </si>
  <si>
    <t>FELIPE SILVA</t>
  </si>
  <si>
    <t>douglas ramos</t>
  </si>
  <si>
    <t>rodrigos telles</t>
  </si>
  <si>
    <t>luis felipe morete</t>
  </si>
  <si>
    <t>eduardo peres</t>
  </si>
  <si>
    <t>alex de oliveira maria</t>
  </si>
  <si>
    <t>luciano da costa cruz</t>
  </si>
  <si>
    <t>luiz henrique</t>
  </si>
  <si>
    <t xml:space="preserve"> Jayme henrique</t>
  </si>
  <si>
    <t xml:space="preserve"> Alexandre andrade</t>
  </si>
  <si>
    <t xml:space="preserve"> Luciano Felix</t>
  </si>
  <si>
    <t xml:space="preserve"> Walter Villela</t>
  </si>
  <si>
    <t>Mexedor de café</t>
  </si>
  <si>
    <t>Ar condicionado</t>
  </si>
  <si>
    <t>MP Serviços - Gillete</t>
  </si>
  <si>
    <t>Agua</t>
  </si>
  <si>
    <t>Treinamento equipe</t>
  </si>
  <si>
    <t>MP Serviços - Luva</t>
  </si>
  <si>
    <t>Filmake</t>
  </si>
  <si>
    <t>Aniversario christian</t>
  </si>
  <si>
    <t>Espelho</t>
  </si>
  <si>
    <t>Parcela Única da Nota Fiscal Número  referente ao Produto: GEL COLA</t>
  </si>
  <si>
    <t>Parcela Única da Nota Fiscal Número  referente ao Produto: minox serum</t>
  </si>
  <si>
    <t>Parcela Única da Nota Fiscal Número  referente ao Produto: pasta caramelo</t>
  </si>
  <si>
    <t>Parcela Única da Nota Fiscal Número  referente ao Produto: Pasta Matte</t>
  </si>
  <si>
    <t>Parcela Única da Nota Fiscal Número  referente ao Produto: óleo de barba</t>
  </si>
  <si>
    <t>Café da manhã equipe.</t>
  </si>
  <si>
    <t>Parcela 1/6 - Sofa</t>
  </si>
  <si>
    <t>Toldo</t>
  </si>
  <si>
    <t>Cadeiras</t>
  </si>
  <si>
    <t>Roupa</t>
  </si>
  <si>
    <t>Festividades e Outros Equipe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</si>
  <si>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</si>
  <si>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</si>
  <si>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</si>
  <si>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</si>
  <si>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</si>
  <si>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</si>
  <si>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</si>
  <si>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</si>
  <si>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</si>
  <si>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</si>
  <si>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</si>
  <si>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Lorran</t>
  </si>
  <si>
    <t>flavio lavouras</t>
  </si>
  <si>
    <t>douglas joser</t>
  </si>
  <si>
    <t>Rafael de carvalho</t>
  </si>
  <si>
    <t>Pablo Roberto</t>
  </si>
  <si>
    <t>GABRIEL DA COSTA COPPI</t>
  </si>
  <si>
    <t>Joao Guilherme de Andrade Ferreira</t>
  </si>
  <si>
    <t>Zaqueu Thompson</t>
  </si>
  <si>
    <t>andre dantas</t>
  </si>
  <si>
    <t>alan dorneles</t>
  </si>
  <si>
    <t>Wesley Rios</t>
  </si>
  <si>
    <t>minox serum</t>
  </si>
  <si>
    <t>Ronaldo Oliveira</t>
  </si>
  <si>
    <t>diego pires</t>
  </si>
  <si>
    <t>Ryan Henrique</t>
  </si>
  <si>
    <t>Gabriel de miranda galvão</t>
  </si>
  <si>
    <t>Bruno Rocha Fernandes</t>
  </si>
  <si>
    <t>leonardo daniel nascimento</t>
  </si>
  <si>
    <t>gustavo souza</t>
  </si>
  <si>
    <t>Helio Canejo Guimarães Da Silva</t>
  </si>
  <si>
    <t>Matheus Chagas</t>
  </si>
  <si>
    <t>Rodrigo Cabral</t>
  </si>
  <si>
    <t>leonardo makluf</t>
  </si>
  <si>
    <t>hemerson lira</t>
  </si>
  <si>
    <t>Eduardo Moura</t>
  </si>
  <si>
    <t>Caio Andrey</t>
  </si>
  <si>
    <t>Leonan Roberto Aniceto Pereira</t>
  </si>
  <si>
    <t>anderson gomes valois</t>
  </si>
  <si>
    <t>jorge motta</t>
  </si>
  <si>
    <t>Cauã Almeida</t>
  </si>
  <si>
    <t>Flavio dias Mota</t>
  </si>
  <si>
    <t>Gilmar Carvalho</t>
  </si>
  <si>
    <t>Tayna Santana</t>
  </si>
  <si>
    <t>adriano palomo</t>
  </si>
  <si>
    <t>Yuri Azevedo</t>
  </si>
  <si>
    <t>Ronan Lopes</t>
  </si>
  <si>
    <t>simone alves</t>
  </si>
  <si>
    <t>Leonardo Paulo</t>
  </si>
  <si>
    <t>israel davy</t>
  </si>
  <si>
    <t>Thomas Baptista dos Santos Oliveira</t>
  </si>
  <si>
    <t>Michel Maiorano</t>
  </si>
  <si>
    <t>Flavio Fernandes</t>
  </si>
  <si>
    <t>Alexander Nascimento Dias</t>
  </si>
  <si>
    <t>octacilio junior</t>
  </si>
  <si>
    <t>Otavio Levi</t>
  </si>
  <si>
    <t>leonardo martins</t>
  </si>
  <si>
    <t>GEL COLA</t>
  </si>
  <si>
    <t>pasta caramelo</t>
  </si>
  <si>
    <t>Pasta Matte</t>
  </si>
  <si>
    <t>pomada black</t>
  </si>
  <si>
    <t>pomada incolor</t>
  </si>
  <si>
    <t>shampoo 4 em 1</t>
  </si>
  <si>
    <t>óleo de barba</t>
  </si>
  <si>
    <t>Item</t>
  </si>
  <si>
    <t>Valor Unitário</t>
  </si>
  <si>
    <t>Valor Comanda Líquido</t>
  </si>
  <si>
    <t>Data</t>
  </si>
  <si>
    <t>Pagamento</t>
  </si>
  <si>
    <t>GUSTAVO SANTA ROSA DE CASTRO</t>
  </si>
  <si>
    <t>Comanda número - 129633499</t>
  </si>
  <si>
    <t>Comanda número - 129684725</t>
  </si>
  <si>
    <t>Comanda número - 129688506</t>
  </si>
  <si>
    <t>Comanda número - 129697985</t>
  </si>
  <si>
    <t>Comanda número - 129699946</t>
  </si>
  <si>
    <t>Comanda número - 129714155</t>
  </si>
  <si>
    <t>Comanda número - 129721301</t>
  </si>
  <si>
    <t>Comanda número - 129734904</t>
  </si>
  <si>
    <t>Comanda número - 129740195</t>
  </si>
  <si>
    <t>pagaodores duvidosos</t>
  </si>
  <si>
    <t>Comanda número - 129762925</t>
  </si>
  <si>
    <t>Comanda número - 129789033</t>
  </si>
  <si>
    <t>Comanda número - 129800587</t>
  </si>
  <si>
    <t>Comanda número - 129806270</t>
  </si>
  <si>
    <t>Comanda número - 129809373</t>
  </si>
  <si>
    <t>Comanda número - 129856806</t>
  </si>
  <si>
    <t>PATRICK CARDOSO PIRES</t>
  </si>
  <si>
    <t>Comanda número - 129866301</t>
  </si>
  <si>
    <t>Comanda número - 129906261</t>
  </si>
  <si>
    <t>Comanda número - 129922760</t>
  </si>
  <si>
    <t>Comanda número - 129946009</t>
  </si>
  <si>
    <t>Comanda número - 129960112</t>
  </si>
  <si>
    <t>Comanda número - 129965803</t>
  </si>
  <si>
    <t>Comanda número - 129978814</t>
  </si>
  <si>
    <t>Comanda número - 129979670</t>
  </si>
  <si>
    <t>Comanda número - 129983742</t>
  </si>
  <si>
    <t>Comanda número - 129989049</t>
  </si>
  <si>
    <t>Comanda número - 129994112</t>
  </si>
  <si>
    <t>Comanda número - 129994747</t>
  </si>
  <si>
    <t>Comanda número - 130000706</t>
  </si>
  <si>
    <t>Comanda número - 130002449</t>
  </si>
  <si>
    <t>Comanda número - 130008514</t>
  </si>
  <si>
    <t>Comanda número - 130008915</t>
  </si>
  <si>
    <t>Comanda número - 130009261</t>
  </si>
  <si>
    <t>Comanda número - 130009370</t>
  </si>
  <si>
    <t>Comanda número - 130009737</t>
  </si>
  <si>
    <t>Comanda número - 130010951</t>
  </si>
  <si>
    <t>Comanda número - 130016310</t>
  </si>
  <si>
    <t>Comanda número - 130034982</t>
  </si>
  <si>
    <t>Comanda número - 130035039</t>
  </si>
  <si>
    <t>Comanda número - 130035218</t>
  </si>
  <si>
    <t>Comanda número - 130053453</t>
  </si>
  <si>
    <t>Comanda número - 130073301</t>
  </si>
  <si>
    <t>Comanda número - 130146810</t>
  </si>
  <si>
    <t>Comanda número - 130160173</t>
  </si>
  <si>
    <t>Comanda número - 130170296</t>
  </si>
  <si>
    <t>Comanda número - 130173035</t>
  </si>
  <si>
    <t>Comanda número - 130174093</t>
  </si>
  <si>
    <t>Comanda número - 130180606</t>
  </si>
  <si>
    <t>Comanda número - 130189777</t>
  </si>
  <si>
    <t>Comanda número - 130210932</t>
  </si>
  <si>
    <t>Comanda número - 130245363</t>
  </si>
  <si>
    <t>Comanda número - 130261167</t>
  </si>
  <si>
    <t>Comanda número - 130262420</t>
  </si>
  <si>
    <t>Comanda número - 130270750</t>
  </si>
  <si>
    <t>Comanda número - 130284460</t>
  </si>
  <si>
    <t>Comanda número - 130287908</t>
  </si>
  <si>
    <t>Comanda número - 130314404</t>
  </si>
  <si>
    <t>Comanda número - 130360311</t>
  </si>
  <si>
    <t>Comanda número - 130362958</t>
  </si>
  <si>
    <t>Comanda número - 130365124</t>
  </si>
  <si>
    <t>Comanda número - 130371134</t>
  </si>
  <si>
    <t>Comanda número - 130376749</t>
  </si>
  <si>
    <t>Comanda número - 130376911</t>
  </si>
  <si>
    <t>Comanda número - 130385118</t>
  </si>
  <si>
    <t>Comanda número - 130387474</t>
  </si>
  <si>
    <t>Comanda número - 130388414</t>
  </si>
  <si>
    <t>Comanda número - 130391365</t>
  </si>
  <si>
    <t>Comanda número - 130403001</t>
  </si>
  <si>
    <t>Comanda número - 130408500</t>
  </si>
  <si>
    <t>Comanda número - 130412471</t>
  </si>
  <si>
    <t>Comanda número - 130413087</t>
  </si>
  <si>
    <t>Comanda número - 130416989</t>
  </si>
  <si>
    <t>Comanda número - 130435780</t>
  </si>
  <si>
    <t>Comanda número - 130437079</t>
  </si>
  <si>
    <t>Comanda número - 130444403</t>
  </si>
  <si>
    <t>Comanda número - 130445169</t>
  </si>
  <si>
    <t>Comanda número - 130449214</t>
  </si>
  <si>
    <t>Comanda número - 130487811</t>
  </si>
  <si>
    <t>Comanda número - 130508479</t>
  </si>
  <si>
    <t>Comanda número - 130519027</t>
  </si>
  <si>
    <t>Comanda número - 130519803</t>
  </si>
  <si>
    <t>Comanda número - 130524513</t>
  </si>
  <si>
    <t>Comanda número - 130524755</t>
  </si>
  <si>
    <t>Comanda número - 130528683</t>
  </si>
  <si>
    <t>Comanda número - 130542037</t>
  </si>
  <si>
    <t>Comanda número - 130548226</t>
  </si>
  <si>
    <t>Comanda número - 130548483</t>
  </si>
  <si>
    <t>Comanda número - 130560427</t>
  </si>
  <si>
    <t>Comanda número - 130566594</t>
  </si>
  <si>
    <t>Comanda número - 130573872</t>
  </si>
  <si>
    <t>Comanda número - 130584438</t>
  </si>
  <si>
    <t>Comanda número - 130587028</t>
  </si>
  <si>
    <t>Comanda número - 130594143</t>
  </si>
  <si>
    <t>Comanda número - 130611037</t>
  </si>
  <si>
    <t>Comanda número - 130616261</t>
  </si>
  <si>
    <t>Comanda número - 130616406</t>
  </si>
  <si>
    <t>Comanda número - 130616713</t>
  </si>
  <si>
    <t>Comanda número - 130629105</t>
  </si>
  <si>
    <t>Comanda número - 130636684</t>
  </si>
  <si>
    <t>Comanda número - 130636932</t>
  </si>
  <si>
    <t>Comanda número - 130646877</t>
  </si>
  <si>
    <t>Comanda número - 130650826</t>
  </si>
  <si>
    <t>Comanda número - 130650918</t>
  </si>
  <si>
    <t>Comanda número - 130658398</t>
  </si>
  <si>
    <t>Comanda número - 130673332</t>
  </si>
  <si>
    <t>Comanda número - 130679016</t>
  </si>
  <si>
    <t>Comanda número - 130681928</t>
  </si>
  <si>
    <t>Comanda número - 130686585</t>
  </si>
  <si>
    <t>Comanda número - 130696695</t>
  </si>
  <si>
    <t>Comanda número - 130701952</t>
  </si>
  <si>
    <t>Comanda número - 130702274</t>
  </si>
  <si>
    <t>Comanda número - 130706767</t>
  </si>
  <si>
    <t>Comanda número - 130709333</t>
  </si>
  <si>
    <t>Comanda número - 130711533</t>
  </si>
  <si>
    <t>Comanda número - 130734694</t>
  </si>
  <si>
    <t>Comanda número - 130740009</t>
  </si>
  <si>
    <t>Comanda número - 130741090</t>
  </si>
  <si>
    <t>Comanda número - 130746099</t>
  </si>
  <si>
    <t>Comanda número - 130746348</t>
  </si>
  <si>
    <t>Comanda número - 130747521</t>
  </si>
  <si>
    <t>Comanda número - 130749269</t>
  </si>
  <si>
    <t>Comanda número - 130754176</t>
  </si>
  <si>
    <t>Comanda número - 130755868</t>
  </si>
  <si>
    <t>Comanda número - 130759426</t>
  </si>
  <si>
    <t>Comanda número - 130762982</t>
  </si>
  <si>
    <t>Comanda número - 130766070</t>
  </si>
  <si>
    <t>Comanda número - 130778549</t>
  </si>
  <si>
    <t>Comanda número - 130787104</t>
  </si>
  <si>
    <t>Comanda número - 130787237</t>
  </si>
  <si>
    <t>Comanda número - 130789295</t>
  </si>
  <si>
    <t>Comanda número - 130792971</t>
  </si>
  <si>
    <t>Comanda número - 130796099</t>
  </si>
  <si>
    <t>Comanda número - 130803730</t>
  </si>
  <si>
    <t>Comanda número - 130806910</t>
  </si>
  <si>
    <t>Comanda número - 130810143</t>
  </si>
  <si>
    <t>Comanda número - 130811999</t>
  </si>
  <si>
    <t>Comanda número - 130813807</t>
  </si>
  <si>
    <t>Comanda número - 130813926</t>
  </si>
  <si>
    <t>Comanda número - 130815019</t>
  </si>
  <si>
    <t>Comanda número - 130815041</t>
  </si>
  <si>
    <t>Comanda número - 130825814</t>
  </si>
  <si>
    <t>Comanda número - 130832065</t>
  </si>
  <si>
    <t>Comanda número - 130836123</t>
  </si>
  <si>
    <t>Comanda número - 130902524</t>
  </si>
  <si>
    <t>Comanda número - 130902630</t>
  </si>
  <si>
    <t>Comanda número - 130904268</t>
  </si>
  <si>
    <t>Comanda número - 130927093</t>
  </si>
  <si>
    <t>Comanda número - 130934667</t>
  </si>
  <si>
    <t>Comanda número - 130937878</t>
  </si>
  <si>
    <t>Comanda número - 130945866</t>
  </si>
  <si>
    <t>Comanda número - 130953003</t>
  </si>
  <si>
    <t>Comanda número - 130960890</t>
  </si>
  <si>
    <t>Comanda número - 130980505</t>
  </si>
  <si>
    <t>Comanda número - 130986539</t>
  </si>
  <si>
    <t>Comanda número - 130993852</t>
  </si>
  <si>
    <t>Comanda número - 130994093</t>
  </si>
  <si>
    <t>Comanda número - 130999015</t>
  </si>
  <si>
    <t>Comanda número - 131016645</t>
  </si>
  <si>
    <t>Comanda número - 131081355</t>
  </si>
  <si>
    <t>Comanda número - 131092201</t>
  </si>
  <si>
    <t>Comanda número - 131105524</t>
  </si>
  <si>
    <t>Comanda número - 131125806</t>
  </si>
  <si>
    <t>Comanda número - 131169393</t>
  </si>
  <si>
    <t>Comanda número - 131175520</t>
  </si>
  <si>
    <t>Comanda número - 131183411</t>
  </si>
  <si>
    <t>Comanda número - 131198416</t>
  </si>
  <si>
    <t>Comanda número - 131253179</t>
  </si>
  <si>
    <t>Comanda número - 131260454</t>
  </si>
  <si>
    <t>Comanda número - 131262185</t>
  </si>
  <si>
    <t>Comanda número - 131275867</t>
  </si>
  <si>
    <t>Comanda número - 131282661</t>
  </si>
  <si>
    <t>Comanda número - 131283949</t>
  </si>
  <si>
    <t>Comanda número - 131310886</t>
  </si>
  <si>
    <t>Comanda número - 131315230</t>
  </si>
  <si>
    <t>Comanda número - 131318743</t>
  </si>
  <si>
    <t>Comanda número - 131320876</t>
  </si>
  <si>
    <t>Comanda número - 131326128</t>
  </si>
  <si>
    <t>Comanda número - 131340263</t>
  </si>
  <si>
    <t>Comanda número - 131342500</t>
  </si>
  <si>
    <t>Comanda número - 131353451</t>
  </si>
  <si>
    <t>Comanda número - 131353635</t>
  </si>
  <si>
    <t>Comanda número - 131362196</t>
  </si>
  <si>
    <t>Comanda número - 131366691</t>
  </si>
  <si>
    <t>Comanda número - 131380370</t>
  </si>
  <si>
    <t>Comanda número - 131407671</t>
  </si>
  <si>
    <t>Comanda número - 131411655</t>
  </si>
  <si>
    <t>Comanda número - 131426242</t>
  </si>
  <si>
    <t>Comanda número - 131434835</t>
  </si>
  <si>
    <t>Comanda número - 131486999</t>
  </si>
  <si>
    <t>Comanda número - 131525458</t>
  </si>
  <si>
    <t>Comanda número - 131538002</t>
  </si>
  <si>
    <t>Comanda número - 131541064</t>
  </si>
  <si>
    <t>Comanda número - 131544148</t>
  </si>
  <si>
    <t>Comanda número - 131568689</t>
  </si>
  <si>
    <t>Comanda número - 131583043</t>
  </si>
  <si>
    <t>Comanda número - 131586303</t>
  </si>
  <si>
    <t>Comanda número - 131587666</t>
  </si>
  <si>
    <t>Comanda número - 131624350</t>
  </si>
  <si>
    <t>Comanda número - 131624694</t>
  </si>
  <si>
    <t>Comanda número - 131625133</t>
  </si>
  <si>
    <t>Comanda número - 131627330</t>
  </si>
  <si>
    <t>Comanda número - 131634281</t>
  </si>
  <si>
    <t>Comanda número - 131655227</t>
  </si>
  <si>
    <t>Comanda número - 131659562</t>
  </si>
  <si>
    <t>Comanda número - 131662498</t>
  </si>
  <si>
    <t>Comanda número - 131677282</t>
  </si>
  <si>
    <t>Comanda número - 131680165</t>
  </si>
  <si>
    <t>Comanda número - 131682423</t>
  </si>
  <si>
    <t>Comanda número - 131686664</t>
  </si>
  <si>
    <t>Comanda número - 131689299</t>
  </si>
  <si>
    <t>Comanda número - 131698493</t>
  </si>
  <si>
    <t>Comanda número - 131703115</t>
  </si>
  <si>
    <t>Comanda número - 131703457</t>
  </si>
  <si>
    <t>Comanda número - 131714136</t>
  </si>
  <si>
    <t>Comanda número - 131729379</t>
  </si>
  <si>
    <t>Comanda número - 131742324</t>
  </si>
  <si>
    <t>Comanda número - 131752952</t>
  </si>
  <si>
    <t>Comanda número - 131753055</t>
  </si>
  <si>
    <t>Comanda número - 131755419</t>
  </si>
  <si>
    <t>Comanda número - 131756096</t>
  </si>
  <si>
    <t>Comanda número - 131761191</t>
  </si>
  <si>
    <t>Comanda número - 131771937</t>
  </si>
  <si>
    <t>Comanda número - 131778910</t>
  </si>
  <si>
    <t>Comanda número - 131797892</t>
  </si>
  <si>
    <t>Comanda número - 131798287</t>
  </si>
  <si>
    <t>Comanda número - 131814579</t>
  </si>
  <si>
    <t>Comanda número - 131817685</t>
  </si>
  <si>
    <t>Comanda número - 131822157</t>
  </si>
  <si>
    <t>Comanda número - 131827697</t>
  </si>
  <si>
    <t>Comanda número - 131831214</t>
  </si>
  <si>
    <t>Comanda número - 131847627</t>
  </si>
  <si>
    <t>Comanda número - 131851890</t>
  </si>
  <si>
    <t>Comanda número - 131856812</t>
  </si>
  <si>
    <t>Comanda número - 131866999</t>
  </si>
  <si>
    <t>Comanda número - 131872083</t>
  </si>
  <si>
    <t>Comanda número - 131874417</t>
  </si>
  <si>
    <t>Comanda número - 131878710</t>
  </si>
  <si>
    <t>Comanda número - 131879080</t>
  </si>
  <si>
    <t>Comanda número - 131882329</t>
  </si>
  <si>
    <t>Comanda número - 131886527</t>
  </si>
  <si>
    <t>Comanda número - 131892461</t>
  </si>
  <si>
    <t>Comanda número - 131893507</t>
  </si>
  <si>
    <t>Comanda número - 131893683</t>
  </si>
  <si>
    <t>Comanda número - 131895736</t>
  </si>
  <si>
    <t>Comanda número - 131898702</t>
  </si>
  <si>
    <t>Comanda número - 131899927</t>
  </si>
  <si>
    <t>Comanda número - 131900649</t>
  </si>
  <si>
    <t>Comanda número - 132024027</t>
  </si>
  <si>
    <t>ryan dos santos</t>
  </si>
  <si>
    <t>Comanda número - 132058437</t>
  </si>
  <si>
    <t>Comanda número - 132065288</t>
  </si>
  <si>
    <t>Pedro gabriel</t>
  </si>
  <si>
    <t>Comanda número - 132072917</t>
  </si>
  <si>
    <t>Comanda número - 132141055</t>
  </si>
  <si>
    <t>Comanda número - 132172388</t>
  </si>
  <si>
    <t>Franciele Freitas</t>
  </si>
  <si>
    <t>Comanda número - 132209399</t>
  </si>
  <si>
    <t>Pedro Felipe</t>
  </si>
  <si>
    <t>Comanda número - 132212190</t>
  </si>
  <si>
    <t>Comanda número - 132229177</t>
  </si>
  <si>
    <t>renato rodrigues</t>
  </si>
  <si>
    <t>Comanda número - 132238703</t>
  </si>
  <si>
    <t>matheus barbosa</t>
  </si>
  <si>
    <t>Comanda número - 132248770</t>
  </si>
  <si>
    <t>Comanda número - 132272916</t>
  </si>
  <si>
    <t>Comanda número - 132280269</t>
  </si>
  <si>
    <t>Comanda número - 132298081</t>
  </si>
  <si>
    <t>Comanda número - 132313598</t>
  </si>
  <si>
    <t>Rodolfo Guerra</t>
  </si>
  <si>
    <t>Comanda número - 132321832</t>
  </si>
  <si>
    <t>Comanda número - 132355000</t>
  </si>
  <si>
    <t>Comanda número - 132360303</t>
  </si>
  <si>
    <t>Comanda número - 132409467</t>
  </si>
  <si>
    <t>Otavio augusto</t>
  </si>
  <si>
    <t>Comanda número - 132411983</t>
  </si>
  <si>
    <t>Carlos Gama</t>
  </si>
  <si>
    <t>Comanda número - 132422943</t>
  </si>
  <si>
    <t>Eric Antonio Sa de almeida jaber</t>
  </si>
  <si>
    <t>Comanda número - 132489142</t>
  </si>
  <si>
    <t>Comanda número - 132499707</t>
  </si>
  <si>
    <t>Comanda número - 132505127</t>
  </si>
  <si>
    <t>ana dos santos</t>
  </si>
  <si>
    <t>Comanda número - 132512980</t>
  </si>
  <si>
    <t>Comanda número - 132522487</t>
  </si>
  <si>
    <t>kaue ferreira gomes</t>
  </si>
  <si>
    <t>Comanda número - 132532845</t>
  </si>
  <si>
    <t>Comanda número - 132544034</t>
  </si>
  <si>
    <t>Comanda número - 132565164</t>
  </si>
  <si>
    <t>Comanda número - 132582181</t>
  </si>
  <si>
    <t>Venda Pacote: Pacote Platinum (Corte   Barba Modelada   Sobrancelha) - Cliente: Gabriel Nunes</t>
  </si>
  <si>
    <t>Venda Pacote: pacote silver (CORTE) - Cliente: Jayme henrique</t>
  </si>
  <si>
    <t>Venda Pacote: pacote silver (CORTE) - Cliente: Alexandre andrade</t>
  </si>
  <si>
    <t>Venda Pacote: pacote silver (CORTE) - Cliente: Luciano Felix</t>
  </si>
  <si>
    <t>Venda Pacote: Pacote Platinum (Corte   Barba Modelada   Sobrancelha) - Cliente: Walter Villela</t>
  </si>
  <si>
    <t>Venda Pacote: pacote silver (CORTE) - Cliente: Paulo Roberto</t>
  </si>
  <si>
    <t>Venda Pacote: pacote silver (CORTE) - Cliente: Leonardo Lima</t>
  </si>
  <si>
    <t>Venda Pacote: pacote silver (CORTE) - Cliente: Jefferson Bruno</t>
  </si>
  <si>
    <t>Venda Pacote: pacote silver (CORTE) - Cliente: bruno ramos</t>
  </si>
  <si>
    <t>Comissões</t>
  </si>
  <si>
    <t>Faturamento</t>
  </si>
  <si>
    <t>pagadores duvidosos</t>
  </si>
  <si>
    <t>Pacote</t>
  </si>
  <si>
    <t>Valor Atualizado2</t>
  </si>
  <si>
    <t>Pacotes</t>
  </si>
  <si>
    <t>1.4</t>
  </si>
  <si>
    <t>Redução</t>
  </si>
  <si>
    <t>bruno Ramos</t>
  </si>
  <si>
    <t xml:space="preserve"> Gabriel Nunes</t>
  </si>
  <si>
    <t xml:space="preserve"> Paulo Roberto</t>
  </si>
  <si>
    <t xml:space="preserve"> Leonardo Lima</t>
  </si>
  <si>
    <t xml:space="preserve"> Jefferson Bruno</t>
  </si>
  <si>
    <t xml:space="preserve"> bruno ramos</t>
  </si>
  <si>
    <t>Cliente Pacotes</t>
  </si>
  <si>
    <t>1.4.02</t>
  </si>
  <si>
    <t>1.4.01</t>
  </si>
  <si>
    <t>Créditos Clientes</t>
  </si>
  <si>
    <t>Créditos Clientes - Pacotes</t>
  </si>
  <si>
    <t>1.5</t>
  </si>
  <si>
    <t>Ajuste Ativo</t>
  </si>
  <si>
    <t>2.2.01</t>
  </si>
  <si>
    <t>Comanda número - 132230707</t>
  </si>
  <si>
    <t>Gilson Abud</t>
  </si>
  <si>
    <t>Comanda número - 132349232</t>
  </si>
  <si>
    <t>Comanda número - 132487038</t>
  </si>
  <si>
    <t>JULIANA FRANCISCO PEREIRA VASCO</t>
  </si>
  <si>
    <t>Comanda número - 132610653</t>
  </si>
  <si>
    <t>Comanda número - 132614326</t>
  </si>
  <si>
    <t>Comanda número - 132626565</t>
  </si>
  <si>
    <t>Comanda número - 132648004</t>
  </si>
  <si>
    <t>Rodrigo Fernandes</t>
  </si>
  <si>
    <t>Comanda número - 132676223</t>
  </si>
  <si>
    <t>Fabio Ribeiro</t>
  </si>
  <si>
    <t>Comanda número - 132676622</t>
  </si>
  <si>
    <t>fabio abrantes</t>
  </si>
  <si>
    <t>Comanda número - 132678343</t>
  </si>
  <si>
    <t>davi de matos</t>
  </si>
  <si>
    <t>Comanda número - 132718006</t>
  </si>
  <si>
    <t>Comanda número - 132728383</t>
  </si>
  <si>
    <t>Comanda número - 132733882</t>
  </si>
  <si>
    <t>Comanda número - 132734130</t>
  </si>
  <si>
    <t>Comanda número - 132742014</t>
  </si>
  <si>
    <t>Comanda número - 132747654</t>
  </si>
  <si>
    <t>Comanda número - 132750201</t>
  </si>
  <si>
    <t>alfierre dos santos</t>
  </si>
  <si>
    <t>Comanda número - 132750869</t>
  </si>
  <si>
    <t>Comanda número - 132773818</t>
  </si>
  <si>
    <t>Comanda número - 132777518</t>
  </si>
  <si>
    <t>Comanda número - 132782286</t>
  </si>
  <si>
    <t>Anderson Costa</t>
  </si>
  <si>
    <t>Comanda número - 132795273</t>
  </si>
  <si>
    <t>Comanda número - 132795401</t>
  </si>
  <si>
    <t>Comanda número - 132815898</t>
  </si>
  <si>
    <t>Comanda número - 132815985</t>
  </si>
  <si>
    <t>Comanda número - 132818604</t>
  </si>
  <si>
    <t>Comanda número - 132827801</t>
  </si>
  <si>
    <t>Comanda número - 132843756</t>
  </si>
  <si>
    <t>Comanda número - 132854161</t>
  </si>
  <si>
    <t>Comanda número - 132854249</t>
  </si>
  <si>
    <t>Comanda número - 132856545</t>
  </si>
  <si>
    <t>MATHEUS EDUARDO GOMES DA SILVA</t>
  </si>
  <si>
    <t>Comanda número - 132858172</t>
  </si>
  <si>
    <t>Dinheiro  / PIX</t>
  </si>
  <si>
    <t>Comanda número - 132868924</t>
  </si>
  <si>
    <t>Comanda número - 132872169</t>
  </si>
  <si>
    <t>carla ferreira</t>
  </si>
  <si>
    <t>Comanda número - 132875107</t>
  </si>
  <si>
    <t>Comanda número - 132876032</t>
  </si>
  <si>
    <t>Ana Beatriz</t>
  </si>
  <si>
    <t>Comanda número - 132881610</t>
  </si>
  <si>
    <t>Comanda número - 132885669</t>
  </si>
  <si>
    <t>Comanda número - 132897926</t>
  </si>
  <si>
    <t>Comanda número - 132900887</t>
  </si>
  <si>
    <t>Comanda número - 132904907</t>
  </si>
  <si>
    <t>Comanda número - 132907398</t>
  </si>
  <si>
    <t>Daniella</t>
  </si>
  <si>
    <t>Comanda número - 132907703</t>
  </si>
  <si>
    <t>Comanda número - 132919622</t>
  </si>
  <si>
    <t>Comanda número - 132924642</t>
  </si>
  <si>
    <t>Comanda número - 132933012</t>
  </si>
  <si>
    <t>Comanda número - 132936711</t>
  </si>
  <si>
    <t>Reinaldo Magalhães Lage Porto</t>
  </si>
  <si>
    <t>Comanda número - 132944610</t>
  </si>
  <si>
    <t>Comanda número - 132948354</t>
  </si>
  <si>
    <t>jackson douglas</t>
  </si>
  <si>
    <t>Comanda número - 132951339</t>
  </si>
  <si>
    <t>jesse lima</t>
  </si>
  <si>
    <t>Comanda número - 132952888</t>
  </si>
  <si>
    <t>Arthur Augusto Fonte Tenorio da Silva</t>
  </si>
  <si>
    <t>Comanda número - 132969601</t>
  </si>
  <si>
    <t>Gorjeta</t>
  </si>
  <si>
    <t>Comanda número - 132969729</t>
  </si>
  <si>
    <t>Juan David</t>
  </si>
  <si>
    <t>Comanda número - 132970302</t>
  </si>
  <si>
    <t>edmilson santos fernandes</t>
  </si>
  <si>
    <t>Comanda número - 132970372</t>
  </si>
  <si>
    <t>Comanda número - 132971547</t>
  </si>
  <si>
    <t>Comanda número - 132972058</t>
  </si>
  <si>
    <t>Sergio Enrique</t>
  </si>
  <si>
    <t>Comanda número - 132972553</t>
  </si>
  <si>
    <t>marcio santana</t>
  </si>
  <si>
    <t>Comanda número - 132992981</t>
  </si>
  <si>
    <t>Comanda número - 133022686</t>
  </si>
  <si>
    <t>Comanda número - 133048426</t>
  </si>
  <si>
    <t>Comanda número - 133053087</t>
  </si>
  <si>
    <t>Comanda número - 133061921</t>
  </si>
  <si>
    <t>elder allen</t>
  </si>
  <si>
    <t>Comanda número - 133062247</t>
  </si>
  <si>
    <t>elder kanzler</t>
  </si>
  <si>
    <t>Comanda número - 133066622</t>
  </si>
  <si>
    <t>Elder Ordones</t>
  </si>
  <si>
    <t>Comanda número - 133075574</t>
  </si>
  <si>
    <t>Cartão de Crédito  / Dinheiro</t>
  </si>
  <si>
    <t>elder grogan</t>
  </si>
  <si>
    <t>Comanda número - 133078226</t>
  </si>
  <si>
    <t>Comanda número - 133088211</t>
  </si>
  <si>
    <t>elder sousa</t>
  </si>
  <si>
    <t>Comanda número - 133090018</t>
  </si>
  <si>
    <t>elder cifonte</t>
  </si>
  <si>
    <t>Comanda número - 133091416</t>
  </si>
  <si>
    <t>Edvando brito</t>
  </si>
  <si>
    <t>Comanda número - 133091714</t>
  </si>
  <si>
    <t>Comanda número - 133119864</t>
  </si>
  <si>
    <t>Comanda número - 133144826</t>
  </si>
  <si>
    <t>Valor</t>
  </si>
  <si>
    <t>Despesa</t>
  </si>
  <si>
    <t>Origem</t>
  </si>
  <si>
    <t>Financeiro</t>
  </si>
  <si>
    <t>Gastos variaveis</t>
  </si>
  <si>
    <t>Gastos Fixos</t>
  </si>
  <si>
    <t>alimentação</t>
  </si>
  <si>
    <t>MPS - Gillete</t>
  </si>
  <si>
    <t>MP Serviço  - Gillete</t>
  </si>
  <si>
    <t>MP SERVIÇOS - Gola higienica</t>
  </si>
  <si>
    <t>Pagamento de comissão ao profissional Christian Magon referente ao período : 01/02/2025 até 15/02/2025</t>
  </si>
  <si>
    <t>Pagamento de comissão ao profissional GUSTAVO SANTA ROSA DE CASTRO referente ao período : 01/02/2025 até 15/02/2025</t>
  </si>
  <si>
    <t>Pagamento de comissão ao profissional PATRICK CARDOSO PIRES referente ao período : 01/02/2025 até 15/02/2025</t>
  </si>
  <si>
    <t>Pagamento Toldo</t>
  </si>
  <si>
    <t>MP serviços - Gillete</t>
  </si>
  <si>
    <t>Internet</t>
  </si>
  <si>
    <t>Lâmpada</t>
  </si>
  <si>
    <t>Manutenção cadeira</t>
  </si>
  <si>
    <t>MP Serviços - gillete 2 Uni</t>
  </si>
  <si>
    <t>Água potável</t>
  </si>
  <si>
    <t>Limpeza do vidro</t>
  </si>
  <si>
    <t>Alimentação diretores ( IBC )</t>
  </si>
  <si>
    <t>Alimentação diretores</t>
  </si>
  <si>
    <t>Diretoria</t>
  </si>
  <si>
    <t>Eventos</t>
  </si>
  <si>
    <t>Manutenção</t>
  </si>
  <si>
    <t>2.5</t>
  </si>
  <si>
    <t>2.2.01.01</t>
  </si>
  <si>
    <t>2.2.01.01.01</t>
  </si>
  <si>
    <t>2.2.01.01.02</t>
  </si>
  <si>
    <t>2.2.01.01.03</t>
  </si>
  <si>
    <t>2.2.01.01.04</t>
  </si>
  <si>
    <t>Adiantamento</t>
  </si>
  <si>
    <t>2.2.01.03</t>
  </si>
  <si>
    <t>2.2.01.03.01</t>
  </si>
  <si>
    <t>2.2.01.03.02</t>
  </si>
  <si>
    <t>2.2.01.03.03</t>
  </si>
  <si>
    <t>2.2.01.03.04</t>
  </si>
  <si>
    <t>2.2.01.02</t>
  </si>
  <si>
    <t>2.2.01.02.01</t>
  </si>
  <si>
    <t>2.2.01.02.02</t>
  </si>
  <si>
    <t>2.2.01.02.03</t>
  </si>
  <si>
    <t>2.2.01.02.04</t>
  </si>
  <si>
    <t>Saldo</t>
  </si>
  <si>
    <t>Comanda número - 133043220</t>
  </si>
  <si>
    <t>Comanda número - 133095742</t>
  </si>
  <si>
    <t>Comanda número - 133139668</t>
  </si>
  <si>
    <t>Comanda número - 133210152</t>
  </si>
  <si>
    <t>Comanda número - 133233048</t>
  </si>
  <si>
    <t>Comanda número - 133268489</t>
  </si>
  <si>
    <t>Vinicius tiotonio</t>
  </si>
  <si>
    <t>Comanda número - 133273212</t>
  </si>
  <si>
    <t>Andre Passos</t>
  </si>
  <si>
    <t>Comanda número - 133276463</t>
  </si>
  <si>
    <t>Comanda número - 133290680</t>
  </si>
  <si>
    <t>Comanda número - 133297431</t>
  </si>
  <si>
    <t>Comanda número - 133297579</t>
  </si>
  <si>
    <t>Heitor Nazario</t>
  </si>
  <si>
    <t>Comanda número - 133297626</t>
  </si>
  <si>
    <t>Arthur Nazario</t>
  </si>
  <si>
    <t>Comanda número - 133310881</t>
  </si>
  <si>
    <t>Comanda número - 133313679</t>
  </si>
  <si>
    <t>Alexandre Almeida</t>
  </si>
  <si>
    <t>Comanda número - 133317275</t>
  </si>
  <si>
    <t>tulinho maduro</t>
  </si>
  <si>
    <t>Comanda número - 133340221</t>
  </si>
  <si>
    <t>Comanda número - 133354565</t>
  </si>
  <si>
    <t>Comanda número - 133360647</t>
  </si>
  <si>
    <t>Comanda número - 133360813</t>
  </si>
  <si>
    <t>Comanda número - 133360862</t>
  </si>
  <si>
    <t>Comanda número - 133374378</t>
  </si>
  <si>
    <t>Comanda número - 133374933</t>
  </si>
  <si>
    <t>Comanda número - 133408954</t>
  </si>
  <si>
    <t>Comanda número - 133410375</t>
  </si>
  <si>
    <t>Comanda número - 133414392</t>
  </si>
  <si>
    <t>Felipe Fontes</t>
  </si>
  <si>
    <t>Comanda número - 133423570</t>
  </si>
  <si>
    <t>Comanda número - 133425195</t>
  </si>
  <si>
    <t>Comanda número - 133453154</t>
  </si>
  <si>
    <t>Daniel Silva de Paula</t>
  </si>
  <si>
    <t>Comanda número - 133463945</t>
  </si>
  <si>
    <t>Comanda número - 133464406</t>
  </si>
  <si>
    <t>Gabriel Cabral</t>
  </si>
  <si>
    <t>Comanda número - 133492653</t>
  </si>
  <si>
    <t>Caram nicolau</t>
  </si>
  <si>
    <t>Comanda número - 133521537</t>
  </si>
  <si>
    <t>Comanda número - 133533792</t>
  </si>
  <si>
    <t>Bernardo Porto</t>
  </si>
  <si>
    <t>Comanda número - 133539689</t>
  </si>
  <si>
    <t>Marco Ribeiro</t>
  </si>
  <si>
    <t>Comanda número - 133540096</t>
  </si>
  <si>
    <t>Comanda número - 133543119</t>
  </si>
  <si>
    <t>Comanda número - 133547353</t>
  </si>
  <si>
    <t>Gleybson Marques</t>
  </si>
  <si>
    <t>Comanda número - 133548580</t>
  </si>
  <si>
    <t>Comanda número - 133549436</t>
  </si>
  <si>
    <t>Comanda número - 133552677</t>
  </si>
  <si>
    <t>Comanda número - 133557746</t>
  </si>
  <si>
    <t>Comanda número - 133558675</t>
  </si>
  <si>
    <t>Comanda número - 133564521</t>
  </si>
  <si>
    <t>Comanda número - 133564566</t>
  </si>
  <si>
    <t>Comanda número - 133569004</t>
  </si>
  <si>
    <t>Barba</t>
  </si>
  <si>
    <t>Comanda número - 133578609</t>
  </si>
  <si>
    <t>Comanda número - 133583784</t>
  </si>
  <si>
    <t>Matheus Magon</t>
  </si>
  <si>
    <t>Comanda número - 133591137</t>
  </si>
  <si>
    <t>Comanda número - 133617720</t>
  </si>
  <si>
    <t>bruno valerio</t>
  </si>
  <si>
    <t>Comanda número - 133622729</t>
  </si>
  <si>
    <t>antonio onofre</t>
  </si>
  <si>
    <t>Comanda número - 133630237</t>
  </si>
  <si>
    <t>davi lima de souza</t>
  </si>
  <si>
    <t>Comanda número - 133633278</t>
  </si>
  <si>
    <t>luis fernando</t>
  </si>
  <si>
    <t>Comanda número - 133647439</t>
  </si>
  <si>
    <t>Comanda número - 133654563</t>
  </si>
  <si>
    <t>Comanda número - 133664335</t>
  </si>
  <si>
    <t>Daniel Pontes</t>
  </si>
  <si>
    <t>Comanda número - 133669552</t>
  </si>
  <si>
    <t>Comanda número - 133671247</t>
  </si>
  <si>
    <t>Comanda número - 133672246</t>
  </si>
  <si>
    <t>Comanda número - 133672910</t>
  </si>
  <si>
    <t>Alexandre</t>
  </si>
  <si>
    <t>Comanda número - 133690610</t>
  </si>
  <si>
    <t>Heyver jorge gomes</t>
  </si>
  <si>
    <t>Comanda número - 133693785</t>
  </si>
  <si>
    <t>Comanda número - 133708146</t>
  </si>
  <si>
    <t>Comanda número - 133712463</t>
  </si>
  <si>
    <t>Comanda número - 133721777</t>
  </si>
  <si>
    <t>ygor pimenta</t>
  </si>
  <si>
    <t>Comanda número - 133725147</t>
  </si>
  <si>
    <t>Comanda número - 133725870</t>
  </si>
  <si>
    <t>leonardo souza de moura</t>
  </si>
  <si>
    <t>Comanda número - 133726928</t>
  </si>
  <si>
    <t>Carlos Silva</t>
  </si>
  <si>
    <t>Comanda número - 133742708</t>
  </si>
  <si>
    <t>douglas jesus</t>
  </si>
  <si>
    <t>Comanda número - 133748812</t>
  </si>
  <si>
    <t>breno souza</t>
  </si>
  <si>
    <t>Comanda número - 133756762</t>
  </si>
  <si>
    <t>Comanda número - 133765678</t>
  </si>
  <si>
    <t>Comanda número - 133781305</t>
  </si>
  <si>
    <t>Comanda número - 133796405</t>
  </si>
  <si>
    <t>Comanda número - 133796750</t>
  </si>
  <si>
    <t>matheus lopes veloso</t>
  </si>
  <si>
    <t>Comanda número - 133799785</t>
  </si>
  <si>
    <t>Comanda número - 133799975</t>
  </si>
  <si>
    <t>Joao Vitor</t>
  </si>
  <si>
    <t>Comanda número - 133832623</t>
  </si>
  <si>
    <t>Comanda número - 133845050</t>
  </si>
  <si>
    <t>gabriel martins</t>
  </si>
  <si>
    <t>Comanda número - 133846845</t>
  </si>
  <si>
    <t>Helton Araujo</t>
  </si>
  <si>
    <t>Comanda número - 133853022</t>
  </si>
  <si>
    <t>Ryan Santos</t>
  </si>
  <si>
    <t>Comanda número - 133860693</t>
  </si>
  <si>
    <t>Comanda número - 133865597</t>
  </si>
  <si>
    <t>Comanda número - 133867160</t>
  </si>
  <si>
    <t>Comanda número - 133868790</t>
  </si>
  <si>
    <t>Comanda número - 133870508</t>
  </si>
  <si>
    <t>Comanda número - 133885036</t>
  </si>
  <si>
    <t>Comanda número - 133896748</t>
  </si>
  <si>
    <t>Comanda número - 133896909</t>
  </si>
  <si>
    <t>Comanda número - 133901296</t>
  </si>
  <si>
    <t>Artur da Silva de Almeida</t>
  </si>
  <si>
    <t>Comanda número - 133901451</t>
  </si>
  <si>
    <t>Comanda número - 133907036</t>
  </si>
  <si>
    <t>arthur victor</t>
  </si>
  <si>
    <t>Comanda número - 133913698</t>
  </si>
  <si>
    <t>Ana Paula Llll</t>
  </si>
  <si>
    <t>Comanda número - 133915262</t>
  </si>
  <si>
    <t>DANIEL DE SOUZA MACEDO</t>
  </si>
  <si>
    <t>Comanda número - 133920456</t>
  </si>
  <si>
    <t>Rogerio Vieira</t>
  </si>
  <si>
    <t>Comanda número - 133923166</t>
  </si>
  <si>
    <t>PIX  / Dinheiro</t>
  </si>
  <si>
    <t>Vitor Hugo</t>
  </si>
  <si>
    <t>Comanda número - 133927891</t>
  </si>
  <si>
    <t>Comanda número - 133930345</t>
  </si>
  <si>
    <t>Comanda número - 133930726</t>
  </si>
  <si>
    <t>Comanda número - 133934309</t>
  </si>
  <si>
    <t>Comanda número - 133943713</t>
  </si>
  <si>
    <t>Rubens Junior</t>
  </si>
  <si>
    <t>Comanda número - 133945925</t>
  </si>
  <si>
    <t>Comanda número - 133946460</t>
  </si>
  <si>
    <t>Alex miranda</t>
  </si>
  <si>
    <t>Comanda número - 133949237</t>
  </si>
  <si>
    <t>Comanda número - 133950200</t>
  </si>
  <si>
    <t>Comanda número - 133950660</t>
  </si>
  <si>
    <t>Douglas Carlos</t>
  </si>
  <si>
    <t>Comanda número - 133955666</t>
  </si>
  <si>
    <t>Comanda número - 133957092</t>
  </si>
  <si>
    <t>Comanda número - 133957702</t>
  </si>
  <si>
    <t>Isaac pereira dos santos</t>
  </si>
  <si>
    <t>Comanda número - 133958286</t>
  </si>
  <si>
    <t>Comanda número - 133959485</t>
  </si>
  <si>
    <t>Comanda número - 133960090</t>
  </si>
  <si>
    <t>Comanda número - 133960728</t>
  </si>
  <si>
    <t>Comanda número - 133964308</t>
  </si>
  <si>
    <t>Comanda número - 133964723</t>
  </si>
  <si>
    <t>Comanda número - 133964998</t>
  </si>
  <si>
    <t>Comanda número - 133991866</t>
  </si>
  <si>
    <t>Comanda número - 134000664</t>
  </si>
  <si>
    <t>Comanda número - 134000846</t>
  </si>
  <si>
    <t>Comanda número - 134004309</t>
  </si>
  <si>
    <t>Comanda número - 134028681</t>
  </si>
  <si>
    <t>Comanda número - 134035365</t>
  </si>
  <si>
    <t>Kelven Master</t>
  </si>
  <si>
    <t>Comanda número - 134047686</t>
  </si>
  <si>
    <t>rodrigo pimenta</t>
  </si>
  <si>
    <t>Comanda número - 134056065</t>
  </si>
  <si>
    <t>Comanda número - 134070167</t>
  </si>
  <si>
    <t>Comanda número - 134076219</t>
  </si>
  <si>
    <t>Comanda número - 134079617</t>
  </si>
  <si>
    <t>daniel alexandre</t>
  </si>
  <si>
    <t>Comanda número - 134080972</t>
  </si>
  <si>
    <t>joao fernando</t>
  </si>
  <si>
    <t>Comanda número - 134082715</t>
  </si>
  <si>
    <t>marcelo germano de sá</t>
  </si>
  <si>
    <t>Comanda número - 134083517</t>
  </si>
  <si>
    <t>igor galvao</t>
  </si>
  <si>
    <t>Comanda número - 134086739</t>
  </si>
  <si>
    <t>AROLDO ROCHA</t>
  </si>
  <si>
    <t>Comanda número - 134096013</t>
  </si>
  <si>
    <t>Comanda número - 134177868</t>
  </si>
  <si>
    <t>Comanda número - 134307005</t>
  </si>
  <si>
    <t>Cláudio Roberto</t>
  </si>
  <si>
    <t>Comanda número - 134346877</t>
  </si>
  <si>
    <t>Comanda número - 134364754</t>
  </si>
  <si>
    <t>Comanda número - 134412176</t>
  </si>
  <si>
    <t>Phillyp ferreira</t>
  </si>
  <si>
    <t>Comanda número - 134425351</t>
  </si>
  <si>
    <t>joão marcos</t>
  </si>
  <si>
    <t>Comanda número - 134428698</t>
  </si>
  <si>
    <t>antonio carlos</t>
  </si>
  <si>
    <t>Comanda número - 134448201</t>
  </si>
  <si>
    <t>Comanda número - 134469761</t>
  </si>
  <si>
    <t>Comanda número - 134542322</t>
  </si>
  <si>
    <t>Comanda número - 134545233</t>
  </si>
  <si>
    <t>Joacir Simplicio</t>
  </si>
  <si>
    <t>Comanda número - 134554786</t>
  </si>
  <si>
    <t>Comanda número - 134560358</t>
  </si>
  <si>
    <t>depilação nariz</t>
  </si>
  <si>
    <t>Comanda número - 134562615</t>
  </si>
  <si>
    <t>Comanda número - 134578672</t>
  </si>
  <si>
    <t>Comanda número - 134583959</t>
  </si>
  <si>
    <t>ulisses cardoso</t>
  </si>
  <si>
    <t>Comanda número - 134585390</t>
  </si>
  <si>
    <t>Comanda número - 134586601</t>
  </si>
  <si>
    <t>Comanda número - 134597697</t>
  </si>
  <si>
    <t>Comanda número - 134600658</t>
  </si>
  <si>
    <t>Comanda número - 134645235</t>
  </si>
  <si>
    <t>Comanda número - 134647303</t>
  </si>
  <si>
    <t>andre andrade</t>
  </si>
  <si>
    <t>Comanda número - 134651204</t>
  </si>
  <si>
    <t>Comanda número - 134663151</t>
  </si>
  <si>
    <t>caio fabio</t>
  </si>
  <si>
    <t>Comanda número - 134664098</t>
  </si>
  <si>
    <t>Comanda número - 134688045</t>
  </si>
  <si>
    <t>Comanda número - 134723056</t>
  </si>
  <si>
    <t>Comanda número - 134723343</t>
  </si>
  <si>
    <t>Comanda número - 134724524</t>
  </si>
  <si>
    <t>Comanda número - 134730272</t>
  </si>
  <si>
    <t>Comanda número - 134750700</t>
  </si>
  <si>
    <t>Rayna Almeida</t>
  </si>
  <si>
    <t>Comanda número - 134774407</t>
  </si>
  <si>
    <t>Comanda número - 134781400</t>
  </si>
  <si>
    <t>Comanda número - 134782091</t>
  </si>
  <si>
    <t>Comanda número - 134793622</t>
  </si>
  <si>
    <t>celso dos santos</t>
  </si>
  <si>
    <t>Comanda número - 134801840</t>
  </si>
  <si>
    <t>eder dos santos</t>
  </si>
  <si>
    <t>Comanda número - 134804868</t>
  </si>
  <si>
    <t>Comanda número - 134806822</t>
  </si>
  <si>
    <t>Comanda número - 134808076</t>
  </si>
  <si>
    <t>André Felipe Rodrigues</t>
  </si>
  <si>
    <t>Comanda número - 134859055</t>
  </si>
  <si>
    <t>Comanda número - 134872441</t>
  </si>
  <si>
    <t>joao pedro soares</t>
  </si>
  <si>
    <t>Comanda número - 134879002</t>
  </si>
  <si>
    <t>Comanda número - 134882354</t>
  </si>
  <si>
    <t>Filipe Luiz</t>
  </si>
  <si>
    <t>Comanda número - 134883123</t>
  </si>
  <si>
    <t>Comanda número - 134895975</t>
  </si>
  <si>
    <t>suelen lages</t>
  </si>
  <si>
    <t>Comanda número - 134896105</t>
  </si>
  <si>
    <t>Comanda número - 134910806</t>
  </si>
  <si>
    <t>Comanda número - 134911449</t>
  </si>
  <si>
    <t>Joao Pedro</t>
  </si>
  <si>
    <t>Comanda número - 134911718</t>
  </si>
  <si>
    <t>Comanda número - 134915061</t>
  </si>
  <si>
    <t>hugo alexandre</t>
  </si>
  <si>
    <t>Comanda número - 134925321</t>
  </si>
  <si>
    <t>Joge motta</t>
  </si>
  <si>
    <t>Comanda número - 134929019</t>
  </si>
  <si>
    <t>1.6</t>
  </si>
  <si>
    <t>Gráfica</t>
  </si>
  <si>
    <t>Luva Latex</t>
  </si>
  <si>
    <t>Assento para criança</t>
  </si>
  <si>
    <t>Coloração para cabelo</t>
  </si>
  <si>
    <t>Juros da movimentação: Cadeiras</t>
  </si>
  <si>
    <t>Pagamento de comissão ao profissional Christian Magon referente ao período : 01/02/2025 até 28/02/2025</t>
  </si>
  <si>
    <t>Pagamento de comissão ao profissional GUSTAVO SANTA ROSA DE CASTRO referente ao período : 01/02/2025 até 28/02/2025</t>
  </si>
  <si>
    <t>2.2.01.02.05</t>
  </si>
  <si>
    <t>2.2.01.01.05</t>
  </si>
  <si>
    <t>2.2.01.03.05</t>
  </si>
  <si>
    <t>Pagamento de comissão ao profissional PATRICK CARDOSO PIRES referente ao período : 16/02/2025 até 28/02/2025</t>
  </si>
  <si>
    <t>MP SERVIÇOS - luva vinil</t>
  </si>
  <si>
    <t>papel higienico</t>
  </si>
  <si>
    <t>Café</t>
  </si>
  <si>
    <t>Filtro pepel melita</t>
  </si>
  <si>
    <t>papel toalha</t>
  </si>
  <si>
    <t>cheirinho para o banheiro</t>
  </si>
  <si>
    <t>cif limpeza</t>
  </si>
  <si>
    <t>Faxina</t>
  </si>
  <si>
    <t>MP serviços - tinta preta  3uni</t>
  </si>
  <si>
    <t>segurança</t>
  </si>
  <si>
    <t>Vale no FINANCEIRO para o profissional GUSTAVO</t>
  </si>
  <si>
    <t>VALE</t>
  </si>
  <si>
    <t>MPS - Gillete 4 UNI</t>
  </si>
  <si>
    <t>FILMACK</t>
  </si>
  <si>
    <t>IMPRESSÃO DE DOC - GRAFICA</t>
  </si>
  <si>
    <t>CAFÉ DA MANHA REUNIÃO</t>
  </si>
  <si>
    <t>pagamento MEI</t>
  </si>
  <si>
    <t>Status</t>
  </si>
  <si>
    <t xml:space="preserve">    Custo das Mercadorias Vendidas             </t>
  </si>
  <si>
    <t xml:space="preserve">    Custos dos Serviços Prestados             </t>
  </si>
  <si>
    <t>Custos - CMV - CSP</t>
  </si>
  <si>
    <t>Receita Bruta</t>
  </si>
  <si>
    <t>Receita Líquida</t>
  </si>
  <si>
    <t>Descontos</t>
  </si>
  <si>
    <t>Resultado Bruto</t>
  </si>
  <si>
    <t>Receita (Despesa) Financeira</t>
  </si>
  <si>
    <t>Receitas financeiras</t>
  </si>
  <si>
    <t>Despesas financeiras</t>
  </si>
  <si>
    <t>Resultado Antes dos Tributos</t>
  </si>
  <si>
    <t>Lucro (Prejuízo) Líquido</t>
  </si>
  <si>
    <t>Tributos sobra a receita bruta</t>
  </si>
  <si>
    <t>Devoluções e Vendas Canceladas</t>
  </si>
  <si>
    <t>Resultado Operacional - EBIT</t>
  </si>
  <si>
    <t>DRE</t>
  </si>
  <si>
    <t>Nomes</t>
  </si>
  <si>
    <t>Classe</t>
  </si>
  <si>
    <t>Outras Receitas</t>
  </si>
  <si>
    <t>Despeas de Investimentos</t>
  </si>
  <si>
    <t>Custos Operacionais</t>
  </si>
  <si>
    <t>Despesas Financeiras</t>
  </si>
  <si>
    <t>Imposto de Renda</t>
  </si>
  <si>
    <t>Custos Operacionais Produtos</t>
  </si>
  <si>
    <t>Despesas Vendas Máquinas</t>
  </si>
  <si>
    <t>Demonstrativo de Resultado</t>
  </si>
  <si>
    <t>UNIFORME CAMISAS</t>
  </si>
  <si>
    <t>Carina</t>
  </si>
  <si>
    <t>Uniforme</t>
  </si>
  <si>
    <t>trafego pago</t>
  </si>
  <si>
    <t>MP serviços - Gillete 4 UNI</t>
  </si>
  <si>
    <t>INTERNET</t>
  </si>
  <si>
    <t>Comanda número - 134717132</t>
  </si>
  <si>
    <t>Comanda número - 134834551</t>
  </si>
  <si>
    <t>Comanda número - 134848138</t>
  </si>
  <si>
    <t>Comanda número - 134883551</t>
  </si>
  <si>
    <t>LUANA MENDES</t>
  </si>
  <si>
    <t>Comanda número - 134889590</t>
  </si>
  <si>
    <t>Comanda número - 134908654</t>
  </si>
  <si>
    <t>Comanda número - 134928306</t>
  </si>
  <si>
    <t>Victor Hugo Santos</t>
  </si>
  <si>
    <t>Comanda número - 134946636</t>
  </si>
  <si>
    <t>Comanda número - 134952408</t>
  </si>
  <si>
    <t>Comanda número - 134962055</t>
  </si>
  <si>
    <t>Comanda número - 134963149</t>
  </si>
  <si>
    <t>Elisabeth Andrade</t>
  </si>
  <si>
    <t>Comanda número - 134974848</t>
  </si>
  <si>
    <t>Naldo Fidelis</t>
  </si>
  <si>
    <t>Comanda número - 134982641</t>
  </si>
  <si>
    <t>victor prudente de oliveira</t>
  </si>
  <si>
    <t>Comanda número - 134987041</t>
  </si>
  <si>
    <t>Comanda número - 135003042</t>
  </si>
  <si>
    <t>Cartão de Crédito  / PIX</t>
  </si>
  <si>
    <t>Luiz Miguel</t>
  </si>
  <si>
    <t>Comanda número - 135005540</t>
  </si>
  <si>
    <t>Bruno Oliveira</t>
  </si>
  <si>
    <t>Comanda número - 135006120</t>
  </si>
  <si>
    <t>Comanda número - 135012644</t>
  </si>
  <si>
    <t>Leonardo Mattos</t>
  </si>
  <si>
    <t>Comanda número - 135028570</t>
  </si>
  <si>
    <t>Comanda número - 135030973</t>
  </si>
  <si>
    <t>Victor Pires</t>
  </si>
  <si>
    <t>Comanda número - 135031291</t>
  </si>
  <si>
    <t>Comanda número - 135047656</t>
  </si>
  <si>
    <t>Comanda número - 135053140</t>
  </si>
  <si>
    <t>Comanda número - 135053391</t>
  </si>
  <si>
    <t>Comanda número - 135053924</t>
  </si>
  <si>
    <t>Kaio Moura</t>
  </si>
  <si>
    <t>Comanda número - 135055946</t>
  </si>
  <si>
    <t>Comanda número - 135056182</t>
  </si>
  <si>
    <t>Comanda número - 135056535</t>
  </si>
  <si>
    <t>Comanda número - 135059357</t>
  </si>
  <si>
    <t>Comanda número - 135061201</t>
  </si>
  <si>
    <t>nelson ferreira</t>
  </si>
  <si>
    <t>Comanda número - 135065837</t>
  </si>
  <si>
    <t>Juan Gonçalves</t>
  </si>
  <si>
    <t>Comanda número - 135075920</t>
  </si>
  <si>
    <t>Comanda número - 135081231</t>
  </si>
  <si>
    <t>Jeremias Bastos</t>
  </si>
  <si>
    <t>Comanda número - 135086716</t>
  </si>
  <si>
    <t>Comanda número - 135094237</t>
  </si>
  <si>
    <t>Comanda número - 135096397</t>
  </si>
  <si>
    <t>Comanda número - 135096460</t>
  </si>
  <si>
    <t>Comanda número - 135096588</t>
  </si>
  <si>
    <t>Comanda número - 135096653</t>
  </si>
  <si>
    <t>Comanda número - 135104603</t>
  </si>
  <si>
    <t>Miqueias Santos</t>
  </si>
  <si>
    <t>Comanda número - 135105753</t>
  </si>
  <si>
    <t>Comanda número - 135122329</t>
  </si>
  <si>
    <t>Comanda número - 135123065</t>
  </si>
  <si>
    <t>Comanda número - 135144994</t>
  </si>
  <si>
    <t>Comanda número - 135240258</t>
  </si>
  <si>
    <t>Comanda número - 135259741</t>
  </si>
  <si>
    <t>Comanda número - 135264059</t>
  </si>
  <si>
    <t>Comanda número - 135283533</t>
  </si>
  <si>
    <t>Comanda número - 135286868</t>
  </si>
  <si>
    <t>Comanda número - 135290339</t>
  </si>
  <si>
    <t>Comanda número - 135336043</t>
  </si>
  <si>
    <t>denner carvalho barbosa</t>
  </si>
  <si>
    <t>Comanda número - 135351444</t>
  </si>
  <si>
    <t>Comanda número - 135369702</t>
  </si>
  <si>
    <t>Weslei Queiroz</t>
  </si>
  <si>
    <t>Comanda número - 135379227</t>
  </si>
  <si>
    <t>Comanda número - 135390875</t>
  </si>
  <si>
    <t>Comanda número - 135403493</t>
  </si>
  <si>
    <t>thais de freitas</t>
  </si>
  <si>
    <t>Comanda número - 135409121</t>
  </si>
  <si>
    <t>Cartão de Débito  / PIX</t>
  </si>
  <si>
    <t>Comanda número - 135429388</t>
  </si>
  <si>
    <t>Rhuan passos Pressler da luz</t>
  </si>
  <si>
    <t>Comanda número - 135465952</t>
  </si>
  <si>
    <t>Lucas Villela</t>
  </si>
  <si>
    <t>Comanda número - 135475258</t>
  </si>
  <si>
    <t>Comanda número - 135478895</t>
  </si>
  <si>
    <t>Comanda número - 135482161</t>
  </si>
  <si>
    <t>Comanda número - 135483243</t>
  </si>
  <si>
    <t>Comanda número - 135487683</t>
  </si>
  <si>
    <t>sandoval jairon santos</t>
  </si>
  <si>
    <t>Comanda número - 135497906</t>
  </si>
  <si>
    <t>Comanda número - 135540766</t>
  </si>
  <si>
    <t>Comanda número - 135540913</t>
  </si>
  <si>
    <t>Comanda número - 135576226</t>
  </si>
  <si>
    <t>Comanda número - 135597610</t>
  </si>
  <si>
    <t>Comanda número - 135601124</t>
  </si>
  <si>
    <t>Comanda número - 135621692</t>
  </si>
  <si>
    <t>Comanda número - 135632513</t>
  </si>
  <si>
    <t>Comanda número - 135645601</t>
  </si>
  <si>
    <t>Kaike Martins</t>
  </si>
  <si>
    <t>Comanda número - 135662435</t>
  </si>
  <si>
    <t>Comanda número - 135666143</t>
  </si>
  <si>
    <t>Comanda número - 135669942</t>
  </si>
  <si>
    <t>Comanda número - 135702988</t>
  </si>
  <si>
    <t>Comanda número - 135722743</t>
  </si>
  <si>
    <t>Matheus Martins</t>
  </si>
  <si>
    <t>Comanda número - 135729291</t>
  </si>
  <si>
    <t>Luiz Vitor da Silva Pedro</t>
  </si>
  <si>
    <t>Comanda número - 135746620</t>
  </si>
  <si>
    <t>Comanda número - 135756966</t>
  </si>
  <si>
    <t>Comanda número - 135769004</t>
  </si>
  <si>
    <t>marcos rocha silva</t>
  </si>
  <si>
    <t>Comanda número - 135772734</t>
  </si>
  <si>
    <t>Comanda número - 135773035</t>
  </si>
  <si>
    <t>Comanda número - 135783741</t>
  </si>
  <si>
    <t>Comanda número - 135793227</t>
  </si>
  <si>
    <t>Comanda número - 135801309</t>
  </si>
  <si>
    <t>Comanda número - 135827735</t>
  </si>
  <si>
    <t>gabriel galvão</t>
  </si>
  <si>
    <t>Comanda número - 135836459</t>
  </si>
  <si>
    <t>Comanda número - 135841759</t>
  </si>
  <si>
    <t>Comanda número - 135855511</t>
  </si>
  <si>
    <t>Comanda número - 135863027</t>
  </si>
  <si>
    <t>Comanda número - 135873446</t>
  </si>
  <si>
    <t>Comanda número - 135880283</t>
  </si>
  <si>
    <t>Comanda número - 135887511</t>
  </si>
  <si>
    <t>Comanda número - 135902634</t>
  </si>
  <si>
    <t>Comanda número - 135936076</t>
  </si>
  <si>
    <t>Comanda número - 135943414</t>
  </si>
  <si>
    <t>Comanda número - 135951028</t>
  </si>
  <si>
    <t>Comanda número - 135960060</t>
  </si>
  <si>
    <t>Comanda número - 135976564</t>
  </si>
  <si>
    <t>Comanda número - 135992472</t>
  </si>
  <si>
    <t>Marco Antonio</t>
  </si>
  <si>
    <t>Comanda número - 135998690</t>
  </si>
  <si>
    <t>Comanda número - 136001810</t>
  </si>
  <si>
    <t>Comanda número - 136006566</t>
  </si>
  <si>
    <t>dayana de melo</t>
  </si>
  <si>
    <t>Comanda número - 136012222</t>
  </si>
  <si>
    <t>Comanda número - 136013417</t>
  </si>
  <si>
    <t>Comanda número - 136015133</t>
  </si>
  <si>
    <t>Comanda número - 136021391</t>
  </si>
  <si>
    <t>Comanda número - 136026675</t>
  </si>
  <si>
    <t>Comanda número - 136030929</t>
  </si>
  <si>
    <t>Comanda número - 136040053</t>
  </si>
  <si>
    <t>Comanda número - 136064621</t>
  </si>
  <si>
    <t>ricardo costa</t>
  </si>
  <si>
    <t>Comanda número - 136069176</t>
  </si>
  <si>
    <t>depilação orelha</t>
  </si>
  <si>
    <t>Comanda número - 136069390</t>
  </si>
  <si>
    <t>Comanda número - 136070181</t>
  </si>
  <si>
    <t>Comanda número - 136072419</t>
  </si>
  <si>
    <t>Kaique da Silva</t>
  </si>
  <si>
    <t>Comanda número - 136080443</t>
  </si>
  <si>
    <t>Comanda número - 136086805</t>
  </si>
  <si>
    <t>Comanda número - 136122130</t>
  </si>
  <si>
    <t>Comanda número - 136122252</t>
  </si>
  <si>
    <t>Comanda número - 136125067</t>
  </si>
  <si>
    <t>Comanda número - 136132501</t>
  </si>
  <si>
    <t>jonatas fernandes</t>
  </si>
  <si>
    <t>Comanda número - 136134741</t>
  </si>
  <si>
    <t>Comanda número - 136142969</t>
  </si>
  <si>
    <t>Comanda número - 136153179</t>
  </si>
  <si>
    <t>Comanda número - 136157660</t>
  </si>
  <si>
    <t>Comanda número - 136163515</t>
  </si>
  <si>
    <t>Comanda número - 136165755</t>
  </si>
  <si>
    <t>Comanda número - 136170798</t>
  </si>
  <si>
    <t>Comanda número - 136182978</t>
  </si>
  <si>
    <t>bruna amaral</t>
  </si>
  <si>
    <t>Comanda número - 136183123</t>
  </si>
  <si>
    <t>Comanda número - 136183163</t>
  </si>
  <si>
    <t>Comanda número - 136189864</t>
  </si>
  <si>
    <t>Comanda número - 136191113</t>
  </si>
  <si>
    <t>Comanda número - 136194654</t>
  </si>
  <si>
    <t>alexandre fluvirez</t>
  </si>
  <si>
    <t>Comanda número - 136204968</t>
  </si>
  <si>
    <t>Luan Lopes</t>
  </si>
  <si>
    <t>Comanda número - 136207649</t>
  </si>
  <si>
    <t>Comanda número - 136211977</t>
  </si>
  <si>
    <t>Comanda número - 136212431</t>
  </si>
  <si>
    <t>Comanda número - 136221342</t>
  </si>
  <si>
    <t>Carlos Henrique</t>
  </si>
  <si>
    <t>Comanda número - 136223505</t>
  </si>
  <si>
    <t>Comanda número - 136430029</t>
  </si>
  <si>
    <t>Almir Junior</t>
  </si>
  <si>
    <t>Comanda número - 136472678</t>
  </si>
  <si>
    <t>Comanda número - 136483376</t>
  </si>
  <si>
    <t>Rafael Dantas</t>
  </si>
  <si>
    <t>Comanda número - 136490097</t>
  </si>
  <si>
    <t>Comanda número - 136531068</t>
  </si>
  <si>
    <t>elen cristina</t>
  </si>
  <si>
    <t>Comanda número - 136533283</t>
  </si>
  <si>
    <t>Nathalia Costa</t>
  </si>
  <si>
    <t>Comanda número - 136558128</t>
  </si>
  <si>
    <t>marcos olieveira</t>
  </si>
  <si>
    <t>Comanda número - 136562290</t>
  </si>
  <si>
    <t>Comanda número - 136569436</t>
  </si>
  <si>
    <t>Antonio Oliveira</t>
  </si>
  <si>
    <t>Comanda número - 136569802</t>
  </si>
  <si>
    <t>marcos felipe ramos</t>
  </si>
  <si>
    <t>Comanda número - 136576518</t>
  </si>
  <si>
    <t>Kelven Moraes</t>
  </si>
  <si>
    <t>Comanda número - 136578728</t>
  </si>
  <si>
    <t>Comanda número - 136582116</t>
  </si>
  <si>
    <t>Comanda número - 136600748</t>
  </si>
  <si>
    <t>Comanda número - 136622837</t>
  </si>
  <si>
    <t>Comanda número - 136629703</t>
  </si>
  <si>
    <t>Comanda número - 136636737</t>
  </si>
  <si>
    <t>Comanda número - 136651074</t>
  </si>
  <si>
    <t>Comanda número - 136651465</t>
  </si>
  <si>
    <t>Comanda número - 136651552</t>
  </si>
  <si>
    <t>Comanda número - 136657709</t>
  </si>
  <si>
    <t>Comanda número - 136658565</t>
  </si>
  <si>
    <t>Comanda número - 136676452</t>
  </si>
  <si>
    <t>matheus brown</t>
  </si>
  <si>
    <t>Comanda número - 136714094</t>
  </si>
  <si>
    <t>Comanda número - 136716804</t>
  </si>
  <si>
    <t>Comanda número - 136744004</t>
  </si>
  <si>
    <t>Comanda número - 136757964</t>
  </si>
  <si>
    <t>Nataly Pires de Azevedo</t>
  </si>
  <si>
    <t>Comanda número - 136779437</t>
  </si>
  <si>
    <t>Comanda número - 136831032</t>
  </si>
  <si>
    <t>Comanda número - 136841064</t>
  </si>
  <si>
    <t>Comanda número - 136841773</t>
  </si>
  <si>
    <t>Comanda número - 136887705</t>
  </si>
  <si>
    <t>Victor Manoel</t>
  </si>
  <si>
    <t>Comanda número - 136903855</t>
  </si>
  <si>
    <t>Comanda número - 136904147</t>
  </si>
  <si>
    <t>Comanda número - 136904627</t>
  </si>
  <si>
    <t>Comanda número - 136909061</t>
  </si>
  <si>
    <t>Comanda número - 136910641</t>
  </si>
  <si>
    <t>Comanda número - 136916022</t>
  </si>
  <si>
    <t>Comanda número - 136923445</t>
  </si>
  <si>
    <t>Patrick Puell</t>
  </si>
  <si>
    <t>Comanda número - 136924484</t>
  </si>
  <si>
    <t>Ewerton Diniz</t>
  </si>
  <si>
    <t>Comanda número - 136934606</t>
  </si>
  <si>
    <t>Status2</t>
  </si>
  <si>
    <t>Pago</t>
  </si>
  <si>
    <t>Comanda número - 134934268</t>
  </si>
  <si>
    <t>07/03/2025 20:30</t>
  </si>
  <si>
    <t>Comanda número - 134943382</t>
  </si>
  <si>
    <t>07/03/2025 21:45</t>
  </si>
  <si>
    <t>Comanda número - 134926850</t>
  </si>
  <si>
    <t>07/03/2025 19:30</t>
  </si>
  <si>
    <t>Comanda número - 136246778</t>
  </si>
  <si>
    <t>Comanda número - 136428364</t>
  </si>
  <si>
    <t>Comanda número - 136545224</t>
  </si>
  <si>
    <t>Allan Matos</t>
  </si>
  <si>
    <t>Comanda número - 136838822</t>
  </si>
  <si>
    <t>Jefferson Brandão</t>
  </si>
  <si>
    <t>Comanda número - 136953064</t>
  </si>
  <si>
    <t>Comanda número - 136953797</t>
  </si>
  <si>
    <t>Comanda número - 136960072</t>
  </si>
  <si>
    <t>Comanda número - 136962626</t>
  </si>
  <si>
    <t>Comanda número - 136976217</t>
  </si>
  <si>
    <t>Comanda número - 137015812</t>
  </si>
  <si>
    <t>Comanda número - 137033618</t>
  </si>
  <si>
    <t>Comanda número - 137037165</t>
  </si>
  <si>
    <t>Comanda número - 137037435</t>
  </si>
  <si>
    <t>Comanda número - 137070341</t>
  </si>
  <si>
    <t>Comanda número - 137075659</t>
  </si>
  <si>
    <t>Comanda número - 137085094</t>
  </si>
  <si>
    <t>Eduardo morais</t>
  </si>
  <si>
    <t>Comanda número - 137086351</t>
  </si>
  <si>
    <t>Comanda número - 137091407</t>
  </si>
  <si>
    <t>jonathan santos</t>
  </si>
  <si>
    <t>Comanda número - 137103832</t>
  </si>
  <si>
    <t>Comanda número - 137105290</t>
  </si>
  <si>
    <t>Comanda número - 137110746</t>
  </si>
  <si>
    <t>Comanda número - 137117796</t>
  </si>
  <si>
    <t>Comanda número - 137129352</t>
  </si>
  <si>
    <t>Comanda número - 137133437</t>
  </si>
  <si>
    <t>Comanda número - 137135104</t>
  </si>
  <si>
    <t>Comanda número - 137137402</t>
  </si>
  <si>
    <t>Comanda número - 137138103</t>
  </si>
  <si>
    <t>THIAGO RAEDER</t>
  </si>
  <si>
    <t>Comanda número - 137144614</t>
  </si>
  <si>
    <t>Comanda número - 137146199</t>
  </si>
  <si>
    <t>Comanda número - 137147254</t>
  </si>
  <si>
    <t>Comanda número - 137149401</t>
  </si>
  <si>
    <t>Comanda número - 137150204</t>
  </si>
  <si>
    <t>Comanda número - 137155854</t>
  </si>
  <si>
    <t>Comanda número - 137160425</t>
  </si>
  <si>
    <t>Comanda número - 137163622</t>
  </si>
  <si>
    <t>Amanda Camila</t>
  </si>
  <si>
    <t>Comanda número - 137178272</t>
  </si>
  <si>
    <t>Comanda número - 137197721</t>
  </si>
  <si>
    <t>Comanda número - 137206644</t>
  </si>
  <si>
    <t>Comanda número - 137212004</t>
  </si>
  <si>
    <t>Marcos Ancelmo</t>
  </si>
  <si>
    <t>Comanda número - 137213415</t>
  </si>
  <si>
    <t>silviane farias</t>
  </si>
  <si>
    <t>Comanda número - 137214172</t>
  </si>
  <si>
    <t>Comanda número - 137235988</t>
  </si>
  <si>
    <t>luis guilherme</t>
  </si>
  <si>
    <t>Comanda número - 137244333</t>
  </si>
  <si>
    <t>Comanda número - 137256197</t>
  </si>
  <si>
    <t>Comanda número - 137256361</t>
  </si>
  <si>
    <t>Comanda número - 137280103</t>
  </si>
  <si>
    <t>Comanda número - 137281867</t>
  </si>
  <si>
    <t>Carlos Alberto</t>
  </si>
  <si>
    <t>Comanda número - 137297329</t>
  </si>
  <si>
    <t>Comanda número - 137297565</t>
  </si>
  <si>
    <t>Sebastiao Jose</t>
  </si>
  <si>
    <t>22/03/2025 09:00</t>
  </si>
  <si>
    <t/>
  </si>
  <si>
    <t>22/03/2025 15:00</t>
  </si>
  <si>
    <t>22/03/2025 09:30</t>
  </si>
  <si>
    <t>Comanda número - 136562677</t>
  </si>
  <si>
    <t>27/03/2025 10:00</t>
  </si>
  <si>
    <t>21/03/2025 10:00</t>
  </si>
  <si>
    <t>21/03/2025 18:30</t>
  </si>
  <si>
    <t>21/03/2025 10:30</t>
  </si>
  <si>
    <t>21/03/2025 15:45</t>
  </si>
  <si>
    <t>21/03/2025 11:00</t>
  </si>
  <si>
    <t>21/03/2025 11:10</t>
  </si>
  <si>
    <t>21/03/2025 12:50</t>
  </si>
  <si>
    <t>21/03/2025 13:05</t>
  </si>
  <si>
    <t>22/03/2025 10:15</t>
  </si>
  <si>
    <t>21/03/2025 16:45</t>
  </si>
  <si>
    <t>21/03/2025 17:30</t>
  </si>
  <si>
    <t>21/03/2025 19:00</t>
  </si>
  <si>
    <t>21/03/2025 17:15</t>
  </si>
  <si>
    <t>21/03/2025 17:45</t>
  </si>
  <si>
    <t>21/03/2025 18:00</t>
  </si>
  <si>
    <t>22/03/2025 11:00</t>
  </si>
  <si>
    <t>21/03/2025 19:50</t>
  </si>
  <si>
    <t>21/03/2025 20:00</t>
  </si>
  <si>
    <t>21/03/2025 20:05</t>
  </si>
  <si>
    <t>21/03/2025 20:50</t>
  </si>
  <si>
    <t>21/03/2025 21:20</t>
  </si>
  <si>
    <t>21/03/2025 21:45</t>
  </si>
  <si>
    <t>21/03/2025 21:55</t>
  </si>
  <si>
    <t>22/03/2025 10:00</t>
  </si>
  <si>
    <t>22/03/2025 10:45</t>
  </si>
  <si>
    <t>22/03/2025 11:30</t>
  </si>
  <si>
    <t>22/03/2025 11:15</t>
  </si>
  <si>
    <t>22/03/2025 17:00</t>
  </si>
  <si>
    <t>22/03/2025 11:25</t>
  </si>
  <si>
    <t>22/03/2025 12:15</t>
  </si>
  <si>
    <t>22/03/2025 13:30</t>
  </si>
  <si>
    <t>22/03/2025 13:05</t>
  </si>
  <si>
    <t>22/03/2025 15:30</t>
  </si>
  <si>
    <t>22/03/2025 14:55</t>
  </si>
  <si>
    <t>22/03/2025 18:30</t>
  </si>
  <si>
    <t>22/03/2025 19:55</t>
  </si>
  <si>
    <t>22/03/2025 19:00</t>
  </si>
  <si>
    <t>Comanda número - 137377626</t>
  </si>
  <si>
    <t>29/03/2025 09:00</t>
  </si>
  <si>
    <t>Comanda número - 137413021</t>
  </si>
  <si>
    <t>24/03/2025 14:30</t>
  </si>
  <si>
    <t>Comanda número - 137413288</t>
  </si>
  <si>
    <t>Luiz Claudio</t>
  </si>
  <si>
    <t>Comanda número - 137421208</t>
  </si>
  <si>
    <t>24/03/2025 11:00</t>
  </si>
  <si>
    <t>Marlon Duarte</t>
  </si>
  <si>
    <t>Comanda número - 137437297</t>
  </si>
  <si>
    <t>24/03/2025 16:30</t>
  </si>
  <si>
    <t>Lean Dos Santos</t>
  </si>
  <si>
    <t>Comanda número - 137466229</t>
  </si>
  <si>
    <t>24/03/2025 19:30</t>
  </si>
  <si>
    <t>Comanda número - 137470167</t>
  </si>
  <si>
    <t>25/03/2025 18:00</t>
  </si>
  <si>
    <t>Comanda número - 137483965</t>
  </si>
  <si>
    <t>25/03/2025 10:30</t>
  </si>
  <si>
    <t>Comanda número - 137498009</t>
  </si>
  <si>
    <t>25/03/2025 10:00</t>
  </si>
  <si>
    <t>Comanda número - 137550177</t>
  </si>
  <si>
    <t>25/03/2025 12:10</t>
  </si>
  <si>
    <t>Comanda número - 137554570</t>
  </si>
  <si>
    <t>25/03/2025 12:30</t>
  </si>
  <si>
    <t>Comanda número - 137556655</t>
  </si>
  <si>
    <t>25/03/2025 12:15</t>
  </si>
  <si>
    <t>Sergio Luiz</t>
  </si>
  <si>
    <t>Comanda número - 137626254</t>
  </si>
  <si>
    <t>Jose Magalhaes</t>
  </si>
  <si>
    <t>Comanda número - 137641664</t>
  </si>
  <si>
    <t>25/03/2025 19:30</t>
  </si>
  <si>
    <t>Comanda número - 137652283</t>
  </si>
  <si>
    <t>25/03/2025 21:05</t>
  </si>
  <si>
    <t>Felipe Batista da Silva</t>
  </si>
  <si>
    <t>Comanda número - 137661864</t>
  </si>
  <si>
    <t>26/03/2025 14:00</t>
  </si>
  <si>
    <t>Comanda número - 137691712</t>
  </si>
  <si>
    <t>Comanda número - 137735702</t>
  </si>
  <si>
    <t>26/03/2025 10:00</t>
  </si>
  <si>
    <t>Comanda número - 137735817</t>
  </si>
  <si>
    <t>Comanda número - 137748466</t>
  </si>
  <si>
    <t>26/03/2025 14:20</t>
  </si>
  <si>
    <t>DEYVID JESUS</t>
  </si>
  <si>
    <t>Comanda número - 137761897</t>
  </si>
  <si>
    <t>26/03/2025 15:25</t>
  </si>
  <si>
    <t>Comanda número - 137782286</t>
  </si>
  <si>
    <t>26/03/2025 17:05</t>
  </si>
  <si>
    <t>Comanda número - 137797631</t>
  </si>
  <si>
    <t>26/03/2025 18:30</t>
  </si>
  <si>
    <t>jonathan carlos</t>
  </si>
  <si>
    <t>Comanda número - 137809739</t>
  </si>
  <si>
    <t>26/03/2025 18:45</t>
  </si>
  <si>
    <t>Comanda número - 137815717</t>
  </si>
  <si>
    <t>27/03/2025 15:00</t>
  </si>
  <si>
    <t>Comanda número - 137816425</t>
  </si>
  <si>
    <t>26/03/2025 20:05</t>
  </si>
  <si>
    <t>carlos henrique</t>
  </si>
  <si>
    <t>Comanda número - 137818438</t>
  </si>
  <si>
    <t>26/03/2025 20:20</t>
  </si>
  <si>
    <t>Comanda número - 137820108</t>
  </si>
  <si>
    <t>26/03/2025 20:40</t>
  </si>
  <si>
    <t>Comanda número - 137823530</t>
  </si>
  <si>
    <t>26/03/2025 21:20</t>
  </si>
  <si>
    <t>Comanda número - 137823780</t>
  </si>
  <si>
    <t>Comanda número - 137860146</t>
  </si>
  <si>
    <t>27/03/2025 19:30</t>
  </si>
  <si>
    <t>Esther brito de Oliveira</t>
  </si>
  <si>
    <t>Comanda número - 137882366</t>
  </si>
  <si>
    <t>Comanda número - 137886924</t>
  </si>
  <si>
    <t>27/03/2025 16:30</t>
  </si>
  <si>
    <t>Comanda número - 137886933</t>
  </si>
  <si>
    <t>27/03/2025 11:15</t>
  </si>
  <si>
    <t>Comanda número - 137920447</t>
  </si>
  <si>
    <t>27/03/2025 13:50</t>
  </si>
  <si>
    <t>Luciana Curvello</t>
  </si>
  <si>
    <t>Comanda número - 137925206</t>
  </si>
  <si>
    <t>27/03/2025 14:10</t>
  </si>
  <si>
    <t>Comanda número - 137931543</t>
  </si>
  <si>
    <t>27/03/2025 14:30</t>
  </si>
  <si>
    <t>marco inacio</t>
  </si>
  <si>
    <t>Comanda número - 137937432</t>
  </si>
  <si>
    <t>27/03/2025 15:15</t>
  </si>
  <si>
    <t>Comanda número - 137937991</t>
  </si>
  <si>
    <t>Carlos Felipe</t>
  </si>
  <si>
    <t>Comanda número - 137949241</t>
  </si>
  <si>
    <t>27/03/2025 17:15</t>
  </si>
  <si>
    <t>Comanda número - 137954138</t>
  </si>
  <si>
    <t>27/03/2025 16:45</t>
  </si>
  <si>
    <t>Comanda número - 137973362</t>
  </si>
  <si>
    <t>28/03/2025 10:30</t>
  </si>
  <si>
    <t>Comanda número - 137978707</t>
  </si>
  <si>
    <t>27/03/2025 19:00</t>
  </si>
  <si>
    <t>Comanda número - 137989648</t>
  </si>
  <si>
    <t>27/03/2025 18:55</t>
  </si>
  <si>
    <t>Comanda número - 137990384</t>
  </si>
  <si>
    <t>27/03/2025 18:30</t>
  </si>
  <si>
    <t>Comanda número - 137993598</t>
  </si>
  <si>
    <t>28/03/2025 10:00</t>
  </si>
  <si>
    <t>Comanda número - 138010243</t>
  </si>
  <si>
    <t>27/03/2025 21:20</t>
  </si>
  <si>
    <t>ricardo de assis</t>
  </si>
  <si>
    <t>Comanda número - 138013885</t>
  </si>
  <si>
    <t>27/03/2025 22:20</t>
  </si>
  <si>
    <t>Comanda número - 138013942</t>
  </si>
  <si>
    <t>Comanda número - 138035850</t>
  </si>
  <si>
    <t>28/03/2025 08:40</t>
  </si>
  <si>
    <t>Comanda número - 138041503</t>
  </si>
  <si>
    <t>Comanda número - 138050514</t>
  </si>
  <si>
    <t>28/03/2025 11:00</t>
  </si>
  <si>
    <t>Comanda número - 138053078</t>
  </si>
  <si>
    <t>28/03/2025 09:55</t>
  </si>
  <si>
    <t>Comanda número - 138072467</t>
  </si>
  <si>
    <t>28/03/2025 14:30</t>
  </si>
  <si>
    <t>Lucca Pereira</t>
  </si>
  <si>
    <t>Comanda número - 138090347</t>
  </si>
  <si>
    <t>28/03/2025 12:15</t>
  </si>
  <si>
    <t>Rayane rezende</t>
  </si>
  <si>
    <t>Comanda número - 138090830</t>
  </si>
  <si>
    <t>Comanda número - 138093560</t>
  </si>
  <si>
    <t>28/03/2025 18:30</t>
  </si>
  <si>
    <t>Comanda número - 138094921</t>
  </si>
  <si>
    <t>28/03/2025 12:35</t>
  </si>
  <si>
    <t>Paulo Sergio</t>
  </si>
  <si>
    <t>Comanda número - 138112555</t>
  </si>
  <si>
    <t>28/03/2025 13:50</t>
  </si>
  <si>
    <t>Victor Hugo</t>
  </si>
  <si>
    <t>Comanda número - 138116511</t>
  </si>
  <si>
    <t>28/03/2025 15:00</t>
  </si>
  <si>
    <t>Comanda número - 138133716</t>
  </si>
  <si>
    <t>28/03/2025 17:30</t>
  </si>
  <si>
    <t>Comanda número - 138162692</t>
  </si>
  <si>
    <t>28/03/2025 17:00</t>
  </si>
  <si>
    <t>felipe martins</t>
  </si>
  <si>
    <t>Comanda número - 138181243</t>
  </si>
  <si>
    <t>28/03/2025 18:00</t>
  </si>
  <si>
    <t>Comanda número - 138181653</t>
  </si>
  <si>
    <t>Comanda número - 138182342</t>
  </si>
  <si>
    <t>28/03/2025 19:30</t>
  </si>
  <si>
    <t>Comanda número - 138189804</t>
  </si>
  <si>
    <t>28/03/2025 19:00</t>
  </si>
  <si>
    <t>Comanda número - 138196679</t>
  </si>
  <si>
    <t>29/03/2025 10:00</t>
  </si>
  <si>
    <t>Comanda número - 138196743</t>
  </si>
  <si>
    <t>Comanda número - 138196949</t>
  </si>
  <si>
    <t>Comanda número - 138202650</t>
  </si>
  <si>
    <t>28/03/2025 20:05</t>
  </si>
  <si>
    <t>Comanda número - 138203277</t>
  </si>
  <si>
    <t>PIX  / Cartão de Débito</t>
  </si>
  <si>
    <t>Comanda número - 138208922</t>
  </si>
  <si>
    <t>29/03/2025 14:00</t>
  </si>
  <si>
    <t>Comanda número - 138211686</t>
  </si>
  <si>
    <t>29/03/2025 10:45</t>
  </si>
  <si>
    <t>Comanda número - 138214627</t>
  </si>
  <si>
    <t>28/03/2025 21:00</t>
  </si>
  <si>
    <t>Vadison costa</t>
  </si>
  <si>
    <t>Comanda número - 138217668</t>
  </si>
  <si>
    <t>Comanda número - 138221339</t>
  </si>
  <si>
    <t>29/03/2025 11:30</t>
  </si>
  <si>
    <t>Comanda número - 138223086</t>
  </si>
  <si>
    <t>29/03/2025 09:30</t>
  </si>
  <si>
    <t>Comanda número - 138260734</t>
  </si>
  <si>
    <t>Comanda número - 138261711</t>
  </si>
  <si>
    <t>29/03/2025 10:35</t>
  </si>
  <si>
    <t>Comanda número - 138266303</t>
  </si>
  <si>
    <t>29/03/2025 15:30</t>
  </si>
  <si>
    <t>Comanda número - 138266346</t>
  </si>
  <si>
    <t>29/03/2025 13:30</t>
  </si>
  <si>
    <t>Comanda número - 138270608</t>
  </si>
  <si>
    <t>Comanda número - 138274732</t>
  </si>
  <si>
    <t>Comanda número - 138277143</t>
  </si>
  <si>
    <t>29/03/2025 11:15</t>
  </si>
  <si>
    <t>Karine Couto</t>
  </si>
  <si>
    <t>Comanda número - 138294940</t>
  </si>
  <si>
    <t>29/03/2025 12:50</t>
  </si>
  <si>
    <t>Patrick Almeida</t>
  </si>
  <si>
    <t>Comanda número - 138305305</t>
  </si>
  <si>
    <t>29/03/2025 14:30</t>
  </si>
  <si>
    <t>marco aurelio souza</t>
  </si>
  <si>
    <t>Comanda número - 138307066</t>
  </si>
  <si>
    <t>Comanda número - 138307376</t>
  </si>
  <si>
    <t>29/03/2025 13:50</t>
  </si>
  <si>
    <t>Comanda número - 138307508</t>
  </si>
  <si>
    <t>Comanda número - 138307593</t>
  </si>
  <si>
    <t>29/03/2025 12:45</t>
  </si>
  <si>
    <t>Comanda número - 138309920</t>
  </si>
  <si>
    <t>29/03/2025 14:05</t>
  </si>
  <si>
    <t>Comanda número - 138310006</t>
  </si>
  <si>
    <t>29/03/2025 15:00</t>
  </si>
  <si>
    <t>Comanda número - 138317165</t>
  </si>
  <si>
    <t>29/03/2025 14:40</t>
  </si>
  <si>
    <t>pablo santos</t>
  </si>
  <si>
    <t>Comanda número - 138320038</t>
  </si>
  <si>
    <t>29/03/2025 16:00</t>
  </si>
  <si>
    <t>bruno ferreira de oliveira</t>
  </si>
  <si>
    <t>Comanda número - 138323162</t>
  </si>
  <si>
    <t>29/03/2025 17:45</t>
  </si>
  <si>
    <t>Comanda número - 138323796</t>
  </si>
  <si>
    <t>Comanda número - 138324275</t>
  </si>
  <si>
    <t>29/03/2025 16:30</t>
  </si>
  <si>
    <t>Comanda número - 138345771</t>
  </si>
  <si>
    <t>29/03/2025 17:25</t>
  </si>
  <si>
    <t>Comanda número - 138348469</t>
  </si>
  <si>
    <t>29/03/2025 17:15</t>
  </si>
  <si>
    <t>Comanda número - 138349330</t>
  </si>
  <si>
    <t>Comanda número - 138361537</t>
  </si>
  <si>
    <t>29/03/2025 19:45</t>
  </si>
  <si>
    <t>Comanda número - 138364297</t>
  </si>
  <si>
    <t>Comanda número - 138393120</t>
  </si>
  <si>
    <t>31/03/2025 10:00</t>
  </si>
  <si>
    <t>Comanda número - 138430947</t>
  </si>
  <si>
    <t>31/03/2025 09:00</t>
  </si>
  <si>
    <t>Caio Ferreira</t>
  </si>
  <si>
    <t>Comanda número - 138433571</t>
  </si>
  <si>
    <t>31/03/2025 10:30</t>
  </si>
  <si>
    <t>Comanda número - 138436245</t>
  </si>
  <si>
    <t>31/03/2025 11:00</t>
  </si>
  <si>
    <t>Comanda número - 138436641</t>
  </si>
  <si>
    <t>31/03/2025 12:00</t>
  </si>
  <si>
    <t>Comanda número - 138454679</t>
  </si>
  <si>
    <t>31/03/2025 12:30</t>
  </si>
  <si>
    <t>Comanda número - 138481209</t>
  </si>
  <si>
    <t>31/03/2025 16:00</t>
  </si>
  <si>
    <t>Comanda número - 138490893</t>
  </si>
  <si>
    <t>31/03/2025 13:30</t>
  </si>
  <si>
    <t>Comanda número - 138493214</t>
  </si>
  <si>
    <t>31/03/2025 15:00</t>
  </si>
  <si>
    <t>julio cezar santos</t>
  </si>
  <si>
    <t>Comanda número - 138507111</t>
  </si>
  <si>
    <t>elder dos santos</t>
  </si>
  <si>
    <t>Comanda número - 138507741</t>
  </si>
  <si>
    <t>31/03/2025 16:45</t>
  </si>
  <si>
    <t>Comanda número - 138516122</t>
  </si>
  <si>
    <t>31/03/2025 17:05</t>
  </si>
  <si>
    <t>gabriel teixeira</t>
  </si>
  <si>
    <t>Comanda número - 138526383</t>
  </si>
  <si>
    <t>31/03/2025 18:00</t>
  </si>
  <si>
    <t>Comanda número - 138526559</t>
  </si>
  <si>
    <t>Comanda número - 138536354</t>
  </si>
  <si>
    <t>01/04/2025 19:30</t>
  </si>
  <si>
    <t>Comanda número - 138625434</t>
  </si>
  <si>
    <t>01/04/2025 11:30</t>
  </si>
  <si>
    <t>Comanda número - 138629386</t>
  </si>
  <si>
    <t>01/04/2025 12:00</t>
  </si>
  <si>
    <t>Comanda número - 138635126</t>
  </si>
  <si>
    <t>Comanda número - 138656976</t>
  </si>
  <si>
    <t>01/04/2025 17:00</t>
  </si>
  <si>
    <t>Comanda número - 138696662</t>
  </si>
  <si>
    <t>01/04/2025 16:00</t>
  </si>
  <si>
    <t>adriano oliveira</t>
  </si>
  <si>
    <t>Comanda número - 138699926</t>
  </si>
  <si>
    <t>01/04/2025 16:30</t>
  </si>
  <si>
    <t>Comanda número - 138724032</t>
  </si>
  <si>
    <t>01/04/2025 17:45</t>
  </si>
  <si>
    <t>thiago lima santos</t>
  </si>
  <si>
    <t>Comanda número - 138724075</t>
  </si>
  <si>
    <t>01/04/2025 18:15</t>
  </si>
  <si>
    <t>Comanda número - 138726266</t>
  </si>
  <si>
    <t>Pedro Bastos</t>
  </si>
  <si>
    <t>Comanda número - 138742236</t>
  </si>
  <si>
    <t>01/04/2025 19:50</t>
  </si>
  <si>
    <t>Comanda número - 138744362</t>
  </si>
  <si>
    <t>01/04/2025 20:00</t>
  </si>
  <si>
    <t>lucas silva</t>
  </si>
  <si>
    <t>Artes ( publicidade )</t>
  </si>
  <si>
    <t>27/03/2025 12:47</t>
  </si>
  <si>
    <t>Internet mes de fevereiro</t>
  </si>
  <si>
    <t>28/03/2025 13:14</t>
  </si>
  <si>
    <t>27/03/2025 18:44</t>
  </si>
  <si>
    <t>27/03/2025 20:55</t>
  </si>
  <si>
    <t>Vassoura</t>
  </si>
  <si>
    <t>28/03/2025 13:13</t>
  </si>
  <si>
    <t>Data Correta</t>
  </si>
  <si>
    <t>Carina - Gustavo</t>
  </si>
  <si>
    <t>Pagamento de comissão ao profissional Christian Magon referente ao período : 01/03/2025 até 31/03/2025</t>
  </si>
  <si>
    <t>Pagamento de comissão ao profissional PATRICK CARDOSO PIRES referente ao período : 01/03/2025 até 31/03/2025</t>
  </si>
  <si>
    <t>Pagamento de comissão ao profissional GUSTAVO SANTA ROSA DE CASTRO referente ao período : 01/03/2025 até 31/03/2025</t>
  </si>
  <si>
    <t>2.6</t>
  </si>
  <si>
    <t>Custo Maquininha</t>
  </si>
  <si>
    <t>Comanda número - 138693376</t>
  </si>
  <si>
    <t>04/04/2025 11:00</t>
  </si>
  <si>
    <t>Comanda número - 138756509</t>
  </si>
  <si>
    <t>02/04/2025 10:00</t>
  </si>
  <si>
    <t>Comanda número - 138757030</t>
  </si>
  <si>
    <t>04/04/2025 17:00</t>
  </si>
  <si>
    <t>Comanda número - 138770602</t>
  </si>
  <si>
    <t>05/04/2025 09:00</t>
  </si>
  <si>
    <t>Comanda número - 138776251</t>
  </si>
  <si>
    <t>02/04/2025 12:00</t>
  </si>
  <si>
    <t>Comanda número - 138792334</t>
  </si>
  <si>
    <t>02/04/2025 10:30</t>
  </si>
  <si>
    <t>Emanuel Da Silva</t>
  </si>
  <si>
    <t>Comanda número - 138846641</t>
  </si>
  <si>
    <t>05/04/2025 09:30</t>
  </si>
  <si>
    <t>Comanda número - 138853397</t>
  </si>
  <si>
    <t>02/04/2025 13:45</t>
  </si>
  <si>
    <t>Comanda número - 138853555</t>
  </si>
  <si>
    <t>02/04/2025 17:00</t>
  </si>
  <si>
    <t>Comanda número - 138855128</t>
  </si>
  <si>
    <t>02/04/2025 14:15</t>
  </si>
  <si>
    <t>Comanda número - 138856196</t>
  </si>
  <si>
    <t>02/04/2025 13:00</t>
  </si>
  <si>
    <t>Antonio almir da Silva</t>
  </si>
  <si>
    <t>Comanda número - 138856865</t>
  </si>
  <si>
    <t>02/04/2025 15:00</t>
  </si>
  <si>
    <t>Alcemar da Silva</t>
  </si>
  <si>
    <t>Comanda número - 138857756</t>
  </si>
  <si>
    <t>02/04/2025 14:10</t>
  </si>
  <si>
    <t>Comanda número - 138858156</t>
  </si>
  <si>
    <t>02/04/2025 10:45</t>
  </si>
  <si>
    <t>Comanda número - 138877075</t>
  </si>
  <si>
    <t>02/04/2025 16:15</t>
  </si>
  <si>
    <t>Comanda número - 138886484</t>
  </si>
  <si>
    <t>02/04/2025 15:45</t>
  </si>
  <si>
    <t>Antonio Almir</t>
  </si>
  <si>
    <t>Comanda número - 138906055</t>
  </si>
  <si>
    <t>02/04/2025 17:30</t>
  </si>
  <si>
    <t>lucas loredo</t>
  </si>
  <si>
    <t>Comanda número - 138911563</t>
  </si>
  <si>
    <t>02/04/2025 17:50</t>
  </si>
  <si>
    <t>Comanda número - 138911696</t>
  </si>
  <si>
    <t>Comanda número - 138920047</t>
  </si>
  <si>
    <t>02/04/2025 18:30</t>
  </si>
  <si>
    <t>jose rodrigo da silva</t>
  </si>
  <si>
    <t>Comanda número - 138920699</t>
  </si>
  <si>
    <t>05/04/2025 12:15</t>
  </si>
  <si>
    <t>Comanda número - 138929487</t>
  </si>
  <si>
    <t>02/04/2025 19:30</t>
  </si>
  <si>
    <t>Comanda número - 138951656</t>
  </si>
  <si>
    <t>03/04/2025 10:30</t>
  </si>
  <si>
    <t>Comanda número - 138970452</t>
  </si>
  <si>
    <t>03/04/2025 10:00</t>
  </si>
  <si>
    <t>Comanda número - 138997244</t>
  </si>
  <si>
    <t>03/04/2025 17:45</t>
  </si>
  <si>
    <t>Comanda número - 138998084</t>
  </si>
  <si>
    <t>03/04/2025 10:20</t>
  </si>
  <si>
    <t>anderson terto</t>
  </si>
  <si>
    <t>Comanda número - 139005736</t>
  </si>
  <si>
    <t>03/04/2025 11:00</t>
  </si>
  <si>
    <t>Comanda número - 139007078</t>
  </si>
  <si>
    <t>03/04/2025 10:15</t>
  </si>
  <si>
    <t>Comanda número - 139047929</t>
  </si>
  <si>
    <t>03/04/2025 14:30</t>
  </si>
  <si>
    <t>Rodrigo Jose Telles</t>
  </si>
  <si>
    <t>Comanda número - 139051325</t>
  </si>
  <si>
    <t>Comanda número - 139061736</t>
  </si>
  <si>
    <t>03/04/2025 15:00</t>
  </si>
  <si>
    <t>Comanda número - 139084087</t>
  </si>
  <si>
    <t>03/04/2025 16:00</t>
  </si>
  <si>
    <t>Comanda número - 139086145</t>
  </si>
  <si>
    <t>03/04/2025 15:30</t>
  </si>
  <si>
    <t>Comanda número - 139110083</t>
  </si>
  <si>
    <t>03/04/2025 17:00</t>
  </si>
  <si>
    <t>Comanda número - 139129234</t>
  </si>
  <si>
    <t>03/04/2025 19:00</t>
  </si>
  <si>
    <t>Comanda número - 139136535</t>
  </si>
  <si>
    <t>Comanda número - 139144899</t>
  </si>
  <si>
    <t>03/04/2025 20:15</t>
  </si>
  <si>
    <t>Comanda número - 139166425</t>
  </si>
  <si>
    <t>04/04/2025 15:45</t>
  </si>
  <si>
    <t>Comanda número - 139190458</t>
  </si>
  <si>
    <t>04/04/2025 10:30</t>
  </si>
  <si>
    <t>Comanda número - 139218317</t>
  </si>
  <si>
    <t>gabriel luiz</t>
  </si>
  <si>
    <t>Comanda número - 139228552</t>
  </si>
  <si>
    <t>05/04/2025 17:00</t>
  </si>
  <si>
    <t>Comanda número - 139249036</t>
  </si>
  <si>
    <t>04/04/2025 11:15</t>
  </si>
  <si>
    <t>Comanda número - 139277718</t>
  </si>
  <si>
    <t>04/04/2025 18:00</t>
  </si>
  <si>
    <t>Comanda número - 139294354</t>
  </si>
  <si>
    <t>04/04/2025 13:00</t>
  </si>
  <si>
    <t>Comanda número - 139302197</t>
  </si>
  <si>
    <t>04/04/2025 18:45</t>
  </si>
  <si>
    <t>Comanda número - 139312678</t>
  </si>
  <si>
    <t>04/04/2025 16:00</t>
  </si>
  <si>
    <t>Comanda número - 139318493</t>
  </si>
  <si>
    <t>04/04/2025 16:30</t>
  </si>
  <si>
    <t>Comanda número - 139325694</t>
  </si>
  <si>
    <t>04/04/2025 17:15</t>
  </si>
  <si>
    <t>roney almeida</t>
  </si>
  <si>
    <t>Comanda número - 139328774</t>
  </si>
  <si>
    <t>Comanda número - 139340536</t>
  </si>
  <si>
    <t>04/04/2025 18:05</t>
  </si>
  <si>
    <t>Comanda número - 139341234</t>
  </si>
  <si>
    <t>04/04/2025 19:30</t>
  </si>
  <si>
    <t>Comanda número - 139353152</t>
  </si>
  <si>
    <t>05/04/2025 13:30</t>
  </si>
  <si>
    <t>Comanda número - 139356749</t>
  </si>
  <si>
    <t>04/04/2025 19:05</t>
  </si>
  <si>
    <t>Comanda número - 139356874</t>
  </si>
  <si>
    <t>04/04/2025 19:00</t>
  </si>
  <si>
    <t>Comanda número - 139357351</t>
  </si>
  <si>
    <t>Comanda número - 139372543</t>
  </si>
  <si>
    <t>05/04/2025 10:15</t>
  </si>
  <si>
    <t>Comanda número - 139390675</t>
  </si>
  <si>
    <t>05/04/2025 10:00</t>
  </si>
  <si>
    <t>Comanda número - 139393276</t>
  </si>
  <si>
    <t>05/04/2025 10:45</t>
  </si>
  <si>
    <t>Comanda número - 139404634</t>
  </si>
  <si>
    <t>05/04/2025 14:00</t>
  </si>
  <si>
    <t>Comanda número - 139422519</t>
  </si>
  <si>
    <t>Comanda número - 139424046</t>
  </si>
  <si>
    <t>05/04/2025 11:00</t>
  </si>
  <si>
    <t>Comanda número - 139427728</t>
  </si>
  <si>
    <t>05/04/2025 17:45</t>
  </si>
  <si>
    <t>Comanda número - 139430473</t>
  </si>
  <si>
    <t>Carlos Guilherme Podcameni</t>
  </si>
  <si>
    <t>Comanda número - 139433433</t>
  </si>
  <si>
    <t>Comanda número - 139433615</t>
  </si>
  <si>
    <t>05/04/2025 14:30</t>
  </si>
  <si>
    <t>Breno Vila</t>
  </si>
  <si>
    <t>Comanda número - 139438069</t>
  </si>
  <si>
    <t>05/04/2025 12:00</t>
  </si>
  <si>
    <t>Comanda número - 139445300</t>
  </si>
  <si>
    <t>Gabriel</t>
  </si>
  <si>
    <t>Comanda número - 139447376</t>
  </si>
  <si>
    <t>05/04/2025 11:20</t>
  </si>
  <si>
    <t>Comanda número - 139455804</t>
  </si>
  <si>
    <t>05/04/2025 19:30</t>
  </si>
  <si>
    <t>Comanda número - 139471729</t>
  </si>
  <si>
    <t>05/04/2025 16:00</t>
  </si>
  <si>
    <t>Comanda número - 139472009</t>
  </si>
  <si>
    <t>05/04/2025 15:30</t>
  </si>
  <si>
    <t>Elivelton Felicio</t>
  </si>
  <si>
    <t>Comanda número - 139484195</t>
  </si>
  <si>
    <t>05/04/2025 15:15</t>
  </si>
  <si>
    <t>Comanda número - 139493666</t>
  </si>
  <si>
    <t>05/04/2025 14:40</t>
  </si>
  <si>
    <t>Comanda número - 139502243</t>
  </si>
  <si>
    <t>05/04/2025 15:45</t>
  </si>
  <si>
    <t>Comanda número - 139503323</t>
  </si>
  <si>
    <t>05/04/2025 16:30</t>
  </si>
  <si>
    <t>Comanda número - 139526476</t>
  </si>
  <si>
    <t>05/04/2025 16:15</t>
  </si>
  <si>
    <t>Comanda número - 139530038</t>
  </si>
  <si>
    <t>Marcelo Isidoro</t>
  </si>
  <si>
    <t>Comanda número - 139533476</t>
  </si>
  <si>
    <t>05/04/2025 17:30</t>
  </si>
  <si>
    <t>Comanda número - 139539565</t>
  </si>
  <si>
    <t>05/04/2025 18:45</t>
  </si>
  <si>
    <t>Comanda número - 139545928</t>
  </si>
  <si>
    <t>05/04/2025 20:15</t>
  </si>
  <si>
    <t>valdecir oliveira</t>
  </si>
  <si>
    <t>Comanda número - 139548470</t>
  </si>
  <si>
    <t>05/04/2025 00:00</t>
  </si>
  <si>
    <t>Tayane</t>
  </si>
  <si>
    <t>Comanda número - 139548679</t>
  </si>
  <si>
    <t>05/04/2025 21:05</t>
  </si>
  <si>
    <t>Rodrigo Soares</t>
  </si>
  <si>
    <t>Comanda número - 139577672</t>
  </si>
  <si>
    <t>07/04/2025 10:00</t>
  </si>
  <si>
    <t>Comanda número - 139615185</t>
  </si>
  <si>
    <t>07/04/2025 11:15</t>
  </si>
  <si>
    <t>Comanda número - 139688247</t>
  </si>
  <si>
    <t>07/04/2025 17:30</t>
  </si>
  <si>
    <t>Comanda número - 139701980</t>
  </si>
  <si>
    <t>07/04/2025 12:00</t>
  </si>
  <si>
    <t>Comanda número - 139716775</t>
  </si>
  <si>
    <t>07/04/2025 17:00</t>
  </si>
  <si>
    <t>Comanda número - 139794218</t>
  </si>
  <si>
    <t>08/04/2025 15:30</t>
  </si>
  <si>
    <t>Keverson da Silva</t>
  </si>
  <si>
    <t>Comanda número - 139802270</t>
  </si>
  <si>
    <t>12/04/2025 14:30</t>
  </si>
  <si>
    <t>Comanda número - 139825360</t>
  </si>
  <si>
    <t>08/04/2025 12:15</t>
  </si>
  <si>
    <t>Comanda número - 139825827</t>
  </si>
  <si>
    <t>08/04/2025 18:30</t>
  </si>
  <si>
    <t>Comanda número - 139857234</t>
  </si>
  <si>
    <t>08/04/2025 17:00</t>
  </si>
  <si>
    <t>Comanda número - 139872502</t>
  </si>
  <si>
    <t>08/04/2025 14:45</t>
  </si>
  <si>
    <t>Flaviane Dias</t>
  </si>
  <si>
    <t>Comanda número - 139872969</t>
  </si>
  <si>
    <t>Comanda número - 139900867</t>
  </si>
  <si>
    <t>08/04/2025 16:15</t>
  </si>
  <si>
    <t>Comanda número - 139905888</t>
  </si>
  <si>
    <t>08/04/2025 18:00</t>
  </si>
  <si>
    <t>RODRIGO CARDOSO</t>
  </si>
  <si>
    <t>Comanda número - 139911932</t>
  </si>
  <si>
    <t>08/04/2025 19:00</t>
  </si>
  <si>
    <t>Comanda número - 139914962</t>
  </si>
  <si>
    <t>08/04/2025 18:45</t>
  </si>
  <si>
    <t>Alessandro</t>
  </si>
  <si>
    <t>Comanda número - 139918251</t>
  </si>
  <si>
    <t>08/04/2025 18:50</t>
  </si>
  <si>
    <t>Teomo Jose</t>
  </si>
  <si>
    <t>Comanda número - 139941294</t>
  </si>
  <si>
    <t>09/04/2025 19:00</t>
  </si>
  <si>
    <t>Comanda número - 139976973</t>
  </si>
  <si>
    <t>08/04/2025 20:05</t>
  </si>
  <si>
    <t>eridoncio da silva</t>
  </si>
  <si>
    <t>Comanda número - 139984082</t>
  </si>
  <si>
    <t>09/04/2025 10:45</t>
  </si>
  <si>
    <t>Comanda número - 139997340</t>
  </si>
  <si>
    <t>09/04/2025 11:00</t>
  </si>
  <si>
    <t>Comanda número - 140015707</t>
  </si>
  <si>
    <t>09/04/2025 18:30</t>
  </si>
  <si>
    <t>Comanda número - 140054558</t>
  </si>
  <si>
    <t>09/04/2025 15:45</t>
  </si>
  <si>
    <t>Comanda número - 140100185</t>
  </si>
  <si>
    <t>09/04/2025 17:45</t>
  </si>
  <si>
    <t>Cryslen Ramos</t>
  </si>
  <si>
    <t>Comanda número - 140140544</t>
  </si>
  <si>
    <t>11/04/2025 16:15</t>
  </si>
  <si>
    <t>Comanda número - 140177469</t>
  </si>
  <si>
    <t>10/04/2025 10:30</t>
  </si>
  <si>
    <t>Comanda número - 140177671</t>
  </si>
  <si>
    <t>09/04/2025 19:30</t>
  </si>
  <si>
    <t>Comanda número - 140188953</t>
  </si>
  <si>
    <t>10/04/2025 10:00</t>
  </si>
  <si>
    <t>Calebe gomes</t>
  </si>
  <si>
    <t>Comanda número - 140194329</t>
  </si>
  <si>
    <t>10/04/2025 11:30</t>
  </si>
  <si>
    <t>Comanda número - 140231766</t>
  </si>
  <si>
    <t>10/04/2025 13:50</t>
  </si>
  <si>
    <t>Thiago Franco</t>
  </si>
  <si>
    <t>Comanda número - 140238703</t>
  </si>
  <si>
    <t>10/04/2025 15:00</t>
  </si>
  <si>
    <t>Comanda número - 140251853</t>
  </si>
  <si>
    <t>10/04/2025 15:15</t>
  </si>
  <si>
    <t>Comanda número - 140273924</t>
  </si>
  <si>
    <t>10/04/2025 16:15</t>
  </si>
  <si>
    <t>Comanda número - 140283158</t>
  </si>
  <si>
    <t>10/04/2025 16:45</t>
  </si>
  <si>
    <t>Comanda número - 140284451</t>
  </si>
  <si>
    <t>10/04/2025 17:30</t>
  </si>
  <si>
    <t>Comanda número - 140292380</t>
  </si>
  <si>
    <t>10/04/2025 18:00</t>
  </si>
  <si>
    <t>Comanda número - 140307203</t>
  </si>
  <si>
    <t>10/04/2025 17:45</t>
  </si>
  <si>
    <t>Comanda número - 140314085</t>
  </si>
  <si>
    <t>10/04/2025 19:25</t>
  </si>
  <si>
    <t>Comanda número - 140315313</t>
  </si>
  <si>
    <t>10/04/2025 19:15</t>
  </si>
  <si>
    <t>Comanda número - 140319625</t>
  </si>
  <si>
    <t>11/04/2025 13:30</t>
  </si>
  <si>
    <t>Comanda número - 140327950</t>
  </si>
  <si>
    <t>10/04/2025 18:45</t>
  </si>
  <si>
    <t>Comanda número - 140327984</t>
  </si>
  <si>
    <t>10/04/2025 19:30</t>
  </si>
  <si>
    <t>Comanda número - 140328250</t>
  </si>
  <si>
    <t>10/04/2025 21:30</t>
  </si>
  <si>
    <t>Comanda número - 140348828</t>
  </si>
  <si>
    <t>11/04/2025 15:45</t>
  </si>
  <si>
    <t>Adriano Oliveira</t>
  </si>
  <si>
    <t>Comanda número - 140350803</t>
  </si>
  <si>
    <t>11/04/2025 14:45</t>
  </si>
  <si>
    <t>Comanda número - 140362661</t>
  </si>
  <si>
    <t>11/04/2025 10:00</t>
  </si>
  <si>
    <t>Comanda número - 140365460</t>
  </si>
  <si>
    <t>Arthur Chaves de Souza</t>
  </si>
  <si>
    <t>Comanda número - 140370826</t>
  </si>
  <si>
    <t>11/04/2025 19:30</t>
  </si>
  <si>
    <t>Comanda número - 140376185</t>
  </si>
  <si>
    <t>11/04/2025 10:30</t>
  </si>
  <si>
    <t>Comanda número - 140387419</t>
  </si>
  <si>
    <t>Comanda número - 140403922</t>
  </si>
  <si>
    <t>11/04/2025 11:35</t>
  </si>
  <si>
    <t>Anderson Chaves</t>
  </si>
  <si>
    <t>Comanda número - 140406019</t>
  </si>
  <si>
    <t>12/04/2025 10:00</t>
  </si>
  <si>
    <t>Comanda número - 140412667</t>
  </si>
  <si>
    <t>11/04/2025 14:30</t>
  </si>
  <si>
    <t>Comanda número - 140415877</t>
  </si>
  <si>
    <t>11/04/2025 12:15</t>
  </si>
  <si>
    <t>Comanda número - 140420518</t>
  </si>
  <si>
    <t>11/04/2025 13:00</t>
  </si>
  <si>
    <t>Comanda número - 140421738</t>
  </si>
  <si>
    <t>11/04/2025 12:40</t>
  </si>
  <si>
    <t>Comanda número - 140425043</t>
  </si>
  <si>
    <t>11/04/2025 18:00</t>
  </si>
  <si>
    <t>Comanda número - 140427331</t>
  </si>
  <si>
    <t>12/04/2025 09:00</t>
  </si>
  <si>
    <t>Comanda número - 140446391</t>
  </si>
  <si>
    <t>Comanda número - 140447418</t>
  </si>
  <si>
    <t>11/04/2025 17:00</t>
  </si>
  <si>
    <t>Comanda número - 140448530</t>
  </si>
  <si>
    <t>11/04/2025 18:15</t>
  </si>
  <si>
    <t>Comanda número - 140455877</t>
  </si>
  <si>
    <t>11/04/2025 14:00</t>
  </si>
  <si>
    <t>Comanda número - 140468481</t>
  </si>
  <si>
    <t>11/04/2025 15:40</t>
  </si>
  <si>
    <t>Carlos Eduardo</t>
  </si>
  <si>
    <t>Comanda número - 140485335</t>
  </si>
  <si>
    <t>11/04/2025 16:45</t>
  </si>
  <si>
    <t>Comanda número - 140506344</t>
  </si>
  <si>
    <t>eduardo lopes</t>
  </si>
  <si>
    <t>Comanda número - 140507270</t>
  </si>
  <si>
    <t>11/04/2025 18:45</t>
  </si>
  <si>
    <t>Comanda número - 140513339</t>
  </si>
  <si>
    <t>11/04/2025 18:25</t>
  </si>
  <si>
    <t>marcelo pinho</t>
  </si>
  <si>
    <t>Comanda número - 140513502</t>
  </si>
  <si>
    <t>Comanda número - 140520793</t>
  </si>
  <si>
    <t>12/04/2025 10:30</t>
  </si>
  <si>
    <t>Comanda número - 140521562</t>
  </si>
  <si>
    <t>12/04/2025 09:30</t>
  </si>
  <si>
    <t>Comanda número - 140523594</t>
  </si>
  <si>
    <t>11/04/2025 19:15</t>
  </si>
  <si>
    <t>Comanda número - 140528696</t>
  </si>
  <si>
    <t>Samuel Almeida</t>
  </si>
  <si>
    <t>Comanda número - 140528864</t>
  </si>
  <si>
    <t>Comanda número - 140533775</t>
  </si>
  <si>
    <t>11/04/2025 19:55</t>
  </si>
  <si>
    <t>Comanda número - 140539550</t>
  </si>
  <si>
    <t>12/04/2025 18:15</t>
  </si>
  <si>
    <t>Comanda número - 140541261</t>
  </si>
  <si>
    <t>11/04/2025 20:40</t>
  </si>
  <si>
    <t>Comanda número - 140545648</t>
  </si>
  <si>
    <t>11/04/2025 21:20</t>
  </si>
  <si>
    <t>Comanda número - 140557821</t>
  </si>
  <si>
    <t>Comanda número - 140560767</t>
  </si>
  <si>
    <t>12/04/2025 13:30</t>
  </si>
  <si>
    <t>Comanda número - 140583872</t>
  </si>
  <si>
    <t>Comanda número - 140591803</t>
  </si>
  <si>
    <t>12/04/2025 10:15</t>
  </si>
  <si>
    <t>Paulo Vitor</t>
  </si>
  <si>
    <t>Comanda número - 140604902</t>
  </si>
  <si>
    <t>12/04/2025 11:00</t>
  </si>
  <si>
    <t>Comanda número - 140609685</t>
  </si>
  <si>
    <t>12/04/2025 11:15</t>
  </si>
  <si>
    <t>Comanda número - 140620266</t>
  </si>
  <si>
    <t>12/04/2025 12:00</t>
  </si>
  <si>
    <t>Thiago Lacerda</t>
  </si>
  <si>
    <t>Comanda número - 140623949</t>
  </si>
  <si>
    <t>12/04/2025 14:45</t>
  </si>
  <si>
    <t>Comanda número - 140624224</t>
  </si>
  <si>
    <t>12/04/2025 15:00</t>
  </si>
  <si>
    <t>Comanda número - 140625534</t>
  </si>
  <si>
    <t>12/04/2025 12:30</t>
  </si>
  <si>
    <t>Comanda número - 140629680</t>
  </si>
  <si>
    <t>12/04/2025 12:40</t>
  </si>
  <si>
    <t>fernando souza</t>
  </si>
  <si>
    <t>Comanda número - 140633638</t>
  </si>
  <si>
    <t>12/04/2025 15:10</t>
  </si>
  <si>
    <t>Comanda número - 140634267</t>
  </si>
  <si>
    <t>Comanda número - 140649752</t>
  </si>
  <si>
    <t>12/04/2025 14:15</t>
  </si>
  <si>
    <t>Bruno Da Silva</t>
  </si>
  <si>
    <t>Comanda número - 140650369</t>
  </si>
  <si>
    <t>12/04/2025 15:30</t>
  </si>
  <si>
    <t>Comanda número - 140660618</t>
  </si>
  <si>
    <t>thais cruz</t>
  </si>
  <si>
    <t>Comanda número - 140678319</t>
  </si>
  <si>
    <t>12/04/2025 16:45</t>
  </si>
  <si>
    <t>Comanda número - 140679194</t>
  </si>
  <si>
    <t>12/04/2025 16:50</t>
  </si>
  <si>
    <t>David Souza</t>
  </si>
  <si>
    <t>Comanda número - 140685128</t>
  </si>
  <si>
    <t>12/04/2025 18:45</t>
  </si>
  <si>
    <t>Comanda número - 140701696</t>
  </si>
  <si>
    <t>12/04/2025 19:50</t>
  </si>
  <si>
    <t>Comanda número - 140704642</t>
  </si>
  <si>
    <t>12/04/2025 19:55</t>
  </si>
  <si>
    <t>Comanda número - 140704678</t>
  </si>
  <si>
    <t>12/04/2025 17:30</t>
  </si>
  <si>
    <t>Comanda número - 140716922</t>
  </si>
  <si>
    <t>12/04/2025 19:15</t>
  </si>
  <si>
    <t>henrique oliveira</t>
  </si>
  <si>
    <t>Comanda número - 140787410</t>
  </si>
  <si>
    <t>14/04/2025 10:45</t>
  </si>
  <si>
    <t>Comanda número - 140789463</t>
  </si>
  <si>
    <t>14/04/2025 10:15</t>
  </si>
  <si>
    <t>Comanda número - 140791233</t>
  </si>
  <si>
    <t>14/04/2025 11:45</t>
  </si>
  <si>
    <t>Comanda número - 140799542</t>
  </si>
  <si>
    <t>14/04/2025 11:15</t>
  </si>
  <si>
    <t>Comanda número - 140816201</t>
  </si>
  <si>
    <t>14/04/2025 13:30</t>
  </si>
  <si>
    <t>elder andrade</t>
  </si>
  <si>
    <t>Comanda número - 140816333</t>
  </si>
  <si>
    <t>14/04/2025 14:15</t>
  </si>
  <si>
    <t>Comanda número - 140826809</t>
  </si>
  <si>
    <t>Comanda número - 140861872</t>
  </si>
  <si>
    <t>14/04/2025 15:45</t>
  </si>
  <si>
    <t>marcos alexandre</t>
  </si>
  <si>
    <t>Comanda número - 140873954</t>
  </si>
  <si>
    <t>14/04/2025 16:00</t>
  </si>
  <si>
    <t>Comanda número - 141033686</t>
  </si>
  <si>
    <t>15/04/2025 16:30</t>
  </si>
  <si>
    <t>Comanda número - 141045549</t>
  </si>
  <si>
    <t>15/04/2025 14:30</t>
  </si>
  <si>
    <t>Fabricio Santana</t>
  </si>
  <si>
    <t>Comanda número - 141050906</t>
  </si>
  <si>
    <t>15/04/2025 15:15</t>
  </si>
  <si>
    <t>Maria Luzia Leao Pedrosa da Costa</t>
  </si>
  <si>
    <t>Comanda número - 141056627</t>
  </si>
  <si>
    <t>15/04/2025 15:30</t>
  </si>
  <si>
    <t>rosa maria</t>
  </si>
  <si>
    <t>Comanda número - 141057916</t>
  </si>
  <si>
    <t>Comanda número - 141069136</t>
  </si>
  <si>
    <t>15/04/2025 16:00</t>
  </si>
  <si>
    <t>Comanda número - 141088198</t>
  </si>
  <si>
    <t>15/04/2025 17:40</t>
  </si>
  <si>
    <t>almoço adm</t>
  </si>
  <si>
    <t>07/04/2025 18:18</t>
  </si>
  <si>
    <t>07/04/2025 00:00</t>
  </si>
  <si>
    <t>baygon</t>
  </si>
  <si>
    <t>04/04/2025 15:47</t>
  </si>
  <si>
    <t>Bombom ( cesta )</t>
  </si>
  <si>
    <t>15/04/2025 09:51</t>
  </si>
  <si>
    <t>Coleta</t>
  </si>
  <si>
    <t>esponja louça</t>
  </si>
  <si>
    <t>Espátula ( remover de cravos )</t>
  </si>
  <si>
    <t>15/04/2025 09:48</t>
  </si>
  <si>
    <t>Flanela</t>
  </si>
  <si>
    <t>08/04/2025 17:16</t>
  </si>
  <si>
    <t>Não informada</t>
  </si>
  <si>
    <t>15/04/2025 12:15</t>
  </si>
  <si>
    <t>Luva vinil</t>
  </si>
  <si>
    <t>14/04/2025 20:19</t>
  </si>
  <si>
    <t>Papel higiênico</t>
  </si>
  <si>
    <t>08/04/2025 17:18</t>
  </si>
  <si>
    <t>Pilha</t>
  </si>
  <si>
    <t>15/04/2025 16:40</t>
  </si>
  <si>
    <t>Produtos limpeza de pele.</t>
  </si>
  <si>
    <t>15/04/2025 16:39</t>
  </si>
  <si>
    <t>02/04/2025 00:00</t>
  </si>
  <si>
    <t>tinta preta</t>
  </si>
  <si>
    <t>04/04/2025 15:49</t>
  </si>
  <si>
    <t>Tráfego Pago</t>
  </si>
  <si>
    <t>08/04/2025 17:55</t>
  </si>
  <si>
    <t>Utensílios ( cantinho do café )</t>
  </si>
  <si>
    <t>Comanda número - 140858449</t>
  </si>
  <si>
    <t>Comanda número - 140958147</t>
  </si>
  <si>
    <t>Comanda número - 140977538</t>
  </si>
  <si>
    <t>Comanda número - 141060477</t>
  </si>
  <si>
    <t>Comanda número - 141081997</t>
  </si>
  <si>
    <t>Comanda número - 141144782</t>
  </si>
  <si>
    <t>Comanda número - 141191770</t>
  </si>
  <si>
    <t>Comanda número - 141220271</t>
  </si>
  <si>
    <t>Comanda número - 141220825</t>
  </si>
  <si>
    <t>Comanda número - 141263837</t>
  </si>
  <si>
    <t>Comanda número - 141267162</t>
  </si>
  <si>
    <t>Comanda número - 141277413</t>
  </si>
  <si>
    <t>Comanda número - 141283430</t>
  </si>
  <si>
    <t>marcos miranda</t>
  </si>
  <si>
    <t>Comanda número - 141319503</t>
  </si>
  <si>
    <t>Comanda número - 141321521</t>
  </si>
  <si>
    <t>Comanda número - 141321707</t>
  </si>
  <si>
    <t>Comanda número - 141326373</t>
  </si>
  <si>
    <t>Comanda número - 141368381</t>
  </si>
  <si>
    <t>Comanda número - 141374539</t>
  </si>
  <si>
    <t>Comanda número - 141393964</t>
  </si>
  <si>
    <t>Comanda número - 141396811</t>
  </si>
  <si>
    <t>cicero neres</t>
  </si>
  <si>
    <t>Comanda número - 141405384</t>
  </si>
  <si>
    <t>Comanda número - 141406150</t>
  </si>
  <si>
    <t>Lennon Santos</t>
  </si>
  <si>
    <t>Comanda número - 141407390</t>
  </si>
  <si>
    <t>Comanda número - 141423097</t>
  </si>
  <si>
    <t>Comanda número - 141433691</t>
  </si>
  <si>
    <t>Comanda número - 141439527</t>
  </si>
  <si>
    <t>Comanda número - 141445889</t>
  </si>
  <si>
    <t>Comanda número - 141448051</t>
  </si>
  <si>
    <t>Comanda número - 141448716</t>
  </si>
  <si>
    <t>Leonnan</t>
  </si>
  <si>
    <t>Comanda número - 141453307</t>
  </si>
  <si>
    <t>Comanda número - 141462014</t>
  </si>
  <si>
    <t>henrique honorio</t>
  </si>
  <si>
    <t>Comanda número - 141484512</t>
  </si>
  <si>
    <t>Comanda número - 141486882</t>
  </si>
  <si>
    <t>Comanda número - 141496061</t>
  </si>
  <si>
    <t>Daniel Silveira</t>
  </si>
  <si>
    <t>Comanda número - 141500211</t>
  </si>
  <si>
    <t>Comanda número - 141503452</t>
  </si>
  <si>
    <t>Comanda número - 141505743</t>
  </si>
  <si>
    <t>Comanda número - 141528835</t>
  </si>
  <si>
    <t>Comanda número - 141529433</t>
  </si>
  <si>
    <t>Comanda número - 141529810</t>
  </si>
  <si>
    <t>Comanda número - 141533595</t>
  </si>
  <si>
    <t>Comanda número - 141536086</t>
  </si>
  <si>
    <t>eliario henrique ribeiro faria</t>
  </si>
  <si>
    <t>Comanda número - 141537693</t>
  </si>
  <si>
    <t>Comanda número - 141538755</t>
  </si>
  <si>
    <t>Comanda número - 141545468</t>
  </si>
  <si>
    <t>Comanda número - 141550075</t>
  </si>
  <si>
    <t>Comanda número - 141553600</t>
  </si>
  <si>
    <t>Comanda número - 141557439</t>
  </si>
  <si>
    <t>Comanda número - 141564154</t>
  </si>
  <si>
    <t>Comanda número - 141564248</t>
  </si>
  <si>
    <t>Comanda número - 141565541</t>
  </si>
  <si>
    <t>Comanda número - 141569173</t>
  </si>
  <si>
    <t>Comanda número - 141571339</t>
  </si>
  <si>
    <t>Comanda número - 141572116</t>
  </si>
  <si>
    <t>Comanda número - 141582059</t>
  </si>
  <si>
    <t>Comanda número - 141585879</t>
  </si>
  <si>
    <t>hudson nawton</t>
  </si>
  <si>
    <t>Comanda número - 141587950</t>
  </si>
  <si>
    <t>Comanda número - 141589221</t>
  </si>
  <si>
    <t>marco andre piolho</t>
  </si>
  <si>
    <t>Comanda número - 141600805</t>
  </si>
  <si>
    <t>Comanda número - 141622308</t>
  </si>
  <si>
    <t>Comanda número - 141625237</t>
  </si>
  <si>
    <t>Comanda número - 141626870</t>
  </si>
  <si>
    <t>Comanda número - 141627626</t>
  </si>
  <si>
    <t>Comanda número - 141637566</t>
  </si>
  <si>
    <t>Comanda número - 141637791</t>
  </si>
  <si>
    <t>Comanda número - 141642446</t>
  </si>
  <si>
    <t>Comanda número - 141647494</t>
  </si>
  <si>
    <t>Comanda número - 141658419</t>
  </si>
  <si>
    <t>Comanda número - 141664570</t>
  </si>
  <si>
    <t>Comanda número - 141670587</t>
  </si>
  <si>
    <t>Comanda número - 141677222</t>
  </si>
  <si>
    <t>jailson de jesus</t>
  </si>
  <si>
    <t>Comanda número - 141680213</t>
  </si>
  <si>
    <t>Comanda número - 141680643</t>
  </si>
  <si>
    <t>Comanda número - 141685914</t>
  </si>
  <si>
    <t>silvio ricardo</t>
  </si>
  <si>
    <t>Comanda número - 141686929</t>
  </si>
  <si>
    <t>Comanda número - 141698377</t>
  </si>
  <si>
    <t>Comanda número - 141704869</t>
  </si>
  <si>
    <t>BRUNO SANTOS RODRIGUES</t>
  </si>
  <si>
    <t>Comanda número - 141705290</t>
  </si>
  <si>
    <t>Comanda número - 141713247</t>
  </si>
  <si>
    <t>Fabio Lima</t>
  </si>
  <si>
    <t>Comanda número - 141713350</t>
  </si>
  <si>
    <t>Comanda número - 141720074</t>
  </si>
  <si>
    <t>Comanda número - 141723546</t>
  </si>
  <si>
    <t>Comanda número - 141727249</t>
  </si>
  <si>
    <t>Comanda número - 141728001</t>
  </si>
  <si>
    <t>Comanda número - 141730886</t>
  </si>
  <si>
    <t>Comanda número - 141734386</t>
  </si>
  <si>
    <t>Comanda número - 141737834</t>
  </si>
  <si>
    <t>allan barreto</t>
  </si>
  <si>
    <t>Comanda número - 141742583</t>
  </si>
  <si>
    <t>Comanda número - 141743428</t>
  </si>
  <si>
    <t>Comanda número - 141744237</t>
  </si>
  <si>
    <t>cassius pereira</t>
  </si>
  <si>
    <t>Comanda número - 141811570</t>
  </si>
  <si>
    <t>pasta caramelo fox</t>
  </si>
  <si>
    <t>Comanda número - 141847904</t>
  </si>
  <si>
    <t>Comanda número - 141898045</t>
  </si>
  <si>
    <t>Jeferson da Silva Fernandes</t>
  </si>
  <si>
    <t>Comanda número - 141911440</t>
  </si>
  <si>
    <t>Comanda número - 141918495</t>
  </si>
  <si>
    <t>Comanda número - 141928012</t>
  </si>
  <si>
    <t>Comanda número - 141941443</t>
  </si>
  <si>
    <t>Comanda número - 141979812</t>
  </si>
  <si>
    <t>CASSIO JUNIOR</t>
  </si>
  <si>
    <t>Comanda número - 141982044</t>
  </si>
  <si>
    <t>GUILHERME RODRIGUES</t>
  </si>
  <si>
    <t>Comanda número - 141989027</t>
  </si>
  <si>
    <t>Comanda número - 141990975</t>
  </si>
  <si>
    <t>Comanda número - 141996827</t>
  </si>
  <si>
    <t>Comanda número - 141997854</t>
  </si>
  <si>
    <t>Comanda número - 142004582</t>
  </si>
  <si>
    <t>Comanda número - 142008996</t>
  </si>
  <si>
    <t>Everton Valença</t>
  </si>
  <si>
    <t>Comanda número - 142012700</t>
  </si>
  <si>
    <t>Comanda número - 142020685</t>
  </si>
  <si>
    <t>Comanda número - 142027675</t>
  </si>
  <si>
    <t>Comanda número - 142043084</t>
  </si>
  <si>
    <t>Comanda número - 142045193</t>
  </si>
  <si>
    <t>laço para cesta de sorteio</t>
  </si>
  <si>
    <t>6,99 saco de pirulito para criança</t>
  </si>
  <si>
    <t>MP SERVIÇO - agua micelar limpeza de pele</t>
  </si>
  <si>
    <t>Parcela Única da Nota Fiscal Número  referente ao Produto: POMADA INCOLOR FOX</t>
  </si>
  <si>
    <t>Parcela Única da Nota Fiscal Número  referente ao Produto: shampoo 4 em 1</t>
  </si>
  <si>
    <t>Parcela Única da Nota Fiscal Número  referente ao Produto: Oleo para barba fox</t>
  </si>
  <si>
    <t>Parcela Única da Nota Fiscal Número  referente ao Produto: BALM FOX</t>
  </si>
  <si>
    <t>Parcela Única da Nota Fiscal Número  referente ao Produto: Pomada matte 80g</t>
  </si>
  <si>
    <t>Parcela Única da Nota Fiscal Número  referente ao Produto: pasta caramelo fox</t>
  </si>
  <si>
    <t>Parcela Única da Nota Fiscal Número  referente ao Produto: shampoo anti caspa</t>
  </si>
  <si>
    <t>toalhas</t>
  </si>
  <si>
    <t>limpeza de vidros</t>
  </si>
  <si>
    <t>ultima parcela do toldo</t>
  </si>
  <si>
    <t>mp serviço - mascara black limpeza de pele</t>
  </si>
  <si>
    <t>MP SERVIÇOS - PALITO PARA DEPILAÇÃO</t>
  </si>
  <si>
    <t>MP SERVIÇOS - CERA 800G</t>
  </si>
  <si>
    <t>MP SERVIÇOS- ALGODÃO 50G</t>
  </si>
  <si>
    <t>MP SERVIÇOS - SABONETE FACIAL 100ML</t>
  </si>
  <si>
    <t>CAFÉ DA MANHA TREINAMENTO</t>
  </si>
  <si>
    <t>IMPOSTO MEI - FEV/ MARÇO</t>
  </si>
  <si>
    <t>Pagamento internet</t>
  </si>
  <si>
    <t>Comanda número - 142032133</t>
  </si>
  <si>
    <t>Comanda número - 142075915</t>
  </si>
  <si>
    <t>Comanda número - 142082779</t>
  </si>
  <si>
    <t>Junior Agnus</t>
  </si>
  <si>
    <t>POMADA INCOLOR FOX</t>
  </si>
  <si>
    <t>Comanda número - 142124207</t>
  </si>
  <si>
    <t>Comanda número - 142124320</t>
  </si>
  <si>
    <t>Comanda número - 142127966</t>
  </si>
  <si>
    <t>Comanda número - 142132798</t>
  </si>
  <si>
    <t>Comanda número - 142141041</t>
  </si>
  <si>
    <t>Comanda número - 142153284</t>
  </si>
  <si>
    <t>Comanda número - 142157846</t>
  </si>
  <si>
    <t>Comanda número - 142260730</t>
  </si>
  <si>
    <t>Comanda número - 142268966</t>
  </si>
  <si>
    <t>Oleo para barba fox</t>
  </si>
  <si>
    <t>Comanda número - 142283574</t>
  </si>
  <si>
    <t>Comanda número - 142289956</t>
  </si>
  <si>
    <t>Comanda número - 142300664</t>
  </si>
  <si>
    <t>Comanda número - 142301746</t>
  </si>
  <si>
    <t>Comanda número - 142306350</t>
  </si>
  <si>
    <t>Comanda número - 142307768</t>
  </si>
  <si>
    <t>Comanda número - 142323155</t>
  </si>
  <si>
    <t>Comanda número - 142326415</t>
  </si>
  <si>
    <t>Comanda número - 142335754</t>
  </si>
  <si>
    <t>Comanda número - 142352229</t>
  </si>
  <si>
    <t>Comanda número - 142381180</t>
  </si>
  <si>
    <t>Comanda número - 142391251</t>
  </si>
  <si>
    <t>Comanda número - 142394729</t>
  </si>
  <si>
    <t>sebastião de souza</t>
  </si>
  <si>
    <t>Comanda número - 142396902</t>
  </si>
  <si>
    <t>Comanda número - 142417866</t>
  </si>
  <si>
    <t>Comanda número - 142443478</t>
  </si>
  <si>
    <t>Comanda número - 142448927</t>
  </si>
  <si>
    <t>Comanda número - 142471319</t>
  </si>
  <si>
    <t>Comanda número - 142494206</t>
  </si>
  <si>
    <t>Comanda número - 142502722</t>
  </si>
  <si>
    <t>Comanda número - 142527942</t>
  </si>
  <si>
    <t>Comanda número - 142543373</t>
  </si>
  <si>
    <t>Comanda número - 142549865</t>
  </si>
  <si>
    <t>Comanda número - 142556133</t>
  </si>
  <si>
    <t>Comanda número - 142556522</t>
  </si>
  <si>
    <t>Comanda número - 142574705</t>
  </si>
  <si>
    <t>Comanda número - 142582784</t>
  </si>
  <si>
    <t>Comanda número - 142583769</t>
  </si>
  <si>
    <t>Comanda número - 142587687</t>
  </si>
  <si>
    <t>Comanda número - 142603985</t>
  </si>
  <si>
    <t>Comanda número - 142605515</t>
  </si>
  <si>
    <t>Comanda número - 142606651</t>
  </si>
  <si>
    <t>Comanda número - 142610654</t>
  </si>
  <si>
    <t>Comanda número - 142616448</t>
  </si>
  <si>
    <t>Comanda número - 142636950</t>
  </si>
  <si>
    <t>Comanda número - 142643237</t>
  </si>
  <si>
    <t>Comanda número - 142653660</t>
  </si>
  <si>
    <t>Comanda número - 142661149</t>
  </si>
  <si>
    <t>Wendell oliveira</t>
  </si>
  <si>
    <t>Comanda número - 142714891</t>
  </si>
  <si>
    <t>Comanda número - 142723654</t>
  </si>
  <si>
    <t>Comanda número - 142724327</t>
  </si>
  <si>
    <t>fabiane felix</t>
  </si>
  <si>
    <t>Comanda número - 142726034</t>
  </si>
  <si>
    <t>Comanda número - 142736338</t>
  </si>
  <si>
    <t>Comanda número - 142736944</t>
  </si>
  <si>
    <t>Comanda número - 142740116</t>
  </si>
  <si>
    <t>ruan soares</t>
  </si>
  <si>
    <t>Comanda número - 142742656</t>
  </si>
  <si>
    <t>gabriel  flora</t>
  </si>
  <si>
    <t>Comanda número - 142748144</t>
  </si>
  <si>
    <t>Comanda número - 142750279</t>
  </si>
  <si>
    <t>Comanda número - 142765660</t>
  </si>
  <si>
    <t>Comanda número - 142771614</t>
  </si>
  <si>
    <t>Comanda número - 142775134</t>
  </si>
  <si>
    <t>Comanda número - 142777608</t>
  </si>
  <si>
    <t>Comanda número - 142783681</t>
  </si>
  <si>
    <t>Comanda número - 142785709</t>
  </si>
  <si>
    <t>Comanda número - 142786104</t>
  </si>
  <si>
    <t>Juliana Camargo</t>
  </si>
  <si>
    <t>Comanda número - 142788641</t>
  </si>
  <si>
    <t>Comanda número - 142789798</t>
  </si>
  <si>
    <t>Comanda número - 142790375</t>
  </si>
  <si>
    <t>Comanda número - 142791625</t>
  </si>
  <si>
    <t>Comanda número - 142791833</t>
  </si>
  <si>
    <t>Comanda número - 142824190</t>
  </si>
  <si>
    <t>Comanda número - 142897091</t>
  </si>
  <si>
    <t>Gilson Almeida</t>
  </si>
  <si>
    <t>Comanda número - 142908497</t>
  </si>
  <si>
    <t>Comanda número - 142910911</t>
  </si>
  <si>
    <t>Comanda número - 142920549</t>
  </si>
  <si>
    <t>Comanda número - 142923252</t>
  </si>
  <si>
    <t>Comanda número - 142945675</t>
  </si>
  <si>
    <t>Anderson Pereira</t>
  </si>
  <si>
    <t>Comanda número - 142951102</t>
  </si>
  <si>
    <t>josue felipe</t>
  </si>
  <si>
    <t>Comanda número - 142954445</t>
  </si>
  <si>
    <t>gabriel grativol</t>
  </si>
  <si>
    <t>Comanda número - 142967986</t>
  </si>
  <si>
    <t>Miguel Freire</t>
  </si>
  <si>
    <t>Comanda número - 142968042</t>
  </si>
  <si>
    <t>Comanda número - 142968061</t>
  </si>
  <si>
    <t>2.2.02</t>
  </si>
  <si>
    <t>Comissão Pago</t>
  </si>
  <si>
    <t>Comissão A pagar</t>
  </si>
  <si>
    <t>Comanda número - 142877365</t>
  </si>
  <si>
    <t>30/04/2025 16:00</t>
  </si>
  <si>
    <t>Comanda número - 142971889</t>
  </si>
  <si>
    <t>29/04/2025 14:30</t>
  </si>
  <si>
    <t>Comanda número - 143034005</t>
  </si>
  <si>
    <t>29/04/2025 19:30</t>
  </si>
  <si>
    <t>Comanda número - 143061147</t>
  </si>
  <si>
    <t>29/04/2025 11:30</t>
  </si>
  <si>
    <t>Lincoln Neves</t>
  </si>
  <si>
    <t>Comanda número - 143082305</t>
  </si>
  <si>
    <t>29/04/2025 17:30</t>
  </si>
  <si>
    <t>Comanda número - 143153527</t>
  </si>
  <si>
    <t>29/04/2025 17:15</t>
  </si>
  <si>
    <t>Comanda número - 143163585</t>
  </si>
  <si>
    <t>29/04/2025 15:45</t>
  </si>
  <si>
    <t>Comanda número - 143165809</t>
  </si>
  <si>
    <t>29/04/2025 18:30</t>
  </si>
  <si>
    <t>Comanda número - 143167725</t>
  </si>
  <si>
    <t>28/04/2025 19:30</t>
  </si>
  <si>
    <t>Comanda número - 143176911</t>
  </si>
  <si>
    <t>30/04/2025 10:00</t>
  </si>
  <si>
    <t>Comanda número - 143177755</t>
  </si>
  <si>
    <t>29/04/2025 20:20</t>
  </si>
  <si>
    <t>Comanda número - 143178298</t>
  </si>
  <si>
    <t>29/04/2025 20:25</t>
  </si>
  <si>
    <t>felipe souza santos</t>
  </si>
  <si>
    <t>Comanda número - 143180221</t>
  </si>
  <si>
    <t>Comanda número - 143183551</t>
  </si>
  <si>
    <t>29/04/2025 21:15</t>
  </si>
  <si>
    <t>Comanda número - 143188669</t>
  </si>
  <si>
    <t>29/04/2025 18:45</t>
  </si>
  <si>
    <t>Lucas Ferreira</t>
  </si>
  <si>
    <t>Comanda número - 143253417</t>
  </si>
  <si>
    <t>30/04/2025 10:45</t>
  </si>
  <si>
    <t>Bruno Assis</t>
  </si>
  <si>
    <t>Comanda número - 143266535</t>
  </si>
  <si>
    <t>30/04/2025 12:15</t>
  </si>
  <si>
    <t>Comanda número - 143281824</t>
  </si>
  <si>
    <t>30/04/2025 13:05</t>
  </si>
  <si>
    <t>Comanda número - 143282474</t>
  </si>
  <si>
    <t>30/04/2025 13:10</t>
  </si>
  <si>
    <t>Comanda número - 143295420</t>
  </si>
  <si>
    <t>30/04/2025 14:30</t>
  </si>
  <si>
    <t>Comanda número - 143295787</t>
  </si>
  <si>
    <t>30/04/2025 15:00</t>
  </si>
  <si>
    <t>Thiago farias moura lima</t>
  </si>
  <si>
    <t>Comanda número - 143303197</t>
  </si>
  <si>
    <t>30/04/2025 14:35</t>
  </si>
  <si>
    <t>Comanda número - 143305068</t>
  </si>
  <si>
    <t>30/04/2025 18:00</t>
  </si>
  <si>
    <t>Comanda número - 143327767</t>
  </si>
  <si>
    <t>30/04/2025 15:45</t>
  </si>
  <si>
    <t>Comanda número - 143334318</t>
  </si>
  <si>
    <t>30/04/2025 18:45</t>
  </si>
  <si>
    <t>Comanda número - 143339188</t>
  </si>
  <si>
    <t>30/04/2025 17:00</t>
  </si>
  <si>
    <t>andre souza candido</t>
  </si>
  <si>
    <t>Comanda número - 143341481</t>
  </si>
  <si>
    <t>30/04/2025 17:30</t>
  </si>
  <si>
    <t>Comanda número - 143345641</t>
  </si>
  <si>
    <t>Comanda número - 143357489</t>
  </si>
  <si>
    <t>Comanda número - 143357776</t>
  </si>
  <si>
    <t>30/04/2025 19:45</t>
  </si>
  <si>
    <t>Comanda número - 143363627</t>
  </si>
  <si>
    <t>Comanda número - 143373555</t>
  </si>
  <si>
    <t>30/04/2025 19:35</t>
  </si>
  <si>
    <t>Comanda número - 143379771</t>
  </si>
  <si>
    <t>30/04/2025 19:30</t>
  </si>
  <si>
    <t>Comanda número - 143381518</t>
  </si>
  <si>
    <t>30/04/2025 20:30</t>
  </si>
  <si>
    <t>Comanda número - 143386416</t>
  </si>
  <si>
    <t>30/04/2025 21:00</t>
  </si>
  <si>
    <t>Marco Aurelio Telles</t>
  </si>
  <si>
    <t>Pagamento de comissão ao profissional Christian Magon referente ao período : 01/04/2025 até 30/04/2025</t>
  </si>
  <si>
    <t>Pagamento de comissão ao profissional GUSTAVO SANTA ROSA DE CASTRO referente ao período : 01/04/2025 até 30/04/2025</t>
  </si>
  <si>
    <t>Pagamento de comissão ao profissional PATRICK CARDOSO PIRES referente ao período : 01/04/2025 até 30/04/2025</t>
  </si>
  <si>
    <t>Guanabara ( café e papel toalha ).</t>
  </si>
  <si>
    <t>Pagamento - Financeiro</t>
  </si>
  <si>
    <t>Retirada de Lucros</t>
  </si>
  <si>
    <t>Retirada de lucro mês - Gustavo</t>
  </si>
  <si>
    <t>% de Crescimento da Receita</t>
  </si>
  <si>
    <t>Lucro Líquido</t>
  </si>
  <si>
    <t>Saldo Caixa</t>
  </si>
  <si>
    <t>% de Crescimento Saldo Caixa</t>
  </si>
  <si>
    <t>Margem de Lucro</t>
  </si>
  <si>
    <t>Fill maker</t>
  </si>
  <si>
    <t>Ajuste Caixa</t>
  </si>
  <si>
    <t>Caixa dia 30/04/2025</t>
  </si>
  <si>
    <t>07/05/2025 11:56</t>
  </si>
  <si>
    <t>Venda Pacote: Pacote corte e barba - Cliente: Alexandre andrade</t>
  </si>
  <si>
    <t>10/05/2025 21:05</t>
  </si>
  <si>
    <t>Venda Pacote: pacote silver (CORTE) - Cliente: Jeremias Bastos</t>
  </si>
  <si>
    <t>11/05/2025 11:36</t>
  </si>
  <si>
    <t>Comanda número - 143168611</t>
  </si>
  <si>
    <t>nathan lucas</t>
  </si>
  <si>
    <t>Comanda número - 143228931</t>
  </si>
  <si>
    <t>Comanda número - 143394374</t>
  </si>
  <si>
    <t>Comanda número - 143416965</t>
  </si>
  <si>
    <t>Comanda número - 143422958</t>
  </si>
  <si>
    <t>Comanda número - 143431730</t>
  </si>
  <si>
    <t>Comanda número - 143438555</t>
  </si>
  <si>
    <t>Comanda número - 143444413</t>
  </si>
  <si>
    <t>Comanda número - 143449207</t>
  </si>
  <si>
    <t>Renan Andrade</t>
  </si>
  <si>
    <t>Comanda número - 143453898</t>
  </si>
  <si>
    <t>Comanda número - 143459766</t>
  </si>
  <si>
    <t>Comanda número - 143464658</t>
  </si>
  <si>
    <t>Comanda número - 143484314</t>
  </si>
  <si>
    <t>shampoo anti caspa</t>
  </si>
  <si>
    <t>Comanda número - 143487371</t>
  </si>
  <si>
    <t>Comanda número - 143506907</t>
  </si>
  <si>
    <t>Comanda número - 143509437</t>
  </si>
  <si>
    <t>Comanda número - 143553817</t>
  </si>
  <si>
    <t>Comanda número - 143573021</t>
  </si>
  <si>
    <t>Comanda número - 143586516</t>
  </si>
  <si>
    <t>Comanda número - 143590854</t>
  </si>
  <si>
    <t>Jorge Berdoneti</t>
  </si>
  <si>
    <t>Comanda número - 143604838</t>
  </si>
  <si>
    <t>Comanda número - 143617113</t>
  </si>
  <si>
    <t>Comanda número - 143623510</t>
  </si>
  <si>
    <t>Comanda número - 143629261</t>
  </si>
  <si>
    <t>Comanda número - 143634426</t>
  </si>
  <si>
    <t>Leonardo Teelles</t>
  </si>
  <si>
    <t>Comanda número - 143634757</t>
  </si>
  <si>
    <t>rosevelt rodrigues</t>
  </si>
  <si>
    <t>Comanda número - 143637736</t>
  </si>
  <si>
    <t>Comanda número - 143640998</t>
  </si>
  <si>
    <t>Comanda número - 143646632</t>
  </si>
  <si>
    <t>Ana Paula</t>
  </si>
  <si>
    <t>Comanda número - 143662387</t>
  </si>
  <si>
    <t>Comanda número - 143662784</t>
  </si>
  <si>
    <t>Comanda número - 143684368</t>
  </si>
  <si>
    <t>Comanda número - 143694365</t>
  </si>
  <si>
    <t>Comanda número - 143699806</t>
  </si>
  <si>
    <t>Comanda número - 143711813</t>
  </si>
  <si>
    <t>Comanda número - 143715608</t>
  </si>
  <si>
    <t>Comanda número - 143715727</t>
  </si>
  <si>
    <t>Comanda número - 143718594</t>
  </si>
  <si>
    <t>fernando jose pereira</t>
  </si>
  <si>
    <t>Comanda número - 143755851</t>
  </si>
  <si>
    <t>Comanda número - 143766921</t>
  </si>
  <si>
    <t>Comanda número - 143770323</t>
  </si>
  <si>
    <t>Comanda número - 143781049</t>
  </si>
  <si>
    <t>Comanda número - 143789627</t>
  </si>
  <si>
    <t>Comanda número - 143796845</t>
  </si>
  <si>
    <t>Comanda número - 143799843</t>
  </si>
  <si>
    <t>Comanda número - 143807594</t>
  </si>
  <si>
    <t>Comanda número - 143809798</t>
  </si>
  <si>
    <t>guilherme saldanha</t>
  </si>
  <si>
    <t>Comanda número - 143812662</t>
  </si>
  <si>
    <t>Comanda número - 143816793</t>
  </si>
  <si>
    <t>Comanda número - 143831384</t>
  </si>
  <si>
    <t>Fellipe Pinho</t>
  </si>
  <si>
    <t>Comanda número - 143844067</t>
  </si>
  <si>
    <t>Comanda número - 143845496</t>
  </si>
  <si>
    <t>Comanda número - 143845633</t>
  </si>
  <si>
    <t>Comanda número - 143851442</t>
  </si>
  <si>
    <t>gleydson nascimento</t>
  </si>
  <si>
    <t>Comanda número - 143854182</t>
  </si>
  <si>
    <t>Comanda número - 143859619</t>
  </si>
  <si>
    <t>Renan Ramos</t>
  </si>
  <si>
    <t>Comanda número - 143860451</t>
  </si>
  <si>
    <t>Enderson Kauê</t>
  </si>
  <si>
    <t>Comanda número - 143862245</t>
  </si>
  <si>
    <t>icaro gomes</t>
  </si>
  <si>
    <t>Comanda número - 143862640</t>
  </si>
  <si>
    <t>Comanda número - 143871148</t>
  </si>
  <si>
    <t>Comanda número - 143878125</t>
  </si>
  <si>
    <t>Marcelo Honorio</t>
  </si>
  <si>
    <t>Comanda número - 143879125</t>
  </si>
  <si>
    <t>Comanda número - 143880530</t>
  </si>
  <si>
    <t>Comanda número - 143981553</t>
  </si>
  <si>
    <t>Comanda número - 143988634</t>
  </si>
  <si>
    <t>Comanda número - 144005967</t>
  </si>
  <si>
    <t>Comanda número - 144012200</t>
  </si>
  <si>
    <t>Comanda número - 144018924</t>
  </si>
  <si>
    <t>izabela ferreira</t>
  </si>
  <si>
    <t>Comanda número - 144019033</t>
  </si>
  <si>
    <t>Comanda número - 144021507</t>
  </si>
  <si>
    <t>rafael santiago</t>
  </si>
  <si>
    <t>Comanda número - 144029538</t>
  </si>
  <si>
    <t>Comanda número - 144044909</t>
  </si>
  <si>
    <t>Comanda número - 144183675</t>
  </si>
  <si>
    <t>jeferson mendonça</t>
  </si>
  <si>
    <t>Comanda número - 144195290</t>
  </si>
  <si>
    <t>marcos vinicus pinho</t>
  </si>
  <si>
    <t>Comanda número - 144196777</t>
  </si>
  <si>
    <t>Comanda número - 144223282</t>
  </si>
  <si>
    <t>kelly juliana</t>
  </si>
  <si>
    <t>Comanda número - 144226211</t>
  </si>
  <si>
    <t>Comanda número - 144256633</t>
  </si>
  <si>
    <t>Comanda número - 144264801</t>
  </si>
  <si>
    <t>Comanda número - 144265081</t>
  </si>
  <si>
    <t>Comanda número - 144279054</t>
  </si>
  <si>
    <t>suellen cristina machado</t>
  </si>
  <si>
    <t>Comanda número - 144279700</t>
  </si>
  <si>
    <t>Comanda número - 144282197</t>
  </si>
  <si>
    <t>Comanda número - 144287575</t>
  </si>
  <si>
    <t>Comanda número - 144298464</t>
  </si>
  <si>
    <t>Comanda número - 144298557</t>
  </si>
  <si>
    <t>Comanda número - 144319443</t>
  </si>
  <si>
    <t>Comanda número - 144321541</t>
  </si>
  <si>
    <t>barboterapia</t>
  </si>
  <si>
    <t>Comanda número - 144360172</t>
  </si>
  <si>
    <t>joel moraes sodre</t>
  </si>
  <si>
    <t>Comanda número - 144362113</t>
  </si>
  <si>
    <t>Comanda número - 144366604</t>
  </si>
  <si>
    <t>limpeza de pele</t>
  </si>
  <si>
    <t>Comanda número - 144389345</t>
  </si>
  <si>
    <t>Comanda número - 144406030</t>
  </si>
  <si>
    <t>Comanda número - 144414767</t>
  </si>
  <si>
    <t>Comanda número - 144415555</t>
  </si>
  <si>
    <t>hermerson silva</t>
  </si>
  <si>
    <t>Comanda número - 144426923</t>
  </si>
  <si>
    <t>Comanda número - 144460185</t>
  </si>
  <si>
    <t>Cartão de Débito  / Dinheiro</t>
  </si>
  <si>
    <t>Felipe souza</t>
  </si>
  <si>
    <t>Comanda número - 144470438</t>
  </si>
  <si>
    <t>Renan Leandro</t>
  </si>
  <si>
    <t>Comanda número - 144493822</t>
  </si>
  <si>
    <t>Comanda número - 144498680</t>
  </si>
  <si>
    <t>Comanda número - 144511448</t>
  </si>
  <si>
    <t>Nívia Azevedo</t>
  </si>
  <si>
    <t>Comanda número - 144537433</t>
  </si>
  <si>
    <t>Comanda número - 144574843</t>
  </si>
  <si>
    <t>Comanda número - 144578897</t>
  </si>
  <si>
    <t>Comanda número - 144599658</t>
  </si>
  <si>
    <t>wallace andrade</t>
  </si>
  <si>
    <t>Comanda número - 144614911</t>
  </si>
  <si>
    <t>Comanda número - 144621967</t>
  </si>
  <si>
    <t>Comanda número - 144635063</t>
  </si>
  <si>
    <t>Comanda número - 144640025</t>
  </si>
  <si>
    <t>Comanda número - 144654761</t>
  </si>
  <si>
    <t>Comanda número - 144669339</t>
  </si>
  <si>
    <t>Comanda número - 144686917</t>
  </si>
  <si>
    <t>Comanda número - 144693481</t>
  </si>
  <si>
    <t>Comanda número - 144697395</t>
  </si>
  <si>
    <t>Comanda número - 144704188</t>
  </si>
  <si>
    <t>Comanda número - 144705034</t>
  </si>
  <si>
    <t>Comanda número - 144713814</t>
  </si>
  <si>
    <t>Comanda número - 144722129</t>
  </si>
  <si>
    <t>Iris esteves</t>
  </si>
  <si>
    <t>Comanda número - 144739879</t>
  </si>
  <si>
    <t>Talys Theodoro</t>
  </si>
  <si>
    <t>Comanda número - 144742296</t>
  </si>
  <si>
    <t>Comanda número - 144743086</t>
  </si>
  <si>
    <t>Comanda número - 144743306</t>
  </si>
  <si>
    <t>Comanda número - 144759065</t>
  </si>
  <si>
    <t>Comanda número - 144762787</t>
  </si>
  <si>
    <t>Comanda número - 144806201</t>
  </si>
  <si>
    <t>Comanda número - 144807108</t>
  </si>
  <si>
    <t>Comanda número - 144808255</t>
  </si>
  <si>
    <t>Comanda número - 144814106</t>
  </si>
  <si>
    <t>romulo barbosa</t>
  </si>
  <si>
    <t>Comanda número - 144814947</t>
  </si>
  <si>
    <t>Comanda número - 144821707</t>
  </si>
  <si>
    <t>Comanda número - 144850134</t>
  </si>
  <si>
    <t>Comanda número - 144854714</t>
  </si>
  <si>
    <t>Comanda número - 144861711</t>
  </si>
  <si>
    <t>Comanda número - 144877849</t>
  </si>
  <si>
    <t>Comanda número - 144893307</t>
  </si>
  <si>
    <t>Comanda número - 144910481</t>
  </si>
  <si>
    <t>Comanda número - 144923761</t>
  </si>
  <si>
    <t>Comanda número - 144935760</t>
  </si>
  <si>
    <t>Matheus Vila</t>
  </si>
  <si>
    <t>Comanda número - 144944352</t>
  </si>
  <si>
    <t>Comanda número - 144954353</t>
  </si>
  <si>
    <t>gean barradas</t>
  </si>
  <si>
    <t>Comanda número - 144956653</t>
  </si>
  <si>
    <t>Comanda número - 144963212</t>
  </si>
  <si>
    <t>Comanda número - 144963507</t>
  </si>
  <si>
    <t>Comanda número - 144966813</t>
  </si>
  <si>
    <t>romulo ramon</t>
  </si>
  <si>
    <t>Comanda número - 144970693</t>
  </si>
  <si>
    <t>Comanda número - 144974667</t>
  </si>
  <si>
    <t>Breno Gomes</t>
  </si>
  <si>
    <t>Comanda número - 144975895</t>
  </si>
  <si>
    <t>Comanda número - 144978712</t>
  </si>
  <si>
    <t>Comanda número - 144989419</t>
  </si>
  <si>
    <t>Comanda número - 144994590</t>
  </si>
  <si>
    <t>Comanda número - 144994828</t>
  </si>
  <si>
    <t>Comanda número - 145000688</t>
  </si>
  <si>
    <t>Comanda número - 145003723</t>
  </si>
  <si>
    <t>Comanda número - 145014767</t>
  </si>
  <si>
    <t>Comanda número - 145017021</t>
  </si>
  <si>
    <t>ananda nunes</t>
  </si>
  <si>
    <t>Comanda número - 145019804</t>
  </si>
  <si>
    <t>Comanda número - 145031826</t>
  </si>
  <si>
    <t>Comanda número - 145049587</t>
  </si>
  <si>
    <t>Comanda número - 145056294</t>
  </si>
  <si>
    <t>Comanda número - 145058302</t>
  </si>
  <si>
    <t>Comanda número - 145061541</t>
  </si>
  <si>
    <t>Comanda número - 145066615</t>
  </si>
  <si>
    <t>Comanda número - 145067454</t>
  </si>
  <si>
    <t>Comanda número - 145068101</t>
  </si>
  <si>
    <t>Comanda número - 145068605</t>
  </si>
  <si>
    <t>Comanda número - 145069432</t>
  </si>
  <si>
    <t>Comanda número - 145072671</t>
  </si>
  <si>
    <t>JJ ferrreira</t>
  </si>
  <si>
    <t>Comanda número - 145074760</t>
  </si>
  <si>
    <t>Comanda número - 145077020</t>
  </si>
  <si>
    <t>Comanda número - 145080230</t>
  </si>
  <si>
    <t>johnison justino</t>
  </si>
  <si>
    <t>Comanda número - 145081396</t>
  </si>
  <si>
    <t>Comanda número - 145081542</t>
  </si>
  <si>
    <t>Comanda número - 145083755</t>
  </si>
  <si>
    <t>Comanda número - 145087561</t>
  </si>
  <si>
    <t>Comanda número - 145118149</t>
  </si>
  <si>
    <t>Pomada matte 80g</t>
  </si>
  <si>
    <t>Comanda número - 145119850</t>
  </si>
  <si>
    <t>Comanda número - 145128450</t>
  </si>
  <si>
    <t>Comanda número - 145132411</t>
  </si>
  <si>
    <t>Comanda número - 145135326</t>
  </si>
  <si>
    <t>Comanda número - 145136296</t>
  </si>
  <si>
    <t>Fernando augusto</t>
  </si>
  <si>
    <t>Comanda número - 145136444</t>
  </si>
  <si>
    <t>Comanda número - 145136461</t>
  </si>
  <si>
    <t>Comanda número - 145138385</t>
  </si>
  <si>
    <t>fabio barbosa</t>
  </si>
  <si>
    <t>Comanda número - 145142001</t>
  </si>
  <si>
    <t>Comanda número - 145163551</t>
  </si>
  <si>
    <t>Nathalia Fialho</t>
  </si>
  <si>
    <t>Comanda número - 145164250</t>
  </si>
  <si>
    <t>Comanda número - 145239409</t>
  </si>
  <si>
    <t>LUCAS DOS SANTOS</t>
  </si>
  <si>
    <t>Comanda número - 145246412</t>
  </si>
  <si>
    <t>Comanda número - 145263574</t>
  </si>
  <si>
    <t>HELDER RODRIGUES</t>
  </si>
  <si>
    <t>Comanda número - 145263805</t>
  </si>
  <si>
    <t>HELDER WILDE</t>
  </si>
  <si>
    <t>Comanda número - 145267342</t>
  </si>
  <si>
    <t>Comanda número - 145288972</t>
  </si>
  <si>
    <t>Comanda número - 145304252</t>
  </si>
  <si>
    <t>LUIZ CLAUDIO FERNANDES</t>
  </si>
  <si>
    <t>Comanda número - 145312531</t>
  </si>
  <si>
    <t>Comanda número - 145318896</t>
  </si>
  <si>
    <t>Açúcar sachê</t>
  </si>
  <si>
    <t>05/05/2025 00:00</t>
  </si>
  <si>
    <t>MP serviços - máscara descartáveis</t>
  </si>
  <si>
    <t>MP serviços - palito de pirulito para depilação</t>
  </si>
  <si>
    <t>Microondas</t>
  </si>
  <si>
    <t>06/05/2025 00:00</t>
  </si>
  <si>
    <t>MP serviços - Esfoliante facial Scrub 280g</t>
  </si>
  <si>
    <t>MP serviços - Luva vinil</t>
  </si>
  <si>
    <t>MP serviços - Máscara black Peel Off 100ml</t>
  </si>
  <si>
    <t>07/05/2025 00:00</t>
  </si>
  <si>
    <t>Pagamento Appbarber</t>
  </si>
  <si>
    <t>Saco de lixo 100ml</t>
  </si>
  <si>
    <t>08/05/2025 00:00</t>
  </si>
  <si>
    <t>08/05/2025 19:09</t>
  </si>
  <si>
    <t>09/05/2025 00:00</t>
  </si>
  <si>
    <t>MP SERVIÇOS - tinta preta</t>
  </si>
  <si>
    <t>11/05/2025 00:00</t>
  </si>
  <si>
    <t>faxina</t>
  </si>
  <si>
    <t>12/05/2025 00:00</t>
  </si>
  <si>
    <t>produto de limpezA</t>
  </si>
  <si>
    <t>Marketing e Propaganda</t>
  </si>
  <si>
    <t>Orçamento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</si>
  <si>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</si>
  <si>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</si>
  <si>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</si>
  <si>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</si>
  <si>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</si>
  <si>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</si>
  <si>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</si>
  <si>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</si>
  <si>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</si>
  <si>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</si>
  <si>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</si>
  <si>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Retirada de lucros</t>
  </si>
  <si>
    <t>Comanda número - 145247897</t>
  </si>
  <si>
    <t>adriano miranda</t>
  </si>
  <si>
    <t>Comanda número - 145397332</t>
  </si>
  <si>
    <t>Comanda número - 145399429</t>
  </si>
  <si>
    <t>Comanda número - 145400432</t>
  </si>
  <si>
    <t>Comanda número - 145405884</t>
  </si>
  <si>
    <t>Comanda número - 145429457</t>
  </si>
  <si>
    <t>Comanda número - 145434424</t>
  </si>
  <si>
    <t>fabio luiz reis</t>
  </si>
  <si>
    <t>Comanda número - 145444176</t>
  </si>
  <si>
    <t>Comanda número - 145459957</t>
  </si>
  <si>
    <t>bruno feitosa</t>
  </si>
  <si>
    <t>Comanda número - 145501328</t>
  </si>
  <si>
    <t>Lucas Geremias</t>
  </si>
  <si>
    <t>Comanda número - 145503764</t>
  </si>
  <si>
    <t>Comanda número - 145533322</t>
  </si>
  <si>
    <t>igor</t>
  </si>
  <si>
    <t>Comanda número - 145538229</t>
  </si>
  <si>
    <t>Comanda número - 145577412</t>
  </si>
  <si>
    <t>Comanda número - 145584472</t>
  </si>
  <si>
    <t>Comanda número - 145598067</t>
  </si>
  <si>
    <t>Comanda número - 145639268</t>
  </si>
  <si>
    <t>Diogo Alves de Souza</t>
  </si>
  <si>
    <t>Comanda número - 145653600</t>
  </si>
  <si>
    <t>Comanda número - 145675449</t>
  </si>
  <si>
    <t>Junior Santos</t>
  </si>
  <si>
    <t>Comanda número - 145768791</t>
  </si>
  <si>
    <t>Comanda número - 145772765</t>
  </si>
  <si>
    <t>Comanda número - 145773057</t>
  </si>
  <si>
    <t>Comanda número - 145781467</t>
  </si>
  <si>
    <t>Comanda número - 145782394</t>
  </si>
  <si>
    <t>Comanda número - 145785018</t>
  </si>
  <si>
    <t>Comanda número - 145820317</t>
  </si>
  <si>
    <t>Comanda número - 145820396</t>
  </si>
  <si>
    <t>Comanda número - 145823634</t>
  </si>
  <si>
    <t>Comanda número - 145825177</t>
  </si>
  <si>
    <t>Comanda número - 145834249</t>
  </si>
  <si>
    <t>Comanda número - 145835916</t>
  </si>
  <si>
    <t>Comanda número - 145855341</t>
  </si>
  <si>
    <t>William</t>
  </si>
  <si>
    <t>Comanda número - 145857103</t>
  </si>
  <si>
    <t>Comanda número - 145869553</t>
  </si>
  <si>
    <t>Comanda número - 145872924</t>
  </si>
  <si>
    <t>Comanda número - 145879485</t>
  </si>
  <si>
    <t>leonardo gomes</t>
  </si>
  <si>
    <t>Comanda número - 145885981</t>
  </si>
  <si>
    <t>Comanda número - 145886263</t>
  </si>
  <si>
    <t>Comanda número - 145889217</t>
  </si>
  <si>
    <t>Comanda número - 145890482</t>
  </si>
  <si>
    <t>Comanda número - 145907211</t>
  </si>
  <si>
    <t>Comanda número - 145975039</t>
  </si>
  <si>
    <t>Comanda número - 145981266</t>
  </si>
  <si>
    <t>Comanda número - 145987004</t>
  </si>
  <si>
    <t>Comanda número - 145995724</t>
  </si>
  <si>
    <t>Comanda número - 146019582</t>
  </si>
  <si>
    <t>Comanda número - 146035433</t>
  </si>
  <si>
    <t>Comanda número - 146035567</t>
  </si>
  <si>
    <t>Comanda número - 146036419</t>
  </si>
  <si>
    <t>Comanda número - 146043890</t>
  </si>
  <si>
    <t>Comanda número - 146049476</t>
  </si>
  <si>
    <t>Comanda número - 146056270</t>
  </si>
  <si>
    <t>Comanda número - 146065479</t>
  </si>
  <si>
    <t>Comanda número - 146074767</t>
  </si>
  <si>
    <t>Comanda número - 146090280</t>
  </si>
  <si>
    <t>Comanda número - 146094933</t>
  </si>
  <si>
    <t>Comanda número - 146095730</t>
  </si>
  <si>
    <t>Comanda número - 146099549</t>
  </si>
  <si>
    <t>Comanda número - 146100493</t>
  </si>
  <si>
    <t>BALM FOX</t>
  </si>
  <si>
    <t>Comanda número - 146101041</t>
  </si>
  <si>
    <t>Comanda número - 146103778</t>
  </si>
  <si>
    <t>Comanda número - 146111686</t>
  </si>
  <si>
    <t>Comanda número - 146113929</t>
  </si>
  <si>
    <t>Comanda número - 146125444</t>
  </si>
  <si>
    <t>Comanda número - 146136708</t>
  </si>
  <si>
    <t>Comanda número - 146137267</t>
  </si>
  <si>
    <t>Comanda número - 146143322</t>
  </si>
  <si>
    <t>douglas santos matos</t>
  </si>
  <si>
    <t>Comanda número - 146145185</t>
  </si>
  <si>
    <t>Comanda número - 146146003</t>
  </si>
  <si>
    <t>Comanda número - 146150775</t>
  </si>
  <si>
    <t>Comanda número - 146153400</t>
  </si>
  <si>
    <t>Comanda número - 146166282</t>
  </si>
  <si>
    <t>Comanda número - 146189666</t>
  </si>
  <si>
    <t>Comanda número - 146215693</t>
  </si>
  <si>
    <t>Comanda número - 146224607</t>
  </si>
  <si>
    <t>Comanda número - 146226391</t>
  </si>
  <si>
    <t>Comanda número - 146228805</t>
  </si>
  <si>
    <t>Comanda número - 146231105</t>
  </si>
  <si>
    <t>Comanda número - 146232811</t>
  </si>
  <si>
    <t>Comanda número - 146236635</t>
  </si>
  <si>
    <t>Comanda número - 146239387</t>
  </si>
  <si>
    <t>Comanda número - 146257106</t>
  </si>
  <si>
    <t>Comanda número - 146261293</t>
  </si>
  <si>
    <t>Comanda número - 146261413</t>
  </si>
  <si>
    <t>paulo cesar</t>
  </si>
  <si>
    <t>aniversario patrick</t>
  </si>
  <si>
    <t>Coca cola zero 2l</t>
  </si>
  <si>
    <t>Comanda número - 146276806</t>
  </si>
  <si>
    <t>Comanda número - 146293837</t>
  </si>
  <si>
    <t>Comanda número - 146305811</t>
  </si>
  <si>
    <t>Comanda número - 146315845</t>
  </si>
  <si>
    <t>Comanda número - 146337016</t>
  </si>
  <si>
    <t>Comanda número - 146348768</t>
  </si>
  <si>
    <t>Comanda número - 146349102</t>
  </si>
  <si>
    <t>Comanda número - 146390434</t>
  </si>
  <si>
    <t>Comanda número - 146408575</t>
  </si>
  <si>
    <t>Comanda número - 146433619</t>
  </si>
  <si>
    <t>Comanda número - 146502352</t>
  </si>
  <si>
    <t>Comanda número - 146528541</t>
  </si>
  <si>
    <t>Comanda número - 146562834</t>
  </si>
  <si>
    <t>Comanda número - 146595949</t>
  </si>
  <si>
    <t>Comanda número - 146617654</t>
  </si>
  <si>
    <t>Comanda número - 146620154</t>
  </si>
  <si>
    <t>Augusto Cesar</t>
  </si>
  <si>
    <t>Ajustes</t>
  </si>
  <si>
    <t>Saída de Caixa</t>
  </si>
  <si>
    <t>2.7</t>
  </si>
  <si>
    <t>Comanda número - 146235416</t>
  </si>
  <si>
    <t>17/05/2025 18:00</t>
  </si>
  <si>
    <t>Comanda número - 146476521</t>
  </si>
  <si>
    <t>22/05/2025 10:00</t>
  </si>
  <si>
    <t>Comanda número - 146536100</t>
  </si>
  <si>
    <t>22/05/2025 14:30</t>
  </si>
  <si>
    <t>Comanda número - 146536650</t>
  </si>
  <si>
    <t>23/05/2025 19:30</t>
  </si>
  <si>
    <t>Comanda número - 146622982</t>
  </si>
  <si>
    <t>21/05/2025 10:00</t>
  </si>
  <si>
    <t>Comanda número - 146704636</t>
  </si>
  <si>
    <t>21/05/2025 12:15</t>
  </si>
  <si>
    <t>felipe freitas</t>
  </si>
  <si>
    <t>Comanda número - 146728845</t>
  </si>
  <si>
    <t>21/05/2025 14:05</t>
  </si>
  <si>
    <t>Comanda número - 146753645</t>
  </si>
  <si>
    <t>21/05/2025 16:00</t>
  </si>
  <si>
    <t>Comanda número - 146790293</t>
  </si>
  <si>
    <t>21/05/2025 18:15</t>
  </si>
  <si>
    <t>Comanda número - 146793091</t>
  </si>
  <si>
    <t>21/05/2025 18:30</t>
  </si>
  <si>
    <t>Comanda número - 146798757</t>
  </si>
  <si>
    <t>21/05/2025 19:30</t>
  </si>
  <si>
    <t>Comanda número - 146804557</t>
  </si>
  <si>
    <t>Comanda número - 146805012</t>
  </si>
  <si>
    <t>21/05/2025 20:10</t>
  </si>
  <si>
    <t>Comanda número - 146864589</t>
  </si>
  <si>
    <t>22/05/2025 11:00</t>
  </si>
  <si>
    <t>Comanda número - 146907434</t>
  </si>
  <si>
    <t>22/05/2025 13:35</t>
  </si>
  <si>
    <t>mauricio alves</t>
  </si>
  <si>
    <t>Comanda número - 146907626</t>
  </si>
  <si>
    <t>24/05/2025 09:00</t>
  </si>
  <si>
    <t>Comanda número - 146924858</t>
  </si>
  <si>
    <t>Comanda número - 146926473</t>
  </si>
  <si>
    <t>22/05/2025 14:50</t>
  </si>
  <si>
    <t>adrean silva</t>
  </si>
  <si>
    <t>Comanda número - 146942128</t>
  </si>
  <si>
    <t>22/05/2025 16:00</t>
  </si>
  <si>
    <t>lucas teotonio</t>
  </si>
  <si>
    <t>Comanda número - 146942757</t>
  </si>
  <si>
    <t>22/05/2025 16:15</t>
  </si>
  <si>
    <t>Comanda número - 146945636</t>
  </si>
  <si>
    <t>Alexandre Pimenta</t>
  </si>
  <si>
    <t>Comanda número - 146945782</t>
  </si>
  <si>
    <t>22/05/2025 16:45</t>
  </si>
  <si>
    <t>Comanda número - 146947554</t>
  </si>
  <si>
    <t>22/05/2025 19:30</t>
  </si>
  <si>
    <t>Comanda número - 146951080</t>
  </si>
  <si>
    <t>22/05/2025 16:40</t>
  </si>
  <si>
    <t>Comanda número - 146951134</t>
  </si>
  <si>
    <t>Comanda número - 146960729</t>
  </si>
  <si>
    <t>22/05/2025 17:30</t>
  </si>
  <si>
    <t>Comanda número - 146961204</t>
  </si>
  <si>
    <t>Comanda número - 146978073</t>
  </si>
  <si>
    <t>22/05/2025 18:45</t>
  </si>
  <si>
    <t>Comanda número - 146978777</t>
  </si>
  <si>
    <t>Comanda número - 146987173</t>
  </si>
  <si>
    <t>23/05/2025 11:30</t>
  </si>
  <si>
    <t>Comanda número - 146991362</t>
  </si>
  <si>
    <t>23/05/2025 16:30</t>
  </si>
  <si>
    <t>Comanda número - 146994993</t>
  </si>
  <si>
    <t>22/05/2025 20:20</t>
  </si>
  <si>
    <t>Comanda número - 146999361</t>
  </si>
  <si>
    <t>23/05/2025 11:15</t>
  </si>
  <si>
    <t>Comanda número - 147000534</t>
  </si>
  <si>
    <t>23/05/2025 19:00</t>
  </si>
  <si>
    <t>Comanda número - 147002772</t>
  </si>
  <si>
    <t>Comanda número - 147006601</t>
  </si>
  <si>
    <t>23/05/2025 16:15</t>
  </si>
  <si>
    <t>Comanda número - 147007182</t>
  </si>
  <si>
    <t>23/05/2025 16:00</t>
  </si>
  <si>
    <t>Comanda número - 147013501</t>
  </si>
  <si>
    <t>23/05/2025 15:45</t>
  </si>
  <si>
    <t>Comanda número - 147019833</t>
  </si>
  <si>
    <t>24/05/2025 09:30</t>
  </si>
  <si>
    <t>Comanda número - 147027318</t>
  </si>
  <si>
    <t>Comanda número - 147027440</t>
  </si>
  <si>
    <t>23/05/2025 14:00</t>
  </si>
  <si>
    <t>Comanda número - 147030727</t>
  </si>
  <si>
    <t>23/05/2025 12:15</t>
  </si>
  <si>
    <t>Comanda número - 147066608</t>
  </si>
  <si>
    <t>23/05/2025 17:30</t>
  </si>
  <si>
    <t>Comanda número - 147074476</t>
  </si>
  <si>
    <t>23/05/2025 11:45</t>
  </si>
  <si>
    <t>Comanda número - 147089328</t>
  </si>
  <si>
    <t>23/05/2025 13:30</t>
  </si>
  <si>
    <t>Comanda número - 147090511</t>
  </si>
  <si>
    <t>23/05/2025 10:00</t>
  </si>
  <si>
    <t>Comanda número - 147104726</t>
  </si>
  <si>
    <t>23/05/2025 15:00</t>
  </si>
  <si>
    <t>Comanda número - 147121287</t>
  </si>
  <si>
    <t>23/05/2025 14:40</t>
  </si>
  <si>
    <t>Thiago Ramos</t>
  </si>
  <si>
    <t>Comanda número - 147140707</t>
  </si>
  <si>
    <t>Comanda número - 147147209</t>
  </si>
  <si>
    <t>23/05/2025 18:00</t>
  </si>
  <si>
    <t>Comanda número - 147147222</t>
  </si>
  <si>
    <t>24/05/2025 10:30</t>
  </si>
  <si>
    <t>Comanda número - 147160539</t>
  </si>
  <si>
    <t>24/05/2025 12:45</t>
  </si>
  <si>
    <t>Comanda número - 147164277</t>
  </si>
  <si>
    <t>23/05/2025 17:35</t>
  </si>
  <si>
    <t>Comanda número - 147171529</t>
  </si>
  <si>
    <t>Comanda número - 147172525</t>
  </si>
  <si>
    <t>23/05/2025 18:30</t>
  </si>
  <si>
    <t>Comanda número - 147172695</t>
  </si>
  <si>
    <t>23/05/2025 18:15</t>
  </si>
  <si>
    <t>Comanda número - 147174695</t>
  </si>
  <si>
    <t>24/05/2025 10:00</t>
  </si>
  <si>
    <t>Comanda número - 147178931</t>
  </si>
  <si>
    <t>Comanda número - 147186071</t>
  </si>
  <si>
    <t>23/05/2025 19:05</t>
  </si>
  <si>
    <t>Comanda número - 147189405</t>
  </si>
  <si>
    <t>Comanda número - 147191840</t>
  </si>
  <si>
    <t>23/05/2025 19:35</t>
  </si>
  <si>
    <t>Comanda número - 147211302</t>
  </si>
  <si>
    <t>23/05/2025 22:20</t>
  </si>
  <si>
    <t>Comanda número - 147211720</t>
  </si>
  <si>
    <t>24/05/2025 16:30</t>
  </si>
  <si>
    <t>Comanda número - 147225796</t>
  </si>
  <si>
    <t>24/05/2025 11:15</t>
  </si>
  <si>
    <t>Comanda número - 147230854</t>
  </si>
  <si>
    <t>24/05/2025 11:00</t>
  </si>
  <si>
    <t>Comanda número - 147230971</t>
  </si>
  <si>
    <t>Comanda número - 147242018</t>
  </si>
  <si>
    <t>24/05/2025 15:00</t>
  </si>
  <si>
    <t>Comanda número - 147257535</t>
  </si>
  <si>
    <t>24/05/2025 17:15</t>
  </si>
  <si>
    <t>Renan Mendes</t>
  </si>
  <si>
    <t>Comanda número - 147259232</t>
  </si>
  <si>
    <t>Comanda número - 147264813</t>
  </si>
  <si>
    <t>24/05/2025 10:45</t>
  </si>
  <si>
    <t>Comanda número - 147280967</t>
  </si>
  <si>
    <t>24/05/2025 18:00</t>
  </si>
  <si>
    <t>Comanda número - 147291151</t>
  </si>
  <si>
    <t>24/05/2025 12:30</t>
  </si>
  <si>
    <t>Erick Ramos</t>
  </si>
  <si>
    <t>Comanda número - 147294966</t>
  </si>
  <si>
    <t>24/05/2025 13:15</t>
  </si>
  <si>
    <t>Comanda número - 147295616</t>
  </si>
  <si>
    <t>24/05/2025 15:30</t>
  </si>
  <si>
    <t>Comanda número - 147305174</t>
  </si>
  <si>
    <t>24/05/2025 16:15</t>
  </si>
  <si>
    <t>Comanda número - 147307193</t>
  </si>
  <si>
    <t>Marlon marlonback</t>
  </si>
  <si>
    <t>Comanda número - 147312531</t>
  </si>
  <si>
    <t>Comanda número - 147318617</t>
  </si>
  <si>
    <t>24/05/2025 15:20</t>
  </si>
  <si>
    <t>Comanda número - 147327992</t>
  </si>
  <si>
    <t>24/05/2025 15:15</t>
  </si>
  <si>
    <t>Comanda número - 147329142</t>
  </si>
  <si>
    <t>24/05/2025 16:45</t>
  </si>
  <si>
    <t>Comanda número - 147331287</t>
  </si>
  <si>
    <t>24/05/2025 18:30</t>
  </si>
  <si>
    <t>Comanda número - 147341643</t>
  </si>
  <si>
    <t>24/05/2025 17:30</t>
  </si>
  <si>
    <t>Comanda número - 147343977</t>
  </si>
  <si>
    <t>Comanda número - 147344549</t>
  </si>
  <si>
    <t>Comanda número - 147351849</t>
  </si>
  <si>
    <t>24/05/2025 19:00</t>
  </si>
  <si>
    <t>Comanda número - 147356402</t>
  </si>
  <si>
    <t>24/05/2025 20:35</t>
  </si>
  <si>
    <t>Comanda número - 147358243</t>
  </si>
  <si>
    <t>24/05/2025 19:45</t>
  </si>
  <si>
    <t>Comanda número - 147358370</t>
  </si>
  <si>
    <t>24/05/2025 19:30</t>
  </si>
  <si>
    <t>Comanda número - 146891824</t>
  </si>
  <si>
    <t>27/05/2025 16:00</t>
  </si>
  <si>
    <t>Comanda número - 147380396</t>
  </si>
  <si>
    <t>26/05/2025 16:15</t>
  </si>
  <si>
    <t>Comanda número - 147394540</t>
  </si>
  <si>
    <t>26/05/2025 10:00</t>
  </si>
  <si>
    <t>Marcio Eduardo</t>
  </si>
  <si>
    <t>Comanda número - 147418856</t>
  </si>
  <si>
    <t>Comanda número - 147444812</t>
  </si>
  <si>
    <t>26/05/2025 11:30</t>
  </si>
  <si>
    <t>Comanda número - 147457531</t>
  </si>
  <si>
    <t>26/05/2025 13:10</t>
  </si>
  <si>
    <t>roni felix</t>
  </si>
  <si>
    <t>Comanda número - 147473252</t>
  </si>
  <si>
    <t>26/05/2025 16:00</t>
  </si>
  <si>
    <t>Comanda número - 147505216</t>
  </si>
  <si>
    <t>26/05/2025 19:00</t>
  </si>
  <si>
    <t>Gustavo Castro</t>
  </si>
  <si>
    <t>Comanda número - 147537367</t>
  </si>
  <si>
    <t>26/05/2025 20:00</t>
  </si>
  <si>
    <t>Comanda número - 147596861</t>
  </si>
  <si>
    <t>29/05/2025 10:00</t>
  </si>
  <si>
    <t>Comanda número - 147613358</t>
  </si>
  <si>
    <t>26/05/2025 18:00</t>
  </si>
  <si>
    <t>Comanda número - 147618402</t>
  </si>
  <si>
    <t>30/05/2025 19:00</t>
  </si>
  <si>
    <t>Comanda número - 147626489</t>
  </si>
  <si>
    <t>27/05/2025 12:30</t>
  </si>
  <si>
    <t>Comanda número - 147634835</t>
  </si>
  <si>
    <t>27/05/2025 18:30</t>
  </si>
  <si>
    <t>Comanda número - 147635177</t>
  </si>
  <si>
    <t>27/05/2025 19:30</t>
  </si>
  <si>
    <t>Comanda número - 147675567</t>
  </si>
  <si>
    <t>27/05/2025 17:00</t>
  </si>
  <si>
    <t>Matheus</t>
  </si>
  <si>
    <t>Comanda número - 147676514</t>
  </si>
  <si>
    <t>27/05/2025 16:30</t>
  </si>
  <si>
    <t>cleide Souza</t>
  </si>
  <si>
    <t>pasta caramelo Fox 80g</t>
  </si>
  <si>
    <t>Comanda número - 147690376</t>
  </si>
  <si>
    <t>27/05/2025 17:30</t>
  </si>
  <si>
    <t>Comanda número - 147708417</t>
  </si>
  <si>
    <t>leonardo de carvalho telles</t>
  </si>
  <si>
    <t>Comanda número - 147750429</t>
  </si>
  <si>
    <t>28/05/2025 17:15</t>
  </si>
  <si>
    <t>Comanda número - 147762148</t>
  </si>
  <si>
    <t>28/05/2025 13:30</t>
  </si>
  <si>
    <t>Comanda número - 147775213</t>
  </si>
  <si>
    <t>28/05/2025 10:45</t>
  </si>
  <si>
    <t>Comanda número - 147788221</t>
  </si>
  <si>
    <t>28/05/2025 14:00</t>
  </si>
  <si>
    <t>Comanda número - 147792649</t>
  </si>
  <si>
    <t>28/05/2025 11:45</t>
  </si>
  <si>
    <t>Comanda número - 147803991</t>
  </si>
  <si>
    <t>28/05/2025 13:20</t>
  </si>
  <si>
    <t>Paulo Vagner</t>
  </si>
  <si>
    <t>Comanda número - 147820652</t>
  </si>
  <si>
    <t>28/05/2025 16:00</t>
  </si>
  <si>
    <t>Vinicius</t>
  </si>
  <si>
    <t>Comanda número - 147833898</t>
  </si>
  <si>
    <t>28/05/2025 15:40</t>
  </si>
  <si>
    <t>sandra augusto</t>
  </si>
  <si>
    <t>Comanda número - 147842211</t>
  </si>
  <si>
    <t>28/05/2025 16:20</t>
  </si>
  <si>
    <t>stefany  carvalho</t>
  </si>
  <si>
    <t>Comanda número - 147846609</t>
  </si>
  <si>
    <t>28/05/2025 16:15</t>
  </si>
  <si>
    <t>Comanda número - 147857161</t>
  </si>
  <si>
    <t>Comanda número - 147877451</t>
  </si>
  <si>
    <t>28/05/2025 19:00</t>
  </si>
  <si>
    <t>Gean Dias</t>
  </si>
  <si>
    <t>Comanda número - 147923782</t>
  </si>
  <si>
    <t>29/05/2025 10:45</t>
  </si>
  <si>
    <t>Comanda número - 147934418</t>
  </si>
  <si>
    <t>29/05/2025 10:15</t>
  </si>
  <si>
    <t>Comanda número - 147938233</t>
  </si>
  <si>
    <t>29/05/2025 10:35</t>
  </si>
  <si>
    <t>Comanda número - 147942735</t>
  </si>
  <si>
    <t>29/05/2025 10:30</t>
  </si>
  <si>
    <t>Rita alves</t>
  </si>
  <si>
    <t>Comanda número - 147982190</t>
  </si>
  <si>
    <t>29/05/2025 17:45</t>
  </si>
  <si>
    <t>Comanda número - 147993221</t>
  </si>
  <si>
    <t>29/05/2025 18:00</t>
  </si>
  <si>
    <t>selagem</t>
  </si>
  <si>
    <t>Comanda número - 147997669</t>
  </si>
  <si>
    <t>29/05/2025 14:55</t>
  </si>
  <si>
    <t>Daniel Pacheco</t>
  </si>
  <si>
    <t>Comanda número - 148020131</t>
  </si>
  <si>
    <t>29/05/2025 16:15</t>
  </si>
  <si>
    <t>Davi Pereira</t>
  </si>
  <si>
    <t>Comanda número - 148028773</t>
  </si>
  <si>
    <t>29/05/2025 17:15</t>
  </si>
  <si>
    <t>Comanda número - 148032567</t>
  </si>
  <si>
    <t>30/05/2025 12:00</t>
  </si>
  <si>
    <t>Comanda número - 148039491</t>
  </si>
  <si>
    <t>29/05/2025 19:00</t>
  </si>
  <si>
    <t>Comanda número - 148040654</t>
  </si>
  <si>
    <t>29/05/2025 18:45</t>
  </si>
  <si>
    <t>Comanda número - 148048620</t>
  </si>
  <si>
    <t>Comanda número - 148072990</t>
  </si>
  <si>
    <t>29/05/2025 21:05</t>
  </si>
  <si>
    <t>Comanda número - 148074815</t>
  </si>
  <si>
    <t>30/05/2025 10:00</t>
  </si>
  <si>
    <t>wellington Lima</t>
  </si>
  <si>
    <t>Comanda número - 148086079</t>
  </si>
  <si>
    <t>30/05/2025 15:00</t>
  </si>
  <si>
    <t>Comanda número - 148089537</t>
  </si>
  <si>
    <t>30/05/2025 18:30</t>
  </si>
  <si>
    <t>Comanda número - 148110846</t>
  </si>
  <si>
    <t>30/05/2025 10:30</t>
  </si>
  <si>
    <t>Comanda número - 148117352</t>
  </si>
  <si>
    <t>30/05/2025 11:30</t>
  </si>
  <si>
    <t>Comanda número - 148125217</t>
  </si>
  <si>
    <t>30/05/2025 18:00</t>
  </si>
  <si>
    <t>Comanda número - 148137289</t>
  </si>
  <si>
    <t>Comanda número - 148157307</t>
  </si>
  <si>
    <t>30/05/2025 12:30</t>
  </si>
  <si>
    <t>alander nascimento</t>
  </si>
  <si>
    <t>Comanda número - 148166141</t>
  </si>
  <si>
    <t>30/05/2025 12:50</t>
  </si>
  <si>
    <t>Comanda número - 148170819</t>
  </si>
  <si>
    <t>30/05/2025 17:00</t>
  </si>
  <si>
    <t>Comanda número - 148172216</t>
  </si>
  <si>
    <t>Comanda número - 148177946</t>
  </si>
  <si>
    <t>30/05/2025 19:45</t>
  </si>
  <si>
    <t>Comanda número - 148178978</t>
  </si>
  <si>
    <t>30/05/2025 13:35</t>
  </si>
  <si>
    <t>Comanda número - 148198682</t>
  </si>
  <si>
    <t>daniel alberto</t>
  </si>
  <si>
    <t>Comanda número - 148207280</t>
  </si>
  <si>
    <t>30/05/2025 15:25</t>
  </si>
  <si>
    <t>Comanda número - 148215361</t>
  </si>
  <si>
    <t>30/05/2025 16:30</t>
  </si>
  <si>
    <t>Comanda número - 148223277</t>
  </si>
  <si>
    <t>30/05/2025 16:20</t>
  </si>
  <si>
    <t>carlos eduardo</t>
  </si>
  <si>
    <t>Comanda número - 148247501</t>
  </si>
  <si>
    <t>30/05/2025 17:50</t>
  </si>
  <si>
    <t>Comanda número - 148251552</t>
  </si>
  <si>
    <t>30/05/2025 18:05</t>
  </si>
  <si>
    <t>Valter Ferreira</t>
  </si>
  <si>
    <t>Comanda número - 148270273</t>
  </si>
  <si>
    <t>30/05/2025 19:15</t>
  </si>
  <si>
    <t>davi borges</t>
  </si>
  <si>
    <t>Comanda número - 148278798</t>
  </si>
  <si>
    <t>30/05/2025 20:10</t>
  </si>
  <si>
    <t>Comanda número - 148284482</t>
  </si>
  <si>
    <t>30/05/2025 20:50</t>
  </si>
  <si>
    <t>Comanda número - 148286559</t>
  </si>
  <si>
    <t>30/05/2025 21:10</t>
  </si>
  <si>
    <t>Comanda número - 148287941</t>
  </si>
  <si>
    <t>Comanda número - 148291314</t>
  </si>
  <si>
    <t>30/05/2025 22:00</t>
  </si>
  <si>
    <t>Comanda número - 148072844</t>
  </si>
  <si>
    <t>31/05/2025 14:00</t>
  </si>
  <si>
    <t>gabriel carvalho</t>
  </si>
  <si>
    <t>Comanda número - 148174476</t>
  </si>
  <si>
    <t>31/05/2025 09:00</t>
  </si>
  <si>
    <t>Matheus Cesario</t>
  </si>
  <si>
    <t>Comanda número - 148299326</t>
  </si>
  <si>
    <t>31/05/2025 10:45</t>
  </si>
  <si>
    <t>Comanda número - 148302223</t>
  </si>
  <si>
    <t>31/05/2025 09:30</t>
  </si>
  <si>
    <t>Comanda número - 148310274</t>
  </si>
  <si>
    <t>31/05/2025 10:00</t>
  </si>
  <si>
    <t>Comanda número - 148313885</t>
  </si>
  <si>
    <t>31/05/2025 13:00</t>
  </si>
  <si>
    <t>Comanda número - 148319149</t>
  </si>
  <si>
    <t>31/05/2025 13:30</t>
  </si>
  <si>
    <t>Comanda número - 148327249</t>
  </si>
  <si>
    <t>31/05/2025 14:30</t>
  </si>
  <si>
    <t>Comanda número - 148329298</t>
  </si>
  <si>
    <t>31/05/2025 10:15</t>
  </si>
  <si>
    <t>Comanda número - 148331457</t>
  </si>
  <si>
    <t>Comanda número - 148331593</t>
  </si>
  <si>
    <t>Comanda número - 148337475</t>
  </si>
  <si>
    <t>31/05/2025 12:15</t>
  </si>
  <si>
    <t>Comanda número - 148343316</t>
  </si>
  <si>
    <t>31/05/2025 11:15</t>
  </si>
  <si>
    <t>Comanda número - 148360413</t>
  </si>
  <si>
    <t>31/05/2025 15:00</t>
  </si>
  <si>
    <t>Comanda número - 148367722</t>
  </si>
  <si>
    <t>31/05/2025 12:25</t>
  </si>
  <si>
    <t>Comanda número - 148367931</t>
  </si>
  <si>
    <t>Comanda número - 148381570</t>
  </si>
  <si>
    <t>31/05/2025 15:30</t>
  </si>
  <si>
    <t>Comanda número - 148398590</t>
  </si>
  <si>
    <t>Comanda número - 148400764</t>
  </si>
  <si>
    <t>31/05/2025 14:25</t>
  </si>
  <si>
    <t>Comanda número - 148401096</t>
  </si>
  <si>
    <t>31/05/2025 16:00</t>
  </si>
  <si>
    <t>Comanda número - 148403655</t>
  </si>
  <si>
    <t>31/05/2025 15:45</t>
  </si>
  <si>
    <t>Comanda número - 148412060</t>
  </si>
  <si>
    <t>31/05/2025 16:45</t>
  </si>
  <si>
    <t>Comanda número - 148431257</t>
  </si>
  <si>
    <t>31/05/2025 18:15</t>
  </si>
  <si>
    <t>Comanda número - 148432008</t>
  </si>
  <si>
    <t>31/05/2025 18:00</t>
  </si>
  <si>
    <t>Comanda número - 148434517</t>
  </si>
  <si>
    <t>31/05/2025 18:10</t>
  </si>
  <si>
    <t>Comanda número - 148435726</t>
  </si>
  <si>
    <t>Comanda número - 148439992</t>
  </si>
  <si>
    <t>31/05/2025 19:00</t>
  </si>
  <si>
    <t>ramon carvalho</t>
  </si>
  <si>
    <t>Seguranca</t>
  </si>
  <si>
    <t>pizza</t>
  </si>
  <si>
    <t>Pagamento de comissão ao profissional PATRICK CARDOSO PIRES referente ao período : 01/05/2025 até 31/05/2025</t>
  </si>
  <si>
    <t>Pagamento de comissão ao profissional GUSTAVO SANTA ROSA DE CASTRO referente ao período : 01/05/2025 até 31/05/2025</t>
  </si>
  <si>
    <t>Pagamento de comissão ao profissional Christian Magon referente ao período : 01/05/2025 até 31/05/2025</t>
  </si>
  <si>
    <t>pano de chão</t>
  </si>
  <si>
    <t>Comanda número - 147984868</t>
  </si>
  <si>
    <t>02/06/2025 11:45</t>
  </si>
  <si>
    <t>Comanda número - 148544095</t>
  </si>
  <si>
    <t>Comanda número - 148558526</t>
  </si>
  <si>
    <t>02/06/2025 16:00</t>
  </si>
  <si>
    <t>Comanda número - 148565828</t>
  </si>
  <si>
    <t>02/06/2025 13:45</t>
  </si>
  <si>
    <t>Comanda número - 148587456</t>
  </si>
  <si>
    <t>02/06/2025 15:00</t>
  </si>
  <si>
    <t>Comanda número - 148589217</t>
  </si>
  <si>
    <t>02/06/2025 17:15</t>
  </si>
  <si>
    <t>Comanda número - 148620096</t>
  </si>
  <si>
    <t>R$ 50,00</t>
  </si>
  <si>
    <t>02/06/2025 17:30</t>
  </si>
  <si>
    <t>patrick barbosa</t>
  </si>
  <si>
    <t>Comanda número - 148637211</t>
  </si>
  <si>
    <t>R$ 0,00</t>
  </si>
  <si>
    <t>02/06/2025 18:55</t>
  </si>
  <si>
    <t>Comanda número - 148665830</t>
  </si>
  <si>
    <t>Comanda número - 148712205</t>
  </si>
  <si>
    <t>Comanda número - 148712300</t>
  </si>
  <si>
    <t>Comanda número - 148718033</t>
  </si>
  <si>
    <t>Comanda número - 148735131</t>
  </si>
  <si>
    <t>Comanda número - 148743812</t>
  </si>
  <si>
    <t>Comanda número - 148751772</t>
  </si>
  <si>
    <t>Comanda número - 148762328</t>
  </si>
  <si>
    <t>Comanda número - 148766959</t>
  </si>
  <si>
    <t>Comanda número - 148775241</t>
  </si>
  <si>
    <t>Ruben Júnior</t>
  </si>
  <si>
    <t>Comanda número - 148779977</t>
  </si>
  <si>
    <t>Comanda número - 148790610</t>
  </si>
  <si>
    <t>Luis fernando</t>
  </si>
  <si>
    <t>Comanda número - 148798336</t>
  </si>
  <si>
    <t>Comanda número - 148809476</t>
  </si>
  <si>
    <t>Comanda número - 148809812</t>
  </si>
  <si>
    <t>Comanda número - 148817067</t>
  </si>
  <si>
    <t>Comanda número - 148837109</t>
  </si>
  <si>
    <t>Comanda número - 148841053</t>
  </si>
  <si>
    <t>Comanda número - 148846080</t>
  </si>
  <si>
    <t>Venda Pacote: pacote corte - Cliente: Paulo 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</si>
</sst>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9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8" fillId="0" borderId="0"/>
    <xf numFmtId="0" fontId="9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14" fontId="0" fillId="0" borderId="0" xfId="0" applyNumberFormat="1"/>
    <xf numFmtId="9" fontId="0" fillId="0" borderId="0" xfId="0" applyNumberFormat="1"/>
    <xf numFmtId="4" fontId="0" fillId="0" borderId="0" xfId="0" applyNumberFormat="1"/>
    <xf numFmtId="44" fontId="0" fillId="0" borderId="0" xfId="1" applyFont="1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0" fontId="4" fillId="0" borderId="0" xfId="2"/>
    <xf numFmtId="22" fontId="0" fillId="0" borderId="0" xfId="0" applyNumberFormat="1"/>
    <xf numFmtId="8" fontId="0" fillId="0" borderId="0" xfId="0" applyNumberFormat="1"/>
    <xf numFmtId="4" fontId="4" fillId="0" borderId="0" xfId="0" applyNumberFormat="1" applyFont="1"/>
    <xf numFmtId="0" fontId="6" fillId="0" borderId="0" xfId="0" applyFont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indent="2"/>
    </xf>
    <xf numFmtId="4" fontId="0" fillId="0" borderId="3" xfId="0" applyNumberFormat="1" applyBorder="1"/>
    <xf numFmtId="0" fontId="0" fillId="0" borderId="3" xfId="0" applyBorder="1" applyAlignment="1">
      <alignment horizontal="left" indent="3"/>
    </xf>
    <xf numFmtId="0" fontId="0" fillId="0" borderId="3" xfId="0" applyBorder="1" applyAlignment="1">
      <alignment horizontal="left" indent="5"/>
    </xf>
    <xf numFmtId="0" fontId="0" fillId="0" borderId="3" xfId="0" applyBorder="1" applyAlignment="1">
      <alignment horizontal="left" indent="6"/>
    </xf>
    <xf numFmtId="0" fontId="0" fillId="0" borderId="3" xfId="0" applyBorder="1" applyAlignment="1">
      <alignment horizontal="left" indent="7"/>
    </xf>
    <xf numFmtId="0" fontId="0" fillId="0" borderId="3" xfId="0" applyBorder="1"/>
    <xf numFmtId="0" fontId="0" fillId="3" borderId="0" xfId="0" applyFill="1"/>
    <xf numFmtId="8" fontId="0" fillId="3" borderId="0" xfId="0" applyNumberFormat="1" applyFill="1"/>
    <xf numFmtId="22" fontId="0" fillId="3" borderId="0" xfId="0" applyNumberFormat="1" applyFill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7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0" fontId="3" fillId="0" borderId="0" xfId="0" applyFont="1"/>
    <xf numFmtId="4" fontId="0" fillId="0" borderId="7" xfId="0" applyNumberFormat="1" applyBorder="1" applyAlignment="1">
      <alignment horizontal="center" vertical="center"/>
    </xf>
    <xf numFmtId="0" fontId="0" fillId="0" borderId="5" xfId="0" applyBorder="1"/>
    <xf numFmtId="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left" indent="3"/>
    </xf>
    <xf numFmtId="0" fontId="0" fillId="0" borderId="5" xfId="0" applyBorder="1" applyAlignment="1">
      <alignment horizontal="left"/>
    </xf>
    <xf numFmtId="0" fontId="7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3" xfId="0" applyFont="1" applyFill="1" applyBorder="1"/>
    <xf numFmtId="4" fontId="3" fillId="4" borderId="3" xfId="0" applyNumberFormat="1" applyFont="1" applyFill="1" applyBorder="1"/>
    <xf numFmtId="0" fontId="3" fillId="5" borderId="3" xfId="0" applyFont="1" applyFill="1" applyBorder="1" applyAlignment="1">
      <alignment horizontal="left" vertical="center"/>
    </xf>
    <xf numFmtId="0" fontId="3" fillId="5" borderId="3" xfId="0" applyFont="1" applyFill="1" applyBorder="1"/>
    <xf numFmtId="4" fontId="3" fillId="5" borderId="3" xfId="0" applyNumberFormat="1" applyFont="1" applyFill="1" applyBorder="1"/>
    <xf numFmtId="0" fontId="8" fillId="0" borderId="0" xfId="3"/>
    <xf numFmtId="8" fontId="8" fillId="0" borderId="0" xfId="3" applyNumberFormat="1"/>
    <xf numFmtId="14" fontId="5" fillId="0" borderId="0" xfId="0" applyNumberFormat="1" applyFont="1"/>
    <xf numFmtId="14" fontId="4" fillId="0" borderId="0" xfId="0" applyNumberFormat="1" applyFont="1" applyAlignment="1">
      <alignment horizontal="left" indent="2"/>
    </xf>
    <xf numFmtId="14" fontId="0" fillId="3" borderId="0" xfId="0" applyNumberFormat="1" applyFill="1"/>
    <xf numFmtId="10" fontId="0" fillId="0" borderId="0" xfId="5" applyNumberFormat="1" applyFont="1"/>
    <xf numFmtId="0" fontId="3" fillId="2" borderId="0" xfId="0" applyFont="1" applyFill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5" applyNumberFormat="1" applyFont="1" applyBorder="1" applyAlignment="1">
      <alignment horizontal="center" vertical="center"/>
    </xf>
    <xf numFmtId="10" fontId="0" fillId="0" borderId="0" xfId="5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4" fontId="3" fillId="4" borderId="3" xfId="0" applyNumberFormat="1" applyFont="1" applyFill="1" applyBorder="1" applyAlignment="1">
      <alignment horizontal="center" vertical="center"/>
    </xf>
    <xf numFmtId="4" fontId="3" fillId="5" borderId="3" xfId="0" applyNumberFormat="1" applyFont="1" applyFill="1" applyBorder="1" applyAlignment="1">
      <alignment horizontal="center" vertical="center"/>
    </xf>
    <xf numFmtId="8" fontId="4" fillId="0" borderId="0" xfId="2" applyNumberFormat="1"/>
    <xf numFmtId="0" fontId="7" fillId="2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4" fontId="7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 indent="4"/>
    </xf>
    <xf numFmtId="0" fontId="3" fillId="6" borderId="3" xfId="0" applyFont="1" applyFill="1" applyBorder="1" applyAlignment="1">
      <alignment horizontal="left" indent="2"/>
    </xf>
    <xf numFmtId="4" fontId="3" fillId="6" borderId="3" xfId="0" applyNumberFormat="1" applyFont="1" applyFill="1" applyBorder="1" applyAlignment="1">
      <alignment horizontal="center" vertical="center"/>
    </xf>
    <xf numFmtId="0" fontId="9" fillId="0" borderId="0" xfId="4"/>
    <xf numFmtId="8" fontId="9" fillId="0" borderId="0" xfId="4" applyNumberFormat="1"/>
    <xf numFmtId="0" fontId="9" fillId="3" borderId="0" xfId="4" applyFill="1"/>
    <xf numFmtId="8" fontId="9" fillId="3" borderId="0" xfId="4" applyNumberFormat="1" applyFill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44" fontId="0" fillId="0" borderId="0" xfId="1" applyNumberFormat="1" applyFont="1"/>
    <xf numFmtId="0" fontId="0" fillId="0" borderId="0" xfId="0" applyNumberFormat="1"/>
    <xf numFmtId="0" fontId="9" fillId="0" borderId="0" xfId="4"/>
    <xf numFmtId="8" fontId="0" fillId="0" borderId="0" xfId="1" applyNumberFormat="1" applyFont="1"/>
  </cellXfs>
  <cellStyles count="6">
    <cellStyle name="Moeda" xfId="1" builtinId="4"/>
    <cellStyle name="Normal" xfId="0" builtinId="0"/>
    <cellStyle name="Normal 2" xfId="2" xr:uid="{A5911163-05C4-428A-86AC-0E0D95E05EFC}"/>
    <cellStyle name="Normal 3" xfId="3" xr:uid="{986A598C-C781-4C12-8A26-BAE33B2A7F18}"/>
    <cellStyle name="Normal 4" xfId="4" xr:uid="{D8BAB8A7-38DE-4A5F-8992-A6A3C853BC73}"/>
    <cellStyle name="Porcentagem" xfId="5" builtinId="5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19" formatCode="dd/mm/yyyy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 patternType="solid">
          <bgColor theme="1"/>
        </patternFill>
      </fill>
      <border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/>
        <horizontal/>
      </border>
    </dxf>
  </dxfs>
  <tableStyles count="1" defaultTableStyle="TableStyleMedium2" defaultPivotStyle="PivotStyleLight16">
    <tableStyle name="SlicerStyleDark2 2" pivot="0" table="0" count="10" xr9:uid="{75B06E41-0059-4943-99F6-492A93BAEB55}">
      <tableStyleElement type="wholeTable" dxfId="9"/>
      <tableStyleElement type="headerRow" dxfId="8"/>
    </tableStyle>
  </tableStyles>
  <colors>
    <mruColors>
      <color rgb="FFFF6600"/>
      <color rgb="FFFF9797"/>
      <color rgb="FFFF7B21"/>
      <color rgb="FFFF9933"/>
      <color rgb="FFFF33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rodutos!A1"/><Relationship Id="rId2" Type="http://schemas.openxmlformats.org/officeDocument/2006/relationships/hyperlink" Target="#'Registro'!A1"/><Relationship Id="rId1" Type="http://schemas.openxmlformats.org/officeDocument/2006/relationships/hyperlink" Target="#DASH_PRINCIPAL!A1"/><Relationship Id="rId5" Type="http://schemas.openxmlformats.org/officeDocument/2006/relationships/hyperlink" Target="#Servi&#231;os!A1"/><Relationship Id="rId4" Type="http://schemas.openxmlformats.org/officeDocument/2006/relationships/hyperlink" Target="#bas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26</xdr:row>
      <xdr:rowOff>47625</xdr:rowOff>
    </xdr:from>
    <xdr:to>
      <xdr:col>1</xdr:col>
      <xdr:colOff>347662</xdr:colOff>
      <xdr:row>28</xdr:row>
      <xdr:rowOff>19051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ED724F-EC9D-480F-8FBF-36A7CEEB9AB8}"/>
            </a:ext>
          </a:extLst>
        </xdr:cNvPr>
        <xdr:cNvSpPr/>
      </xdr:nvSpPr>
      <xdr:spPr>
        <a:xfrm>
          <a:off x="152400" y="5000625"/>
          <a:ext cx="1404937" cy="352426"/>
        </a:xfrm>
        <a:prstGeom prst="roundRect">
          <a:avLst/>
        </a:prstGeom>
        <a:solidFill>
          <a:srgbClr val="FF6600"/>
        </a:solidFill>
        <a:ln w="38100">
          <a:solidFill>
            <a:schemeClr val="accent2">
              <a:lumMod val="7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kern="1200">
              <a:solidFill>
                <a:schemeClr val="bg1"/>
              </a:solidFill>
              <a:latin typeface="Bodoni MT" panose="02070603080606020203" pitchFamily="18" charset="0"/>
            </a:rPr>
            <a:t>ÍNICIO</a:t>
          </a:r>
        </a:p>
      </xdr:txBody>
    </xdr:sp>
    <xdr:clientData/>
  </xdr:twoCellAnchor>
  <xdr:twoCellAnchor>
    <xdr:from>
      <xdr:col>1</xdr:col>
      <xdr:colOff>453033</xdr:colOff>
      <xdr:row>26</xdr:row>
      <xdr:rowOff>47625</xdr:rowOff>
    </xdr:from>
    <xdr:to>
      <xdr:col>2</xdr:col>
      <xdr:colOff>86321</xdr:colOff>
      <xdr:row>28</xdr:row>
      <xdr:rowOff>19051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95C89D-0B45-4947-ADD6-342C77E809E8}"/>
            </a:ext>
          </a:extLst>
        </xdr:cNvPr>
        <xdr:cNvSpPr/>
      </xdr:nvSpPr>
      <xdr:spPr>
        <a:xfrm>
          <a:off x="1662708" y="5000625"/>
          <a:ext cx="1604963" cy="352426"/>
        </a:xfrm>
        <a:prstGeom prst="roundRect">
          <a:avLst/>
        </a:prstGeom>
        <a:solidFill>
          <a:srgbClr val="FF6600"/>
        </a:solidFill>
        <a:ln w="38100">
          <a:solidFill>
            <a:schemeClr val="accent2">
              <a:lumMod val="7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kern="1200">
              <a:solidFill>
                <a:schemeClr val="bg1"/>
              </a:solidFill>
              <a:latin typeface="Bodoni MT" panose="02070603080606020203" pitchFamily="18" charset="0"/>
            </a:rPr>
            <a:t>REGISTRO</a:t>
          </a:r>
        </a:p>
      </xdr:txBody>
    </xdr:sp>
    <xdr:clientData/>
  </xdr:twoCellAnchor>
  <xdr:twoCellAnchor>
    <xdr:from>
      <xdr:col>2</xdr:col>
      <xdr:colOff>191692</xdr:colOff>
      <xdr:row>26</xdr:row>
      <xdr:rowOff>47625</xdr:rowOff>
    </xdr:from>
    <xdr:to>
      <xdr:col>2</xdr:col>
      <xdr:colOff>1596629</xdr:colOff>
      <xdr:row>28</xdr:row>
      <xdr:rowOff>19051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F36414-AA94-4C74-A840-6950C8CF1E50}"/>
            </a:ext>
          </a:extLst>
        </xdr:cNvPr>
        <xdr:cNvSpPr/>
      </xdr:nvSpPr>
      <xdr:spPr>
        <a:xfrm>
          <a:off x="3373042" y="5000625"/>
          <a:ext cx="1404937" cy="352426"/>
        </a:xfrm>
        <a:prstGeom prst="roundRect">
          <a:avLst/>
        </a:prstGeom>
        <a:solidFill>
          <a:srgbClr val="FF6600"/>
        </a:solidFill>
        <a:ln w="38100">
          <a:solidFill>
            <a:schemeClr val="accent2">
              <a:lumMod val="7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kern="1200">
              <a:solidFill>
                <a:schemeClr val="bg1"/>
              </a:solidFill>
              <a:latin typeface="Bodoni MT" panose="02070603080606020203" pitchFamily="18" charset="0"/>
            </a:rPr>
            <a:t>PRODUTOS</a:t>
          </a:r>
        </a:p>
      </xdr:txBody>
    </xdr:sp>
    <xdr:clientData/>
  </xdr:twoCellAnchor>
  <xdr:twoCellAnchor>
    <xdr:from>
      <xdr:col>3</xdr:col>
      <xdr:colOff>1240633</xdr:colOff>
      <xdr:row>26</xdr:row>
      <xdr:rowOff>47625</xdr:rowOff>
    </xdr:from>
    <xdr:to>
      <xdr:col>4</xdr:col>
      <xdr:colOff>673895</xdr:colOff>
      <xdr:row>28</xdr:row>
      <xdr:rowOff>19051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A1A14FF-A6AD-4A54-ABB3-252A4D1E52CE}"/>
            </a:ext>
          </a:extLst>
        </xdr:cNvPr>
        <xdr:cNvSpPr/>
      </xdr:nvSpPr>
      <xdr:spPr>
        <a:xfrm>
          <a:off x="6393658" y="5000625"/>
          <a:ext cx="1404937" cy="352426"/>
        </a:xfrm>
        <a:prstGeom prst="roundRect">
          <a:avLst/>
        </a:prstGeom>
        <a:solidFill>
          <a:srgbClr val="FF6600"/>
        </a:solidFill>
        <a:ln w="38100">
          <a:solidFill>
            <a:schemeClr val="accent2">
              <a:lumMod val="7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kern="1200">
              <a:solidFill>
                <a:schemeClr val="bg1"/>
              </a:solidFill>
              <a:latin typeface="Bodoni MT" panose="02070603080606020203" pitchFamily="18" charset="0"/>
            </a:rPr>
            <a:t>BASE</a:t>
          </a:r>
        </a:p>
      </xdr:txBody>
    </xdr:sp>
    <xdr:clientData/>
  </xdr:twoCellAnchor>
  <xdr:twoCellAnchor>
    <xdr:from>
      <xdr:col>2</xdr:col>
      <xdr:colOff>1702000</xdr:colOff>
      <xdr:row>26</xdr:row>
      <xdr:rowOff>47625</xdr:rowOff>
    </xdr:from>
    <xdr:to>
      <xdr:col>3</xdr:col>
      <xdr:colOff>1135262</xdr:colOff>
      <xdr:row>28</xdr:row>
      <xdr:rowOff>19051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8909130-66D7-4C8A-B673-4EBF1D2B444B}"/>
            </a:ext>
          </a:extLst>
        </xdr:cNvPr>
        <xdr:cNvSpPr/>
      </xdr:nvSpPr>
      <xdr:spPr>
        <a:xfrm>
          <a:off x="4883350" y="5000625"/>
          <a:ext cx="1404937" cy="352426"/>
        </a:xfrm>
        <a:prstGeom prst="roundRect">
          <a:avLst/>
        </a:prstGeom>
        <a:solidFill>
          <a:srgbClr val="FF6600"/>
        </a:solidFill>
        <a:ln w="38100">
          <a:solidFill>
            <a:schemeClr val="accent2">
              <a:lumMod val="7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kern="1200">
              <a:solidFill>
                <a:schemeClr val="bg1"/>
              </a:solidFill>
              <a:latin typeface="Bodoni MT" panose="02070603080606020203" pitchFamily="18" charset="0"/>
            </a:rPr>
            <a:t>SERVIÇOS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4E1A30-D903-4EBC-AF1F-6A482BCC9B63}" name="Registro2" displayName="Registro2" ref="A1:Y2685" totalsRowShown="0">
  <autoFilter ref="A1:Y2685" xr:uid="{2462F5A2-9B40-49F4-864E-E76F8866C9E0}">
    <filterColumn colId="0">
      <filters>
        <dateGroupItem year="2025" month="5" dateTimeGrouping="month"/>
      </filters>
    </filterColumn>
    <filterColumn colId="4">
      <filters>
        <filter val="Receitas"/>
      </filters>
    </filterColumn>
    <filterColumn colId="6">
      <filters>
        <filter val="Gorjeta"/>
      </filters>
    </filterColumn>
  </autoFilter>
  <tableColumns count="25">
    <tableColumn id="15" xr3:uid="{47CDC73E-267D-4117-8305-EC835566450D}" name="Data de Registro" dataDxfId="7"/>
    <tableColumn id="10" xr3:uid="{9313279E-485E-41F6-BF5A-0EA262A871FD}" name="Data de Pagamento" dataDxfId="6"/>
    <tableColumn id="2" xr3:uid="{215AFACD-8233-4897-8C11-91C1CD269186}" name="Conta Financeira"/>
    <tableColumn id="3" xr3:uid="{BBD0B5BD-C35B-4A07-BB8A-F59444D109B9}" name="Forma de Pagamento"/>
    <tableColumn id="4" xr3:uid="{0CE5E5A4-E807-4664-AE63-0C81D135D526}" name="Tipo"/>
    <tableColumn id="5" xr3:uid="{1376D11D-801B-4D0B-8390-9C019CDE02E1}" name="Entrada/Saída"/>
    <tableColumn id="6" xr3:uid="{1C256AF3-7951-48D4-9BA2-A10637CE420B}" name="Categoria"/>
    <tableColumn id="7" xr3:uid="{39A9F18A-CFD3-4340-A497-780B297AE47B}" name="Descrição"/>
    <tableColumn id="8" xr3:uid="{158DF50E-60B5-48AE-AE3E-EF8B3527C30C}" name="Valor Unitário" dataCellStyle="Moeda"/>
    <tableColumn id="20" xr3:uid="{C9C76738-9918-4C5E-B3EA-2C5F098F875A}" name="Valor Atualizado" dataDxfId="5" dataCellStyle="Moeda"/>
    <tableColumn id="9" xr3:uid="{D03A55A9-E670-4EA1-807A-D83C9106F487}" name="Parcelas"/>
    <tableColumn id="16" xr3:uid="{FACF9DCB-1606-494A-B79D-52CD1A6F236D}" name="Profissional"/>
    <tableColumn id="11" xr3:uid="{94E8AB58-E976-49A2-A5E0-9E9DF2E26816}" name="Cliente"/>
    <tableColumn id="18" xr3:uid="{AEFBFA3D-7E76-4F53-8E6B-B8D0A66EAA83}" name="Comissão" dataDxfId="4" dataCellStyle="Moeda">
      <calculatedColumnFormula>IF(L2="","",IF(OR(Registro2[[#This Row],[Entrada/Saída]]="Serviços",Registro2[[#This Row],[Entrada/Saída]]="Combos"),Registro2[[#This Row],[Valor Unitário]]*45%,IF(Registro2[[#This Row],[Entrada/Saída]]="Produtos",Registro2[[#This Row],[Valor Unitário]]*40%,"")))</calculatedColumnFormula>
    </tableColumn>
    <tableColumn id="1" xr3:uid="{2AED6384-72E1-4683-A7FC-2785BC856B73}" name="Mês/Ano Pag" dataDxfId="3">
      <calculatedColumnFormula>TEXT(B2,"mmm/aa")</calculatedColumnFormula>
    </tableColumn>
    <tableColumn id="19" xr3:uid="{39BF54E0-DE1A-4BE6-A7DD-1239D295DDCA}" name="Mês/Ano Regs" dataDxfId="2">
      <calculatedColumnFormula>IF(Registro2[[#This Row],[Data de Pagamento]]&gt;0,TEXT(A2,"mmm/aa"),"")</calculatedColumnFormula>
    </tableColumn>
    <tableColumn id="12" xr3:uid="{850E0A96-D784-4081-8B66-679318175870}" name="Duas formas"/>
    <tableColumn id="13" xr3:uid="{C4C936C3-88E2-480F-85E9-39F565B159F4}" name="Valor Ajuste"/>
    <tableColumn id="14" xr3:uid="{95FAFF35-0C60-414A-BE8A-96D392332E01}" name="Conta Ajuste"/>
    <tableColumn id="17" xr3:uid="{280B0114-F374-4094-A86A-F493E6140DE7}" name="Valor Atualizado2" dataCellStyle="Moeda">
      <calculatedColumnFormula>IF(Registro2[[#This Row],[Data de Pagamento]]="",0,IF(Registro2[[#This Row],[Conta Financeira]]=base!$A$6,0,Registro2[[#This Row],[Valor Unitário]]))</calculatedColumnFormula>
    </tableColumn>
    <tableColumn id="21" xr3:uid="{205B8D1E-A982-444B-90CE-B73677CE2A25}" name="Redução" dataDxfId="1">
      <calculatedColumnFormula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calculatedColumnFormula>
    </tableColumn>
    <tableColumn id="22" xr3:uid="{2056AB03-84C3-4D36-BE95-C24DC7514E4D}" name="Status"/>
    <tableColumn id="23" xr3:uid="{19C763BA-95C7-49AB-AF0D-B2782BDD46AB}" name="DRE" dataDxfId="0">
      <calculatedColumnFormula>VLOOKUP(Registro2[[#This Row],[Categoria]],'Plano de Contas'!$V$3:W56,2,0)</calculatedColumnFormula>
    </tableColumn>
    <tableColumn id="24" xr3:uid="{A52B3C3E-66C5-4966-9999-5B8001BD0A34}" name="Despesas Vendas Máquinas" dataCellStyle="Moeda">
      <calculatedColumnFormula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calculatedColumnFormula>
    </tableColumn>
    <tableColumn id="25" xr3:uid="{1F43AFA8-71B9-4E82-B593-96224D166D53}" name="Status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60CBB-9BFF-4B2D-A8A3-F7236F7A0222}">
  <dimension ref="A1:AB165"/>
  <sheetViews>
    <sheetView showGridLines="0" topLeftCell="H1" zoomScaleNormal="100" workbookViewId="0">
      <selection activeCell="K17" sqref="K17"/>
    </sheetView>
  </sheetViews>
  <sheetFormatPr defaultRowHeight="15"/>
  <cols>
    <col min="1" max="1" width="18.140625" bestFit="1" customWidth="1"/>
    <col min="2" max="2" width="29.5703125" bestFit="1" customWidth="1"/>
    <col min="3" max="4" width="29.5703125" customWidth="1"/>
    <col min="5" max="5" width="13.85546875" bestFit="1" customWidth="1"/>
    <col min="6" max="6" width="19.42578125" bestFit="1" customWidth="1"/>
    <col min="7" max="7" width="25" bestFit="1" customWidth="1"/>
    <col min="8" max="8" width="23.28515625" bestFit="1" customWidth="1"/>
    <col min="9" max="9" width="10.7109375" bestFit="1" customWidth="1"/>
    <col min="10" max="10" width="23.140625" bestFit="1" customWidth="1"/>
    <col min="11" max="11" width="24.7109375" bestFit="1" customWidth="1"/>
    <col min="12" max="12" width="44" bestFit="1" customWidth="1"/>
    <col min="13" max="13" width="12.5703125" bestFit="1" customWidth="1"/>
    <col min="14" max="14" width="13.85546875" bestFit="1" customWidth="1"/>
    <col min="17" max="17" width="11.7109375" bestFit="1" customWidth="1"/>
    <col min="18" max="18" width="36.140625" bestFit="1" customWidth="1"/>
    <col min="23" max="23" width="9.5703125" bestFit="1" customWidth="1"/>
  </cols>
  <sheetData>
    <row r="1" spans="1:28">
      <c r="A1" t="s">
        <v>142</v>
      </c>
      <c r="B1" t="s">
        <v>136</v>
      </c>
      <c r="C1" t="s">
        <v>135</v>
      </c>
      <c r="D1" t="s">
        <v>311</v>
      </c>
      <c r="E1" t="s">
        <v>5</v>
      </c>
      <c r="F1" t="s">
        <v>137</v>
      </c>
      <c r="G1" t="s">
        <v>138</v>
      </c>
      <c r="H1" t="s">
        <v>139</v>
      </c>
      <c r="I1" t="s">
        <v>148</v>
      </c>
      <c r="J1" t="s">
        <v>149</v>
      </c>
      <c r="K1" t="s">
        <v>147</v>
      </c>
      <c r="L1" t="s">
        <v>150</v>
      </c>
      <c r="M1" t="s">
        <v>152</v>
      </c>
      <c r="N1" t="s">
        <v>140</v>
      </c>
      <c r="O1" t="s">
        <v>146</v>
      </c>
      <c r="P1" t="s">
        <v>174</v>
      </c>
      <c r="Q1" t="s">
        <v>175</v>
      </c>
      <c r="R1" t="s">
        <v>218</v>
      </c>
      <c r="S1" t="s">
        <v>6</v>
      </c>
      <c r="T1" t="s">
        <v>220</v>
      </c>
      <c r="W1" t="s">
        <v>824</v>
      </c>
      <c r="X1" t="s">
        <v>833</v>
      </c>
      <c r="Z1" t="s">
        <v>824</v>
      </c>
      <c r="AA1" t="s">
        <v>967</v>
      </c>
      <c r="AB1" t="s">
        <v>3108</v>
      </c>
    </row>
    <row r="2" spans="1:28">
      <c r="A2" t="s">
        <v>135</v>
      </c>
      <c r="B2" t="s">
        <v>2</v>
      </c>
      <c r="C2" t="s">
        <v>1</v>
      </c>
      <c r="D2" t="s">
        <v>1</v>
      </c>
      <c r="E2" t="s">
        <v>183</v>
      </c>
      <c r="F2" t="s">
        <v>138</v>
      </c>
      <c r="G2" t="s">
        <v>266</v>
      </c>
      <c r="H2" t="s">
        <v>333</v>
      </c>
      <c r="I2" t="s">
        <v>252</v>
      </c>
      <c r="J2" t="s">
        <v>147</v>
      </c>
      <c r="K2" t="s">
        <v>160</v>
      </c>
      <c r="L2" s="12" t="s">
        <v>507</v>
      </c>
      <c r="M2" t="s">
        <v>353</v>
      </c>
      <c r="N2" t="s">
        <v>140</v>
      </c>
      <c r="O2" t="s">
        <v>313</v>
      </c>
      <c r="P2" t="s">
        <v>137</v>
      </c>
      <c r="Q2" t="s">
        <v>137</v>
      </c>
      <c r="R2" t="s">
        <v>216</v>
      </c>
      <c r="S2" t="s">
        <v>7</v>
      </c>
      <c r="T2" s="2">
        <v>0.45</v>
      </c>
      <c r="W2" s="4">
        <v>48.33</v>
      </c>
      <c r="X2" t="s">
        <v>183</v>
      </c>
      <c r="Z2" t="s">
        <v>837</v>
      </c>
      <c r="AA2" t="s">
        <v>144</v>
      </c>
      <c r="AB2" t="s">
        <v>3109</v>
      </c>
    </row>
    <row r="3" spans="1:28">
      <c r="A3" t="s">
        <v>136</v>
      </c>
      <c r="B3" t="s">
        <v>255</v>
      </c>
      <c r="C3" t="s">
        <v>354</v>
      </c>
      <c r="D3" t="s">
        <v>354</v>
      </c>
      <c r="E3" t="s">
        <v>426</v>
      </c>
      <c r="F3" t="s">
        <v>139</v>
      </c>
      <c r="G3" t="s">
        <v>145</v>
      </c>
      <c r="H3" t="s">
        <v>180</v>
      </c>
      <c r="I3" t="s">
        <v>253</v>
      </c>
      <c r="J3" t="s">
        <v>150</v>
      </c>
      <c r="K3" t="s">
        <v>161</v>
      </c>
      <c r="L3" s="12" t="s">
        <v>472</v>
      </c>
      <c r="M3" t="s">
        <v>305</v>
      </c>
      <c r="N3">
        <v>2</v>
      </c>
      <c r="O3" t="s">
        <v>315</v>
      </c>
      <c r="P3" t="s">
        <v>149</v>
      </c>
      <c r="Q3" t="s">
        <v>149</v>
      </c>
      <c r="R3" t="s">
        <v>219</v>
      </c>
      <c r="S3" t="s">
        <v>8</v>
      </c>
      <c r="W3" s="4">
        <v>30</v>
      </c>
      <c r="X3" t="s">
        <v>83</v>
      </c>
      <c r="AA3" t="s">
        <v>335</v>
      </c>
    </row>
    <row r="4" spans="1:28">
      <c r="A4" t="s">
        <v>263</v>
      </c>
      <c r="C4" t="s">
        <v>310</v>
      </c>
      <c r="D4" t="s">
        <v>310</v>
      </c>
      <c r="E4" t="s">
        <v>427</v>
      </c>
      <c r="F4" t="s">
        <v>140</v>
      </c>
      <c r="G4" t="s">
        <v>338</v>
      </c>
      <c r="H4" t="s">
        <v>337</v>
      </c>
      <c r="I4" t="s">
        <v>264</v>
      </c>
      <c r="J4" t="s">
        <v>152</v>
      </c>
      <c r="K4" t="s">
        <v>162</v>
      </c>
      <c r="L4" s="12" t="s">
        <v>508</v>
      </c>
      <c r="M4" t="s">
        <v>306</v>
      </c>
      <c r="N4">
        <v>3</v>
      </c>
      <c r="O4" t="s">
        <v>314</v>
      </c>
      <c r="Q4" t="s">
        <v>910</v>
      </c>
      <c r="S4" t="s">
        <v>9</v>
      </c>
      <c r="X4" t="s">
        <v>414</v>
      </c>
      <c r="AA4" t="s">
        <v>449</v>
      </c>
    </row>
    <row r="5" spans="1:28">
      <c r="A5" t="s">
        <v>311</v>
      </c>
      <c r="C5" t="s">
        <v>173</v>
      </c>
      <c r="D5" t="s">
        <v>173</v>
      </c>
      <c r="E5" t="s">
        <v>428</v>
      </c>
      <c r="F5" t="s">
        <v>146</v>
      </c>
      <c r="G5" t="s">
        <v>339</v>
      </c>
      <c r="H5" t="s">
        <v>336</v>
      </c>
      <c r="J5" t="s">
        <v>824</v>
      </c>
      <c r="K5" t="s">
        <v>163</v>
      </c>
      <c r="L5" s="12" t="s">
        <v>509</v>
      </c>
      <c r="M5" t="s">
        <v>352</v>
      </c>
      <c r="N5">
        <v>4</v>
      </c>
      <c r="S5" t="s">
        <v>10</v>
      </c>
      <c r="X5" t="s">
        <v>400</v>
      </c>
      <c r="AA5" t="s">
        <v>968</v>
      </c>
    </row>
    <row r="6" spans="1:28">
      <c r="A6" t="s">
        <v>357</v>
      </c>
      <c r="C6" t="s">
        <v>255</v>
      </c>
      <c r="D6" t="s">
        <v>255</v>
      </c>
      <c r="E6" t="s">
        <v>429</v>
      </c>
      <c r="F6" t="s">
        <v>967</v>
      </c>
      <c r="G6" t="s">
        <v>141</v>
      </c>
      <c r="H6" t="s">
        <v>332</v>
      </c>
      <c r="J6" t="s">
        <v>910</v>
      </c>
      <c r="K6" t="s">
        <v>165</v>
      </c>
      <c r="L6" s="12" t="s">
        <v>510</v>
      </c>
      <c r="M6" t="s">
        <v>154</v>
      </c>
      <c r="N6">
        <v>5</v>
      </c>
      <c r="S6" t="s">
        <v>11</v>
      </c>
      <c r="X6" t="s">
        <v>182</v>
      </c>
      <c r="AA6" t="s">
        <v>2701</v>
      </c>
    </row>
    <row r="7" spans="1:28">
      <c r="F7" t="s">
        <v>3108</v>
      </c>
      <c r="G7" t="s">
        <v>147</v>
      </c>
      <c r="H7" t="s">
        <v>331</v>
      </c>
      <c r="K7" t="s">
        <v>166</v>
      </c>
      <c r="L7" s="12" t="s">
        <v>511</v>
      </c>
      <c r="M7" t="s">
        <v>156</v>
      </c>
      <c r="S7" t="s">
        <v>12</v>
      </c>
      <c r="X7" t="s">
        <v>122</v>
      </c>
    </row>
    <row r="8" spans="1:28">
      <c r="G8" t="s">
        <v>143</v>
      </c>
      <c r="K8" t="s">
        <v>167</v>
      </c>
      <c r="L8" s="12" t="s">
        <v>512</v>
      </c>
      <c r="M8" t="s">
        <v>157</v>
      </c>
      <c r="S8" t="s">
        <v>13</v>
      </c>
      <c r="X8" t="s">
        <v>185</v>
      </c>
    </row>
    <row r="9" spans="1:28">
      <c r="G9" t="s">
        <v>144</v>
      </c>
      <c r="K9" t="s">
        <v>1046</v>
      </c>
      <c r="L9" s="12" t="s">
        <v>513</v>
      </c>
      <c r="M9" t="s">
        <v>158</v>
      </c>
      <c r="S9" t="s">
        <v>14</v>
      </c>
      <c r="X9" t="s">
        <v>95</v>
      </c>
    </row>
    <row r="10" spans="1:28">
      <c r="G10" t="s">
        <v>334</v>
      </c>
      <c r="K10" t="s">
        <v>1187</v>
      </c>
      <c r="L10" t="s">
        <v>2477</v>
      </c>
      <c r="M10" t="s">
        <v>159</v>
      </c>
      <c r="S10" t="s">
        <v>15</v>
      </c>
      <c r="X10" t="s">
        <v>405</v>
      </c>
    </row>
    <row r="11" spans="1:28">
      <c r="G11" t="s">
        <v>340</v>
      </c>
      <c r="K11" t="s">
        <v>1446</v>
      </c>
      <c r="L11" t="s">
        <v>2526</v>
      </c>
      <c r="M11" s="11" t="s">
        <v>153</v>
      </c>
      <c r="S11" t="s">
        <v>16</v>
      </c>
      <c r="X11" t="s">
        <v>122</v>
      </c>
    </row>
    <row r="12" spans="1:28">
      <c r="G12" t="s">
        <v>312</v>
      </c>
      <c r="K12" t="s">
        <v>2830</v>
      </c>
      <c r="L12" t="s">
        <v>2536</v>
      </c>
      <c r="M12" s="11" t="s">
        <v>304</v>
      </c>
      <c r="S12" t="s">
        <v>17</v>
      </c>
      <c r="X12" t="s">
        <v>1348</v>
      </c>
    </row>
    <row r="13" spans="1:28">
      <c r="G13" t="s">
        <v>969</v>
      </c>
      <c r="K13" t="s">
        <v>2825</v>
      </c>
      <c r="L13" t="s">
        <v>2731</v>
      </c>
      <c r="S13" t="s">
        <v>18</v>
      </c>
    </row>
    <row r="14" spans="1:28">
      <c r="K14" t="s">
        <v>3362</v>
      </c>
      <c r="L14" t="s">
        <v>2931</v>
      </c>
      <c r="S14" t="s">
        <v>19</v>
      </c>
    </row>
    <row r="15" spans="1:28">
      <c r="L15" t="s">
        <v>3061</v>
      </c>
      <c r="S15" t="s">
        <v>20</v>
      </c>
    </row>
    <row r="16" spans="1:28">
      <c r="L16" t="s">
        <v>3316</v>
      </c>
      <c r="S16" t="s">
        <v>74</v>
      </c>
    </row>
    <row r="17" spans="18:19">
      <c r="S17" t="s">
        <v>21</v>
      </c>
    </row>
    <row r="18" spans="18:19">
      <c r="S18" t="s">
        <v>22</v>
      </c>
    </row>
    <row r="19" spans="18:19">
      <c r="S19" t="s">
        <v>23</v>
      </c>
    </row>
    <row r="20" spans="18:19">
      <c r="S20" t="s">
        <v>24</v>
      </c>
    </row>
    <row r="21" spans="18:19">
      <c r="S21" t="s">
        <v>25</v>
      </c>
    </row>
    <row r="22" spans="18:19">
      <c r="S22" t="s">
        <v>26</v>
      </c>
    </row>
    <row r="23" spans="18:19">
      <c r="S23" t="s">
        <v>83</v>
      </c>
    </row>
    <row r="24" spans="18:19">
      <c r="S24" t="s">
        <v>27</v>
      </c>
    </row>
    <row r="25" spans="18:19">
      <c r="S25" t="s">
        <v>28</v>
      </c>
    </row>
    <row r="26" spans="18:19">
      <c r="S26" t="s">
        <v>29</v>
      </c>
    </row>
    <row r="27" spans="18:19">
      <c r="R27" t="s">
        <v>96</v>
      </c>
      <c r="S27" t="s">
        <v>183</v>
      </c>
    </row>
    <row r="28" spans="18:19">
      <c r="R28" t="s">
        <v>30</v>
      </c>
      <c r="S28" t="s">
        <v>426</v>
      </c>
    </row>
    <row r="29" spans="18:19">
      <c r="R29" t="s">
        <v>32</v>
      </c>
      <c r="S29" t="s">
        <v>427</v>
      </c>
    </row>
    <row r="30" spans="18:19">
      <c r="R30" t="s">
        <v>33</v>
      </c>
      <c r="S30" t="s">
        <v>428</v>
      </c>
    </row>
    <row r="31" spans="18:19">
      <c r="R31" t="s">
        <v>34</v>
      </c>
      <c r="S31" t="s">
        <v>429</v>
      </c>
    </row>
    <row r="32" spans="18:19">
      <c r="R32" t="s">
        <v>35</v>
      </c>
    </row>
    <row r="33" spans="18:18">
      <c r="R33" t="s">
        <v>71</v>
      </c>
    </row>
    <row r="34" spans="18:18">
      <c r="R34" t="s">
        <v>36</v>
      </c>
    </row>
    <row r="35" spans="18:18">
      <c r="R35" t="s">
        <v>37</v>
      </c>
    </row>
    <row r="36" spans="18:18">
      <c r="R36" t="s">
        <v>38</v>
      </c>
    </row>
    <row r="37" spans="18:18">
      <c r="R37" t="s">
        <v>39</v>
      </c>
    </row>
    <row r="38" spans="18:18">
      <c r="R38" t="s">
        <v>40</v>
      </c>
    </row>
    <row r="39" spans="18:18">
      <c r="R39" t="s">
        <v>41</v>
      </c>
    </row>
    <row r="40" spans="18:18">
      <c r="R40" t="s">
        <v>42</v>
      </c>
    </row>
    <row r="41" spans="18:18">
      <c r="R41" t="s">
        <v>43</v>
      </c>
    </row>
    <row r="42" spans="18:18">
      <c r="R42" t="s">
        <v>44</v>
      </c>
    </row>
    <row r="43" spans="18:18">
      <c r="R43" t="s">
        <v>45</v>
      </c>
    </row>
    <row r="44" spans="18:18">
      <c r="R44" t="s">
        <v>46</v>
      </c>
    </row>
    <row r="45" spans="18:18">
      <c r="R45" t="s">
        <v>62</v>
      </c>
    </row>
    <row r="46" spans="18:18">
      <c r="R46" t="s">
        <v>47</v>
      </c>
    </row>
    <row r="47" spans="18:18">
      <c r="R47" t="s">
        <v>181</v>
      </c>
    </row>
    <row r="48" spans="18:18">
      <c r="R48" t="s">
        <v>48</v>
      </c>
    </row>
    <row r="49" spans="18:18">
      <c r="R49" t="s">
        <v>49</v>
      </c>
    </row>
    <row r="50" spans="18:18">
      <c r="R50" t="s">
        <v>50</v>
      </c>
    </row>
    <row r="51" spans="18:18">
      <c r="R51" t="s">
        <v>51</v>
      </c>
    </row>
    <row r="52" spans="18:18">
      <c r="R52" t="s">
        <v>122</v>
      </c>
    </row>
    <row r="53" spans="18:18">
      <c r="R53" t="s">
        <v>52</v>
      </c>
    </row>
    <row r="54" spans="18:18">
      <c r="R54" t="s">
        <v>53</v>
      </c>
    </row>
    <row r="55" spans="18:18">
      <c r="R55" t="s">
        <v>127</v>
      </c>
    </row>
    <row r="56" spans="18:18">
      <c r="R56" t="s">
        <v>54</v>
      </c>
    </row>
    <row r="57" spans="18:18">
      <c r="R57" t="s">
        <v>55</v>
      </c>
    </row>
    <row r="58" spans="18:18">
      <c r="R58" t="s">
        <v>56</v>
      </c>
    </row>
    <row r="59" spans="18:18">
      <c r="R59" t="s">
        <v>57</v>
      </c>
    </row>
    <row r="60" spans="18:18">
      <c r="R60" t="s">
        <v>58</v>
      </c>
    </row>
    <row r="61" spans="18:18">
      <c r="R61" t="s">
        <v>59</v>
      </c>
    </row>
    <row r="62" spans="18:18">
      <c r="R62" t="s">
        <v>61</v>
      </c>
    </row>
    <row r="63" spans="18:18">
      <c r="R63" t="s">
        <v>63</v>
      </c>
    </row>
    <row r="64" spans="18:18">
      <c r="R64" t="s">
        <v>126</v>
      </c>
    </row>
    <row r="65" spans="18:18">
      <c r="R65" t="s">
        <v>64</v>
      </c>
    </row>
    <row r="66" spans="18:18">
      <c r="R66" t="s">
        <v>65</v>
      </c>
    </row>
    <row r="67" spans="18:18">
      <c r="R67" t="s">
        <v>66</v>
      </c>
    </row>
    <row r="68" spans="18:18">
      <c r="R68" t="s">
        <v>67</v>
      </c>
    </row>
    <row r="69" spans="18:18">
      <c r="R69" t="s">
        <v>68</v>
      </c>
    </row>
    <row r="70" spans="18:18">
      <c r="R70" t="s">
        <v>31</v>
      </c>
    </row>
    <row r="71" spans="18:18">
      <c r="R71" t="s">
        <v>69</v>
      </c>
    </row>
    <row r="72" spans="18:18">
      <c r="R72" t="s">
        <v>70</v>
      </c>
    </row>
    <row r="73" spans="18:18">
      <c r="R73" t="s">
        <v>72</v>
      </c>
    </row>
    <row r="74" spans="18:18">
      <c r="R74" t="s">
        <v>73</v>
      </c>
    </row>
    <row r="75" spans="18:18">
      <c r="R75" t="s">
        <v>75</v>
      </c>
    </row>
    <row r="76" spans="18:18">
      <c r="R76" t="s">
        <v>76</v>
      </c>
    </row>
    <row r="77" spans="18:18">
      <c r="R77" t="s">
        <v>77</v>
      </c>
    </row>
    <row r="78" spans="18:18">
      <c r="R78" t="s">
        <v>78</v>
      </c>
    </row>
    <row r="79" spans="18:18">
      <c r="R79" t="s">
        <v>79</v>
      </c>
    </row>
    <row r="80" spans="18:18">
      <c r="R80" t="s">
        <v>80</v>
      </c>
    </row>
    <row r="81" spans="18:18">
      <c r="R81" t="s">
        <v>81</v>
      </c>
    </row>
    <row r="82" spans="18:18">
      <c r="R82" t="s">
        <v>82</v>
      </c>
    </row>
    <row r="83" spans="18:18">
      <c r="R83" t="s">
        <v>84</v>
      </c>
    </row>
    <row r="84" spans="18:18">
      <c r="R84" t="s">
        <v>85</v>
      </c>
    </row>
    <row r="85" spans="18:18">
      <c r="R85" t="s">
        <v>86</v>
      </c>
    </row>
    <row r="86" spans="18:18">
      <c r="R86" t="s">
        <v>87</v>
      </c>
    </row>
    <row r="87" spans="18:18">
      <c r="R87" t="s">
        <v>88</v>
      </c>
    </row>
    <row r="88" spans="18:18">
      <c r="R88" t="s">
        <v>89</v>
      </c>
    </row>
    <row r="89" spans="18:18">
      <c r="R89" t="s">
        <v>90</v>
      </c>
    </row>
    <row r="90" spans="18:18">
      <c r="R90" t="s">
        <v>91</v>
      </c>
    </row>
    <row r="91" spans="18:18">
      <c r="R91" t="s">
        <v>92</v>
      </c>
    </row>
    <row r="92" spans="18:18">
      <c r="R92" t="s">
        <v>182</v>
      </c>
    </row>
    <row r="93" spans="18:18">
      <c r="R93" t="s">
        <v>93</v>
      </c>
    </row>
    <row r="94" spans="18:18">
      <c r="R94" t="s">
        <v>94</v>
      </c>
    </row>
    <row r="95" spans="18:18">
      <c r="R95" t="s">
        <v>95</v>
      </c>
    </row>
    <row r="96" spans="18:18">
      <c r="R96" t="s">
        <v>97</v>
      </c>
    </row>
    <row r="97" spans="18:18">
      <c r="R97" t="s">
        <v>98</v>
      </c>
    </row>
    <row r="98" spans="18:18">
      <c r="R98" t="s">
        <v>99</v>
      </c>
    </row>
    <row r="99" spans="18:18">
      <c r="R99" t="s">
        <v>100</v>
      </c>
    </row>
    <row r="100" spans="18:18">
      <c r="R100" t="s">
        <v>101</v>
      </c>
    </row>
    <row r="101" spans="18:18">
      <c r="R101" t="s">
        <v>183</v>
      </c>
    </row>
    <row r="102" spans="18:18">
      <c r="R102" t="s">
        <v>102</v>
      </c>
    </row>
    <row r="103" spans="18:18">
      <c r="R103" t="s">
        <v>103</v>
      </c>
    </row>
    <row r="104" spans="18:18">
      <c r="R104" t="s">
        <v>104</v>
      </c>
    </row>
    <row r="105" spans="18:18">
      <c r="R105" t="s">
        <v>105</v>
      </c>
    </row>
    <row r="106" spans="18:18">
      <c r="R106" t="s">
        <v>106</v>
      </c>
    </row>
    <row r="107" spans="18:18">
      <c r="R107" t="s">
        <v>107</v>
      </c>
    </row>
    <row r="108" spans="18:18">
      <c r="R108" t="s">
        <v>108</v>
      </c>
    </row>
    <row r="109" spans="18:18">
      <c r="R109" t="s">
        <v>109</v>
      </c>
    </row>
    <row r="110" spans="18:18">
      <c r="R110" t="s">
        <v>110</v>
      </c>
    </row>
    <row r="111" spans="18:18">
      <c r="R111" t="s">
        <v>184</v>
      </c>
    </row>
    <row r="112" spans="18:18">
      <c r="R112" t="s">
        <v>111</v>
      </c>
    </row>
    <row r="113" spans="18:18">
      <c r="R113" t="s">
        <v>112</v>
      </c>
    </row>
    <row r="114" spans="18:18">
      <c r="R114" t="s">
        <v>113</v>
      </c>
    </row>
    <row r="115" spans="18:18">
      <c r="R115" t="s">
        <v>114</v>
      </c>
    </row>
    <row r="116" spans="18:18">
      <c r="R116" t="s">
        <v>115</v>
      </c>
    </row>
    <row r="117" spans="18:18">
      <c r="R117" t="s">
        <v>116</v>
      </c>
    </row>
    <row r="118" spans="18:18">
      <c r="R118" t="s">
        <v>117</v>
      </c>
    </row>
    <row r="119" spans="18:18">
      <c r="R119" t="s">
        <v>118</v>
      </c>
    </row>
    <row r="120" spans="18:18">
      <c r="R120" t="s">
        <v>133</v>
      </c>
    </row>
    <row r="121" spans="18:18">
      <c r="R121" t="s">
        <v>134</v>
      </c>
    </row>
    <row r="122" spans="18:18">
      <c r="R122" t="s">
        <v>131</v>
      </c>
    </row>
    <row r="123" spans="18:18">
      <c r="R123" t="s">
        <v>185</v>
      </c>
    </row>
    <row r="124" spans="18:18">
      <c r="R124" t="s">
        <v>119</v>
      </c>
    </row>
    <row r="125" spans="18:18">
      <c r="R125" t="s">
        <v>120</v>
      </c>
    </row>
    <row r="126" spans="18:18">
      <c r="R126" t="s">
        <v>121</v>
      </c>
    </row>
    <row r="127" spans="18:18">
      <c r="R127" t="s">
        <v>123</v>
      </c>
    </row>
    <row r="128" spans="18:18">
      <c r="R128" t="s">
        <v>124</v>
      </c>
    </row>
    <row r="129" spans="18:18">
      <c r="R129" t="s">
        <v>125</v>
      </c>
    </row>
    <row r="130" spans="18:18">
      <c r="R130" t="s">
        <v>128</v>
      </c>
    </row>
    <row r="131" spans="18:18">
      <c r="R131" t="s">
        <v>129</v>
      </c>
    </row>
    <row r="132" spans="18:18">
      <c r="R132" t="s">
        <v>130</v>
      </c>
    </row>
    <row r="133" spans="18:18">
      <c r="R133" t="s">
        <v>186</v>
      </c>
    </row>
    <row r="134" spans="18:18">
      <c r="R134" t="s">
        <v>187</v>
      </c>
    </row>
    <row r="135" spans="18:18">
      <c r="R135" t="s">
        <v>188</v>
      </c>
    </row>
    <row r="136" spans="18:18">
      <c r="R136" t="s">
        <v>189</v>
      </c>
    </row>
    <row r="137" spans="18:18">
      <c r="R137" t="s">
        <v>190</v>
      </c>
    </row>
    <row r="138" spans="18:18">
      <c r="R138" t="s">
        <v>191</v>
      </c>
    </row>
    <row r="139" spans="18:18">
      <c r="R139" t="s">
        <v>192</v>
      </c>
    </row>
    <row r="140" spans="18:18">
      <c r="R140" t="s">
        <v>132</v>
      </c>
    </row>
    <row r="141" spans="18:18">
      <c r="R141" t="s">
        <v>193</v>
      </c>
    </row>
    <row r="142" spans="18:18">
      <c r="R142" t="s">
        <v>194</v>
      </c>
    </row>
    <row r="143" spans="18:18">
      <c r="R143" t="s">
        <v>195</v>
      </c>
    </row>
    <row r="144" spans="18:18">
      <c r="R144" t="s">
        <v>196</v>
      </c>
    </row>
    <row r="145" spans="18:18">
      <c r="R145" t="s">
        <v>197</v>
      </c>
    </row>
    <row r="146" spans="18:18">
      <c r="R146" t="s">
        <v>198</v>
      </c>
    </row>
    <row r="147" spans="18:18">
      <c r="R147" t="s">
        <v>199</v>
      </c>
    </row>
    <row r="148" spans="18:18">
      <c r="R148" t="s">
        <v>200</v>
      </c>
    </row>
    <row r="149" spans="18:18">
      <c r="R149" t="s">
        <v>201</v>
      </c>
    </row>
    <row r="150" spans="18:18">
      <c r="R150" t="s">
        <v>60</v>
      </c>
    </row>
    <row r="151" spans="18:18">
      <c r="R151" t="s">
        <v>202</v>
      </c>
    </row>
    <row r="152" spans="18:18">
      <c r="R152" t="s">
        <v>203</v>
      </c>
    </row>
    <row r="153" spans="18:18">
      <c r="R153" t="s">
        <v>204</v>
      </c>
    </row>
    <row r="154" spans="18:18">
      <c r="R154" t="s">
        <v>205</v>
      </c>
    </row>
    <row r="155" spans="18:18">
      <c r="R155" t="s">
        <v>206</v>
      </c>
    </row>
    <row r="156" spans="18:18">
      <c r="R156" t="s">
        <v>207</v>
      </c>
    </row>
    <row r="157" spans="18:18">
      <c r="R157" t="s">
        <v>208</v>
      </c>
    </row>
    <row r="158" spans="18:18">
      <c r="R158" t="s">
        <v>209</v>
      </c>
    </row>
    <row r="159" spans="18:18">
      <c r="R159" t="s">
        <v>210</v>
      </c>
    </row>
    <row r="160" spans="18:18">
      <c r="R160" t="s">
        <v>211</v>
      </c>
    </row>
    <row r="161" spans="18:18">
      <c r="R161" t="s">
        <v>212</v>
      </c>
    </row>
    <row r="162" spans="18:18">
      <c r="R162" t="s">
        <v>213</v>
      </c>
    </row>
    <row r="163" spans="18:18">
      <c r="R163" t="s">
        <v>214</v>
      </c>
    </row>
    <row r="164" spans="18:18">
      <c r="R164" t="s">
        <v>215</v>
      </c>
    </row>
    <row r="165" spans="18:18">
      <c r="R165" t="s">
        <v>216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CBCF-FC71-4805-AB31-C9809979F4C7}">
  <sheetPr>
    <pageSetUpPr fitToPage="1"/>
  </sheetPr>
  <dimension ref="B2:N34"/>
  <sheetViews>
    <sheetView showGridLines="0" topLeftCell="A2" zoomScale="90" zoomScaleNormal="90" workbookViewId="0">
      <selection activeCell="Q3" sqref="Q3"/>
    </sheetView>
  </sheetViews>
  <sheetFormatPr defaultRowHeight="15"/>
  <cols>
    <col min="2" max="2" width="32.5703125" bestFit="1" customWidth="1"/>
    <col min="4" max="7" width="9.85546875" bestFit="1" customWidth="1"/>
    <col min="8" max="8" width="7.140625" bestFit="1" customWidth="1"/>
    <col min="9" max="9" width="6.42578125" bestFit="1" customWidth="1"/>
    <col min="10" max="10" width="7.5703125" bestFit="1" customWidth="1"/>
    <col min="11" max="11" width="7.140625" bestFit="1" customWidth="1"/>
    <col min="12" max="12" width="7.5703125" bestFit="1" customWidth="1"/>
    <col min="13" max="13" width="7.7109375" bestFit="1" customWidth="1"/>
    <col min="14" max="14" width="7.42578125" bestFit="1" customWidth="1"/>
  </cols>
  <sheetData>
    <row r="2" spans="2:14">
      <c r="C2">
        <v>25</v>
      </c>
    </row>
    <row r="3" spans="2:14" ht="15" customHeight="1">
      <c r="B3" s="75" t="s">
        <v>2980</v>
      </c>
      <c r="C3" s="62" t="s">
        <v>327</v>
      </c>
      <c r="D3" s="62" t="s">
        <v>2981</v>
      </c>
      <c r="E3" s="62" t="s">
        <v>2982</v>
      </c>
      <c r="F3" s="62" t="s">
        <v>2983</v>
      </c>
      <c r="G3" s="62" t="s">
        <v>2984</v>
      </c>
      <c r="H3" s="62" t="s">
        <v>2985</v>
      </c>
      <c r="I3" s="62" t="s">
        <v>2986</v>
      </c>
      <c r="J3" s="62" t="s">
        <v>2987</v>
      </c>
      <c r="K3" s="62" t="s">
        <v>2988</v>
      </c>
      <c r="L3" s="62" t="s">
        <v>2989</v>
      </c>
      <c r="M3" s="62" t="s">
        <v>2990</v>
      </c>
      <c r="N3" s="62" t="s">
        <v>2991</v>
      </c>
    </row>
    <row r="4" spans="2:14" ht="15" customHeight="1">
      <c r="B4" s="76"/>
      <c r="C4" s="62" t="str">
        <f t="shared" ref="C4:N4" si="0">C3&amp;"/"&amp;$C$2</f>
        <v>Jan/25</v>
      </c>
      <c r="D4" s="62" t="str">
        <f t="shared" si="0"/>
        <v>Fev/25</v>
      </c>
      <c r="E4" s="62" t="str">
        <f t="shared" si="0"/>
        <v>Mar/25</v>
      </c>
      <c r="F4" s="62" t="str">
        <f t="shared" si="0"/>
        <v>Abr/25</v>
      </c>
      <c r="G4" s="62" t="str">
        <f t="shared" si="0"/>
        <v>Mai/25</v>
      </c>
      <c r="H4" s="62" t="str">
        <f t="shared" si="0"/>
        <v>Jun/25</v>
      </c>
      <c r="I4" s="62" t="str">
        <f t="shared" si="0"/>
        <v>Jul/25</v>
      </c>
      <c r="J4" s="62" t="str">
        <f t="shared" si="0"/>
        <v>Ago/25</v>
      </c>
      <c r="K4" s="62" t="str">
        <f t="shared" si="0"/>
        <v>Set/25</v>
      </c>
      <c r="L4" s="62" t="str">
        <f t="shared" si="0"/>
        <v>Out/25</v>
      </c>
      <c r="M4" s="62" t="str">
        <f t="shared" si="0"/>
        <v>Nov/25</v>
      </c>
      <c r="N4" s="62" t="str">
        <f t="shared" si="0"/>
        <v>Dez/25</v>
      </c>
    </row>
    <row r="5" spans="2:14" ht="15" customHeight="1">
      <c r="B5" s="63" t="s">
        <v>137</v>
      </c>
      <c r="C5" s="64">
        <f t="shared" ref="C5:N5" si="1">C6+C18+C25+C29</f>
        <v>0</v>
      </c>
      <c r="D5" s="64">
        <f t="shared" si="1"/>
        <v>16290.220000000001</v>
      </c>
      <c r="E5" s="64">
        <f t="shared" si="1"/>
        <v>14482.45</v>
      </c>
      <c r="F5" s="64">
        <f t="shared" si="1"/>
        <v>17591.649999999998</v>
      </c>
      <c r="G5" s="64">
        <f t="shared" si="1"/>
        <v>16428.446666666667</v>
      </c>
      <c r="H5" s="64">
        <f t="shared" si="1"/>
        <v>0</v>
      </c>
      <c r="I5" s="64">
        <f t="shared" si="1"/>
        <v>0</v>
      </c>
      <c r="J5" s="64">
        <f t="shared" si="1"/>
        <v>0</v>
      </c>
      <c r="K5" s="64">
        <f t="shared" si="1"/>
        <v>0</v>
      </c>
      <c r="L5" s="64">
        <f t="shared" si="1"/>
        <v>0</v>
      </c>
      <c r="M5" s="64">
        <f t="shared" si="1"/>
        <v>0</v>
      </c>
      <c r="N5" s="64">
        <f t="shared" si="1"/>
        <v>0</v>
      </c>
    </row>
    <row r="6" spans="2:14">
      <c r="B6" s="24" t="s">
        <v>138</v>
      </c>
      <c r="C6" s="36">
        <f t="shared" ref="C6:N6" si="2">SUM(C7:C17)</f>
        <v>0</v>
      </c>
      <c r="D6" s="36">
        <f t="shared" si="2"/>
        <v>2744.1099999999997</v>
      </c>
      <c r="E6" s="36">
        <f t="shared" si="2"/>
        <v>2981.2700000000004</v>
      </c>
      <c r="F6" s="36">
        <f t="shared" si="2"/>
        <v>3440.7999999999997</v>
      </c>
      <c r="G6" s="36">
        <f t="shared" si="2"/>
        <v>3268.7266666666669</v>
      </c>
      <c r="H6" s="36">
        <f t="shared" si="2"/>
        <v>0</v>
      </c>
      <c r="I6" s="36">
        <f t="shared" si="2"/>
        <v>0</v>
      </c>
      <c r="J6" s="36">
        <f t="shared" si="2"/>
        <v>0</v>
      </c>
      <c r="K6" s="36">
        <f t="shared" si="2"/>
        <v>0</v>
      </c>
      <c r="L6" s="36">
        <f t="shared" si="2"/>
        <v>0</v>
      </c>
      <c r="M6" s="36">
        <f t="shared" si="2"/>
        <v>0</v>
      </c>
      <c r="N6" s="36">
        <f t="shared" si="2"/>
        <v>0</v>
      </c>
    </row>
    <row r="7" spans="2:14">
      <c r="B7" s="65" t="s">
        <v>266</v>
      </c>
      <c r="C7" s="36"/>
      <c r="D7" s="53">
        <f>SUMIFS(Registro!$I:$I,Registro!$E:$E,$B$5,Registro!$F:$F,$B$6,Registro!$G:$G,$B7,Registro!$O:$O,D$4)</f>
        <v>2000</v>
      </c>
      <c r="E7" s="53">
        <f>SUMIFS(Registro!$I:$I,Registro!$E:$E,$B$5,Registro!$F:$F,$B$6,Registro!$G:$G,$B7,Registro!$O:$O,E$4)</f>
        <v>2000</v>
      </c>
      <c r="F7" s="53">
        <f>SUMIFS(Registro!$I:$I,Registro!$E:$E,$B$5,Registro!$F:$F,$B$6,Registro!$G:$G,$B7,Registro!$O:$O,F$4)</f>
        <v>2000</v>
      </c>
      <c r="G7" s="36">
        <f>AVERAGE(D7:F7)</f>
        <v>2000</v>
      </c>
      <c r="H7" s="36"/>
      <c r="I7" s="36"/>
      <c r="J7" s="36"/>
      <c r="K7" s="36"/>
      <c r="L7" s="36"/>
      <c r="M7" s="36"/>
      <c r="N7" s="36"/>
    </row>
    <row r="8" spans="2:14">
      <c r="B8" s="65" t="s">
        <v>145</v>
      </c>
      <c r="C8" s="36"/>
      <c r="D8" s="53">
        <f>SUMIFS(Registro!$I:$I,Registro!$E:$E,$B$5,Registro!$F:$F,$B$6,Registro!$G:$G,$B8,Registro!$O:$O,D$4)</f>
        <v>0</v>
      </c>
      <c r="E8" s="53">
        <f>SUMIFS(Registro!$I:$I,Registro!$E:$E,$B$5,Registro!$F:$F,$B$6,Registro!$G:$G,$B8,Registro!$O:$O,E$4)</f>
        <v>86.52</v>
      </c>
      <c r="F8" s="53">
        <f>SUMIFS(Registro!$I:$I,Registro!$E:$E,$B$5,Registro!$F:$F,$B$6,Registro!$G:$G,$B8,Registro!$O:$O,F$4)</f>
        <v>172.23</v>
      </c>
      <c r="G8" s="36">
        <f t="shared" ref="G8:G34" si="3">AVERAGE(D8:F8)</f>
        <v>86.25</v>
      </c>
      <c r="H8" s="36"/>
      <c r="I8" s="36"/>
      <c r="J8" s="36"/>
      <c r="K8" s="36"/>
      <c r="L8" s="36"/>
      <c r="M8" s="36"/>
      <c r="N8" s="36"/>
    </row>
    <row r="9" spans="2:14">
      <c r="B9" s="65" t="s">
        <v>338</v>
      </c>
      <c r="C9" s="36"/>
      <c r="D9" s="53">
        <f>SUMIFS(Registro!$I:$I,Registro!$E:$E,$B$5,Registro!$F:$F,$B$6,Registro!$G:$G,$B9,Registro!$O:$O,D$4)</f>
        <v>41.22</v>
      </c>
      <c r="E9" s="53">
        <f>SUMIFS(Registro!$I:$I,Registro!$E:$E,$B$5,Registro!$F:$F,$B$6,Registro!$G:$G,$B9,Registro!$O:$O,E$4)</f>
        <v>160.13</v>
      </c>
      <c r="F9" s="53">
        <f>SUMIFS(Registro!$I:$I,Registro!$E:$E,$B$5,Registro!$F:$F,$B$6,Registro!$G:$G,$B9,Registro!$O:$O,F$4)</f>
        <v>171.72</v>
      </c>
      <c r="G9" s="36">
        <f t="shared" si="3"/>
        <v>124.35666666666667</v>
      </c>
      <c r="H9" s="36"/>
      <c r="I9" s="36"/>
      <c r="J9" s="36"/>
      <c r="K9" s="36"/>
      <c r="L9" s="36"/>
      <c r="M9" s="36"/>
      <c r="N9" s="36"/>
    </row>
    <row r="10" spans="2:14">
      <c r="B10" s="65" t="s">
        <v>339</v>
      </c>
      <c r="C10" s="36"/>
      <c r="D10" s="53">
        <f>SUMIFS(Registro!$I:$I,Registro!$E:$E,$B$5,Registro!$F:$F,$B$6,Registro!$G:$G,$B10,Registro!$O:$O,D$4)</f>
        <v>27.9</v>
      </c>
      <c r="E10" s="53">
        <f>SUMIFS(Registro!$I:$I,Registro!$E:$E,$B$5,Registro!$F:$F,$B$6,Registro!$G:$G,$B10,Registro!$O:$O,E$4)</f>
        <v>106.80000000000001</v>
      </c>
      <c r="F10" s="53">
        <f>SUMIFS(Registro!$I:$I,Registro!$E:$E,$B$5,Registro!$F:$F,$B$6,Registro!$G:$G,$B10,Registro!$O:$O,F$4)</f>
        <v>231.16000000000003</v>
      </c>
      <c r="G10" s="36">
        <f t="shared" si="3"/>
        <v>121.95333333333333</v>
      </c>
      <c r="H10" s="36"/>
      <c r="I10" s="36"/>
      <c r="J10" s="36"/>
      <c r="K10" s="36"/>
      <c r="L10" s="36"/>
      <c r="M10" s="36"/>
      <c r="N10" s="36"/>
    </row>
    <row r="11" spans="2:14">
      <c r="B11" s="65" t="s">
        <v>141</v>
      </c>
      <c r="C11" s="36"/>
      <c r="D11" s="53">
        <f>SUMIFS(Registro!$I:$I,Registro!$E:$E,$B$5,Registro!$F:$F,$B$6,Registro!$G:$G,$B11,Registro!$O:$O,D$4)</f>
        <v>0</v>
      </c>
      <c r="E11" s="53">
        <f>SUMIFS(Registro!$I:$I,Registro!$E:$E,$B$5,Registro!$F:$F,$B$6,Registro!$G:$G,$B11,Registro!$O:$O,E$4)</f>
        <v>240</v>
      </c>
      <c r="F11" s="53">
        <f>SUMIFS(Registro!$I:$I,Registro!$E:$E,$B$5,Registro!$F:$F,$B$6,Registro!$G:$G,$B11,Registro!$O:$O,F$4)</f>
        <v>240</v>
      </c>
      <c r="G11" s="36">
        <v>240</v>
      </c>
      <c r="H11" s="36"/>
      <c r="I11" s="36"/>
      <c r="J11" s="36"/>
      <c r="K11" s="36"/>
      <c r="L11" s="36"/>
      <c r="M11" s="36"/>
      <c r="N11" s="36"/>
    </row>
    <row r="12" spans="2:14">
      <c r="B12" s="65" t="s">
        <v>147</v>
      </c>
      <c r="C12" s="36"/>
      <c r="D12" s="53">
        <f>SUMIFS(Registro!$I:$I,Registro!$E:$E,$B$5,Registro!$F:$F,$B$6,Registro!$G:$G,$B12,Registro!$O:$O,D$4)</f>
        <v>0</v>
      </c>
      <c r="E12" s="53">
        <f>SUMIFS(Registro!$I:$I,Registro!$E:$E,$B$5,Registro!$F:$F,$B$6,Registro!$G:$G,$B12,Registro!$O:$O,E$4)</f>
        <v>0</v>
      </c>
      <c r="F12" s="53">
        <f>SUMIFS(Registro!$I:$I,Registro!$E:$E,$B$5,Registro!$F:$F,$B$6,Registro!$G:$G,$B12,Registro!$O:$O,F$4)</f>
        <v>0</v>
      </c>
      <c r="G12" s="36">
        <f t="shared" si="3"/>
        <v>0</v>
      </c>
      <c r="H12" s="36"/>
      <c r="I12" s="36"/>
      <c r="J12" s="36"/>
      <c r="K12" s="36"/>
      <c r="L12" s="36"/>
      <c r="M12" s="36"/>
      <c r="N12" s="36"/>
    </row>
    <row r="13" spans="2:14">
      <c r="B13" s="65" t="s">
        <v>143</v>
      </c>
      <c r="C13" s="36"/>
      <c r="D13" s="53">
        <f>SUMIFS(Registro!$I:$I,Registro!$E:$E,$B$5,Registro!$F:$F,$B$6,Registro!$G:$G,$B13,Registro!$O:$O,D$4)</f>
        <v>100</v>
      </c>
      <c r="E13" s="53">
        <f>SUMIFS(Registro!$I:$I,Registro!$E:$E,$B$5,Registro!$F:$F,$B$6,Registro!$G:$G,$B13,Registro!$O:$O,E$4)</f>
        <v>100</v>
      </c>
      <c r="F13" s="53">
        <f>SUMIFS(Registro!$I:$I,Registro!$E:$E,$B$5,Registro!$F:$F,$B$6,Registro!$G:$G,$B13,Registro!$O:$O,F$4)</f>
        <v>215.69000000000003</v>
      </c>
      <c r="G13" s="36">
        <f t="shared" si="3"/>
        <v>138.56333333333336</v>
      </c>
      <c r="H13" s="36"/>
      <c r="I13" s="36"/>
      <c r="J13" s="36"/>
      <c r="K13" s="36"/>
      <c r="L13" s="36"/>
      <c r="M13" s="36"/>
      <c r="N13" s="36"/>
    </row>
    <row r="14" spans="2:14">
      <c r="B14" s="65" t="s">
        <v>334</v>
      </c>
      <c r="C14" s="36"/>
      <c r="D14" s="53">
        <f>SUMIFS(Registro!$I:$I,Registro!$E:$E,$B$5,Registro!$F:$F,$B$6,Registro!$G:$G,$B14,Registro!$O:$O,D$4)</f>
        <v>400</v>
      </c>
      <c r="E14" s="53">
        <f>SUMIFS(Registro!$I:$I,Registro!$E:$E,$B$5,Registro!$F:$F,$B$6,Registro!$G:$G,$B14,Registro!$O:$O,E$4)</f>
        <v>0</v>
      </c>
      <c r="F14" s="53">
        <f>SUMIFS(Registro!$I:$I,Registro!$E:$E,$B$5,Registro!$F:$F,$B$6,Registro!$G:$G,$B14,Registro!$O:$O,F$4)</f>
        <v>400</v>
      </c>
      <c r="G14" s="36">
        <v>400</v>
      </c>
      <c r="H14" s="36"/>
      <c r="I14" s="36"/>
      <c r="J14" s="36"/>
      <c r="K14" s="36"/>
      <c r="L14" s="36"/>
      <c r="M14" s="36"/>
      <c r="N14" s="36"/>
    </row>
    <row r="15" spans="2:14">
      <c r="B15" s="65" t="s">
        <v>340</v>
      </c>
      <c r="C15" s="36"/>
      <c r="D15" s="53">
        <f>SUMIFS(Registro!$I:$I,Registro!$E:$E,$B$5,Registro!$F:$F,$B$6,Registro!$G:$G,$B15,Registro!$O:$O,D$4)</f>
        <v>130</v>
      </c>
      <c r="E15" s="53">
        <f>SUMIFS(Registro!$I:$I,Registro!$E:$E,$B$5,Registro!$F:$F,$B$6,Registro!$G:$G,$B15,Registro!$O:$O,E$4)</f>
        <v>29.92</v>
      </c>
      <c r="F15" s="53">
        <f>SUMIFS(Registro!$I:$I,Registro!$E:$E,$B$5,Registro!$F:$F,$B$6,Registro!$G:$G,$B15,Registro!$O:$O,F$4)</f>
        <v>0</v>
      </c>
      <c r="G15" s="36">
        <f t="shared" si="3"/>
        <v>53.306666666666672</v>
      </c>
      <c r="H15" s="36"/>
      <c r="I15" s="36"/>
      <c r="J15" s="36"/>
      <c r="K15" s="36"/>
      <c r="L15" s="36"/>
      <c r="M15" s="36"/>
      <c r="N15" s="36"/>
    </row>
    <row r="16" spans="2:14">
      <c r="B16" s="65" t="s">
        <v>312</v>
      </c>
      <c r="C16" s="36"/>
      <c r="D16" s="53">
        <f>SUMIFS(Registro!$I:$I,Registro!$E:$E,$B$5,Registro!$F:$F,$B$6,Registro!$G:$G,$B16,Registro!$O:$O,D$4)</f>
        <v>14.99</v>
      </c>
      <c r="E16" s="53">
        <f>SUMIFS(Registro!$I:$I,Registro!$E:$E,$B$5,Registro!$F:$F,$B$6,Registro!$G:$G,$B16,Registro!$O:$O,E$4)</f>
        <v>0</v>
      </c>
      <c r="F16" s="53">
        <f>SUMIFS(Registro!$I:$I,Registro!$E:$E,$B$5,Registro!$F:$F,$B$6,Registro!$G:$G,$B16,Registro!$O:$O,F$4)</f>
        <v>0</v>
      </c>
      <c r="G16" s="36">
        <f t="shared" si="3"/>
        <v>4.996666666666667</v>
      </c>
      <c r="H16" s="36"/>
      <c r="I16" s="36"/>
      <c r="J16" s="36"/>
      <c r="K16" s="36"/>
      <c r="L16" s="36"/>
      <c r="M16" s="36"/>
      <c r="N16" s="36"/>
    </row>
    <row r="17" spans="2:14">
      <c r="B17" s="65" t="s">
        <v>969</v>
      </c>
      <c r="C17" s="36"/>
      <c r="D17" s="53">
        <f>SUMIFS(Registro!$I:$I,Registro!$E:$E,$B$5,Registro!$F:$F,$B$6,Registro!$G:$G,$B17,Registro!$O:$O,D$4)</f>
        <v>30</v>
      </c>
      <c r="E17" s="53">
        <f>SUMIFS(Registro!$I:$I,Registro!$E:$E,$B$5,Registro!$F:$F,$B$6,Registro!$G:$G,$B17,Registro!$O:$O,E$4)</f>
        <v>257.89999999999998</v>
      </c>
      <c r="F17" s="53">
        <f>SUMIFS(Registro!$I:$I,Registro!$E:$E,$B$5,Registro!$F:$F,$B$6,Registro!$G:$G,$B17,Registro!$O:$O,F$4)</f>
        <v>10</v>
      </c>
      <c r="G17" s="36">
        <f t="shared" si="3"/>
        <v>99.3</v>
      </c>
      <c r="H17" s="36"/>
      <c r="I17" s="36"/>
      <c r="J17" s="36"/>
      <c r="K17" s="36"/>
      <c r="L17" s="36"/>
      <c r="M17" s="36"/>
      <c r="N17" s="36"/>
    </row>
    <row r="18" spans="2:14">
      <c r="B18" s="24" t="s">
        <v>139</v>
      </c>
      <c r="C18" s="36">
        <f>SUM(C19:C24)</f>
        <v>0</v>
      </c>
      <c r="D18" s="36">
        <f t="shared" ref="D18:N18" si="4">SUM(D19:D24)</f>
        <v>9709.0400000000009</v>
      </c>
      <c r="E18" s="36">
        <f>SUM(E19:E24)</f>
        <v>9447.25</v>
      </c>
      <c r="F18" s="36">
        <f t="shared" si="4"/>
        <v>10727.519999999999</v>
      </c>
      <c r="G18" s="36">
        <f t="shared" si="4"/>
        <v>10054.943333333335</v>
      </c>
      <c r="H18" s="36">
        <f t="shared" si="4"/>
        <v>0</v>
      </c>
      <c r="I18" s="36">
        <f t="shared" si="4"/>
        <v>0</v>
      </c>
      <c r="J18" s="36">
        <f t="shared" si="4"/>
        <v>0</v>
      </c>
      <c r="K18" s="36">
        <f t="shared" si="4"/>
        <v>0</v>
      </c>
      <c r="L18" s="36">
        <f t="shared" si="4"/>
        <v>0</v>
      </c>
      <c r="M18" s="36">
        <f t="shared" si="4"/>
        <v>0</v>
      </c>
      <c r="N18" s="36">
        <f t="shared" si="4"/>
        <v>0</v>
      </c>
    </row>
    <row r="19" spans="2:14">
      <c r="B19" s="65" t="s">
        <v>333</v>
      </c>
      <c r="C19" s="36"/>
      <c r="D19" s="53">
        <f>SUMIFS(Registro!$I:$I,Registro!$E:$E,$B$5,Registro!$F:$F,$B$18,Registro!$G:$G,$B19,Registro!$O:$O,D$4)</f>
        <v>0</v>
      </c>
      <c r="E19" s="53">
        <f>SUMIFS(Registro!$I:$I,Registro!$E:$E,$B$5,Registro!$F:$F,$B$18,Registro!$G:$G,$B19,Registro!$O:$O,E$4)</f>
        <v>0</v>
      </c>
      <c r="F19" s="53">
        <f>SUMIFS(Registro!$I:$I,Registro!$E:$E,$B$5,Registro!$F:$F,$B$18,Registro!$G:$G,$B19,Registro!$O:$O,F$4)</f>
        <v>0</v>
      </c>
      <c r="G19" s="36">
        <f t="shared" si="3"/>
        <v>0</v>
      </c>
      <c r="H19" s="36"/>
      <c r="I19" s="36"/>
      <c r="J19" s="36"/>
      <c r="K19" s="36"/>
      <c r="L19" s="36"/>
      <c r="M19" s="36"/>
      <c r="N19" s="36"/>
    </row>
    <row r="20" spans="2:14">
      <c r="B20" s="65" t="s">
        <v>180</v>
      </c>
      <c r="C20" s="36"/>
      <c r="D20" s="53">
        <f>SUMIFS(Registro!$I:$I,Registro!$E:$E,$B$5,Registro!$F:$F,$B$18,Registro!$G:$G,$B20,Registro!$O:$O,D$4)</f>
        <v>0</v>
      </c>
      <c r="E20" s="53">
        <f>SUMIFS(Registro!$I:$I,Registro!$E:$E,$B$5,Registro!$F:$F,$B$18,Registro!$G:$G,$B20,Registro!$O:$O,E$4)</f>
        <v>0</v>
      </c>
      <c r="F20" s="53">
        <f>SUMIFS(Registro!$I:$I,Registro!$E:$E,$B$5,Registro!$F:$F,$B$18,Registro!$G:$G,$B20,Registro!$O:$O,F$4)</f>
        <v>0</v>
      </c>
      <c r="G20" s="36">
        <f t="shared" si="3"/>
        <v>0</v>
      </c>
      <c r="H20" s="36"/>
      <c r="I20" s="36"/>
      <c r="J20" s="36"/>
      <c r="K20" s="36"/>
      <c r="L20" s="36"/>
      <c r="M20" s="36"/>
      <c r="N20" s="36"/>
    </row>
    <row r="21" spans="2:14">
      <c r="B21" s="65" t="s">
        <v>337</v>
      </c>
      <c r="C21" s="36"/>
      <c r="D21" s="53">
        <f>SUMIFS(Registro!$I:$I,Registro!$E:$E,$B$5,Registro!$F:$F,$B$18,Registro!$G:$G,$B21,Registro!$O:$O,D$4)</f>
        <v>200</v>
      </c>
      <c r="E21" s="53">
        <f>SUMIFS(Registro!$I:$I,Registro!$E:$E,$B$5,Registro!$F:$F,$B$18,Registro!$G:$G,$B21,Registro!$O:$O,E$4)</f>
        <v>560</v>
      </c>
      <c r="F21" s="53">
        <f>SUMIFS(Registro!$I:$I,Registro!$E:$E,$B$5,Registro!$F:$F,$B$18,Registro!$G:$G,$B21,Registro!$O:$O,F$4)</f>
        <v>458.98</v>
      </c>
      <c r="G21" s="36">
        <v>500</v>
      </c>
      <c r="H21" s="36"/>
      <c r="I21" s="36"/>
      <c r="J21" s="36"/>
      <c r="K21" s="36"/>
      <c r="L21" s="36"/>
      <c r="M21" s="36"/>
      <c r="N21" s="36"/>
    </row>
    <row r="22" spans="2:14">
      <c r="B22" s="65" t="s">
        <v>336</v>
      </c>
      <c r="C22" s="36"/>
      <c r="D22" s="53">
        <f>SUMIFS(Registro!$I:$I,Registro!$E:$E,$B$5,Registro!$F:$F,$B$18,Registro!$G:$G,$B22,Registro!$O:$O,D$4)</f>
        <v>8328.25</v>
      </c>
      <c r="E22" s="53">
        <f>SUMIFS(Registro!$I:$I,Registro!$E:$E,$B$5,Registro!$F:$F,$B$18,Registro!$G:$G,$B22,Registro!$O:$O,E$4)</f>
        <v>8484.4500000000007</v>
      </c>
      <c r="F22" s="53">
        <f>SUMIFS(Registro!$I:$I,Registro!$E:$E,$B$5,Registro!$F:$F,$B$18,Registro!$G:$G,$B22,Registro!$O:$O,F$4)</f>
        <v>8885.5499999999993</v>
      </c>
      <c r="G22" s="36">
        <f t="shared" si="3"/>
        <v>8566.0833333333339</v>
      </c>
      <c r="H22" s="36"/>
      <c r="I22" s="36"/>
      <c r="J22" s="36"/>
      <c r="K22" s="36"/>
      <c r="L22" s="36"/>
      <c r="M22" s="36"/>
      <c r="N22" s="36"/>
    </row>
    <row r="23" spans="2:14">
      <c r="B23" s="65" t="s">
        <v>332</v>
      </c>
      <c r="C23" s="36"/>
      <c r="D23" s="53">
        <f>SUMIFS(Registro!$I:$I,Registro!$E:$E,$B$5,Registro!$F:$F,$B$18,Registro!$G:$G,$B23,Registro!$O:$O,D$4)</f>
        <v>296.78999999999996</v>
      </c>
      <c r="E23" s="53">
        <f>SUMIFS(Registro!$I:$I,Registro!$E:$E,$B$5,Registro!$F:$F,$B$18,Registro!$G:$G,$B23,Registro!$O:$O,E$4)</f>
        <v>402.79999999999995</v>
      </c>
      <c r="F23" s="53">
        <f>SUMIFS(Registro!$I:$I,Registro!$E:$E,$B$5,Registro!$F:$F,$B$18,Registro!$G:$G,$B23,Registro!$O:$O,F$4)</f>
        <v>451.69</v>
      </c>
      <c r="G23" s="36">
        <f t="shared" si="3"/>
        <v>383.76</v>
      </c>
      <c r="H23" s="36"/>
      <c r="I23" s="36"/>
      <c r="J23" s="36"/>
      <c r="K23" s="36"/>
      <c r="L23" s="36"/>
      <c r="M23" s="36"/>
      <c r="N23" s="36"/>
    </row>
    <row r="24" spans="2:14">
      <c r="B24" s="65" t="s">
        <v>331</v>
      </c>
      <c r="C24" s="36"/>
      <c r="D24" s="53">
        <f>SUMIFS(Registro!$I:$I,Registro!$E:$E,$B$5,Registro!$F:$F,$B$18,Registro!$G:$G,$B24,Registro!$O:$O,D$4)</f>
        <v>884</v>
      </c>
      <c r="E24" s="53">
        <f>SUMIFS(Registro!$I:$I,Registro!$E:$E,$B$5,Registro!$F:$F,$B$18,Registro!$G:$G,$B24,Registro!$O:$O,E$4)</f>
        <v>0</v>
      </c>
      <c r="F24" s="53">
        <f>SUMIFS(Registro!$I:$I,Registro!$E:$E,$B$5,Registro!$F:$F,$B$18,Registro!$G:$G,$B24,Registro!$O:$O,F$4)</f>
        <v>931.3</v>
      </c>
      <c r="G24" s="36">
        <f t="shared" si="3"/>
        <v>605.1</v>
      </c>
      <c r="H24" s="36"/>
      <c r="I24" s="36"/>
      <c r="J24" s="36"/>
      <c r="K24" s="36"/>
      <c r="L24" s="36"/>
      <c r="M24" s="36"/>
      <c r="N24" s="36"/>
    </row>
    <row r="25" spans="2:14">
      <c r="B25" s="24" t="s">
        <v>146</v>
      </c>
      <c r="C25" s="36">
        <f>SUM(C26:C28)</f>
        <v>0</v>
      </c>
      <c r="D25" s="36">
        <f t="shared" ref="D25:N25" si="5">SUM(D26:D28)</f>
        <v>3098.93</v>
      </c>
      <c r="E25" s="36">
        <f t="shared" si="5"/>
        <v>2022.93</v>
      </c>
      <c r="F25" s="36">
        <f t="shared" si="5"/>
        <v>1973.6100000000001</v>
      </c>
      <c r="G25" s="36">
        <f t="shared" si="5"/>
        <v>2365.1566666666668</v>
      </c>
      <c r="H25" s="36">
        <f t="shared" si="5"/>
        <v>0</v>
      </c>
      <c r="I25" s="36">
        <f t="shared" si="5"/>
        <v>0</v>
      </c>
      <c r="J25" s="36">
        <f t="shared" si="5"/>
        <v>0</v>
      </c>
      <c r="K25" s="36">
        <f t="shared" si="5"/>
        <v>0</v>
      </c>
      <c r="L25" s="36">
        <f t="shared" si="5"/>
        <v>0</v>
      </c>
      <c r="M25" s="36">
        <f t="shared" si="5"/>
        <v>0</v>
      </c>
      <c r="N25" s="36">
        <f t="shared" si="5"/>
        <v>0</v>
      </c>
    </row>
    <row r="26" spans="2:14">
      <c r="B26" s="65" t="s">
        <v>313</v>
      </c>
      <c r="C26" s="36"/>
      <c r="D26" s="53">
        <f>SUMIFS(Registro!$I:$I,Registro!$E:$E,$B$5,Registro!$F:$F,$B$25,Registro!$G:$G,$B26,Registro!$O:$O,D$4)</f>
        <v>0</v>
      </c>
      <c r="E26" s="53">
        <f>SUMIFS(Registro!$I:$I,Registro!$E:$E,$B$5,Registro!$F:$F,$B$25,Registro!$G:$G,$B26,Registro!$O:$O,E$4)</f>
        <v>0</v>
      </c>
      <c r="F26" s="53">
        <f>SUMIFS(Registro!$I:$I,Registro!$E:$E,$B$5,Registro!$F:$F,$B$25,Registro!$G:$G,$B26,Registro!$O:$O,F$4)</f>
        <v>0</v>
      </c>
      <c r="G26" s="36">
        <f t="shared" si="3"/>
        <v>0</v>
      </c>
      <c r="H26" s="36"/>
      <c r="I26" s="36"/>
      <c r="J26" s="36"/>
      <c r="K26" s="36"/>
      <c r="L26" s="36"/>
      <c r="M26" s="36"/>
      <c r="N26" s="36"/>
    </row>
    <row r="27" spans="2:14">
      <c r="B27" s="65" t="s">
        <v>315</v>
      </c>
      <c r="C27" s="36"/>
      <c r="D27" s="53">
        <f>SUMIFS(Registro!$I:$I,Registro!$E:$E,$B$5,Registro!$F:$F,$B$25,Registro!$G:$G,$B27,Registro!$O:$O,D$4)</f>
        <v>1470.31</v>
      </c>
      <c r="E27" s="53">
        <f>SUMIFS(Registro!$I:$I,Registro!$E:$E,$B$5,Registro!$F:$F,$B$25,Registro!$G:$G,$B27,Registro!$O:$O,E$4)</f>
        <v>734.93000000000006</v>
      </c>
      <c r="F27" s="53">
        <f>SUMIFS(Registro!$I:$I,Registro!$E:$E,$B$5,Registro!$F:$F,$B$25,Registro!$G:$G,$B27,Registro!$O:$O,F$4)</f>
        <v>806.31000000000006</v>
      </c>
      <c r="G27" s="36">
        <f t="shared" si="3"/>
        <v>1003.8499999999999</v>
      </c>
      <c r="H27" s="36"/>
      <c r="I27" s="36"/>
      <c r="J27" s="36"/>
      <c r="K27" s="36"/>
      <c r="L27" s="36"/>
      <c r="M27" s="36"/>
      <c r="N27" s="36"/>
    </row>
    <row r="28" spans="2:14">
      <c r="B28" s="65" t="s">
        <v>314</v>
      </c>
      <c r="C28" s="36"/>
      <c r="D28" s="53">
        <f>SUMIFS(Registro!$I:$I,Registro!$E:$E,$B$5,Registro!$F:$F,$B$25,Registro!$G:$G,$B28,Registro!$O:$O,D$4)</f>
        <v>1628.62</v>
      </c>
      <c r="E28" s="53">
        <f>SUMIFS(Registro!$I:$I,Registro!$E:$E,$B$5,Registro!$F:$F,$B$25,Registro!$G:$G,$B28,Registro!$O:$O,E$4)</f>
        <v>1288</v>
      </c>
      <c r="F28" s="53">
        <f>SUMIFS(Registro!$I:$I,Registro!$E:$E,$B$5,Registro!$F:$F,$B$25,Registro!$G:$G,$B28,Registro!$O:$O,F$4)</f>
        <v>1167.3</v>
      </c>
      <c r="G28" s="36">
        <f t="shared" si="3"/>
        <v>1361.3066666666666</v>
      </c>
      <c r="H28" s="36"/>
      <c r="I28" s="36"/>
      <c r="J28" s="36"/>
      <c r="K28" s="36"/>
      <c r="L28" s="36"/>
      <c r="M28" s="36"/>
      <c r="N28" s="36"/>
    </row>
    <row r="29" spans="2:14">
      <c r="B29" s="24" t="s">
        <v>967</v>
      </c>
      <c r="C29" s="36">
        <f>SUM(C30:C33)</f>
        <v>0</v>
      </c>
      <c r="D29" s="36">
        <f>SUM(D30:D33)</f>
        <v>738.14</v>
      </c>
      <c r="E29" s="36">
        <f t="shared" ref="E29:N29" si="6">SUM(E30:E33)</f>
        <v>31</v>
      </c>
      <c r="F29" s="36">
        <f t="shared" si="6"/>
        <v>1449.72</v>
      </c>
      <c r="G29" s="36">
        <f t="shared" si="6"/>
        <v>739.62</v>
      </c>
      <c r="H29" s="36">
        <f t="shared" si="6"/>
        <v>0</v>
      </c>
      <c r="I29" s="36">
        <f t="shared" si="6"/>
        <v>0</v>
      </c>
      <c r="J29" s="36">
        <f t="shared" si="6"/>
        <v>0</v>
      </c>
      <c r="K29" s="36">
        <f t="shared" si="6"/>
        <v>0</v>
      </c>
      <c r="L29" s="36">
        <f t="shared" si="6"/>
        <v>0</v>
      </c>
      <c r="M29" s="36">
        <f t="shared" si="6"/>
        <v>0</v>
      </c>
      <c r="N29" s="36">
        <f t="shared" si="6"/>
        <v>0</v>
      </c>
    </row>
    <row r="30" spans="2:14">
      <c r="B30" s="65" t="s">
        <v>144</v>
      </c>
      <c r="C30" s="36"/>
      <c r="D30" s="53">
        <f>SUMIFS(Registro!$I:$I,Registro!$E:$E,$B$5,Registro!$F:$F,$B$29,Registro!$G:$G,$B30,Registro!$O:$O,D$4)</f>
        <v>0</v>
      </c>
      <c r="E30" s="53">
        <f>SUMIFS(Registro!$I:$I,Registro!$E:$E,$B$5,Registro!$F:$F,$B$29,Registro!$G:$G,$B30,Registro!$O:$O,E$4)</f>
        <v>31</v>
      </c>
      <c r="F30" s="53">
        <f>SUMIFS(Registro!$I:$I,Registro!$E:$E,$B$5,Registro!$F:$F,$B$29,Registro!$G:$G,$B30,Registro!$O:$O,F$4)</f>
        <v>28</v>
      </c>
      <c r="G30" s="36">
        <f t="shared" si="3"/>
        <v>19.666666666666668</v>
      </c>
      <c r="H30" s="36"/>
      <c r="I30" s="36"/>
      <c r="J30" s="36"/>
      <c r="K30" s="36"/>
      <c r="L30" s="36"/>
      <c r="M30" s="36"/>
      <c r="N30" s="36"/>
    </row>
    <row r="31" spans="2:14">
      <c r="B31" s="65" t="s">
        <v>335</v>
      </c>
      <c r="C31" s="36"/>
      <c r="D31" s="53">
        <f>SUMIFS(Registro!$I:$I,Registro!$E:$E,$B$5,Registro!$F:$F,$B$29,Registro!$G:$G,$B31,Registro!$O:$O,D$4)</f>
        <v>352.19</v>
      </c>
      <c r="E31" s="53">
        <f>SUMIFS(Registro!$I:$I,Registro!$E:$E,$B$5,Registro!$F:$F,$B$29,Registro!$G:$G,$B31,Registro!$O:$O,E$4)</f>
        <v>0</v>
      </c>
      <c r="F31" s="53">
        <f>SUMIFS(Registro!$I:$I,Registro!$E:$E,$B$5,Registro!$F:$F,$B$29,Registro!$G:$G,$B31,Registro!$O:$O,F$4)</f>
        <v>1300</v>
      </c>
      <c r="G31" s="36">
        <f t="shared" si="3"/>
        <v>550.73</v>
      </c>
      <c r="H31" s="36"/>
      <c r="I31" s="36"/>
      <c r="J31" s="36"/>
      <c r="K31" s="36"/>
      <c r="L31" s="36"/>
      <c r="M31" s="36"/>
      <c r="N31" s="36"/>
    </row>
    <row r="32" spans="2:14">
      <c r="B32" s="65" t="s">
        <v>449</v>
      </c>
      <c r="C32" s="36"/>
      <c r="D32" s="53">
        <f>SUMIFS(Registro!$I:$I,Registro!$E:$E,$B$5,Registro!$F:$F,$B$29,Registro!$G:$G,$B32,Registro!$O:$O,D$4)</f>
        <v>129</v>
      </c>
      <c r="E32" s="53">
        <f>SUMIFS(Registro!$I:$I,Registro!$E:$E,$B$5,Registro!$F:$F,$B$29,Registro!$G:$G,$B32,Registro!$O:$O,E$4)</f>
        <v>0</v>
      </c>
      <c r="F32" s="53">
        <f>SUMIFS(Registro!$I:$I,Registro!$E:$E,$B$5,Registro!$F:$F,$B$29,Registro!$G:$G,$B32,Registro!$O:$O,F$4)</f>
        <v>21.98</v>
      </c>
      <c r="G32" s="36">
        <f t="shared" si="3"/>
        <v>50.326666666666661</v>
      </c>
      <c r="H32" s="36"/>
      <c r="I32" s="36"/>
      <c r="J32" s="36"/>
      <c r="K32" s="36"/>
      <c r="L32" s="36"/>
      <c r="M32" s="36"/>
      <c r="N32" s="36"/>
    </row>
    <row r="33" spans="2:14">
      <c r="B33" s="65" t="s">
        <v>968</v>
      </c>
      <c r="C33" s="36"/>
      <c r="D33" s="53">
        <f>SUMIFS(Registro!$I:$I,Registro!$E:$E,$B$5,Registro!$F:$F,$B$29,Registro!$G:$G,$B33,Registro!$O:$O,D$4)</f>
        <v>256.95</v>
      </c>
      <c r="E33" s="53">
        <f>SUMIFS(Registro!$I:$I,Registro!$E:$E,$B$5,Registro!$F:$F,$B$29,Registro!$G:$G,$B33,Registro!$O:$O,E$4)</f>
        <v>0</v>
      </c>
      <c r="F33" s="53">
        <f>SUMIFS(Registro!$I:$I,Registro!$E:$E,$B$5,Registro!$F:$F,$B$29,Registro!$G:$G,$B33,Registro!$O:$O,F$4)</f>
        <v>99.74</v>
      </c>
      <c r="G33" s="36">
        <f t="shared" si="3"/>
        <v>118.89666666666666</v>
      </c>
      <c r="H33" s="36"/>
      <c r="I33" s="36"/>
      <c r="J33" s="36"/>
      <c r="K33" s="36"/>
      <c r="L33" s="36"/>
      <c r="M33" s="36"/>
      <c r="N33" s="36"/>
    </row>
    <row r="34" spans="2:14">
      <c r="B34" s="65" t="s">
        <v>2992</v>
      </c>
      <c r="C34" s="36"/>
      <c r="D34" s="53">
        <f>SUMIFS(Registro!$I:$I,Registro!$E:$E,$B$5,Registro!$F:$F,$B$29,Registro!$G:$G,$B34,Registro!$O:$O,D$4)</f>
        <v>0</v>
      </c>
      <c r="E34" s="53">
        <f>SUMIFS(Registro!$I:$I,Registro!$E:$E,$B$5,Registro!$F:$F,$B$29,Registro!$G:$G,$B34,Registro!$O:$O,E$4)</f>
        <v>0</v>
      </c>
      <c r="F34" s="53">
        <f>SUMIFS(Registro!$I:$I,Registro!$E:$E,$B$5,Registro!$F:$F,$B$29,Registro!$G:$G,$B34,Registro!$O:$O,F$4)</f>
        <v>784</v>
      </c>
      <c r="G34" s="36">
        <f t="shared" si="3"/>
        <v>261.33333333333331</v>
      </c>
      <c r="H34" s="36"/>
      <c r="I34" s="36"/>
      <c r="J34" s="36"/>
      <c r="K34" s="36"/>
      <c r="L34" s="36"/>
      <c r="M34" s="36"/>
      <c r="N34" s="36"/>
    </row>
  </sheetData>
  <mergeCells count="1">
    <mergeCell ref="B3:B4"/>
  </mergeCells>
  <pageMargins left="0.511811024" right="0.511811024" top="0.78740157499999996" bottom="0.78740157499999996" header="0.31496062000000002" footer="0.31496062000000002"/>
  <pageSetup paperSize="9"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3B0F-F580-4AC6-B664-B12647B39D0D}">
  <sheetPr>
    <pageSetUpPr fitToPage="1"/>
  </sheetPr>
  <dimension ref="B2:Z67"/>
  <sheetViews>
    <sheetView showGridLines="0" topLeftCell="R46" zoomScaleNormal="100" workbookViewId="0">
      <selection activeCell="V30" sqref="V30"/>
    </sheetView>
  </sheetViews>
  <sheetFormatPr defaultRowHeight="15"/>
  <cols>
    <col min="2" max="2" width="18.5703125" bestFit="1" customWidth="1"/>
    <col min="3" max="3" width="23.140625" bestFit="1" customWidth="1"/>
    <col min="6" max="6" width="13.85546875" bestFit="1" customWidth="1"/>
    <col min="7" max="7" width="22.140625" bestFit="1" customWidth="1"/>
    <col min="8" max="8" width="25" bestFit="1" customWidth="1"/>
    <col min="9" max="9" width="17.85546875" bestFit="1" customWidth="1"/>
    <col min="10" max="10" width="9" bestFit="1" customWidth="1"/>
    <col min="13" max="13" width="44" bestFit="1" customWidth="1"/>
    <col min="14" max="14" width="24.7109375" bestFit="1" customWidth="1"/>
    <col min="15" max="15" width="24" bestFit="1" customWidth="1"/>
    <col min="16" max="16" width="24.28515625" bestFit="1" customWidth="1"/>
    <col min="17" max="17" width="24" bestFit="1" customWidth="1"/>
    <col min="18" max="18" width="38" bestFit="1" customWidth="1"/>
    <col min="21" max="21" width="13.85546875" bestFit="1" customWidth="1"/>
    <col min="22" max="22" width="44" bestFit="1" customWidth="1"/>
    <col min="23" max="23" width="27.85546875" style="5" bestFit="1" customWidth="1"/>
  </cols>
  <sheetData>
    <row r="2" spans="2:23">
      <c r="B2" s="6" t="s">
        <v>142</v>
      </c>
      <c r="C2" s="6" t="s">
        <v>136</v>
      </c>
      <c r="D2" s="6" t="s">
        <v>135</v>
      </c>
      <c r="E2" s="6" t="s">
        <v>311</v>
      </c>
      <c r="F2" s="6" t="s">
        <v>137</v>
      </c>
      <c r="G2" s="6" t="s">
        <v>138</v>
      </c>
      <c r="H2" s="6" t="s">
        <v>139</v>
      </c>
      <c r="I2" s="6" t="s">
        <v>148</v>
      </c>
      <c r="M2" s="6" t="s">
        <v>342</v>
      </c>
      <c r="N2" s="6" t="s">
        <v>341</v>
      </c>
      <c r="O2" s="6" t="s">
        <v>343</v>
      </c>
      <c r="P2" s="6" t="s">
        <v>344</v>
      </c>
      <c r="Q2" s="6" t="s">
        <v>345</v>
      </c>
      <c r="R2" s="6" t="s">
        <v>347</v>
      </c>
      <c r="T2" s="28" t="s">
        <v>174</v>
      </c>
      <c r="U2" s="28" t="s">
        <v>1287</v>
      </c>
      <c r="V2" s="6" t="s">
        <v>1286</v>
      </c>
      <c r="W2" s="31" t="s">
        <v>1285</v>
      </c>
    </row>
    <row r="3" spans="2:23">
      <c r="B3" s="7" t="s">
        <v>135</v>
      </c>
      <c r="C3" s="7" t="s">
        <v>2</v>
      </c>
      <c r="D3" s="7" t="s">
        <v>1</v>
      </c>
      <c r="E3" s="7" t="s">
        <v>1</v>
      </c>
      <c r="F3" s="7" t="s">
        <v>138</v>
      </c>
      <c r="G3" s="7" t="s">
        <v>266</v>
      </c>
      <c r="H3" s="7" t="s">
        <v>333</v>
      </c>
      <c r="I3" s="7" t="s">
        <v>252</v>
      </c>
      <c r="M3" s="9" t="s">
        <v>160</v>
      </c>
      <c r="N3" s="9" t="s">
        <v>507</v>
      </c>
      <c r="O3" s="9" t="s">
        <v>336</v>
      </c>
      <c r="P3" s="10" t="s">
        <v>334</v>
      </c>
      <c r="Q3" s="9" t="s">
        <v>144</v>
      </c>
      <c r="R3" s="9" t="s">
        <v>337</v>
      </c>
      <c r="T3" s="9" t="s">
        <v>149</v>
      </c>
      <c r="U3" s="9" t="s">
        <v>151</v>
      </c>
      <c r="V3" s="9" t="s">
        <v>160</v>
      </c>
      <c r="W3" s="9" t="s">
        <v>342</v>
      </c>
    </row>
    <row r="4" spans="2:23">
      <c r="B4" s="7" t="s">
        <v>136</v>
      </c>
      <c r="C4" s="7" t="s">
        <v>255</v>
      </c>
      <c r="D4" s="7" t="s">
        <v>3</v>
      </c>
      <c r="E4" s="7" t="s">
        <v>3</v>
      </c>
      <c r="F4" s="7" t="s">
        <v>139</v>
      </c>
      <c r="G4" s="7" t="s">
        <v>145</v>
      </c>
      <c r="H4" s="7" t="s">
        <v>180</v>
      </c>
      <c r="I4" s="7" t="s">
        <v>253</v>
      </c>
      <c r="M4" s="9" t="s">
        <v>161</v>
      </c>
      <c r="N4" s="9" t="s">
        <v>472</v>
      </c>
      <c r="O4" s="9" t="s">
        <v>332</v>
      </c>
      <c r="P4" s="10" t="s">
        <v>346</v>
      </c>
      <c r="Q4" s="9" t="s">
        <v>338</v>
      </c>
      <c r="R4" s="9" t="s">
        <v>143</v>
      </c>
      <c r="T4" s="9" t="s">
        <v>149</v>
      </c>
      <c r="U4" s="9" t="s">
        <v>151</v>
      </c>
      <c r="V4" s="9" t="s">
        <v>161</v>
      </c>
      <c r="W4" s="9" t="s">
        <v>342</v>
      </c>
    </row>
    <row r="5" spans="2:23">
      <c r="B5" s="7" t="s">
        <v>307</v>
      </c>
      <c r="D5" s="7" t="s">
        <v>4</v>
      </c>
      <c r="E5" s="7" t="s">
        <v>4</v>
      </c>
      <c r="F5" s="7" t="s">
        <v>140</v>
      </c>
      <c r="G5" s="7" t="s">
        <v>338</v>
      </c>
      <c r="H5" s="7" t="s">
        <v>337</v>
      </c>
      <c r="I5" s="7" t="s">
        <v>329</v>
      </c>
      <c r="M5" s="9" t="s">
        <v>162</v>
      </c>
      <c r="N5" s="9" t="s">
        <v>508</v>
      </c>
      <c r="O5" s="9" t="s">
        <v>331</v>
      </c>
      <c r="P5" s="10" t="s">
        <v>180</v>
      </c>
      <c r="Q5" s="9" t="s">
        <v>145</v>
      </c>
      <c r="R5" s="9" t="s">
        <v>340</v>
      </c>
      <c r="T5" s="9" t="s">
        <v>149</v>
      </c>
      <c r="U5" s="9" t="s">
        <v>151</v>
      </c>
      <c r="V5" s="9" t="s">
        <v>162</v>
      </c>
      <c r="W5" s="9" t="s">
        <v>342</v>
      </c>
    </row>
    <row r="6" spans="2:23">
      <c r="B6" s="7" t="s">
        <v>311</v>
      </c>
      <c r="D6" s="7" t="s">
        <v>173</v>
      </c>
      <c r="E6" s="7" t="s">
        <v>173</v>
      </c>
      <c r="F6" s="7" t="s">
        <v>146</v>
      </c>
      <c r="G6" s="7" t="s">
        <v>339</v>
      </c>
      <c r="H6" s="7" t="s">
        <v>336</v>
      </c>
      <c r="M6" s="9" t="s">
        <v>163</v>
      </c>
      <c r="N6" s="9" t="s">
        <v>509</v>
      </c>
      <c r="O6" s="9" t="s">
        <v>333</v>
      </c>
      <c r="P6" s="5"/>
      <c r="Q6" s="9" t="s">
        <v>147</v>
      </c>
      <c r="R6" s="9" t="s">
        <v>339</v>
      </c>
      <c r="T6" s="9" t="s">
        <v>149</v>
      </c>
      <c r="U6" s="9" t="s">
        <v>151</v>
      </c>
      <c r="V6" s="9" t="s">
        <v>163</v>
      </c>
      <c r="W6" s="9" t="s">
        <v>342</v>
      </c>
    </row>
    <row r="7" spans="2:23">
      <c r="D7" s="7" t="s">
        <v>255</v>
      </c>
      <c r="E7" s="7" t="s">
        <v>255</v>
      </c>
      <c r="G7" s="7" t="s">
        <v>141</v>
      </c>
      <c r="H7" s="7" t="s">
        <v>332</v>
      </c>
      <c r="M7" s="9" t="s">
        <v>164</v>
      </c>
      <c r="N7" s="9" t="s">
        <v>510</v>
      </c>
      <c r="O7" s="9" t="s">
        <v>266</v>
      </c>
      <c r="P7" s="5"/>
      <c r="Q7" s="9" t="s">
        <v>141</v>
      </c>
      <c r="R7" s="5"/>
      <c r="T7" s="9" t="s">
        <v>149</v>
      </c>
      <c r="U7" s="9" t="s">
        <v>151</v>
      </c>
      <c r="V7" s="9" t="s">
        <v>165</v>
      </c>
      <c r="W7" s="9" t="s">
        <v>342</v>
      </c>
    </row>
    <row r="8" spans="2:23">
      <c r="G8" s="7" t="s">
        <v>147</v>
      </c>
      <c r="H8" s="8" t="s">
        <v>331</v>
      </c>
      <c r="M8" s="9" t="s">
        <v>165</v>
      </c>
      <c r="N8" s="9" t="s">
        <v>511</v>
      </c>
      <c r="O8" s="9" t="s">
        <v>330</v>
      </c>
      <c r="P8" s="5"/>
      <c r="Q8" s="5"/>
      <c r="R8" s="5"/>
      <c r="T8" s="9" t="s">
        <v>149</v>
      </c>
      <c r="U8" s="9" t="s">
        <v>151</v>
      </c>
      <c r="V8" s="9" t="s">
        <v>166</v>
      </c>
      <c r="W8" s="9" t="s">
        <v>342</v>
      </c>
    </row>
    <row r="9" spans="2:23">
      <c r="G9" s="7" t="s">
        <v>143</v>
      </c>
      <c r="M9" s="9" t="s">
        <v>166</v>
      </c>
      <c r="N9" s="9" t="s">
        <v>512</v>
      </c>
      <c r="O9" s="5"/>
      <c r="P9" s="5"/>
      <c r="Q9" s="5"/>
      <c r="R9" s="5"/>
      <c r="T9" s="9" t="s">
        <v>149</v>
      </c>
      <c r="U9" s="9" t="s">
        <v>151</v>
      </c>
      <c r="V9" s="9" t="s">
        <v>167</v>
      </c>
      <c r="W9" s="9" t="s">
        <v>342</v>
      </c>
    </row>
    <row r="10" spans="2:23">
      <c r="G10" s="7" t="s">
        <v>144</v>
      </c>
      <c r="M10" s="9" t="s">
        <v>167</v>
      </c>
      <c r="N10" s="9" t="s">
        <v>513</v>
      </c>
      <c r="O10" s="5"/>
      <c r="P10" s="5"/>
      <c r="Q10" s="5"/>
      <c r="R10" s="5"/>
      <c r="T10" s="9" t="s">
        <v>149</v>
      </c>
      <c r="U10" s="9" t="s">
        <v>151</v>
      </c>
      <c r="V10" s="9" t="s">
        <v>1046</v>
      </c>
      <c r="W10" s="9" t="s">
        <v>342</v>
      </c>
    </row>
    <row r="11" spans="2:23">
      <c r="G11" s="7" t="s">
        <v>335</v>
      </c>
      <c r="M11" s="9" t="s">
        <v>153</v>
      </c>
      <c r="N11" s="5"/>
      <c r="O11" s="5"/>
      <c r="P11" s="5"/>
      <c r="Q11" s="5"/>
      <c r="R11" s="5"/>
      <c r="T11" s="9" t="s">
        <v>149</v>
      </c>
      <c r="U11" s="9" t="s">
        <v>151</v>
      </c>
      <c r="V11" s="9" t="s">
        <v>353</v>
      </c>
      <c r="W11" s="9" t="s">
        <v>342</v>
      </c>
    </row>
    <row r="12" spans="2:23">
      <c r="G12" s="7" t="s">
        <v>334</v>
      </c>
      <c r="M12" s="9" t="s">
        <v>154</v>
      </c>
      <c r="N12" s="5"/>
      <c r="O12" s="5"/>
      <c r="P12" s="5"/>
      <c r="Q12" s="5"/>
      <c r="R12" s="5"/>
      <c r="T12" s="9" t="s">
        <v>149</v>
      </c>
      <c r="U12" s="9" t="s">
        <v>151</v>
      </c>
      <c r="V12" s="9" t="s">
        <v>305</v>
      </c>
      <c r="W12" s="9" t="s">
        <v>342</v>
      </c>
    </row>
    <row r="13" spans="2:23">
      <c r="G13" s="7" t="s">
        <v>340</v>
      </c>
      <c r="M13" s="9" t="s">
        <v>155</v>
      </c>
      <c r="N13" s="5"/>
      <c r="O13" s="5"/>
      <c r="P13" s="5"/>
      <c r="Q13" s="5"/>
      <c r="R13" s="5"/>
      <c r="T13" s="9" t="s">
        <v>149</v>
      </c>
      <c r="U13" s="9" t="s">
        <v>151</v>
      </c>
      <c r="V13" s="9" t="s">
        <v>306</v>
      </c>
      <c r="W13" s="9" t="s">
        <v>342</v>
      </c>
    </row>
    <row r="14" spans="2:23">
      <c r="G14" s="7" t="s">
        <v>312</v>
      </c>
      <c r="M14" s="9" t="s">
        <v>156</v>
      </c>
      <c r="N14" s="5"/>
      <c r="O14" s="5"/>
      <c r="P14" s="5"/>
      <c r="Q14" s="5"/>
      <c r="R14" s="5"/>
      <c r="T14" s="9" t="s">
        <v>149</v>
      </c>
      <c r="U14" s="9" t="s">
        <v>151</v>
      </c>
      <c r="V14" s="9" t="s">
        <v>352</v>
      </c>
      <c r="W14" s="9" t="s">
        <v>342</v>
      </c>
    </row>
    <row r="15" spans="2:23">
      <c r="M15" s="9" t="s">
        <v>157</v>
      </c>
      <c r="N15" s="5"/>
      <c r="O15" s="5"/>
      <c r="P15" s="5"/>
      <c r="Q15" s="5"/>
      <c r="R15" s="5"/>
      <c r="T15" s="9" t="s">
        <v>149</v>
      </c>
      <c r="U15" s="9" t="s">
        <v>151</v>
      </c>
      <c r="V15" s="9" t="s">
        <v>154</v>
      </c>
      <c r="W15" s="9" t="s">
        <v>342</v>
      </c>
    </row>
    <row r="16" spans="2:23">
      <c r="B16" s="6" t="s">
        <v>149</v>
      </c>
      <c r="C16" s="6" t="s">
        <v>151</v>
      </c>
      <c r="D16" s="73" t="s">
        <v>150</v>
      </c>
      <c r="E16" s="73"/>
      <c r="F16" s="73"/>
      <c r="G16" s="73" t="s">
        <v>152</v>
      </c>
      <c r="H16" s="73"/>
      <c r="I16" s="6" t="s">
        <v>146</v>
      </c>
      <c r="M16" s="9" t="s">
        <v>158</v>
      </c>
      <c r="N16" s="5"/>
      <c r="O16" s="5"/>
      <c r="P16" s="5"/>
      <c r="Q16" s="5"/>
      <c r="R16" s="5"/>
      <c r="T16" s="9" t="s">
        <v>149</v>
      </c>
      <c r="U16" s="9" t="s">
        <v>151</v>
      </c>
      <c r="V16" s="9" t="s">
        <v>156</v>
      </c>
      <c r="W16" s="9" t="s">
        <v>342</v>
      </c>
    </row>
    <row r="17" spans="2:23">
      <c r="B17" s="7" t="s">
        <v>151</v>
      </c>
      <c r="C17" s="7" t="s">
        <v>160</v>
      </c>
      <c r="D17" s="72" t="s">
        <v>168</v>
      </c>
      <c r="E17" s="72"/>
      <c r="F17" s="72"/>
      <c r="G17" s="72" t="s">
        <v>153</v>
      </c>
      <c r="H17" s="72"/>
      <c r="I17" s="7" t="s">
        <v>313</v>
      </c>
      <c r="M17" s="9" t="s">
        <v>159</v>
      </c>
      <c r="N17" s="5"/>
      <c r="O17" s="5"/>
      <c r="P17" s="5"/>
      <c r="Q17" s="5"/>
      <c r="R17" s="5"/>
      <c r="T17" s="9" t="s">
        <v>149</v>
      </c>
      <c r="U17" s="9" t="s">
        <v>151</v>
      </c>
      <c r="V17" s="9" t="s">
        <v>157</v>
      </c>
      <c r="W17" s="9" t="s">
        <v>342</v>
      </c>
    </row>
    <row r="18" spans="2:23">
      <c r="B18" s="7" t="s">
        <v>150</v>
      </c>
      <c r="C18" s="7" t="s">
        <v>161</v>
      </c>
      <c r="D18" s="72" t="s">
        <v>169</v>
      </c>
      <c r="E18" s="72"/>
      <c r="F18" s="72"/>
      <c r="G18" s="72" t="s">
        <v>154</v>
      </c>
      <c r="H18" s="72"/>
      <c r="I18" s="7" t="s">
        <v>315</v>
      </c>
      <c r="M18" s="9" t="s">
        <v>217</v>
      </c>
      <c r="N18" s="5"/>
      <c r="O18" s="5"/>
      <c r="P18" s="5"/>
      <c r="Q18" s="5"/>
      <c r="R18" s="5"/>
      <c r="T18" s="9" t="s">
        <v>149</v>
      </c>
      <c r="U18" s="9" t="s">
        <v>151</v>
      </c>
      <c r="V18" s="9" t="s">
        <v>158</v>
      </c>
      <c r="W18" s="9" t="s">
        <v>342</v>
      </c>
    </row>
    <row r="19" spans="2:23">
      <c r="B19" s="7" t="s">
        <v>152</v>
      </c>
      <c r="C19" s="7" t="s">
        <v>162</v>
      </c>
      <c r="D19" s="72" t="s">
        <v>170</v>
      </c>
      <c r="E19" s="72"/>
      <c r="F19" s="72"/>
      <c r="G19" s="72" t="s">
        <v>155</v>
      </c>
      <c r="H19" s="72"/>
      <c r="I19" s="7" t="s">
        <v>314</v>
      </c>
      <c r="M19" s="9" t="s">
        <v>265</v>
      </c>
      <c r="N19" s="5"/>
      <c r="O19" s="5"/>
      <c r="P19" s="5"/>
      <c r="Q19" s="5"/>
      <c r="R19" s="5"/>
      <c r="T19" s="9" t="s">
        <v>149</v>
      </c>
      <c r="U19" s="9" t="s">
        <v>151</v>
      </c>
      <c r="V19" s="9" t="s">
        <v>159</v>
      </c>
      <c r="W19" s="9" t="s">
        <v>342</v>
      </c>
    </row>
    <row r="20" spans="2:23">
      <c r="C20" s="7" t="s">
        <v>163</v>
      </c>
      <c r="D20" s="72" t="s">
        <v>172</v>
      </c>
      <c r="E20" s="72"/>
      <c r="F20" s="72"/>
      <c r="G20" s="72" t="s">
        <v>156</v>
      </c>
      <c r="H20" s="72"/>
      <c r="I20" s="7"/>
      <c r="M20" s="9" t="s">
        <v>308</v>
      </c>
      <c r="N20" s="5"/>
      <c r="O20" s="5"/>
      <c r="P20" s="5"/>
      <c r="Q20" s="5"/>
      <c r="R20" s="5"/>
      <c r="T20" s="9" t="s">
        <v>149</v>
      </c>
      <c r="U20" s="9" t="s">
        <v>151</v>
      </c>
      <c r="V20" s="9" t="s">
        <v>153</v>
      </c>
      <c r="W20" s="9" t="s">
        <v>342</v>
      </c>
    </row>
    <row r="21" spans="2:23">
      <c r="C21" s="7" t="s">
        <v>164</v>
      </c>
      <c r="D21" s="72" t="s">
        <v>171</v>
      </c>
      <c r="E21" s="72"/>
      <c r="F21" s="72"/>
      <c r="G21" s="72" t="s">
        <v>157</v>
      </c>
      <c r="H21" s="72"/>
      <c r="M21" s="9" t="s">
        <v>305</v>
      </c>
      <c r="N21" s="5"/>
      <c r="O21" s="5"/>
      <c r="P21" s="5"/>
      <c r="Q21" s="5"/>
      <c r="R21" s="5"/>
      <c r="T21" s="9" t="s">
        <v>149</v>
      </c>
      <c r="U21" s="9" t="s">
        <v>151</v>
      </c>
      <c r="V21" s="9" t="s">
        <v>304</v>
      </c>
      <c r="W21" s="9" t="s">
        <v>342</v>
      </c>
    </row>
    <row r="22" spans="2:23">
      <c r="C22" s="7" t="s">
        <v>167</v>
      </c>
      <c r="D22" s="72" t="s">
        <v>309</v>
      </c>
      <c r="E22" s="72"/>
      <c r="F22" s="72"/>
      <c r="G22" s="72" t="s">
        <v>217</v>
      </c>
      <c r="H22" s="72"/>
      <c r="T22" s="9" t="s">
        <v>149</v>
      </c>
      <c r="U22" s="7" t="s">
        <v>150</v>
      </c>
      <c r="V22" s="9" t="s">
        <v>507</v>
      </c>
      <c r="W22" s="9" t="s">
        <v>341</v>
      </c>
    </row>
    <row r="23" spans="2:23">
      <c r="G23" s="72" t="s">
        <v>265</v>
      </c>
      <c r="H23" s="72"/>
      <c r="T23" s="9" t="s">
        <v>149</v>
      </c>
      <c r="U23" s="7" t="s">
        <v>150</v>
      </c>
      <c r="V23" s="9" t="s">
        <v>472</v>
      </c>
      <c r="W23" s="9" t="s">
        <v>341</v>
      </c>
    </row>
    <row r="24" spans="2:23">
      <c r="G24" s="72" t="s">
        <v>308</v>
      </c>
      <c r="H24" s="72"/>
      <c r="T24" s="9" t="s">
        <v>149</v>
      </c>
      <c r="U24" s="7" t="s">
        <v>150</v>
      </c>
      <c r="V24" s="9" t="s">
        <v>508</v>
      </c>
      <c r="W24" s="9" t="s">
        <v>341</v>
      </c>
    </row>
    <row r="25" spans="2:23">
      <c r="G25" s="72" t="s">
        <v>305</v>
      </c>
      <c r="H25" s="72"/>
      <c r="T25" s="9" t="s">
        <v>149</v>
      </c>
      <c r="U25" s="7" t="s">
        <v>150</v>
      </c>
      <c r="V25" s="9" t="s">
        <v>509</v>
      </c>
      <c r="W25" s="9" t="s">
        <v>341</v>
      </c>
    </row>
    <row r="26" spans="2:23">
      <c r="G26" s="72" t="s">
        <v>306</v>
      </c>
      <c r="H26" s="72"/>
      <c r="T26" s="9" t="s">
        <v>149</v>
      </c>
      <c r="U26" s="7" t="s">
        <v>150</v>
      </c>
      <c r="V26" s="9" t="s">
        <v>510</v>
      </c>
      <c r="W26" s="9" t="s">
        <v>341</v>
      </c>
    </row>
    <row r="27" spans="2:23">
      <c r="T27" s="9" t="s">
        <v>149</v>
      </c>
      <c r="U27" s="7" t="s">
        <v>150</v>
      </c>
      <c r="V27" s="9" t="s">
        <v>511</v>
      </c>
      <c r="W27" s="9" t="s">
        <v>341</v>
      </c>
    </row>
    <row r="28" spans="2:23">
      <c r="T28" s="9" t="s">
        <v>149</v>
      </c>
      <c r="U28" s="7" t="s">
        <v>150</v>
      </c>
      <c r="V28" s="9" t="s">
        <v>512</v>
      </c>
      <c r="W28" s="9" t="s">
        <v>341</v>
      </c>
    </row>
    <row r="29" spans="2:23">
      <c r="R29" t="s">
        <v>139</v>
      </c>
      <c r="T29" s="9" t="s">
        <v>149</v>
      </c>
      <c r="U29" s="7" t="s">
        <v>150</v>
      </c>
      <c r="V29" s="9" t="s">
        <v>513</v>
      </c>
      <c r="W29" s="9" t="s">
        <v>341</v>
      </c>
    </row>
    <row r="30" spans="2:23">
      <c r="R30" t="s">
        <v>140</v>
      </c>
      <c r="T30" s="9" t="s">
        <v>149</v>
      </c>
      <c r="U30" s="9" t="s">
        <v>910</v>
      </c>
      <c r="V30" s="9" t="s">
        <v>910</v>
      </c>
      <c r="W30" s="9" t="s">
        <v>1288</v>
      </c>
    </row>
    <row r="31" spans="2:23">
      <c r="R31" t="s">
        <v>146</v>
      </c>
      <c r="T31" s="9" t="s">
        <v>149</v>
      </c>
      <c r="U31" s="9" t="s">
        <v>151</v>
      </c>
      <c r="V31" s="9" t="s">
        <v>1187</v>
      </c>
      <c r="W31" s="9" t="s">
        <v>342</v>
      </c>
    </row>
    <row r="32" spans="2:23">
      <c r="T32" s="9" t="s">
        <v>149</v>
      </c>
      <c r="U32" s="9" t="s">
        <v>151</v>
      </c>
      <c r="V32" s="9" t="s">
        <v>837</v>
      </c>
      <c r="W32" s="9" t="s">
        <v>342</v>
      </c>
    </row>
    <row r="33" spans="20:23">
      <c r="T33" s="9" t="s">
        <v>137</v>
      </c>
      <c r="U33" s="9" t="s">
        <v>139</v>
      </c>
      <c r="V33" s="9" t="s">
        <v>333</v>
      </c>
      <c r="W33" s="9" t="s">
        <v>1290</v>
      </c>
    </row>
    <row r="34" spans="20:23">
      <c r="T34" s="9" t="s">
        <v>137</v>
      </c>
      <c r="U34" s="9" t="s">
        <v>139</v>
      </c>
      <c r="V34" s="9" t="s">
        <v>180</v>
      </c>
      <c r="W34" s="9" t="s">
        <v>345</v>
      </c>
    </row>
    <row r="35" spans="20:23">
      <c r="T35" s="9" t="s">
        <v>137</v>
      </c>
      <c r="U35" s="9" t="s">
        <v>139</v>
      </c>
      <c r="V35" s="9" t="s">
        <v>337</v>
      </c>
      <c r="W35" s="9" t="s">
        <v>347</v>
      </c>
    </row>
    <row r="36" spans="20:23">
      <c r="T36" s="9" t="s">
        <v>137</v>
      </c>
      <c r="U36" s="9" t="s">
        <v>139</v>
      </c>
      <c r="V36" s="9" t="s">
        <v>336</v>
      </c>
      <c r="W36" s="9" t="s">
        <v>1290</v>
      </c>
    </row>
    <row r="37" spans="20:23">
      <c r="T37" s="9" t="s">
        <v>137</v>
      </c>
      <c r="U37" s="9" t="s">
        <v>139</v>
      </c>
      <c r="V37" s="9" t="s">
        <v>332</v>
      </c>
      <c r="W37" s="9" t="s">
        <v>1290</v>
      </c>
    </row>
    <row r="38" spans="20:23">
      <c r="T38" s="9" t="s">
        <v>137</v>
      </c>
      <c r="U38" s="9" t="s">
        <v>139</v>
      </c>
      <c r="V38" s="9" t="s">
        <v>331</v>
      </c>
      <c r="W38" s="9" t="s">
        <v>1293</v>
      </c>
    </row>
    <row r="39" spans="20:23">
      <c r="T39" s="9" t="s">
        <v>137</v>
      </c>
      <c r="U39" s="9" t="s">
        <v>146</v>
      </c>
      <c r="V39" s="9" t="s">
        <v>969</v>
      </c>
      <c r="W39" s="9" t="s">
        <v>343</v>
      </c>
    </row>
    <row r="40" spans="20:23">
      <c r="T40" s="9" t="s">
        <v>137</v>
      </c>
      <c r="U40" s="9" t="s">
        <v>146</v>
      </c>
      <c r="V40" s="9" t="s">
        <v>313</v>
      </c>
      <c r="W40" s="9" t="s">
        <v>343</v>
      </c>
    </row>
    <row r="41" spans="20:23">
      <c r="T41" s="9" t="s">
        <v>137</v>
      </c>
      <c r="U41" s="9" t="s">
        <v>146</v>
      </c>
      <c r="V41" s="9" t="s">
        <v>315</v>
      </c>
      <c r="W41" s="9" t="s">
        <v>343</v>
      </c>
    </row>
    <row r="42" spans="20:23">
      <c r="T42" s="9" t="s">
        <v>137</v>
      </c>
      <c r="U42" s="9" t="s">
        <v>146</v>
      </c>
      <c r="V42" s="9" t="s">
        <v>314</v>
      </c>
      <c r="W42" s="9" t="s">
        <v>343</v>
      </c>
    </row>
    <row r="43" spans="20:23">
      <c r="T43" s="9" t="s">
        <v>137</v>
      </c>
      <c r="U43" s="7" t="s">
        <v>138</v>
      </c>
      <c r="V43" s="9" t="s">
        <v>266</v>
      </c>
      <c r="W43" s="9" t="s">
        <v>1290</v>
      </c>
    </row>
    <row r="44" spans="20:23">
      <c r="T44" s="9" t="s">
        <v>137</v>
      </c>
      <c r="U44" s="7" t="s">
        <v>138</v>
      </c>
      <c r="V44" s="9" t="s">
        <v>145</v>
      </c>
      <c r="W44" s="9" t="s">
        <v>1292</v>
      </c>
    </row>
    <row r="45" spans="20:23">
      <c r="T45" s="9" t="s">
        <v>137</v>
      </c>
      <c r="U45" s="7" t="s">
        <v>138</v>
      </c>
      <c r="V45" s="9" t="s">
        <v>338</v>
      </c>
      <c r="W45" s="9" t="s">
        <v>345</v>
      </c>
    </row>
    <row r="46" spans="20:23">
      <c r="T46" s="9" t="s">
        <v>137</v>
      </c>
      <c r="U46" s="7" t="s">
        <v>138</v>
      </c>
      <c r="V46" s="9" t="s">
        <v>339</v>
      </c>
      <c r="W46" s="9" t="s">
        <v>347</v>
      </c>
    </row>
    <row r="47" spans="20:23">
      <c r="T47" s="9" t="s">
        <v>137</v>
      </c>
      <c r="U47" s="7" t="s">
        <v>138</v>
      </c>
      <c r="V47" s="9" t="s">
        <v>141</v>
      </c>
      <c r="W47" s="9" t="s">
        <v>1290</v>
      </c>
    </row>
    <row r="48" spans="20:23">
      <c r="T48" s="29" t="s">
        <v>137</v>
      </c>
      <c r="U48" s="7" t="s">
        <v>138</v>
      </c>
      <c r="V48" s="9" t="s">
        <v>147</v>
      </c>
      <c r="W48" s="9" t="s">
        <v>347</v>
      </c>
    </row>
    <row r="49" spans="20:26">
      <c r="T49" s="9" t="s">
        <v>137</v>
      </c>
      <c r="U49" s="7" t="s">
        <v>138</v>
      </c>
      <c r="V49" s="9" t="s">
        <v>143</v>
      </c>
      <c r="W49" s="9" t="s">
        <v>1290</v>
      </c>
    </row>
    <row r="50" spans="20:26">
      <c r="T50" s="9" t="s">
        <v>137</v>
      </c>
      <c r="U50" s="7" t="s">
        <v>138</v>
      </c>
      <c r="V50" s="9" t="s">
        <v>335</v>
      </c>
      <c r="W50" s="9" t="s">
        <v>345</v>
      </c>
    </row>
    <row r="51" spans="20:26">
      <c r="T51" s="9" t="s">
        <v>137</v>
      </c>
      <c r="U51" s="7" t="s">
        <v>138</v>
      </c>
      <c r="V51" s="9" t="s">
        <v>334</v>
      </c>
      <c r="W51" s="9" t="s">
        <v>345</v>
      </c>
    </row>
    <row r="52" spans="20:26">
      <c r="T52" s="9" t="s">
        <v>137</v>
      </c>
      <c r="U52" s="7" t="s">
        <v>138</v>
      </c>
      <c r="V52" s="9" t="s">
        <v>340</v>
      </c>
      <c r="W52" s="9" t="s">
        <v>347</v>
      </c>
    </row>
    <row r="53" spans="20:26">
      <c r="T53" s="9" t="s">
        <v>137</v>
      </c>
      <c r="U53" s="7" t="s">
        <v>138</v>
      </c>
      <c r="V53" s="9" t="s">
        <v>312</v>
      </c>
      <c r="W53" s="9" t="s">
        <v>345</v>
      </c>
    </row>
    <row r="54" spans="20:26">
      <c r="T54" s="9" t="s">
        <v>137</v>
      </c>
      <c r="U54" s="9" t="s">
        <v>140</v>
      </c>
      <c r="V54" s="9" t="s">
        <v>140</v>
      </c>
      <c r="W54" s="9" t="s">
        <v>1291</v>
      </c>
    </row>
    <row r="55" spans="20:26">
      <c r="T55" s="9" t="s">
        <v>137</v>
      </c>
      <c r="U55" s="9" t="s">
        <v>967</v>
      </c>
      <c r="V55" s="9" t="s">
        <v>144</v>
      </c>
      <c r="W55" s="9" t="s">
        <v>345</v>
      </c>
    </row>
    <row r="56" spans="20:26">
      <c r="T56" s="9" t="s">
        <v>137</v>
      </c>
      <c r="U56" s="9" t="s">
        <v>967</v>
      </c>
      <c r="V56" s="9" t="s">
        <v>335</v>
      </c>
      <c r="W56" s="9" t="s">
        <v>345</v>
      </c>
    </row>
    <row r="57" spans="20:26">
      <c r="T57" s="9" t="s">
        <v>137</v>
      </c>
      <c r="U57" s="9" t="s">
        <v>967</v>
      </c>
      <c r="V57" s="9" t="s">
        <v>449</v>
      </c>
      <c r="W57" s="9" t="s">
        <v>345</v>
      </c>
    </row>
    <row r="58" spans="20:26">
      <c r="T58" s="9" t="s">
        <v>137</v>
      </c>
      <c r="U58" s="9" t="s">
        <v>967</v>
      </c>
      <c r="V58" s="9" t="s">
        <v>968</v>
      </c>
      <c r="W58" s="9" t="s">
        <v>345</v>
      </c>
      <c r="Z58" s="9" t="s">
        <v>342</v>
      </c>
    </row>
    <row r="59" spans="20:26">
      <c r="Z59" s="9" t="s">
        <v>341</v>
      </c>
    </row>
    <row r="60" spans="20:26">
      <c r="Z60" s="9" t="s">
        <v>1288</v>
      </c>
    </row>
    <row r="61" spans="20:26">
      <c r="Z61" s="9" t="s">
        <v>1290</v>
      </c>
    </row>
    <row r="62" spans="20:26">
      <c r="Z62" s="9" t="s">
        <v>345</v>
      </c>
    </row>
    <row r="63" spans="20:26">
      <c r="Z63" s="9" t="s">
        <v>347</v>
      </c>
    </row>
    <row r="64" spans="20:26">
      <c r="Z64" s="9" t="s">
        <v>1293</v>
      </c>
    </row>
    <row r="65" spans="26:26">
      <c r="Z65" s="9" t="s">
        <v>1289</v>
      </c>
    </row>
    <row r="66" spans="26:26">
      <c r="Z66" s="9" t="s">
        <v>1292</v>
      </c>
    </row>
    <row r="67" spans="26:26">
      <c r="Z67" s="9" t="s">
        <v>1291</v>
      </c>
    </row>
  </sheetData>
  <autoFilter ref="T2:W58" xr:uid="{00DB3B0F-F580-4AC6-B664-B12647B39D0D}">
    <sortState xmlns:xlrd2="http://schemas.microsoft.com/office/spreadsheetml/2017/richdata2" ref="T3:W58">
      <sortCondition descending="1" ref="T2:T56"/>
    </sortState>
  </autoFilter>
  <mergeCells count="18">
    <mergeCell ref="D16:F16"/>
    <mergeCell ref="G16:H16"/>
    <mergeCell ref="G25:H25"/>
    <mergeCell ref="D17:F17"/>
    <mergeCell ref="G17:H17"/>
    <mergeCell ref="G26:H26"/>
    <mergeCell ref="D18:F18"/>
    <mergeCell ref="D19:F19"/>
    <mergeCell ref="D20:F20"/>
    <mergeCell ref="D21:F21"/>
    <mergeCell ref="D22:F22"/>
    <mergeCell ref="G21:H21"/>
    <mergeCell ref="G22:H22"/>
    <mergeCell ref="G23:H23"/>
    <mergeCell ref="G24:H24"/>
    <mergeCell ref="G18:H18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3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7E0E-A877-475F-8DA3-40A96419C8C6}">
  <dimension ref="A1:M17"/>
  <sheetViews>
    <sheetView showGridLines="0" showRowColHeaders="0" workbookViewId="0">
      <selection activeCell="C10" sqref="C10"/>
    </sheetView>
  </sheetViews>
  <sheetFormatPr defaultRowHeight="15"/>
  <cols>
    <col min="1" max="1" width="44" bestFit="1" customWidth="1"/>
    <col min="2" max="2" width="45.5703125" bestFit="1" customWidth="1"/>
    <col min="3" max="3" width="11" bestFit="1" customWidth="1"/>
    <col min="4" max="4" width="9.7109375" bestFit="1" customWidth="1"/>
    <col min="5" max="5" width="16.140625" bestFit="1" customWidth="1"/>
    <col min="6" max="6" width="13.140625" bestFit="1" customWidth="1"/>
    <col min="7" max="7" width="12.5703125" bestFit="1" customWidth="1"/>
    <col min="8" max="8" width="17.85546875" bestFit="1" customWidth="1"/>
    <col min="9" max="9" width="24.5703125" bestFit="1" customWidth="1"/>
    <col min="10" max="10" width="40.28515625" bestFit="1" customWidth="1"/>
    <col min="11" max="11" width="28.85546875" bestFit="1" customWidth="1"/>
    <col min="12" max="12" width="37.5703125" bestFit="1" customWidth="1"/>
    <col min="13" max="13" width="33" bestFit="1" customWidth="1"/>
  </cols>
  <sheetData>
    <row r="1" spans="1:13">
      <c r="A1" t="s">
        <v>221</v>
      </c>
      <c r="B1" t="s">
        <v>178</v>
      </c>
      <c r="C1" t="s">
        <v>222</v>
      </c>
      <c r="D1" t="s">
        <v>177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</row>
    <row r="2" spans="1:13">
      <c r="A2" t="s">
        <v>153</v>
      </c>
      <c r="B2" t="s">
        <v>232</v>
      </c>
      <c r="C2" t="s">
        <v>233</v>
      </c>
      <c r="D2" t="s">
        <v>152</v>
      </c>
      <c r="E2" t="s">
        <v>234</v>
      </c>
      <c r="F2" t="s">
        <v>235</v>
      </c>
      <c r="G2">
        <v>55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 t="s">
        <v>154</v>
      </c>
      <c r="B3" t="s">
        <v>232</v>
      </c>
      <c r="C3" t="s">
        <v>233</v>
      </c>
      <c r="D3" t="s">
        <v>152</v>
      </c>
      <c r="E3" t="s">
        <v>234</v>
      </c>
      <c r="F3" t="s">
        <v>235</v>
      </c>
      <c r="G3">
        <v>50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 t="s">
        <v>155</v>
      </c>
      <c r="B4" t="s">
        <v>232</v>
      </c>
      <c r="C4" t="s">
        <v>233</v>
      </c>
      <c r="D4" t="s">
        <v>152</v>
      </c>
      <c r="E4" t="s">
        <v>234</v>
      </c>
      <c r="F4" t="s">
        <v>235</v>
      </c>
      <c r="G4">
        <v>45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 t="s">
        <v>156</v>
      </c>
      <c r="B5" t="s">
        <v>232</v>
      </c>
      <c r="C5" t="s">
        <v>236</v>
      </c>
      <c r="D5" t="s">
        <v>152</v>
      </c>
      <c r="E5" t="s">
        <v>234</v>
      </c>
      <c r="F5" t="s">
        <v>235</v>
      </c>
      <c r="G5">
        <v>120</v>
      </c>
      <c r="I5">
        <v>0</v>
      </c>
      <c r="J5">
        <v>0</v>
      </c>
      <c r="K5">
        <v>15</v>
      </c>
      <c r="L5">
        <v>15</v>
      </c>
      <c r="M5">
        <v>15</v>
      </c>
    </row>
    <row r="6" spans="1:13">
      <c r="A6" t="s">
        <v>157</v>
      </c>
      <c r="B6" t="s">
        <v>232</v>
      </c>
      <c r="C6" t="s">
        <v>233</v>
      </c>
      <c r="D6" t="s">
        <v>152</v>
      </c>
      <c r="E6" t="s">
        <v>234</v>
      </c>
      <c r="F6" t="s">
        <v>235</v>
      </c>
      <c r="G6">
        <v>50</v>
      </c>
      <c r="I6">
        <v>0</v>
      </c>
      <c r="J6">
        <v>0</v>
      </c>
      <c r="K6">
        <v>2.4</v>
      </c>
      <c r="L6">
        <v>2.4</v>
      </c>
      <c r="M6">
        <v>2.4</v>
      </c>
    </row>
    <row r="7" spans="1:13">
      <c r="A7" t="s">
        <v>158</v>
      </c>
      <c r="B7" t="s">
        <v>232</v>
      </c>
      <c r="C7" t="s">
        <v>237</v>
      </c>
      <c r="D7" t="s">
        <v>152</v>
      </c>
      <c r="E7" t="s">
        <v>234</v>
      </c>
      <c r="F7" t="s">
        <v>235</v>
      </c>
      <c r="G7">
        <v>80</v>
      </c>
      <c r="I7">
        <v>0</v>
      </c>
      <c r="J7">
        <v>0</v>
      </c>
      <c r="K7">
        <v>7</v>
      </c>
      <c r="L7">
        <v>7</v>
      </c>
      <c r="M7">
        <v>7</v>
      </c>
    </row>
    <row r="8" spans="1:13">
      <c r="A8" t="s">
        <v>159</v>
      </c>
      <c r="B8" t="s">
        <v>238</v>
      </c>
      <c r="C8" t="s">
        <v>239</v>
      </c>
      <c r="D8" t="s">
        <v>152</v>
      </c>
      <c r="E8" t="s">
        <v>234</v>
      </c>
      <c r="F8" t="s">
        <v>235</v>
      </c>
      <c r="G8">
        <v>40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t="s">
        <v>217</v>
      </c>
      <c r="B9" t="s">
        <v>240</v>
      </c>
      <c r="C9" t="s">
        <v>241</v>
      </c>
      <c r="D9" t="s">
        <v>242</v>
      </c>
      <c r="E9" t="s">
        <v>242</v>
      </c>
      <c r="F9" t="s">
        <v>235</v>
      </c>
      <c r="G9">
        <v>20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160</v>
      </c>
      <c r="B10" t="s">
        <v>243</v>
      </c>
      <c r="C10" t="s">
        <v>244</v>
      </c>
      <c r="D10" t="s">
        <v>151</v>
      </c>
      <c r="E10" t="s">
        <v>234</v>
      </c>
      <c r="F10" t="s">
        <v>235</v>
      </c>
      <c r="G10">
        <v>12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161</v>
      </c>
      <c r="B11" t="s">
        <v>245</v>
      </c>
      <c r="C11" t="s">
        <v>241</v>
      </c>
      <c r="D11" t="s">
        <v>151</v>
      </c>
      <c r="E11" t="s">
        <v>234</v>
      </c>
      <c r="F11" t="s">
        <v>235</v>
      </c>
      <c r="G11">
        <v>20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162</v>
      </c>
      <c r="B12" t="s">
        <v>246</v>
      </c>
      <c r="C12" t="s">
        <v>241</v>
      </c>
      <c r="D12" t="s">
        <v>151</v>
      </c>
      <c r="E12" t="s">
        <v>234</v>
      </c>
      <c r="F12" t="s">
        <v>235</v>
      </c>
      <c r="G12">
        <v>15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163</v>
      </c>
      <c r="B13" t="s">
        <v>247</v>
      </c>
      <c r="C13" t="s">
        <v>239</v>
      </c>
      <c r="D13" t="s">
        <v>151</v>
      </c>
      <c r="E13" t="s">
        <v>234</v>
      </c>
      <c r="F13" t="s">
        <v>235</v>
      </c>
      <c r="G13">
        <v>35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t="s">
        <v>164</v>
      </c>
      <c r="B14" t="s">
        <v>248</v>
      </c>
      <c r="C14" t="s">
        <v>249</v>
      </c>
      <c r="D14" t="s">
        <v>151</v>
      </c>
      <c r="E14" t="s">
        <v>234</v>
      </c>
      <c r="F14" t="s">
        <v>235</v>
      </c>
      <c r="G14">
        <v>20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 t="s">
        <v>165</v>
      </c>
      <c r="B15" t="s">
        <v>250</v>
      </c>
      <c r="C15" t="s">
        <v>251</v>
      </c>
      <c r="D15" t="s">
        <v>151</v>
      </c>
      <c r="E15" t="s">
        <v>234</v>
      </c>
      <c r="F15" t="s">
        <v>235</v>
      </c>
      <c r="G15">
        <v>50</v>
      </c>
      <c r="I15">
        <v>0</v>
      </c>
      <c r="J15">
        <v>0</v>
      </c>
      <c r="K15">
        <v>7</v>
      </c>
      <c r="L15">
        <v>7</v>
      </c>
      <c r="M15">
        <v>7</v>
      </c>
    </row>
    <row r="16" spans="1:13">
      <c r="A16" t="s">
        <v>166</v>
      </c>
      <c r="B16" t="s">
        <v>166</v>
      </c>
      <c r="C16" t="s">
        <v>244</v>
      </c>
      <c r="D16" t="s">
        <v>151</v>
      </c>
      <c r="E16" t="s">
        <v>234</v>
      </c>
      <c r="F16" t="s">
        <v>235</v>
      </c>
      <c r="G16">
        <v>15</v>
      </c>
      <c r="I16">
        <v>0</v>
      </c>
      <c r="J16">
        <v>0</v>
      </c>
      <c r="K16">
        <v>2.4</v>
      </c>
      <c r="L16">
        <v>2.4</v>
      </c>
      <c r="M16">
        <v>2.4</v>
      </c>
    </row>
    <row r="17" spans="1:13">
      <c r="A17" t="s">
        <v>167</v>
      </c>
      <c r="B17" t="s">
        <v>167</v>
      </c>
      <c r="C17" t="s">
        <v>244</v>
      </c>
      <c r="D17" t="s">
        <v>151</v>
      </c>
      <c r="E17" t="s">
        <v>234</v>
      </c>
      <c r="F17" t="s">
        <v>235</v>
      </c>
      <c r="G17">
        <v>10</v>
      </c>
      <c r="I17">
        <v>0</v>
      </c>
      <c r="J17">
        <v>0</v>
      </c>
      <c r="K17">
        <v>0</v>
      </c>
      <c r="L17">
        <v>0</v>
      </c>
      <c r="M1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0FA3-B37A-45E8-A589-2FB37CC1C7B2}">
  <dimension ref="A1:C7"/>
  <sheetViews>
    <sheetView showGridLines="0" showRowColHeaders="0" workbookViewId="0">
      <selection activeCell="F20" sqref="F20"/>
    </sheetView>
  </sheetViews>
  <sheetFormatPr defaultRowHeight="15"/>
  <cols>
    <col min="1" max="1" width="14.140625" bestFit="1" customWidth="1"/>
    <col min="3" max="3" width="14.28515625" bestFit="1" customWidth="1"/>
  </cols>
  <sheetData>
    <row r="1" spans="1:3">
      <c r="A1" t="s">
        <v>254</v>
      </c>
      <c r="B1" t="s">
        <v>178</v>
      </c>
    </row>
    <row r="2" spans="1:3">
      <c r="A2" t="s">
        <v>256</v>
      </c>
      <c r="B2">
        <v>2</v>
      </c>
      <c r="C2" t="s">
        <v>234</v>
      </c>
    </row>
    <row r="3" spans="1:3">
      <c r="A3" t="s">
        <v>257</v>
      </c>
      <c r="B3">
        <v>1</v>
      </c>
      <c r="C3" t="s">
        <v>234</v>
      </c>
    </row>
    <row r="4" spans="1:3">
      <c r="A4" t="s">
        <v>258</v>
      </c>
      <c r="B4">
        <v>1</v>
      </c>
      <c r="C4" t="s">
        <v>234</v>
      </c>
    </row>
    <row r="5" spans="1:3">
      <c r="A5" t="s">
        <v>259</v>
      </c>
      <c r="B5">
        <v>2</v>
      </c>
      <c r="C5" t="s">
        <v>242</v>
      </c>
    </row>
    <row r="6" spans="1:3">
      <c r="A6" t="s">
        <v>260</v>
      </c>
      <c r="B6">
        <v>0.5</v>
      </c>
      <c r="C6" t="s">
        <v>242</v>
      </c>
    </row>
    <row r="7" spans="1:3">
      <c r="A7" t="s">
        <v>261</v>
      </c>
      <c r="B7">
        <v>2</v>
      </c>
      <c r="C7" t="s">
        <v>242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1609-831C-44D4-8419-E741B531FB09}">
  <dimension ref="A1:Y2685"/>
  <sheetViews>
    <sheetView showGridLines="0" tabSelected="1" topLeftCell="L2659" zoomScaleNormal="100" workbookViewId="0">
      <selection activeCell="Y2685" sqref="Y2685"/>
    </sheetView>
  </sheetViews>
  <sheetFormatPr defaultRowHeight="15"/>
  <cols>
    <col min="1" max="1" width="20.7109375" bestFit="1" customWidth="1"/>
    <col min="2" max="2" width="20.7109375" customWidth="1"/>
    <col min="3" max="3" width="18.140625" style="1" bestFit="1" customWidth="1"/>
    <col min="4" max="4" width="22.5703125" bestFit="1" customWidth="1"/>
    <col min="5" max="5" width="10" bestFit="1" customWidth="1"/>
    <col min="6" max="6" width="21.42578125" bestFit="1" customWidth="1"/>
    <col min="7" max="7" width="37" customWidth="1"/>
    <col min="8" max="8" width="26.28515625" customWidth="1"/>
    <col min="9" max="9" width="13.85546875" bestFit="1" customWidth="1"/>
    <col min="10" max="10" width="18" bestFit="1" customWidth="1"/>
    <col min="11" max="11" width="10.5703125" style="3" bestFit="1" customWidth="1"/>
    <col min="12" max="12" width="17.85546875" customWidth="1"/>
    <col min="13" max="13" width="17.85546875" bestFit="1" customWidth="1"/>
    <col min="14" max="14" width="15.7109375" bestFit="1" customWidth="1"/>
    <col min="15" max="15" width="14.5703125" bestFit="1" customWidth="1"/>
    <col min="16" max="16" width="14.5703125" customWidth="1"/>
    <col min="17" max="18" width="14.28515625" bestFit="1" customWidth="1"/>
    <col min="19" max="19" width="14.7109375" bestFit="1" customWidth="1"/>
    <col min="20" max="20" width="18" style="4" bestFit="1" customWidth="1"/>
    <col min="21" max="21" width="11" bestFit="1" customWidth="1"/>
    <col min="23" max="23" width="12.140625" bestFit="1" customWidth="1"/>
    <col min="24" max="24" width="29.7109375" style="4" bestFit="1" customWidth="1"/>
  </cols>
  <sheetData>
    <row r="1" spans="1:25">
      <c r="A1" s="1" t="s">
        <v>267</v>
      </c>
      <c r="B1" s="1" t="s">
        <v>262</v>
      </c>
      <c r="C1" t="s">
        <v>142</v>
      </c>
      <c r="D1" t="s">
        <v>0</v>
      </c>
      <c r="E1" t="s">
        <v>174</v>
      </c>
      <c r="F1" t="s">
        <v>176</v>
      </c>
      <c r="G1" t="s">
        <v>177</v>
      </c>
      <c r="H1" t="s">
        <v>178</v>
      </c>
      <c r="I1" s="3" t="s">
        <v>515</v>
      </c>
      <c r="J1" s="3" t="s">
        <v>351</v>
      </c>
      <c r="K1" t="s">
        <v>179</v>
      </c>
      <c r="L1" t="s">
        <v>148</v>
      </c>
      <c r="M1" t="s">
        <v>6</v>
      </c>
      <c r="N1" t="s">
        <v>220</v>
      </c>
      <c r="O1" t="s">
        <v>358</v>
      </c>
      <c r="P1" t="s">
        <v>359</v>
      </c>
      <c r="Q1" t="s">
        <v>348</v>
      </c>
      <c r="R1" t="s">
        <v>349</v>
      </c>
      <c r="S1" t="s">
        <v>350</v>
      </c>
      <c r="T1" s="4" t="s">
        <v>823</v>
      </c>
      <c r="U1" t="s">
        <v>826</v>
      </c>
      <c r="V1" t="s">
        <v>1269</v>
      </c>
      <c r="W1" t="s">
        <v>1285</v>
      </c>
      <c r="X1" s="4" t="s">
        <v>1294</v>
      </c>
      <c r="Y1" t="s">
        <v>1535</v>
      </c>
    </row>
    <row r="2" spans="1:25" hidden="1">
      <c r="A2" s="1">
        <v>45689</v>
      </c>
      <c r="B2" s="1">
        <v>45689</v>
      </c>
      <c r="E2" t="s">
        <v>137</v>
      </c>
      <c r="F2" t="s">
        <v>138</v>
      </c>
      <c r="G2" t="s">
        <v>339</v>
      </c>
      <c r="H2" t="s">
        <v>430</v>
      </c>
      <c r="I2" s="4">
        <v>7.9</v>
      </c>
      <c r="J2" s="4"/>
      <c r="N2" s="4" t="str">
        <f>IF(L2="","",IF(OR(Registro2[[#This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" t="str">
        <f t="shared" ref="O2:O65" si="0">TEXT(B2,"mmm/aa")</f>
        <v>fev/25</v>
      </c>
      <c r="P2" t="str">
        <f>IF(Registro2[[#This Row],[Data de Pagamento]]&gt;0,TEXT(A2,"mmm/aa"),"")</f>
        <v>fev/25</v>
      </c>
      <c r="T2" s="4">
        <f>IF(Registro2[[#This Row],[Data de Pagamento]]="",0,IF(Registro2[[#This Row],[Conta Financeira]]=base!$A$6,0,Registro2[[#This Row],[Valor Unitário]]))</f>
        <v>7.9</v>
      </c>
      <c r="U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" t="str">
        <f>VLOOKUP(Registro2[[#This Row],[Categoria]],'Plano de Contas'!$V$3:W56,2,0)</f>
        <v>Despesas Gerias &amp; Vendas</v>
      </c>
      <c r="X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" t="s">
        <v>1536</v>
      </c>
    </row>
    <row r="3" spans="1:25" hidden="1">
      <c r="A3" s="1">
        <v>45691.375</v>
      </c>
      <c r="B3" s="1">
        <v>45691.375</v>
      </c>
      <c r="D3" t="s">
        <v>1</v>
      </c>
      <c r="E3" t="s">
        <v>149</v>
      </c>
      <c r="F3" t="s">
        <v>147</v>
      </c>
      <c r="G3" t="s">
        <v>163</v>
      </c>
      <c r="I3" s="4">
        <v>35</v>
      </c>
      <c r="J3" s="4">
        <v>35</v>
      </c>
      <c r="L3" t="s">
        <v>253</v>
      </c>
      <c r="M3" t="s">
        <v>288</v>
      </c>
      <c r="N3" s="4">
        <f>IF(L3="","",IF(OR(Registro2[[#This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" t="str">
        <f t="shared" si="0"/>
        <v>fev/25</v>
      </c>
      <c r="P3" t="str">
        <f>IF(Registro2[[#This Row],[Data de Pagamento]]&gt;0,TEXT(A3,"mmm/aa"),"")</f>
        <v>fev/25</v>
      </c>
      <c r="T3" s="4">
        <f>IF(Registro2[[#This Row],[Data de Pagamento]]="",0,IF(Registro2[[#This Row],[Conta Financeira]]=base!$A$6,0,Registro2[[#This Row],[Valor Unitário]]))</f>
        <v>35</v>
      </c>
      <c r="U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" t="str">
        <f>VLOOKUP(Registro2[[#This Row],[Categoria]],'Plano de Contas'!$V$3:W79,2,0)</f>
        <v>Receitas Serviços</v>
      </c>
      <c r="X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" t="s">
        <v>1536</v>
      </c>
    </row>
    <row r="4" spans="1:25" hidden="1">
      <c r="A4" s="1">
        <v>45691.375</v>
      </c>
      <c r="B4" s="1">
        <v>45691.375</v>
      </c>
      <c r="D4" t="s">
        <v>1</v>
      </c>
      <c r="E4" t="s">
        <v>149</v>
      </c>
      <c r="F4" t="s">
        <v>147</v>
      </c>
      <c r="G4" t="s">
        <v>163</v>
      </c>
      <c r="I4" s="4">
        <v>35</v>
      </c>
      <c r="J4" s="4">
        <v>35</v>
      </c>
      <c r="L4" t="s">
        <v>252</v>
      </c>
      <c r="M4" t="s">
        <v>360</v>
      </c>
      <c r="N4" s="4">
        <f>IF(L4="","",IF(OR(Registro2[[#This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" t="str">
        <f t="shared" si="0"/>
        <v>fev/25</v>
      </c>
      <c r="P4" t="str">
        <f>IF(Registro2[[#This Row],[Data de Pagamento]]&gt;0,TEXT(A4,"mmm/aa"),"")</f>
        <v>fev/25</v>
      </c>
      <c r="T4" s="4">
        <f>IF(Registro2[[#This Row],[Data de Pagamento]]="",0,IF(Registro2[[#This Row],[Conta Financeira]]=base!$A$6,0,Registro2[[#This Row],[Valor Unitário]]))</f>
        <v>35</v>
      </c>
      <c r="U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" t="str">
        <f>VLOOKUP(Registro2[[#This Row],[Categoria]],'Plano de Contas'!$V$3:W80,2,0)</f>
        <v>Receitas Serviços</v>
      </c>
      <c r="X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" t="s">
        <v>1536</v>
      </c>
    </row>
    <row r="5" spans="1:25" hidden="1">
      <c r="A5" s="1">
        <v>45691.395833333336</v>
      </c>
      <c r="B5" s="1">
        <v>45691.395833333336</v>
      </c>
      <c r="D5" t="s">
        <v>1</v>
      </c>
      <c r="E5" t="s">
        <v>149</v>
      </c>
      <c r="F5" t="s">
        <v>147</v>
      </c>
      <c r="G5" t="s">
        <v>163</v>
      </c>
      <c r="I5" s="4">
        <v>35</v>
      </c>
      <c r="J5" s="4">
        <v>35</v>
      </c>
      <c r="L5" t="s">
        <v>253</v>
      </c>
      <c r="M5" t="s">
        <v>362</v>
      </c>
      <c r="N5" s="4">
        <f>IF(L5="","",IF(OR(Registro2[[#This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" t="str">
        <f t="shared" si="0"/>
        <v>fev/25</v>
      </c>
      <c r="P5" t="str">
        <f>IF(Registro2[[#This Row],[Data de Pagamento]]&gt;0,TEXT(A5,"mmm/aa"),"")</f>
        <v>fev/25</v>
      </c>
      <c r="T5" s="4">
        <f>IF(Registro2[[#This Row],[Data de Pagamento]]="",0,IF(Registro2[[#This Row],[Conta Financeira]]=base!$A$6,0,Registro2[[#This Row],[Valor Unitário]]))</f>
        <v>35</v>
      </c>
      <c r="U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" t="str">
        <f>VLOOKUP(Registro2[[#This Row],[Categoria]],'Plano de Contas'!$V$3:W85,2,0)</f>
        <v>Receitas Serviços</v>
      </c>
      <c r="X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" t="s">
        <v>1536</v>
      </c>
    </row>
    <row r="6" spans="1:25" hidden="1">
      <c r="A6" s="1">
        <v>45691.416666666664</v>
      </c>
      <c r="B6" s="1">
        <v>45691.416666666664</v>
      </c>
      <c r="D6" t="s">
        <v>354</v>
      </c>
      <c r="E6" t="s">
        <v>149</v>
      </c>
      <c r="F6" t="s">
        <v>152</v>
      </c>
      <c r="G6" t="s">
        <v>153</v>
      </c>
      <c r="I6" s="4">
        <v>50</v>
      </c>
      <c r="J6" s="4">
        <v>85</v>
      </c>
      <c r="L6" t="s">
        <v>252</v>
      </c>
      <c r="M6" t="s">
        <v>363</v>
      </c>
      <c r="N6" s="4">
        <f>IF(L6="","",IF(OR(Registro2[[#This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6" t="str">
        <f t="shared" si="0"/>
        <v>fev/25</v>
      </c>
      <c r="P6" t="str">
        <f>IF(Registro2[[#This Row],[Data de Pagamento]]&gt;0,TEXT(A6,"mmm/aa"),"")</f>
        <v>fev/25</v>
      </c>
      <c r="T6" s="4">
        <f>IF(Registro2[[#This Row],[Data de Pagamento]]="",0,IF(Registro2[[#This Row],[Conta Financeira]]=base!$A$6,0,Registro2[[#This Row],[Valor Unitário]]))</f>
        <v>50</v>
      </c>
      <c r="U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" t="str">
        <f>VLOOKUP(Registro2[[#This Row],[Categoria]],'Plano de Contas'!$V$3:W89,2,0)</f>
        <v>Receitas Serviços</v>
      </c>
      <c r="X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1.575</v>
      </c>
      <c r="Y6" t="s">
        <v>1536</v>
      </c>
    </row>
    <row r="7" spans="1:25" hidden="1">
      <c r="A7" s="1">
        <v>45691.416666666664</v>
      </c>
      <c r="B7" s="1">
        <v>45691.416666666664</v>
      </c>
      <c r="D7" t="s">
        <v>354</v>
      </c>
      <c r="E7" t="s">
        <v>149</v>
      </c>
      <c r="F7" t="s">
        <v>150</v>
      </c>
      <c r="G7" t="s">
        <v>510</v>
      </c>
      <c r="I7" s="4">
        <v>25</v>
      </c>
      <c r="J7" s="4"/>
      <c r="L7" t="s">
        <v>252</v>
      </c>
      <c r="M7" t="s">
        <v>363</v>
      </c>
      <c r="N7" s="4">
        <f>IF(L7="","",IF(OR(Registro2[[#This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7" t="str">
        <f t="shared" si="0"/>
        <v>fev/25</v>
      </c>
      <c r="P7" t="str">
        <f>IF(Registro2[[#This Row],[Data de Pagamento]]&gt;0,TEXT(A7,"mmm/aa"),"")</f>
        <v>fev/25</v>
      </c>
      <c r="T7" s="4">
        <f>IF(Registro2[[#This Row],[Data de Pagamento]]="",0,IF(Registro2[[#This Row],[Conta Financeira]]=base!$A$6,0,Registro2[[#This Row],[Valor Unitário]]))</f>
        <v>25</v>
      </c>
      <c r="U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" t="str">
        <f>VLOOKUP(Registro2[[#This Row],[Categoria]],'Plano de Contas'!$V$3:W90,2,0)</f>
        <v>Receitas Produtos</v>
      </c>
      <c r="X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0.78749999999999998</v>
      </c>
      <c r="Y7" t="s">
        <v>1536</v>
      </c>
    </row>
    <row r="8" spans="1:25" hidden="1">
      <c r="A8" s="1">
        <v>45691.416666666664</v>
      </c>
      <c r="B8" s="1">
        <v>45691.416666666664</v>
      </c>
      <c r="D8" t="s">
        <v>354</v>
      </c>
      <c r="E8" t="s">
        <v>149</v>
      </c>
      <c r="F8" t="s">
        <v>152</v>
      </c>
      <c r="G8" t="s">
        <v>304</v>
      </c>
      <c r="I8" s="4">
        <v>10</v>
      </c>
      <c r="J8" s="4"/>
      <c r="L8" t="s">
        <v>252</v>
      </c>
      <c r="M8" t="s">
        <v>363</v>
      </c>
      <c r="N8" s="4">
        <f>IF(L8="","",IF(OR(Registro2[[#This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8" t="str">
        <f t="shared" si="0"/>
        <v>fev/25</v>
      </c>
      <c r="P8" t="str">
        <f>IF(Registro2[[#This Row],[Data de Pagamento]]&gt;0,TEXT(A8,"mmm/aa"),"")</f>
        <v>fev/25</v>
      </c>
      <c r="T8" s="4">
        <f>IF(Registro2[[#This Row],[Data de Pagamento]]="",0,IF(Registro2[[#This Row],[Conta Financeira]]=base!$A$6,0,Registro2[[#This Row],[Valor Unitário]]))</f>
        <v>10</v>
      </c>
      <c r="U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" t="str">
        <f>VLOOKUP(Registro2[[#This Row],[Categoria]],'Plano de Contas'!$V$3:W91,2,0)</f>
        <v>Receitas Serviços</v>
      </c>
      <c r="X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  <c r="Y8" t="s">
        <v>1536</v>
      </c>
    </row>
    <row r="9" spans="1:25" hidden="1">
      <c r="A9" s="1">
        <v>45691.458333333336</v>
      </c>
      <c r="B9" s="1">
        <v>45691.458333333336</v>
      </c>
      <c r="D9" t="s">
        <v>355</v>
      </c>
      <c r="E9" t="s">
        <v>149</v>
      </c>
      <c r="F9" t="s">
        <v>147</v>
      </c>
      <c r="G9" t="s">
        <v>163</v>
      </c>
      <c r="I9" s="4">
        <v>35</v>
      </c>
      <c r="J9" s="4">
        <v>35</v>
      </c>
      <c r="L9" t="s">
        <v>252</v>
      </c>
      <c r="M9" t="s">
        <v>273</v>
      </c>
      <c r="N9" s="4">
        <f>IF(L9="","",IF(OR(Registro2[[#This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" t="str">
        <f t="shared" si="0"/>
        <v>fev/25</v>
      </c>
      <c r="P9" t="str">
        <f>IF(Registro2[[#This Row],[Data de Pagamento]]&gt;0,TEXT(A9,"mmm/aa"),"")</f>
        <v>fev/25</v>
      </c>
      <c r="T9" s="4">
        <f>IF(Registro2[[#This Row],[Data de Pagamento]]="",0,IF(Registro2[[#This Row],[Conta Financeira]]=base!$A$6,0,Registro2[[#This Row],[Valor Unitário]]))</f>
        <v>35</v>
      </c>
      <c r="U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" t="str">
        <f>VLOOKUP(Registro2[[#This Row],[Categoria]],'Plano de Contas'!$V$3:W96,2,0)</f>
        <v>Receitas Serviços</v>
      </c>
      <c r="X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" t="s">
        <v>1536</v>
      </c>
    </row>
    <row r="10" spans="1:25" hidden="1">
      <c r="A10" s="1">
        <v>45691.604166666664</v>
      </c>
      <c r="B10" s="1">
        <v>45691.604166666664</v>
      </c>
      <c r="D10" t="s">
        <v>1</v>
      </c>
      <c r="E10" t="s">
        <v>149</v>
      </c>
      <c r="F10" t="s">
        <v>147</v>
      </c>
      <c r="G10" t="s">
        <v>163</v>
      </c>
      <c r="I10" s="4">
        <v>35</v>
      </c>
      <c r="J10" s="4">
        <v>35</v>
      </c>
      <c r="L10" t="s">
        <v>252</v>
      </c>
      <c r="M10" t="s">
        <v>299</v>
      </c>
      <c r="N10" s="4">
        <f>IF(L10="","",IF(OR(Registro2[[#This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" t="str">
        <f t="shared" si="0"/>
        <v>fev/25</v>
      </c>
      <c r="P10" t="str">
        <f>IF(Registro2[[#This Row],[Data de Pagamento]]&gt;0,TEXT(A10,"mmm/aa"),"")</f>
        <v>fev/25</v>
      </c>
      <c r="T10" s="4">
        <f>IF(Registro2[[#This Row],[Data de Pagamento]]="",0,IF(Registro2[[#This Row],[Conta Financeira]]=base!$A$6,0,Registro2[[#This Row],[Valor Unitário]]))</f>
        <v>35</v>
      </c>
      <c r="U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" t="str">
        <f>VLOOKUP(Registro2[[#This Row],[Categoria]],'Plano de Contas'!$V$3:W83,2,0)</f>
        <v>Receitas Serviços</v>
      </c>
      <c r="X1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0" t="s">
        <v>1536</v>
      </c>
    </row>
    <row r="11" spans="1:25" hidden="1">
      <c r="A11" s="1">
        <v>45691.677083333336</v>
      </c>
      <c r="B11" s="1">
        <v>45691.677083333336</v>
      </c>
      <c r="D11" t="s">
        <v>1</v>
      </c>
      <c r="E11" t="s">
        <v>149</v>
      </c>
      <c r="F11" t="s">
        <v>147</v>
      </c>
      <c r="G11" t="s">
        <v>163</v>
      </c>
      <c r="I11" s="4">
        <v>35</v>
      </c>
      <c r="J11" s="4">
        <v>35</v>
      </c>
      <c r="L11" t="s">
        <v>252</v>
      </c>
      <c r="M11" t="s">
        <v>302</v>
      </c>
      <c r="N11" s="4">
        <f>IF(L11="","",IF(OR(Registro2[[#This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" t="str">
        <f t="shared" si="0"/>
        <v>fev/25</v>
      </c>
      <c r="P11" t="str">
        <f>IF(Registro2[[#This Row],[Data de Pagamento]]&gt;0,TEXT(A11,"mmm/aa"),"")</f>
        <v>fev/25</v>
      </c>
      <c r="T11" s="4">
        <f>IF(Registro2[[#This Row],[Data de Pagamento]]="",0,IF(Registro2[[#This Row],[Conta Financeira]]=base!$A$6,0,Registro2[[#This Row],[Valor Unitário]]))</f>
        <v>35</v>
      </c>
      <c r="U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" t="str">
        <f>VLOOKUP(Registro2[[#This Row],[Categoria]],'Plano de Contas'!$V$3:W84,2,0)</f>
        <v>Receitas Serviços</v>
      </c>
      <c r="X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1" t="s">
        <v>1536</v>
      </c>
    </row>
    <row r="12" spans="1:25" hidden="1">
      <c r="A12" s="1">
        <v>45691.71875</v>
      </c>
      <c r="B12" s="1">
        <v>45691.71875</v>
      </c>
      <c r="D12" t="s">
        <v>2</v>
      </c>
      <c r="E12" t="s">
        <v>149</v>
      </c>
      <c r="F12" t="s">
        <v>147</v>
      </c>
      <c r="G12" t="s">
        <v>161</v>
      </c>
      <c r="I12" s="4">
        <v>20</v>
      </c>
      <c r="J12" s="4">
        <v>20</v>
      </c>
      <c r="L12" t="s">
        <v>252</v>
      </c>
      <c r="M12" t="s">
        <v>374</v>
      </c>
      <c r="N12" s="4">
        <f>IF(L12="","",IF(OR(Registro2[[#This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2" t="str">
        <f t="shared" si="0"/>
        <v>fev/25</v>
      </c>
      <c r="P12" t="str">
        <f>IF(Registro2[[#This Row],[Data de Pagamento]]&gt;0,TEXT(A12,"mmm/aa"),"")</f>
        <v>fev/25</v>
      </c>
      <c r="T12" s="4">
        <f>IF(Registro2[[#This Row],[Data de Pagamento]]="",0,IF(Registro2[[#This Row],[Conta Financeira]]=base!$A$6,0,Registro2[[#This Row],[Valor Unitário]]))</f>
        <v>20</v>
      </c>
      <c r="U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" t="str">
        <f>VLOOKUP(Registro2[[#This Row],[Categoria]],'Plano de Contas'!$V$3:W130,2,0)</f>
        <v>Receitas Serviços</v>
      </c>
      <c r="X1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2" t="s">
        <v>1536</v>
      </c>
    </row>
    <row r="13" spans="1:25" hidden="1">
      <c r="A13" s="1">
        <v>45691.729166666664</v>
      </c>
      <c r="B13" s="1">
        <v>45691.729166666664</v>
      </c>
      <c r="D13" t="s">
        <v>310</v>
      </c>
      <c r="E13" t="s">
        <v>149</v>
      </c>
      <c r="F13" t="s">
        <v>147</v>
      </c>
      <c r="G13" t="s">
        <v>163</v>
      </c>
      <c r="I13" s="4">
        <v>35</v>
      </c>
      <c r="J13" s="4">
        <v>35</v>
      </c>
      <c r="L13" t="s">
        <v>252</v>
      </c>
      <c r="M13" t="s">
        <v>361</v>
      </c>
      <c r="N13" s="4">
        <f>IF(L13="","",IF(OR(Registro2[[#This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" t="str">
        <f t="shared" si="0"/>
        <v>fev/25</v>
      </c>
      <c r="P13" t="str">
        <f>IF(Registro2[[#This Row],[Data de Pagamento]]&gt;0,TEXT(A13,"mmm/aa"),"")</f>
        <v>fev/25</v>
      </c>
      <c r="T13" s="4">
        <f>IF(Registro2[[#This Row],[Data de Pagamento]]="",0,IF(Registro2[[#This Row],[Conta Financeira]]=base!$A$6,0,Registro2[[#This Row],[Valor Unitário]]))</f>
        <v>35</v>
      </c>
      <c r="U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" t="str">
        <f>VLOOKUP(Registro2[[#This Row],[Categoria]],'Plano de Contas'!$V$3:W81,2,0)</f>
        <v>Receitas Serviços</v>
      </c>
      <c r="X1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13" t="s">
        <v>1536</v>
      </c>
    </row>
    <row r="14" spans="1:25" hidden="1">
      <c r="A14" s="1">
        <v>45692.385416666664</v>
      </c>
      <c r="B14" s="1">
        <v>45692.385416666664</v>
      </c>
      <c r="D14" t="s">
        <v>2</v>
      </c>
      <c r="E14" t="s">
        <v>149</v>
      </c>
      <c r="F14" t="s">
        <v>147</v>
      </c>
      <c r="G14" t="s">
        <v>163</v>
      </c>
      <c r="I14" s="4">
        <v>30</v>
      </c>
      <c r="J14" s="4">
        <v>30</v>
      </c>
      <c r="L14" t="s">
        <v>253</v>
      </c>
      <c r="M14" t="s">
        <v>46</v>
      </c>
      <c r="N14" s="4">
        <f>IF(L14="","",IF(OR(Registro2[[#This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14" t="str">
        <f t="shared" si="0"/>
        <v>fev/25</v>
      </c>
      <c r="P14" t="str">
        <f>IF(Registro2[[#This Row],[Data de Pagamento]]&gt;0,TEXT(A14,"mmm/aa"),"")</f>
        <v>fev/25</v>
      </c>
      <c r="T14" s="4">
        <f>IF(Registro2[[#This Row],[Data de Pagamento]]="",0,IF(Registro2[[#This Row],[Conta Financeira]]=base!$A$6,0,Registro2[[#This Row],[Valor Unitário]]))</f>
        <v>30</v>
      </c>
      <c r="U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" t="str">
        <f>VLOOKUP(Registro2[[#This Row],[Categoria]],'Plano de Contas'!$V$3:W95,2,0)</f>
        <v>Receitas Serviços</v>
      </c>
      <c r="X1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4" t="s">
        <v>1536</v>
      </c>
    </row>
    <row r="15" spans="1:25" hidden="1">
      <c r="A15" s="1">
        <v>45692.416666666664</v>
      </c>
      <c r="B15" s="1">
        <v>45692.416666666664</v>
      </c>
      <c r="D15" t="s">
        <v>1</v>
      </c>
      <c r="E15" t="s">
        <v>149</v>
      </c>
      <c r="F15" t="s">
        <v>147</v>
      </c>
      <c r="G15" t="s">
        <v>163</v>
      </c>
      <c r="I15" s="4">
        <v>35</v>
      </c>
      <c r="J15" s="4">
        <v>35</v>
      </c>
      <c r="L15" t="s">
        <v>264</v>
      </c>
      <c r="M15" t="s">
        <v>365</v>
      </c>
      <c r="N15" s="4">
        <f>IF(L15="","",IF(OR(Registro2[[#This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" t="str">
        <f t="shared" si="0"/>
        <v>fev/25</v>
      </c>
      <c r="P15" t="str">
        <f>IF(Registro2[[#This Row],[Data de Pagamento]]&gt;0,TEXT(A15,"mmm/aa"),"")</f>
        <v>fev/25</v>
      </c>
      <c r="T15" s="4">
        <f>IF(Registro2[[#This Row],[Data de Pagamento]]="",0,IF(Registro2[[#This Row],[Conta Financeira]]=base!$A$6,0,Registro2[[#This Row],[Valor Unitário]]))</f>
        <v>35</v>
      </c>
      <c r="U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" t="str">
        <f>VLOOKUP(Registro2[[#This Row],[Categoria]],'Plano de Contas'!$V$3:W97,2,0)</f>
        <v>Receitas Serviços</v>
      </c>
      <c r="X1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5" t="s">
        <v>1536</v>
      </c>
    </row>
    <row r="16" spans="1:25" hidden="1">
      <c r="A16" s="1">
        <v>45692.4375</v>
      </c>
      <c r="B16" s="1">
        <v>45692.4375</v>
      </c>
      <c r="D16" t="s">
        <v>1</v>
      </c>
      <c r="E16" t="s">
        <v>149</v>
      </c>
      <c r="F16" t="s">
        <v>147</v>
      </c>
      <c r="G16" t="s">
        <v>163</v>
      </c>
      <c r="I16" s="4">
        <v>35</v>
      </c>
      <c r="J16" s="4">
        <v>35</v>
      </c>
      <c r="L16" t="s">
        <v>253</v>
      </c>
      <c r="M16" t="s">
        <v>193</v>
      </c>
      <c r="N16" s="4">
        <f>IF(L16="","",IF(OR(Registro2[[#This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" t="str">
        <f t="shared" si="0"/>
        <v>fev/25</v>
      </c>
      <c r="P16" t="str">
        <f>IF(Registro2[[#This Row],[Data de Pagamento]]&gt;0,TEXT(A16,"mmm/aa"),"")</f>
        <v>fev/25</v>
      </c>
      <c r="T16" s="4">
        <f>IF(Registro2[[#This Row],[Data de Pagamento]]="",0,IF(Registro2[[#This Row],[Conta Financeira]]=base!$A$6,0,Registro2[[#This Row],[Valor Unitário]]))</f>
        <v>35</v>
      </c>
      <c r="U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" t="str">
        <f>VLOOKUP(Registro2[[#This Row],[Categoria]],'Plano de Contas'!$V$3:W86,2,0)</f>
        <v>Receitas Serviços</v>
      </c>
      <c r="X1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6" t="s">
        <v>1536</v>
      </c>
    </row>
    <row r="17" spans="1:25" hidden="1">
      <c r="A17" s="1">
        <v>45692.604166666664</v>
      </c>
      <c r="B17" s="1">
        <v>45692.604166666664</v>
      </c>
      <c r="D17" t="s">
        <v>1</v>
      </c>
      <c r="E17" t="s">
        <v>149</v>
      </c>
      <c r="F17" t="s">
        <v>147</v>
      </c>
      <c r="G17" t="s">
        <v>163</v>
      </c>
      <c r="I17" s="4">
        <v>20</v>
      </c>
      <c r="J17" s="4">
        <v>20</v>
      </c>
      <c r="L17" t="s">
        <v>252</v>
      </c>
      <c r="M17" t="s">
        <v>367</v>
      </c>
      <c r="N17" s="4">
        <f>IF(L17="","",IF(OR(Registro2[[#This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7" t="str">
        <f t="shared" si="0"/>
        <v>fev/25</v>
      </c>
      <c r="P17" t="str">
        <f>IF(Registro2[[#This Row],[Data de Pagamento]]&gt;0,TEXT(A17,"mmm/aa"),"")</f>
        <v>fev/25</v>
      </c>
      <c r="T17" s="4">
        <f>IF(Registro2[[#This Row],[Data de Pagamento]]="",0,IF(Registro2[[#This Row],[Conta Financeira]]=base!$A$6,0,Registro2[[#This Row],[Valor Unitário]]))</f>
        <v>20</v>
      </c>
      <c r="U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" t="str">
        <f>VLOOKUP(Registro2[[#This Row],[Categoria]],'Plano de Contas'!$V$3:W99,2,0)</f>
        <v>Receitas Serviços</v>
      </c>
      <c r="X1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7" t="s">
        <v>1536</v>
      </c>
    </row>
    <row r="18" spans="1:25" hidden="1">
      <c r="A18" s="1">
        <v>45692.677083333336</v>
      </c>
      <c r="B18" s="1">
        <v>45692.677083333336</v>
      </c>
      <c r="D18" t="s">
        <v>310</v>
      </c>
      <c r="E18" t="s">
        <v>149</v>
      </c>
      <c r="F18" t="s">
        <v>147</v>
      </c>
      <c r="G18" t="s">
        <v>163</v>
      </c>
      <c r="I18" s="4">
        <v>35</v>
      </c>
      <c r="J18" s="4">
        <v>70</v>
      </c>
      <c r="L18" t="s">
        <v>264</v>
      </c>
      <c r="M18" t="s">
        <v>370</v>
      </c>
      <c r="N18" s="4">
        <f>IF(L18="","",IF(OR(Registro2[[#This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" t="str">
        <f t="shared" si="0"/>
        <v>fev/25</v>
      </c>
      <c r="P18" t="str">
        <f>IF(Registro2[[#This Row],[Data de Pagamento]]&gt;0,TEXT(A18,"mmm/aa"),"")</f>
        <v>fev/25</v>
      </c>
      <c r="T18" s="4">
        <f>IF(Registro2[[#This Row],[Data de Pagamento]]="",0,IF(Registro2[[#This Row],[Conta Financeira]]=base!$A$6,0,Registro2[[#This Row],[Valor Unitário]]))</f>
        <v>35</v>
      </c>
      <c r="U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" t="str">
        <f>VLOOKUP(Registro2[[#This Row],[Categoria]],'Plano de Contas'!$V$3:W114,2,0)</f>
        <v>Receitas Serviços</v>
      </c>
      <c r="X1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18" t="s">
        <v>1536</v>
      </c>
    </row>
    <row r="19" spans="1:25" hidden="1">
      <c r="A19" s="1">
        <v>45692.677083333336</v>
      </c>
      <c r="B19" s="1">
        <v>45692.677083333336</v>
      </c>
      <c r="D19" t="s">
        <v>310</v>
      </c>
      <c r="E19" t="s">
        <v>149</v>
      </c>
      <c r="F19" t="s">
        <v>147</v>
      </c>
      <c r="G19" t="s">
        <v>163</v>
      </c>
      <c r="I19" s="4">
        <v>35</v>
      </c>
      <c r="J19" s="4"/>
      <c r="L19" t="s">
        <v>264</v>
      </c>
      <c r="M19" t="s">
        <v>370</v>
      </c>
      <c r="N19" s="4">
        <f>IF(L19="","",IF(OR(Registro2[[#This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" t="str">
        <f t="shared" si="0"/>
        <v>fev/25</v>
      </c>
      <c r="P19" t="str">
        <f>IF(Registro2[[#This Row],[Data de Pagamento]]&gt;0,TEXT(A19,"mmm/aa"),"")</f>
        <v>fev/25</v>
      </c>
      <c r="T19" s="4">
        <f>IF(Registro2[[#This Row],[Data de Pagamento]]="",0,IF(Registro2[[#This Row],[Conta Financeira]]=base!$A$6,0,Registro2[[#This Row],[Valor Unitário]]))</f>
        <v>35</v>
      </c>
      <c r="U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" t="str">
        <f>VLOOKUP(Registro2[[#This Row],[Categoria]],'Plano de Contas'!$V$3:W115,2,0)</f>
        <v>Receitas Serviços</v>
      </c>
      <c r="X1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19" t="s">
        <v>1536</v>
      </c>
    </row>
    <row r="20" spans="1:25" hidden="1">
      <c r="A20" s="1">
        <v>45692.6875</v>
      </c>
      <c r="B20" s="1">
        <v>45692.6875</v>
      </c>
      <c r="D20" t="s">
        <v>1</v>
      </c>
      <c r="E20" t="s">
        <v>149</v>
      </c>
      <c r="F20" t="s">
        <v>147</v>
      </c>
      <c r="G20" t="s">
        <v>163</v>
      </c>
      <c r="I20" s="4">
        <v>35</v>
      </c>
      <c r="J20" s="4">
        <v>35</v>
      </c>
      <c r="L20" t="s">
        <v>253</v>
      </c>
      <c r="M20" t="s">
        <v>87</v>
      </c>
      <c r="N20" s="4">
        <f>IF(L20="","",IF(OR(Registro2[[#This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" t="str">
        <f t="shared" si="0"/>
        <v>fev/25</v>
      </c>
      <c r="P20" t="str">
        <f>IF(Registro2[[#This Row],[Data de Pagamento]]&gt;0,TEXT(A20,"mmm/aa"),"")</f>
        <v>fev/25</v>
      </c>
      <c r="T20" s="4">
        <f>IF(Registro2[[#This Row],[Data de Pagamento]]="",0,IF(Registro2[[#This Row],[Conta Financeira]]=base!$A$6,0,Registro2[[#This Row],[Valor Unitário]]))</f>
        <v>35</v>
      </c>
      <c r="U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" t="str">
        <f>VLOOKUP(Registro2[[#This Row],[Categoria]],'Plano de Contas'!$V$3:W94,2,0)</f>
        <v>Receitas Serviços</v>
      </c>
      <c r="X2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0" t="s">
        <v>1536</v>
      </c>
    </row>
    <row r="21" spans="1:25" hidden="1">
      <c r="A21" s="1">
        <v>45692.697916666664</v>
      </c>
      <c r="B21" s="1">
        <v>45692.697916666664</v>
      </c>
      <c r="D21" t="s">
        <v>2</v>
      </c>
      <c r="E21" t="s">
        <v>149</v>
      </c>
      <c r="F21" t="s">
        <v>147</v>
      </c>
      <c r="G21" t="s">
        <v>163</v>
      </c>
      <c r="I21" s="4">
        <v>35</v>
      </c>
      <c r="J21" s="4">
        <v>35</v>
      </c>
      <c r="L21" t="s">
        <v>264</v>
      </c>
      <c r="M21" t="s">
        <v>368</v>
      </c>
      <c r="N21" s="4">
        <f>IF(L21="","",IF(OR(Registro2[[#This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" t="str">
        <f t="shared" si="0"/>
        <v>fev/25</v>
      </c>
      <c r="P21" t="str">
        <f>IF(Registro2[[#This Row],[Data de Pagamento]]&gt;0,TEXT(A21,"mmm/aa"),"")</f>
        <v>fev/25</v>
      </c>
      <c r="T21" s="4">
        <f>IF(Registro2[[#This Row],[Data de Pagamento]]="",0,IF(Registro2[[#This Row],[Conta Financeira]]=base!$A$6,0,Registro2[[#This Row],[Valor Unitário]]))</f>
        <v>35</v>
      </c>
      <c r="U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" t="str">
        <f>VLOOKUP(Registro2[[#This Row],[Categoria]],'Plano de Contas'!$V$3:W101,2,0)</f>
        <v>Receitas Serviços</v>
      </c>
      <c r="X2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1" t="s">
        <v>1536</v>
      </c>
    </row>
    <row r="22" spans="1:25" hidden="1">
      <c r="A22" s="1">
        <v>45692.708333333336</v>
      </c>
      <c r="B22" s="1">
        <v>45692.708333333336</v>
      </c>
      <c r="D22" t="s">
        <v>1</v>
      </c>
      <c r="E22" t="s">
        <v>149</v>
      </c>
      <c r="F22" t="s">
        <v>147</v>
      </c>
      <c r="G22" t="s">
        <v>163</v>
      </c>
      <c r="I22" s="4">
        <v>35</v>
      </c>
      <c r="J22" s="4">
        <v>35</v>
      </c>
      <c r="L22" t="s">
        <v>253</v>
      </c>
      <c r="M22" t="s">
        <v>40</v>
      </c>
      <c r="N22" s="4">
        <f>IF(L22="","",IF(OR(Registro2[[#This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" t="str">
        <f t="shared" si="0"/>
        <v>fev/25</v>
      </c>
      <c r="P22" t="str">
        <f>IF(Registro2[[#This Row],[Data de Pagamento]]&gt;0,TEXT(A22,"mmm/aa"),"")</f>
        <v>fev/25</v>
      </c>
      <c r="T22" s="4">
        <f>IF(Registro2[[#This Row],[Data de Pagamento]]="",0,IF(Registro2[[#This Row],[Conta Financeira]]=base!$A$6,0,Registro2[[#This Row],[Valor Unitário]]))</f>
        <v>35</v>
      </c>
      <c r="U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" t="str">
        <f>VLOOKUP(Registro2[[#This Row],[Categoria]],'Plano de Contas'!$V$3:W93,2,0)</f>
        <v>Receitas Serviços</v>
      </c>
      <c r="X2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2" t="s">
        <v>1536</v>
      </c>
    </row>
    <row r="23" spans="1:25" hidden="1">
      <c r="A23" s="1">
        <v>45692.708333333336</v>
      </c>
      <c r="B23" s="1">
        <v>45692.708333333336</v>
      </c>
      <c r="D23" t="s">
        <v>2</v>
      </c>
      <c r="E23" t="s">
        <v>149</v>
      </c>
      <c r="F23" t="s">
        <v>147</v>
      </c>
      <c r="G23" t="s">
        <v>163</v>
      </c>
      <c r="I23" s="4">
        <v>28</v>
      </c>
      <c r="J23" s="4">
        <v>28</v>
      </c>
      <c r="L23" t="s">
        <v>264</v>
      </c>
      <c r="M23" t="s">
        <v>366</v>
      </c>
      <c r="N23" s="4">
        <f>IF(L23="","",IF(OR(Registro2[[#This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12.6</v>
      </c>
      <c r="O23" t="str">
        <f t="shared" si="0"/>
        <v>fev/25</v>
      </c>
      <c r="P23" t="str">
        <f>IF(Registro2[[#This Row],[Data de Pagamento]]&gt;0,TEXT(A23,"mmm/aa"),"")</f>
        <v>fev/25</v>
      </c>
      <c r="T23" s="4">
        <f>IF(Registro2[[#This Row],[Data de Pagamento]]="",0,IF(Registro2[[#This Row],[Conta Financeira]]=base!$A$6,0,Registro2[[#This Row],[Valor Unitário]]))</f>
        <v>28</v>
      </c>
      <c r="U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" t="str">
        <f>VLOOKUP(Registro2[[#This Row],[Categoria]],'Plano de Contas'!$V$3:W98,2,0)</f>
        <v>Receitas Serviços</v>
      </c>
      <c r="X2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3" t="s">
        <v>1536</v>
      </c>
    </row>
    <row r="24" spans="1:25" hidden="1">
      <c r="A24" s="1">
        <v>45692.729166666664</v>
      </c>
      <c r="B24" s="1">
        <v>45692.729166666664</v>
      </c>
      <c r="D24" t="s">
        <v>2</v>
      </c>
      <c r="E24" t="s">
        <v>149</v>
      </c>
      <c r="F24" t="s">
        <v>147</v>
      </c>
      <c r="G24" t="s">
        <v>163</v>
      </c>
      <c r="I24" s="4">
        <v>35</v>
      </c>
      <c r="J24" s="4">
        <v>35</v>
      </c>
      <c r="L24" t="s">
        <v>253</v>
      </c>
      <c r="M24" t="s">
        <v>280</v>
      </c>
      <c r="N24" s="4">
        <f>IF(L24="","",IF(OR(Registro2[[#This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" t="str">
        <f t="shared" si="0"/>
        <v>fev/25</v>
      </c>
      <c r="P24" t="str">
        <f>IF(Registro2[[#This Row],[Data de Pagamento]]&gt;0,TEXT(A24,"mmm/aa"),"")</f>
        <v>fev/25</v>
      </c>
      <c r="T24" s="4">
        <f>IF(Registro2[[#This Row],[Data de Pagamento]]="",0,IF(Registro2[[#This Row],[Conta Financeira]]=base!$A$6,0,Registro2[[#This Row],[Valor Unitário]]))</f>
        <v>35</v>
      </c>
      <c r="U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" t="str">
        <f>VLOOKUP(Registro2[[#This Row],[Categoria]],'Plano de Contas'!$V$3:W102,2,0)</f>
        <v>Receitas Serviços</v>
      </c>
      <c r="X2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4" t="s">
        <v>1536</v>
      </c>
    </row>
    <row r="25" spans="1:25" hidden="1">
      <c r="A25" s="1">
        <v>45692.739583333336</v>
      </c>
      <c r="B25" s="1">
        <v>45692.739583333336</v>
      </c>
      <c r="D25" t="s">
        <v>1</v>
      </c>
      <c r="E25" t="s">
        <v>149</v>
      </c>
      <c r="F25" t="s">
        <v>147</v>
      </c>
      <c r="G25" t="s">
        <v>163</v>
      </c>
      <c r="I25" s="4">
        <v>35</v>
      </c>
      <c r="J25" s="4">
        <v>35</v>
      </c>
      <c r="L25" t="s">
        <v>253</v>
      </c>
      <c r="M25" t="s">
        <v>287</v>
      </c>
      <c r="N25" s="4">
        <f>IF(L25="","",IF(OR(Registro2[[#This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" t="str">
        <f t="shared" si="0"/>
        <v>fev/25</v>
      </c>
      <c r="P25" t="str">
        <f>IF(Registro2[[#This Row],[Data de Pagamento]]&gt;0,TEXT(A25,"mmm/aa"),"")</f>
        <v>fev/25</v>
      </c>
      <c r="T25" s="4">
        <f>IF(Registro2[[#This Row],[Data de Pagamento]]="",0,IF(Registro2[[#This Row],[Conta Financeira]]=base!$A$6,0,Registro2[[#This Row],[Valor Unitário]]))</f>
        <v>35</v>
      </c>
      <c r="U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" t="str">
        <f>VLOOKUP(Registro2[[#This Row],[Categoria]],'Plano de Contas'!$V$3:W100,2,0)</f>
        <v>Receitas Serviços</v>
      </c>
      <c r="X2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5" t="s">
        <v>1536</v>
      </c>
    </row>
    <row r="26" spans="1:25" hidden="1">
      <c r="A26" s="1">
        <v>45692.739583333336</v>
      </c>
      <c r="B26" s="1">
        <v>45692.739583333336</v>
      </c>
      <c r="D26" t="s">
        <v>310</v>
      </c>
      <c r="E26" t="s">
        <v>149</v>
      </c>
      <c r="F26" t="s">
        <v>147</v>
      </c>
      <c r="G26" t="s">
        <v>163</v>
      </c>
      <c r="I26" s="4">
        <v>35</v>
      </c>
      <c r="J26" s="4">
        <v>35</v>
      </c>
      <c r="L26" t="s">
        <v>252</v>
      </c>
      <c r="M26" t="s">
        <v>370</v>
      </c>
      <c r="N26" s="4">
        <f>IF(L26="","",IF(OR(Registro2[[#This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" t="str">
        <f t="shared" si="0"/>
        <v>fev/25</v>
      </c>
      <c r="P26" t="str">
        <f>IF(Registro2[[#This Row],[Data de Pagamento]]&gt;0,TEXT(A26,"mmm/aa"),"")</f>
        <v>fev/25</v>
      </c>
      <c r="T26" s="4">
        <f>IF(Registro2[[#This Row],[Data de Pagamento]]="",0,IF(Registro2[[#This Row],[Conta Financeira]]=base!$A$6,0,Registro2[[#This Row],[Valor Unitário]]))</f>
        <v>35</v>
      </c>
      <c r="U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" t="str">
        <f>VLOOKUP(Registro2[[#This Row],[Categoria]],'Plano de Contas'!$V$3:W124,2,0)</f>
        <v>Receitas Serviços</v>
      </c>
      <c r="X2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26" t="s">
        <v>1536</v>
      </c>
    </row>
    <row r="27" spans="1:25" hidden="1">
      <c r="A27" s="1">
        <v>45692.75</v>
      </c>
      <c r="B27" s="1">
        <v>45692.75</v>
      </c>
      <c r="D27" t="s">
        <v>1</v>
      </c>
      <c r="E27" t="s">
        <v>149</v>
      </c>
      <c r="F27" t="s">
        <v>147</v>
      </c>
      <c r="G27" t="s">
        <v>163</v>
      </c>
      <c r="I27" s="4">
        <v>35</v>
      </c>
      <c r="J27" s="4">
        <v>70</v>
      </c>
      <c r="L27" t="s">
        <v>252</v>
      </c>
      <c r="M27" t="s">
        <v>303</v>
      </c>
      <c r="N27" s="4">
        <f>IF(L27="","",IF(OR(Registro2[[#This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7" t="str">
        <f t="shared" si="0"/>
        <v>fev/25</v>
      </c>
      <c r="P27" t="str">
        <f>IF(Registro2[[#This Row],[Data de Pagamento]]&gt;0,TEXT(A27,"mmm/aa"),"")</f>
        <v>fev/25</v>
      </c>
      <c r="T27" s="4">
        <f>IF(Registro2[[#This Row],[Data de Pagamento]]="",0,IF(Registro2[[#This Row],[Conta Financeira]]=base!$A$6,0,Registro2[[#This Row],[Valor Unitário]]))</f>
        <v>35</v>
      </c>
      <c r="U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7" t="str">
        <f>VLOOKUP(Registro2[[#This Row],[Categoria]],'Plano de Contas'!$V$3:W104,2,0)</f>
        <v>Receitas Serviços</v>
      </c>
      <c r="X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7" t="s">
        <v>1536</v>
      </c>
    </row>
    <row r="28" spans="1:25" hidden="1">
      <c r="A28" s="1">
        <v>45692.75</v>
      </c>
      <c r="B28" s="1">
        <v>45692.75</v>
      </c>
      <c r="D28" t="s">
        <v>1</v>
      </c>
      <c r="E28" t="s">
        <v>149</v>
      </c>
      <c r="F28" t="s">
        <v>147</v>
      </c>
      <c r="G28" t="s">
        <v>163</v>
      </c>
      <c r="I28" s="4">
        <v>35</v>
      </c>
      <c r="J28" s="4"/>
      <c r="L28" t="s">
        <v>252</v>
      </c>
      <c r="M28" t="s">
        <v>303</v>
      </c>
      <c r="N28" s="4">
        <f>IF(L28="","",IF(OR(Registro2[[#This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8" t="str">
        <f t="shared" si="0"/>
        <v>fev/25</v>
      </c>
      <c r="P28" t="str">
        <f>IF(Registro2[[#This Row],[Data de Pagamento]]&gt;0,TEXT(A28,"mmm/aa"),"")</f>
        <v>fev/25</v>
      </c>
      <c r="T28" s="4">
        <f>IF(Registro2[[#This Row],[Data de Pagamento]]="",0,IF(Registro2[[#This Row],[Conta Financeira]]=base!$A$6,0,Registro2[[#This Row],[Valor Unitário]]))</f>
        <v>35</v>
      </c>
      <c r="U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8" t="str">
        <f>VLOOKUP(Registro2[[#This Row],[Categoria]],'Plano de Contas'!$V$3:W105,2,0)</f>
        <v>Receitas Serviços</v>
      </c>
      <c r="X2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8" t="s">
        <v>1536</v>
      </c>
    </row>
    <row r="29" spans="1:25" hidden="1">
      <c r="A29" s="1">
        <v>45692.770833333336</v>
      </c>
      <c r="B29" s="1">
        <v>45692.770833333336</v>
      </c>
      <c r="D29" t="s">
        <v>354</v>
      </c>
      <c r="E29" t="s">
        <v>149</v>
      </c>
      <c r="F29" t="s">
        <v>147</v>
      </c>
      <c r="G29" t="s">
        <v>163</v>
      </c>
      <c r="I29" s="4">
        <v>35</v>
      </c>
      <c r="J29" s="4">
        <v>35</v>
      </c>
      <c r="L29" t="s">
        <v>253</v>
      </c>
      <c r="M29" t="s">
        <v>95</v>
      </c>
      <c r="N29" s="4">
        <f>IF(L29="","",IF(OR(Registro2[[#This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9" t="str">
        <f t="shared" si="0"/>
        <v>fev/25</v>
      </c>
      <c r="P29" t="str">
        <f>IF(Registro2[[#This Row],[Data de Pagamento]]&gt;0,TEXT(A29,"mmm/aa"),"")</f>
        <v>fev/25</v>
      </c>
      <c r="T29" s="4">
        <f>IF(Registro2[[#This Row],[Data de Pagamento]]="",0,IF(Registro2[[#This Row],[Conta Financeira]]=base!$A$6,0,Registro2[[#This Row],[Valor Unitário]]))</f>
        <v>35</v>
      </c>
      <c r="U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9" t="str">
        <f>VLOOKUP(Registro2[[#This Row],[Categoria]],'Plano de Contas'!$V$3:W109,2,0)</f>
        <v>Receitas Serviços</v>
      </c>
      <c r="X2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29" t="s">
        <v>1536</v>
      </c>
    </row>
    <row r="30" spans="1:25" hidden="1">
      <c r="A30" s="1">
        <v>45692.788194444445</v>
      </c>
      <c r="B30" s="1">
        <v>45692.788194444445</v>
      </c>
      <c r="D30" t="s">
        <v>354</v>
      </c>
      <c r="E30" t="s">
        <v>149</v>
      </c>
      <c r="F30" t="s">
        <v>147</v>
      </c>
      <c r="G30" t="s">
        <v>163</v>
      </c>
      <c r="I30" s="4">
        <v>35</v>
      </c>
      <c r="J30" s="4">
        <v>60</v>
      </c>
      <c r="L30" t="s">
        <v>264</v>
      </c>
      <c r="M30" t="s">
        <v>286</v>
      </c>
      <c r="N30" s="4">
        <f>IF(L30="","",IF(OR(Registro2[[#This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0" t="str">
        <f t="shared" si="0"/>
        <v>fev/25</v>
      </c>
      <c r="P30" t="str">
        <f>IF(Registro2[[#This Row],[Data de Pagamento]]&gt;0,TEXT(A30,"mmm/aa"),"")</f>
        <v>fev/25</v>
      </c>
      <c r="T30" s="4">
        <f>IF(Registro2[[#This Row],[Data de Pagamento]]="",0,IF(Registro2[[#This Row],[Conta Financeira]]=base!$A$6,0,Registro2[[#This Row],[Valor Unitário]]))</f>
        <v>35</v>
      </c>
      <c r="U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0" t="str">
        <f>VLOOKUP(Registro2[[#This Row],[Categoria]],'Plano de Contas'!$V$3:W112,2,0)</f>
        <v>Receitas Serviços</v>
      </c>
      <c r="X3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30" t="s">
        <v>1536</v>
      </c>
    </row>
    <row r="31" spans="1:25" hidden="1">
      <c r="A31" s="1">
        <v>45692.788194444445</v>
      </c>
      <c r="B31" s="1">
        <v>45692.788194444445</v>
      </c>
      <c r="D31" t="s">
        <v>354</v>
      </c>
      <c r="E31" t="s">
        <v>149</v>
      </c>
      <c r="F31" t="s">
        <v>150</v>
      </c>
      <c r="G31" t="s">
        <v>508</v>
      </c>
      <c r="I31" s="4">
        <v>25</v>
      </c>
      <c r="J31" s="4"/>
      <c r="L31" t="s">
        <v>264</v>
      </c>
      <c r="M31" t="s">
        <v>286</v>
      </c>
      <c r="N31" s="4">
        <f>IF(L31="","",IF(OR(Registro2[[#This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31" t="str">
        <f t="shared" si="0"/>
        <v>fev/25</v>
      </c>
      <c r="P31" t="str">
        <f>IF(Registro2[[#This Row],[Data de Pagamento]]&gt;0,TEXT(A31,"mmm/aa"),"")</f>
        <v>fev/25</v>
      </c>
      <c r="T31" s="4">
        <f>IF(Registro2[[#This Row],[Data de Pagamento]]="",0,IF(Registro2[[#This Row],[Conta Financeira]]=base!$A$6,0,Registro2[[#This Row],[Valor Unitário]]))</f>
        <v>25</v>
      </c>
      <c r="U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1" t="str">
        <f>VLOOKUP(Registro2[[#This Row],[Categoria]],'Plano de Contas'!$V$3:W113,2,0)</f>
        <v>Receitas Produtos</v>
      </c>
      <c r="X3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0.78749999999999998</v>
      </c>
      <c r="Y31" t="s">
        <v>1536</v>
      </c>
    </row>
    <row r="32" spans="1:25" hidden="1">
      <c r="A32" s="1">
        <v>45692.791666666664</v>
      </c>
      <c r="B32" s="1">
        <v>45692.791666666664</v>
      </c>
      <c r="D32" t="s">
        <v>1</v>
      </c>
      <c r="E32" t="s">
        <v>149</v>
      </c>
      <c r="F32" t="s">
        <v>147</v>
      </c>
      <c r="G32" t="s">
        <v>160</v>
      </c>
      <c r="I32" s="4">
        <v>15</v>
      </c>
      <c r="J32" s="4">
        <v>15</v>
      </c>
      <c r="L32" t="s">
        <v>253</v>
      </c>
      <c r="M32" t="s">
        <v>282</v>
      </c>
      <c r="N32" s="4">
        <f>IF(L32="","",IF(OR(Registro2[[#This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32" t="str">
        <f t="shared" si="0"/>
        <v>fev/25</v>
      </c>
      <c r="P32" t="str">
        <f>IF(Registro2[[#This Row],[Data de Pagamento]]&gt;0,TEXT(A32,"mmm/aa"),"")</f>
        <v>fev/25</v>
      </c>
      <c r="T32" s="4">
        <f>IF(Registro2[[#This Row],[Data de Pagamento]]="",0,IF(Registro2[[#This Row],[Conta Financeira]]=base!$A$6,0,Registro2[[#This Row],[Valor Unitário]]))</f>
        <v>15</v>
      </c>
      <c r="U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2" t="str">
        <f>VLOOKUP(Registro2[[#This Row],[Categoria]],'Plano de Contas'!$V$3:W106,2,0)</f>
        <v>Receitas Serviços</v>
      </c>
      <c r="X3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2" t="s">
        <v>1536</v>
      </c>
    </row>
    <row r="33" spans="1:25" hidden="1">
      <c r="A33" s="1">
        <v>45692.791666666664</v>
      </c>
      <c r="B33" s="1">
        <v>45692.791666666664</v>
      </c>
      <c r="D33" t="s">
        <v>1</v>
      </c>
      <c r="E33" t="s">
        <v>149</v>
      </c>
      <c r="F33" t="s">
        <v>147</v>
      </c>
      <c r="G33" t="s">
        <v>163</v>
      </c>
      <c r="I33" s="4">
        <v>30</v>
      </c>
      <c r="J33" s="4">
        <v>30</v>
      </c>
      <c r="L33" t="s">
        <v>252</v>
      </c>
      <c r="M33" t="s">
        <v>95</v>
      </c>
      <c r="N33" s="4">
        <f>IF(L33="","",IF(OR(Registro2[[#This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33" t="str">
        <f t="shared" si="0"/>
        <v>fev/25</v>
      </c>
      <c r="P33" t="str">
        <f>IF(Registro2[[#This Row],[Data de Pagamento]]&gt;0,TEXT(A33,"mmm/aa"),"")</f>
        <v>fev/25</v>
      </c>
      <c r="T33" s="4">
        <f>IF(Registro2[[#This Row],[Data de Pagamento]]="",0,IF(Registro2[[#This Row],[Conta Financeira]]=base!$A$6,0,Registro2[[#This Row],[Valor Unitário]]))</f>
        <v>30</v>
      </c>
      <c r="U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3" t="str">
        <f>VLOOKUP(Registro2[[#This Row],[Categoria]],'Plano de Contas'!$V$3:W122,2,0)</f>
        <v>Receitas Serviços</v>
      </c>
      <c r="X3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3" t="s">
        <v>1536</v>
      </c>
    </row>
    <row r="34" spans="1:25" hidden="1">
      <c r="A34" s="1">
        <v>45692.802083333336</v>
      </c>
      <c r="B34" s="1">
        <v>45692.802083333336</v>
      </c>
      <c r="D34" t="s">
        <v>1</v>
      </c>
      <c r="E34" t="s">
        <v>149</v>
      </c>
      <c r="F34" t="s">
        <v>147</v>
      </c>
      <c r="G34" t="s">
        <v>163</v>
      </c>
      <c r="I34" s="4">
        <v>35</v>
      </c>
      <c r="J34" s="4">
        <v>35</v>
      </c>
      <c r="L34" t="s">
        <v>252</v>
      </c>
      <c r="M34" t="s">
        <v>85</v>
      </c>
      <c r="N34" s="4">
        <f>IF(L34="","",IF(OR(Registro2[[#This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4" t="str">
        <f t="shared" si="0"/>
        <v>fev/25</v>
      </c>
      <c r="P34" t="str">
        <f>IF(Registro2[[#This Row],[Data de Pagamento]]&gt;0,TEXT(A34,"mmm/aa"),"")</f>
        <v>fev/25</v>
      </c>
      <c r="T34" s="4">
        <f>IF(Registro2[[#This Row],[Data de Pagamento]]="",0,IF(Registro2[[#This Row],[Conta Financeira]]=base!$A$6,0,Registro2[[#This Row],[Valor Unitário]]))</f>
        <v>35</v>
      </c>
      <c r="U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4" t="str">
        <f>VLOOKUP(Registro2[[#This Row],[Categoria]],'Plano de Contas'!$V$3:W103,2,0)</f>
        <v>Receitas Serviços</v>
      </c>
      <c r="X3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4" t="s">
        <v>1536</v>
      </c>
    </row>
    <row r="35" spans="1:25" hidden="1">
      <c r="A35" s="1">
        <v>45692.8125</v>
      </c>
      <c r="B35" s="1">
        <v>45692.8125</v>
      </c>
      <c r="D35" t="s">
        <v>2</v>
      </c>
      <c r="E35" t="s">
        <v>149</v>
      </c>
      <c r="F35" t="s">
        <v>147</v>
      </c>
      <c r="G35" t="s">
        <v>163</v>
      </c>
      <c r="I35" s="4">
        <v>20</v>
      </c>
      <c r="J35" s="4">
        <v>20</v>
      </c>
      <c r="L35" t="s">
        <v>253</v>
      </c>
      <c r="M35" t="s">
        <v>208</v>
      </c>
      <c r="N35" s="4">
        <f>IF(L35="","",IF(OR(Registro2[[#This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35" t="str">
        <f t="shared" si="0"/>
        <v>fev/25</v>
      </c>
      <c r="P35" t="str">
        <f>IF(Registro2[[#This Row],[Data de Pagamento]]&gt;0,TEXT(A35,"mmm/aa"),"")</f>
        <v>fev/25</v>
      </c>
      <c r="T35" s="4">
        <f>IF(Registro2[[#This Row],[Data de Pagamento]]="",0,IF(Registro2[[#This Row],[Conta Financeira]]=base!$A$6,0,Registro2[[#This Row],[Valor Unitário]]))</f>
        <v>20</v>
      </c>
      <c r="U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5" t="str">
        <f>VLOOKUP(Registro2[[#This Row],[Categoria]],'Plano de Contas'!$V$3:W108,2,0)</f>
        <v>Receitas Serviços</v>
      </c>
      <c r="X3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5" t="s">
        <v>1536</v>
      </c>
    </row>
    <row r="36" spans="1:25" hidden="1">
      <c r="A36" s="1">
        <v>45692.8125</v>
      </c>
      <c r="B36" s="1">
        <v>45692.8125</v>
      </c>
      <c r="D36" t="s">
        <v>310</v>
      </c>
      <c r="E36" t="s">
        <v>149</v>
      </c>
      <c r="F36" t="s">
        <v>147</v>
      </c>
      <c r="G36" t="s">
        <v>163</v>
      </c>
      <c r="I36" s="4">
        <v>35</v>
      </c>
      <c r="J36" s="4">
        <v>35</v>
      </c>
      <c r="L36" t="s">
        <v>264</v>
      </c>
      <c r="M36" t="s">
        <v>275</v>
      </c>
      <c r="N36" s="4">
        <f>IF(L36="","",IF(OR(Registro2[[#This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6" t="str">
        <f t="shared" si="0"/>
        <v>fev/25</v>
      </c>
      <c r="P36" t="str">
        <f>IF(Registro2[[#This Row],[Data de Pagamento]]&gt;0,TEXT(A36,"mmm/aa"),"")</f>
        <v>fev/25</v>
      </c>
      <c r="T36" s="4">
        <f>IF(Registro2[[#This Row],[Data de Pagamento]]="",0,IF(Registro2[[#This Row],[Conta Financeira]]=base!$A$6,0,Registro2[[#This Row],[Valor Unitário]]))</f>
        <v>35</v>
      </c>
      <c r="U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6" t="str">
        <f>VLOOKUP(Registro2[[#This Row],[Categoria]],'Plano de Contas'!$V$3:W120,2,0)</f>
        <v>Receitas Serviços</v>
      </c>
      <c r="X3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36" t="s">
        <v>1536</v>
      </c>
    </row>
    <row r="37" spans="1:25" hidden="1">
      <c r="A37" s="1">
        <v>45692.822916666664</v>
      </c>
      <c r="B37" s="1">
        <v>45692.822916666664</v>
      </c>
      <c r="D37" t="s">
        <v>354</v>
      </c>
      <c r="E37" t="s">
        <v>149</v>
      </c>
      <c r="F37" t="s">
        <v>147</v>
      </c>
      <c r="G37" t="s">
        <v>163</v>
      </c>
      <c r="I37" s="4">
        <v>35</v>
      </c>
      <c r="J37" s="4">
        <v>35</v>
      </c>
      <c r="L37" t="s">
        <v>252</v>
      </c>
      <c r="M37" t="s">
        <v>197</v>
      </c>
      <c r="N37" s="4">
        <f>IF(L37="","",IF(OR(Registro2[[#This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7" t="str">
        <f t="shared" si="0"/>
        <v>fev/25</v>
      </c>
      <c r="P37" t="str">
        <f>IF(Registro2[[#This Row],[Data de Pagamento]]&gt;0,TEXT(A37,"mmm/aa"),"")</f>
        <v>fev/25</v>
      </c>
      <c r="T37" s="4">
        <f>IF(Registro2[[#This Row],[Data de Pagamento]]="",0,IF(Registro2[[#This Row],[Conta Financeira]]=base!$A$6,0,Registro2[[#This Row],[Valor Unitário]]))</f>
        <v>35</v>
      </c>
      <c r="U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7" t="str">
        <f>VLOOKUP(Registro2[[#This Row],[Categoria]],'Plano de Contas'!$V$3:W123,2,0)</f>
        <v>Receitas Serviços</v>
      </c>
      <c r="X3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37" t="s">
        <v>1536</v>
      </c>
    </row>
    <row r="38" spans="1:25" hidden="1">
      <c r="A38" s="1">
        <v>45692.84375</v>
      </c>
      <c r="B38" s="1">
        <v>45692.84375</v>
      </c>
      <c r="D38" t="s">
        <v>1</v>
      </c>
      <c r="E38" t="s">
        <v>149</v>
      </c>
      <c r="F38" t="s">
        <v>147</v>
      </c>
      <c r="G38" t="s">
        <v>163</v>
      </c>
      <c r="I38" s="4">
        <v>35</v>
      </c>
      <c r="J38" s="4">
        <v>35</v>
      </c>
      <c r="L38" t="s">
        <v>253</v>
      </c>
      <c r="M38" t="s">
        <v>369</v>
      </c>
      <c r="N38" s="4">
        <f>IF(L38="","",IF(OR(Registro2[[#This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8" t="str">
        <f t="shared" si="0"/>
        <v>fev/25</v>
      </c>
      <c r="P38" t="str">
        <f>IF(Registro2[[#This Row],[Data de Pagamento]]&gt;0,TEXT(A38,"mmm/aa"),"")</f>
        <v>fev/25</v>
      </c>
      <c r="T38" s="4">
        <f>IF(Registro2[[#This Row],[Data de Pagamento]]="",0,IF(Registro2[[#This Row],[Conta Financeira]]=base!$A$6,0,Registro2[[#This Row],[Valor Unitário]]))</f>
        <v>35</v>
      </c>
      <c r="U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8" t="str">
        <f>VLOOKUP(Registro2[[#This Row],[Categoria]],'Plano de Contas'!$V$3:W110,2,0)</f>
        <v>Receitas Serviços</v>
      </c>
      <c r="X3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8" t="s">
        <v>1536</v>
      </c>
    </row>
    <row r="39" spans="1:25" hidden="1">
      <c r="A39" s="1">
        <v>45692.875</v>
      </c>
      <c r="B39" s="1">
        <v>45692.875</v>
      </c>
      <c r="D39" t="s">
        <v>529</v>
      </c>
      <c r="E39" t="s">
        <v>149</v>
      </c>
      <c r="F39" t="s">
        <v>147</v>
      </c>
      <c r="G39" t="s">
        <v>163</v>
      </c>
      <c r="I39" s="4">
        <v>35</v>
      </c>
      <c r="J39" s="4">
        <v>35</v>
      </c>
      <c r="L39" t="s">
        <v>253</v>
      </c>
      <c r="M39" t="s">
        <v>295</v>
      </c>
      <c r="N39" s="4">
        <f>IF(L39="","",IF(OR(Registro2[[#This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9" t="str">
        <f t="shared" si="0"/>
        <v>fev/25</v>
      </c>
      <c r="P39" t="str">
        <f>IF(Registro2[[#This Row],[Data de Pagamento]]&gt;0,TEXT(A39,"mmm/aa"),"")</f>
        <v>fev/25</v>
      </c>
      <c r="T39" s="4">
        <f>IF(Registro2[[#This Row],[Data de Pagamento]]="",0,IF(Registro2[[#This Row],[Conta Financeira]]=base!$A$6,0,Registro2[[#This Row],[Valor Unitário]]))</f>
        <v>35</v>
      </c>
      <c r="U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9" t="str">
        <f>VLOOKUP(Registro2[[#This Row],[Categoria]],'Plano de Contas'!$V$3:W119,2,0)</f>
        <v>Receitas Serviços</v>
      </c>
      <c r="X3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9" t="s">
        <v>1536</v>
      </c>
    </row>
    <row r="40" spans="1:25" hidden="1">
      <c r="A40" s="1">
        <v>45692.895833333336</v>
      </c>
      <c r="B40" s="1">
        <v>45692.895833333336</v>
      </c>
      <c r="D40" t="s">
        <v>310</v>
      </c>
      <c r="E40" t="s">
        <v>149</v>
      </c>
      <c r="F40" t="s">
        <v>147</v>
      </c>
      <c r="G40" t="s">
        <v>163</v>
      </c>
      <c r="I40" s="4">
        <v>35</v>
      </c>
      <c r="J40" s="4">
        <v>70</v>
      </c>
      <c r="L40" t="s">
        <v>253</v>
      </c>
      <c r="M40" t="s">
        <v>371</v>
      </c>
      <c r="N40" s="4">
        <f>IF(L40="","",IF(OR(Registro2[[#This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0" t="str">
        <f t="shared" si="0"/>
        <v>fev/25</v>
      </c>
      <c r="P40" t="str">
        <f>IF(Registro2[[#This Row],[Data de Pagamento]]&gt;0,TEXT(A40,"mmm/aa"),"")</f>
        <v>fev/25</v>
      </c>
      <c r="T40" s="4">
        <f>IF(Registro2[[#This Row],[Data de Pagamento]]="",0,IF(Registro2[[#This Row],[Conta Financeira]]=base!$A$6,0,Registro2[[#This Row],[Valor Unitário]]))</f>
        <v>35</v>
      </c>
      <c r="U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0" t="str">
        <f>VLOOKUP(Registro2[[#This Row],[Categoria]],'Plano de Contas'!$V$3:W116,2,0)</f>
        <v>Receitas Serviços</v>
      </c>
      <c r="X4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40" t="s">
        <v>1536</v>
      </c>
    </row>
    <row r="41" spans="1:25" hidden="1">
      <c r="A41" s="1">
        <v>45692.895833333336</v>
      </c>
      <c r="B41" s="1">
        <v>45692.895833333336</v>
      </c>
      <c r="D41" t="s">
        <v>310</v>
      </c>
      <c r="E41" t="s">
        <v>149</v>
      </c>
      <c r="F41" t="s">
        <v>147</v>
      </c>
      <c r="G41" t="s">
        <v>163</v>
      </c>
      <c r="I41" s="4">
        <v>35</v>
      </c>
      <c r="J41" s="4"/>
      <c r="L41" t="s">
        <v>253</v>
      </c>
      <c r="M41" t="s">
        <v>371</v>
      </c>
      <c r="N41" s="4">
        <f>IF(L41="","",IF(OR(Registro2[[#This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1" t="str">
        <f t="shared" si="0"/>
        <v>fev/25</v>
      </c>
      <c r="P41" t="str">
        <f>IF(Registro2[[#This Row],[Data de Pagamento]]&gt;0,TEXT(A41,"mmm/aa"),"")</f>
        <v>fev/25</v>
      </c>
      <c r="T41" s="4">
        <f>IF(Registro2[[#This Row],[Data de Pagamento]]="",0,IF(Registro2[[#This Row],[Conta Financeira]]=base!$A$6,0,Registro2[[#This Row],[Valor Unitário]]))</f>
        <v>35</v>
      </c>
      <c r="U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1" t="str">
        <f>VLOOKUP(Registro2[[#This Row],[Categoria]],'Plano de Contas'!$V$3:W117,2,0)</f>
        <v>Receitas Serviços</v>
      </c>
      <c r="X4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41" t="s">
        <v>1536</v>
      </c>
    </row>
    <row r="42" spans="1:25" hidden="1">
      <c r="A42" s="1">
        <v>45692.899305555555</v>
      </c>
      <c r="B42" s="1">
        <v>45692.899305555555</v>
      </c>
      <c r="D42" t="s">
        <v>310</v>
      </c>
      <c r="E42" t="s">
        <v>149</v>
      </c>
      <c r="F42" t="s">
        <v>147</v>
      </c>
      <c r="G42" t="s">
        <v>163</v>
      </c>
      <c r="I42" s="4">
        <v>35</v>
      </c>
      <c r="J42" s="4">
        <v>35</v>
      </c>
      <c r="L42" t="s">
        <v>264</v>
      </c>
      <c r="M42" t="s">
        <v>370</v>
      </c>
      <c r="N42" s="4">
        <f>IF(L42="","",IF(OR(Registro2[[#This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2" t="str">
        <f t="shared" si="0"/>
        <v>fev/25</v>
      </c>
      <c r="P42" t="str">
        <f>IF(Registro2[[#This Row],[Data de Pagamento]]&gt;0,TEXT(A42,"mmm/aa"),"")</f>
        <v>fev/25</v>
      </c>
      <c r="T42" s="4">
        <f>IF(Registro2[[#This Row],[Data de Pagamento]]="",0,IF(Registro2[[#This Row],[Conta Financeira]]=base!$A$6,0,Registro2[[#This Row],[Valor Unitário]]))</f>
        <v>35</v>
      </c>
      <c r="U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2" t="str">
        <f>VLOOKUP(Registro2[[#This Row],[Categoria]],'Plano de Contas'!$V$3:W118,2,0)</f>
        <v>Receitas Serviços</v>
      </c>
      <c r="X4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42" t="s">
        <v>1536</v>
      </c>
    </row>
    <row r="43" spans="1:25" hidden="1">
      <c r="A43" s="1">
        <v>45692.931250000001</v>
      </c>
      <c r="B43" s="1">
        <v>45692.931250000001</v>
      </c>
      <c r="E43" t="s">
        <v>137</v>
      </c>
      <c r="F43" t="s">
        <v>138</v>
      </c>
      <c r="G43" t="s">
        <v>340</v>
      </c>
      <c r="H43" t="s">
        <v>340</v>
      </c>
      <c r="I43" s="4">
        <v>20</v>
      </c>
      <c r="J43" s="4"/>
      <c r="N43" s="4" t="str">
        <f>IF(L43="","",IF(OR(Registro2[[#This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43" t="str">
        <f t="shared" si="0"/>
        <v>fev/25</v>
      </c>
      <c r="P43" t="str">
        <f>IF(Registro2[[#This Row],[Data de Pagamento]]&gt;0,TEXT(A43,"mmm/aa"),"")</f>
        <v>fev/25</v>
      </c>
      <c r="T43" s="4">
        <f>IF(Registro2[[#This Row],[Data de Pagamento]]="",0,IF(Registro2[[#This Row],[Conta Financeira]]=base!$A$6,0,Registro2[[#This Row],[Valor Unitário]]))</f>
        <v>20</v>
      </c>
      <c r="U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3" t="str">
        <f>VLOOKUP(Registro2[[#This Row],[Categoria]],'Plano de Contas'!$V$3:W57,2,0)</f>
        <v>Despesas Gerias &amp; Vendas</v>
      </c>
      <c r="X4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3" t="s">
        <v>1536</v>
      </c>
    </row>
    <row r="44" spans="1:25" hidden="1">
      <c r="A44" s="1">
        <v>45693.375</v>
      </c>
      <c r="B44" s="1">
        <v>45693.375</v>
      </c>
      <c r="D44" t="s">
        <v>1</v>
      </c>
      <c r="E44" t="s">
        <v>149</v>
      </c>
      <c r="F44" t="s">
        <v>147</v>
      </c>
      <c r="G44" t="s">
        <v>163</v>
      </c>
      <c r="I44" s="4">
        <v>35</v>
      </c>
      <c r="J44" s="4">
        <v>35</v>
      </c>
      <c r="L44" t="s">
        <v>264</v>
      </c>
      <c r="M44" t="s">
        <v>373</v>
      </c>
      <c r="N44" s="4">
        <f>IF(L44="","",IF(OR(Registro2[[#This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4" t="str">
        <f t="shared" si="0"/>
        <v>fev/25</v>
      </c>
      <c r="P44" t="str">
        <f>IF(Registro2[[#This Row],[Data de Pagamento]]&gt;0,TEXT(A44,"mmm/aa"),"")</f>
        <v>fev/25</v>
      </c>
      <c r="T44" s="4">
        <f>IF(Registro2[[#This Row],[Data de Pagamento]]="",0,IF(Registro2[[#This Row],[Conta Financeira]]=base!$A$6,0,Registro2[[#This Row],[Valor Unitário]]))</f>
        <v>35</v>
      </c>
      <c r="U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4" t="str">
        <f>VLOOKUP(Registro2[[#This Row],[Categoria]],'Plano de Contas'!$V$3:W129,2,0)</f>
        <v>Receitas Serviços</v>
      </c>
      <c r="X4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4" t="s">
        <v>1536</v>
      </c>
    </row>
    <row r="45" spans="1:25" hidden="1">
      <c r="A45" s="1">
        <v>45693.395833333336</v>
      </c>
      <c r="B45" s="1">
        <v>45693.395833333336</v>
      </c>
      <c r="D45" t="s">
        <v>2</v>
      </c>
      <c r="E45" t="s">
        <v>149</v>
      </c>
      <c r="F45" t="s">
        <v>147</v>
      </c>
      <c r="G45" t="s">
        <v>163</v>
      </c>
      <c r="I45" s="4">
        <v>35</v>
      </c>
      <c r="J45" s="4">
        <v>35</v>
      </c>
      <c r="L45" t="s">
        <v>253</v>
      </c>
      <c r="M45" t="s">
        <v>268</v>
      </c>
      <c r="N45" s="4">
        <f>IF(L45="","",IF(OR(Registro2[[#This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5" t="str">
        <f t="shared" si="0"/>
        <v>fev/25</v>
      </c>
      <c r="P45" t="str">
        <f>IF(Registro2[[#This Row],[Data de Pagamento]]&gt;0,TEXT(A45,"mmm/aa"),"")</f>
        <v>fev/25</v>
      </c>
      <c r="T45" s="4">
        <f>IF(Registro2[[#This Row],[Data de Pagamento]]="",0,IF(Registro2[[#This Row],[Conta Financeira]]=base!$A$6,0,Registro2[[#This Row],[Valor Unitário]]))</f>
        <v>35</v>
      </c>
      <c r="U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5" t="str">
        <f>VLOOKUP(Registro2[[#This Row],[Categoria]],'Plano de Contas'!$V$3:W111,2,0)</f>
        <v>Receitas Serviços</v>
      </c>
      <c r="X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5" t="s">
        <v>1536</v>
      </c>
    </row>
    <row r="46" spans="1:25" hidden="1">
      <c r="A46" s="1">
        <v>45693.416666666664</v>
      </c>
      <c r="B46" s="1">
        <v>45693.416666666664</v>
      </c>
      <c r="D46" t="s">
        <v>310</v>
      </c>
      <c r="E46" t="s">
        <v>149</v>
      </c>
      <c r="F46" t="s">
        <v>147</v>
      </c>
      <c r="G46" t="s">
        <v>163</v>
      </c>
      <c r="I46" s="4">
        <v>35</v>
      </c>
      <c r="J46" s="4">
        <v>100</v>
      </c>
      <c r="L46" t="s">
        <v>253</v>
      </c>
      <c r="M46" t="s">
        <v>292</v>
      </c>
      <c r="N46" s="4">
        <f>IF(L46="","",IF(OR(Registro2[[#This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6" t="str">
        <f t="shared" si="0"/>
        <v>fev/25</v>
      </c>
      <c r="P46" t="str">
        <f>IF(Registro2[[#This Row],[Data de Pagamento]]&gt;0,TEXT(A46,"mmm/aa"),"")</f>
        <v>fev/25</v>
      </c>
      <c r="T46" s="4">
        <f>IF(Registro2[[#This Row],[Data de Pagamento]]="",0,IF(Registro2[[#This Row],[Conta Financeira]]=base!$A$6,0,Registro2[[#This Row],[Valor Unitário]]))</f>
        <v>35</v>
      </c>
      <c r="U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6" t="str">
        <f>VLOOKUP(Registro2[[#This Row],[Categoria]],'Plano de Contas'!$V$3:W125,2,0)</f>
        <v>Receitas Serviços</v>
      </c>
      <c r="X4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46" t="s">
        <v>1536</v>
      </c>
    </row>
    <row r="47" spans="1:25" hidden="1">
      <c r="A47" s="1">
        <v>45693.416666666664</v>
      </c>
      <c r="B47" s="1">
        <v>45693.416666666664</v>
      </c>
      <c r="D47" t="s">
        <v>310</v>
      </c>
      <c r="E47" t="s">
        <v>149</v>
      </c>
      <c r="F47" t="s">
        <v>147</v>
      </c>
      <c r="G47" t="s">
        <v>163</v>
      </c>
      <c r="I47" s="4">
        <v>35</v>
      </c>
      <c r="J47" s="4"/>
      <c r="L47" t="s">
        <v>264</v>
      </c>
      <c r="M47" t="s">
        <v>292</v>
      </c>
      <c r="N47" s="4">
        <f>IF(L47="","",IF(OR(Registro2[[#This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7" t="str">
        <f t="shared" si="0"/>
        <v>fev/25</v>
      </c>
      <c r="P47" t="str">
        <f>IF(Registro2[[#This Row],[Data de Pagamento]]&gt;0,TEXT(A47,"mmm/aa"),"")</f>
        <v>fev/25</v>
      </c>
      <c r="T47" s="4">
        <f>IF(Registro2[[#This Row],[Data de Pagamento]]="",0,IF(Registro2[[#This Row],[Conta Financeira]]=base!$A$6,0,Registro2[[#This Row],[Valor Unitário]]))</f>
        <v>35</v>
      </c>
      <c r="U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7" t="str">
        <f>VLOOKUP(Registro2[[#This Row],[Categoria]],'Plano de Contas'!$V$3:W126,2,0)</f>
        <v>Receitas Serviços</v>
      </c>
      <c r="X4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47" t="s">
        <v>1536</v>
      </c>
    </row>
    <row r="48" spans="1:25" hidden="1">
      <c r="A48" s="1">
        <v>45693.416666666664</v>
      </c>
      <c r="B48" s="1">
        <v>45693.416666666664</v>
      </c>
      <c r="D48" t="s">
        <v>310</v>
      </c>
      <c r="E48" t="s">
        <v>149</v>
      </c>
      <c r="F48" t="s">
        <v>152</v>
      </c>
      <c r="G48" t="s">
        <v>304</v>
      </c>
      <c r="I48" s="4">
        <v>15</v>
      </c>
      <c r="J48" s="4"/>
      <c r="L48" t="s">
        <v>264</v>
      </c>
      <c r="M48" t="s">
        <v>292</v>
      </c>
      <c r="N48" s="4">
        <f>IF(L48="","",IF(OR(Registro2[[#This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48" t="str">
        <f t="shared" si="0"/>
        <v>fev/25</v>
      </c>
      <c r="P48" t="str">
        <f>IF(Registro2[[#This Row],[Data de Pagamento]]&gt;0,TEXT(A48,"mmm/aa"),"")</f>
        <v>fev/25</v>
      </c>
      <c r="T48" s="4">
        <f>IF(Registro2[[#This Row],[Data de Pagamento]]="",0,IF(Registro2[[#This Row],[Conta Financeira]]=base!$A$6,0,Registro2[[#This Row],[Valor Unitário]]))</f>
        <v>15</v>
      </c>
      <c r="U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8" t="str">
        <f>VLOOKUP(Registro2[[#This Row],[Categoria]],'Plano de Contas'!$V$3:W127,2,0)</f>
        <v>Receitas Serviços</v>
      </c>
      <c r="X4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  <c r="Y48" t="s">
        <v>1536</v>
      </c>
    </row>
    <row r="49" spans="1:25" hidden="1">
      <c r="A49" s="1">
        <v>45693.416666666664</v>
      </c>
      <c r="B49" s="1">
        <v>45693.416666666664</v>
      </c>
      <c r="D49" t="s">
        <v>310</v>
      </c>
      <c r="E49" t="s">
        <v>149</v>
      </c>
      <c r="F49" t="s">
        <v>152</v>
      </c>
      <c r="G49" t="s">
        <v>352</v>
      </c>
      <c r="I49" s="4">
        <v>15</v>
      </c>
      <c r="J49" s="4"/>
      <c r="L49" t="s">
        <v>253</v>
      </c>
      <c r="M49" t="s">
        <v>292</v>
      </c>
      <c r="N49" s="4">
        <f>IF(L49="","",IF(OR(Registro2[[#This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49" t="str">
        <f t="shared" si="0"/>
        <v>fev/25</v>
      </c>
      <c r="P49" t="str">
        <f>IF(Registro2[[#This Row],[Data de Pagamento]]&gt;0,TEXT(A49,"mmm/aa"),"")</f>
        <v>fev/25</v>
      </c>
      <c r="T49" s="4">
        <f>IF(Registro2[[#This Row],[Data de Pagamento]]="",0,IF(Registro2[[#This Row],[Conta Financeira]]=base!$A$6,0,Registro2[[#This Row],[Valor Unitário]]))</f>
        <v>15</v>
      </c>
      <c r="U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9" t="str">
        <f>VLOOKUP(Registro2[[#This Row],[Categoria]],'Plano de Contas'!$V$3:W128,2,0)</f>
        <v>Receitas Serviços</v>
      </c>
      <c r="X4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  <c r="Y49" t="s">
        <v>1536</v>
      </c>
    </row>
    <row r="50" spans="1:25" hidden="1">
      <c r="A50" s="1">
        <v>45693.458333333336</v>
      </c>
      <c r="B50" s="1">
        <v>45693.458333333336</v>
      </c>
      <c r="D50" t="s">
        <v>2</v>
      </c>
      <c r="E50" t="s">
        <v>149</v>
      </c>
      <c r="F50" t="s">
        <v>147</v>
      </c>
      <c r="G50" t="s">
        <v>163</v>
      </c>
      <c r="I50" s="4">
        <v>35</v>
      </c>
      <c r="J50" s="4">
        <v>35</v>
      </c>
      <c r="L50" t="s">
        <v>253</v>
      </c>
      <c r="M50" t="s">
        <v>382</v>
      </c>
      <c r="N50" s="4">
        <f>IF(L50="","",IF(OR(Registro2[[#This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0" t="str">
        <f t="shared" si="0"/>
        <v>fev/25</v>
      </c>
      <c r="P50" t="str">
        <f>IF(Registro2[[#This Row],[Data de Pagamento]]&gt;0,TEXT(A50,"mmm/aa"),"")</f>
        <v>fev/25</v>
      </c>
      <c r="T50" s="4">
        <f>IF(Registro2[[#This Row],[Data de Pagamento]]="",0,IF(Registro2[[#This Row],[Conta Financeira]]=base!$A$6,0,Registro2[[#This Row],[Valor Unitário]]))</f>
        <v>35</v>
      </c>
      <c r="U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0" t="str">
        <f>VLOOKUP(Registro2[[#This Row],[Categoria]],'Plano de Contas'!$V$3:W197,2,0)</f>
        <v>Receitas Serviços</v>
      </c>
      <c r="X5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0" t="s">
        <v>1536</v>
      </c>
    </row>
    <row r="51" spans="1:25" hidden="1">
      <c r="A51" s="1">
        <v>45693.5</v>
      </c>
      <c r="B51" s="1">
        <v>45693.5</v>
      </c>
      <c r="D51" t="s">
        <v>1</v>
      </c>
      <c r="E51" t="s">
        <v>149</v>
      </c>
      <c r="F51" t="s">
        <v>147</v>
      </c>
      <c r="G51" t="s">
        <v>163</v>
      </c>
      <c r="I51" s="4">
        <v>35</v>
      </c>
      <c r="J51" s="4">
        <v>35</v>
      </c>
      <c r="L51" t="s">
        <v>252</v>
      </c>
      <c r="M51" t="s">
        <v>372</v>
      </c>
      <c r="N51" s="4">
        <f>IF(L51="","",IF(OR(Registro2[[#This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1" t="str">
        <f t="shared" si="0"/>
        <v>fev/25</v>
      </c>
      <c r="P51" t="str">
        <f>IF(Registro2[[#This Row],[Data de Pagamento]]&gt;0,TEXT(A51,"mmm/aa"),"")</f>
        <v>fev/25</v>
      </c>
      <c r="T51" s="4">
        <f>IF(Registro2[[#This Row],[Data de Pagamento]]="",0,IF(Registro2[[#This Row],[Conta Financeira]]=base!$A$6,0,Registro2[[#This Row],[Valor Unitário]]))</f>
        <v>35</v>
      </c>
      <c r="U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1" t="str">
        <f>VLOOKUP(Registro2[[#This Row],[Categoria]],'Plano de Contas'!$V$3:W121,2,0)</f>
        <v>Receitas Serviços</v>
      </c>
      <c r="X5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1" t="s">
        <v>1536</v>
      </c>
    </row>
    <row r="52" spans="1:25" hidden="1">
      <c r="A52" s="1">
        <v>45693.604166666664</v>
      </c>
      <c r="B52" s="1">
        <v>45693.604166666664</v>
      </c>
      <c r="D52" t="s">
        <v>1</v>
      </c>
      <c r="E52" t="s">
        <v>149</v>
      </c>
      <c r="F52" t="s">
        <v>147</v>
      </c>
      <c r="G52" t="s">
        <v>163</v>
      </c>
      <c r="I52" s="4">
        <v>35</v>
      </c>
      <c r="J52" s="4">
        <v>35</v>
      </c>
      <c r="L52" t="s">
        <v>253</v>
      </c>
      <c r="M52" t="s">
        <v>66</v>
      </c>
      <c r="N52" s="4">
        <f>IF(L52="","",IF(OR(Registro2[[#This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2" t="str">
        <f t="shared" si="0"/>
        <v>fev/25</v>
      </c>
      <c r="P52" t="str">
        <f>IF(Registro2[[#This Row],[Data de Pagamento]]&gt;0,TEXT(A52,"mmm/aa"),"")</f>
        <v>fev/25</v>
      </c>
      <c r="T52" s="4">
        <f>IF(Registro2[[#This Row],[Data de Pagamento]]="",0,IF(Registro2[[#This Row],[Conta Financeira]]=base!$A$6,0,Registro2[[#This Row],[Valor Unitário]]))</f>
        <v>35</v>
      </c>
      <c r="U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2" t="str">
        <f>VLOOKUP(Registro2[[#This Row],[Categoria]],'Plano de Contas'!$V$3:W82,2,0)</f>
        <v>Receitas Serviços</v>
      </c>
      <c r="X5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2" t="s">
        <v>1536</v>
      </c>
    </row>
    <row r="53" spans="1:25" hidden="1">
      <c r="A53" s="1">
        <v>45693.697916666664</v>
      </c>
      <c r="B53" s="1">
        <v>45693.697916666664</v>
      </c>
      <c r="D53" t="s">
        <v>1</v>
      </c>
      <c r="E53" t="s">
        <v>149</v>
      </c>
      <c r="F53" t="s">
        <v>147</v>
      </c>
      <c r="G53" t="s">
        <v>163</v>
      </c>
      <c r="I53" s="4">
        <v>35</v>
      </c>
      <c r="J53" s="4">
        <v>35</v>
      </c>
      <c r="L53" t="s">
        <v>264</v>
      </c>
      <c r="M53" t="s">
        <v>301</v>
      </c>
      <c r="N53" s="4">
        <f>IF(L53="","",IF(OR(Registro2[[#This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3" t="str">
        <f t="shared" si="0"/>
        <v>fev/25</v>
      </c>
      <c r="P53" t="str">
        <f>IF(Registro2[[#This Row],[Data de Pagamento]]&gt;0,TEXT(A53,"mmm/aa"),"")</f>
        <v>fev/25</v>
      </c>
      <c r="T53" s="4">
        <f>IF(Registro2[[#This Row],[Data de Pagamento]]="",0,IF(Registro2[[#This Row],[Conta Financeira]]=base!$A$6,0,Registro2[[#This Row],[Valor Unitário]]))</f>
        <v>35</v>
      </c>
      <c r="U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3" t="str">
        <f>VLOOKUP(Registro2[[#This Row],[Categoria]],'Plano de Contas'!$V$3:W131,2,0)</f>
        <v>Receitas Serviços</v>
      </c>
      <c r="X5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3" t="s">
        <v>1536</v>
      </c>
    </row>
    <row r="54" spans="1:25" hidden="1">
      <c r="A54" s="1">
        <v>45693.71875</v>
      </c>
      <c r="B54" s="1">
        <v>45693.71875</v>
      </c>
      <c r="D54" t="s">
        <v>310</v>
      </c>
      <c r="E54" t="s">
        <v>149</v>
      </c>
      <c r="F54" t="s">
        <v>152</v>
      </c>
      <c r="G54" t="s">
        <v>154</v>
      </c>
      <c r="I54" s="4">
        <v>50</v>
      </c>
      <c r="J54" s="4">
        <v>45</v>
      </c>
      <c r="L54" t="s">
        <v>252</v>
      </c>
      <c r="M54" t="s">
        <v>57</v>
      </c>
      <c r="N54" s="4">
        <f>IF(L54="","",IF(OR(Registro2[[#This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54" t="str">
        <f t="shared" si="0"/>
        <v>fev/25</v>
      </c>
      <c r="P54" t="str">
        <f>IF(Registro2[[#This Row],[Data de Pagamento]]&gt;0,TEXT(A54,"mmm/aa"),"")</f>
        <v>fev/25</v>
      </c>
      <c r="T54" s="4">
        <f>IF(Registro2[[#This Row],[Data de Pagamento]]="",0,IF(Registro2[[#This Row],[Conta Financeira]]=base!$A$6,0,Registro2[[#This Row],[Valor Unitário]]))</f>
        <v>50</v>
      </c>
      <c r="U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4" t="str">
        <f>VLOOKUP(Registro2[[#This Row],[Categoria]],'Plano de Contas'!$V$3:W134,2,0)</f>
        <v>Receitas Serviços</v>
      </c>
      <c r="X5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0.44500000000000001</v>
      </c>
      <c r="Y54" t="s">
        <v>1536</v>
      </c>
    </row>
    <row r="55" spans="1:25" hidden="1">
      <c r="A55" s="1">
        <v>45693.739583333336</v>
      </c>
      <c r="B55" s="1">
        <v>45693.739583333336</v>
      </c>
      <c r="D55" t="s">
        <v>1</v>
      </c>
      <c r="E55" t="s">
        <v>149</v>
      </c>
      <c r="F55" t="s">
        <v>147</v>
      </c>
      <c r="G55" t="s">
        <v>163</v>
      </c>
      <c r="I55" s="4">
        <v>35</v>
      </c>
      <c r="J55" s="4">
        <v>35</v>
      </c>
      <c r="L55" t="s">
        <v>264</v>
      </c>
      <c r="M55" t="s">
        <v>376</v>
      </c>
      <c r="N55" s="4">
        <f>IF(L55="","",IF(OR(Registro2[[#This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5" t="str">
        <f t="shared" si="0"/>
        <v>fev/25</v>
      </c>
      <c r="P55" t="str">
        <f>IF(Registro2[[#This Row],[Data de Pagamento]]&gt;0,TEXT(A55,"mmm/aa"),"")</f>
        <v>fev/25</v>
      </c>
      <c r="T55" s="4">
        <f>IF(Registro2[[#This Row],[Data de Pagamento]]="",0,IF(Registro2[[#This Row],[Conta Financeira]]=base!$A$6,0,Registro2[[#This Row],[Valor Unitário]]))</f>
        <v>35</v>
      </c>
      <c r="U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5" t="str">
        <f>VLOOKUP(Registro2[[#This Row],[Categoria]],'Plano de Contas'!$V$3:W133,2,0)</f>
        <v>Receitas Serviços</v>
      </c>
      <c r="X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5" t="s">
        <v>1536</v>
      </c>
    </row>
    <row r="56" spans="1:25" hidden="1">
      <c r="A56" s="1">
        <v>45693.760416666664</v>
      </c>
      <c r="B56" s="1">
        <v>45693.760416666664</v>
      </c>
      <c r="D56" t="s">
        <v>1</v>
      </c>
      <c r="E56" t="s">
        <v>149</v>
      </c>
      <c r="F56" t="s">
        <v>152</v>
      </c>
      <c r="G56" t="s">
        <v>353</v>
      </c>
      <c r="I56" s="4">
        <v>55</v>
      </c>
      <c r="J56" s="4">
        <v>40</v>
      </c>
      <c r="L56" t="s">
        <v>252</v>
      </c>
      <c r="M56" t="s">
        <v>28</v>
      </c>
      <c r="N56" s="4">
        <f>IF(L56="","",IF(OR(Registro2[[#This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56" t="str">
        <f t="shared" si="0"/>
        <v>fev/25</v>
      </c>
      <c r="P56" t="str">
        <f>IF(Registro2[[#This Row],[Data de Pagamento]]&gt;0,TEXT(A56,"mmm/aa"),"")</f>
        <v>fev/25</v>
      </c>
      <c r="T56" s="4">
        <f>IF(Registro2[[#This Row],[Data de Pagamento]]="",0,IF(Registro2[[#This Row],[Conta Financeira]]=base!$A$6,0,Registro2[[#This Row],[Valor Unitário]]))</f>
        <v>55</v>
      </c>
      <c r="U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6" t="str">
        <f>VLOOKUP(Registro2[[#This Row],[Categoria]],'Plano de Contas'!$V$3:W136,2,0)</f>
        <v>Receitas Serviços</v>
      </c>
      <c r="X5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6" t="s">
        <v>1536</v>
      </c>
    </row>
    <row r="57" spans="1:25" hidden="1">
      <c r="A57" s="1">
        <v>45693.770833333336</v>
      </c>
      <c r="B57" s="1">
        <v>45693.770833333336</v>
      </c>
      <c r="D57" t="s">
        <v>1</v>
      </c>
      <c r="E57" t="s">
        <v>149</v>
      </c>
      <c r="F57" t="s">
        <v>147</v>
      </c>
      <c r="G57" t="s">
        <v>163</v>
      </c>
      <c r="I57" s="4">
        <v>35</v>
      </c>
      <c r="J57" s="4">
        <v>35</v>
      </c>
      <c r="L57" t="s">
        <v>264</v>
      </c>
      <c r="M57" t="s">
        <v>375</v>
      </c>
      <c r="N57" s="4">
        <f>IF(L57="","",IF(OR(Registro2[[#This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7" t="str">
        <f t="shared" si="0"/>
        <v>fev/25</v>
      </c>
      <c r="P57" t="str">
        <f>IF(Registro2[[#This Row],[Data de Pagamento]]&gt;0,TEXT(A57,"mmm/aa"),"")</f>
        <v>fev/25</v>
      </c>
      <c r="T57" s="4">
        <f>IF(Registro2[[#This Row],[Data de Pagamento]]="",0,IF(Registro2[[#This Row],[Conta Financeira]]=base!$A$6,0,Registro2[[#This Row],[Valor Unitário]]))</f>
        <v>35</v>
      </c>
      <c r="U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7" t="str">
        <f>VLOOKUP(Registro2[[#This Row],[Categoria]],'Plano de Contas'!$V$3:W132,2,0)</f>
        <v>Receitas Serviços</v>
      </c>
      <c r="X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7" t="s">
        <v>1536</v>
      </c>
    </row>
    <row r="58" spans="1:25" hidden="1">
      <c r="A58" s="1">
        <v>45693.78125</v>
      </c>
      <c r="B58" s="1">
        <v>45693.78125</v>
      </c>
      <c r="D58" t="s">
        <v>310</v>
      </c>
      <c r="E58" t="s">
        <v>149</v>
      </c>
      <c r="F58" t="s">
        <v>152</v>
      </c>
      <c r="G58" t="s">
        <v>353</v>
      </c>
      <c r="I58" s="4">
        <v>55</v>
      </c>
      <c r="J58" s="4">
        <v>55</v>
      </c>
      <c r="L58" t="s">
        <v>252</v>
      </c>
      <c r="M58" t="s">
        <v>34</v>
      </c>
      <c r="N58" s="4">
        <f>IF(L58="","",IF(OR(Registro2[[#This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58" t="str">
        <f t="shared" si="0"/>
        <v>fev/25</v>
      </c>
      <c r="P58" t="str">
        <f>IF(Registro2[[#This Row],[Data de Pagamento]]&gt;0,TEXT(A58,"mmm/aa"),"")</f>
        <v>fev/25</v>
      </c>
      <c r="T58" s="4">
        <f>IF(Registro2[[#This Row],[Data de Pagamento]]="",0,IF(Registro2[[#This Row],[Conta Financeira]]=base!$A$6,0,Registro2[[#This Row],[Valor Unitário]]))</f>
        <v>55</v>
      </c>
      <c r="U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8" t="str">
        <f>VLOOKUP(Registro2[[#This Row],[Categoria]],'Plano de Contas'!$V$3:W135,2,0)</f>
        <v>Receitas Serviços</v>
      </c>
      <c r="X5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0.48949999999999999</v>
      </c>
      <c r="Y58" t="s">
        <v>1536</v>
      </c>
    </row>
    <row r="59" spans="1:25" hidden="1">
      <c r="A59" s="1">
        <v>45694.375</v>
      </c>
      <c r="B59" s="1">
        <v>45694.375</v>
      </c>
      <c r="D59" t="s">
        <v>821</v>
      </c>
      <c r="E59" t="s">
        <v>149</v>
      </c>
      <c r="F59" t="s">
        <v>152</v>
      </c>
      <c r="G59" t="s">
        <v>159</v>
      </c>
      <c r="I59" s="4">
        <v>0</v>
      </c>
      <c r="J59" s="4">
        <v>25</v>
      </c>
      <c r="L59" t="s">
        <v>253</v>
      </c>
      <c r="M59" t="s">
        <v>7</v>
      </c>
      <c r="N59" s="4">
        <f>IF(L59="","",IF(OR(Registro2[[#This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0</v>
      </c>
      <c r="O59" t="str">
        <f t="shared" si="0"/>
        <v>fev/25</v>
      </c>
      <c r="P59" t="str">
        <f>IF(Registro2[[#This Row],[Data de Pagamento]]&gt;0,TEXT(A59,"mmm/aa"),"")</f>
        <v>fev/25</v>
      </c>
      <c r="T59" s="4">
        <f>IF(Registro2[[#This Row],[Data de Pagamento]]="",0,IF(Registro2[[#This Row],[Conta Financeira]]=base!$A$6,0,Registro2[[#This Row],[Valor Unitário]]))</f>
        <v>0</v>
      </c>
      <c r="U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9" t="str">
        <f>VLOOKUP(Registro2[[#This Row],[Categoria]],'Plano de Contas'!$V$3:W87,2,0)</f>
        <v>Receitas Serviços</v>
      </c>
      <c r="X5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9" t="s">
        <v>1536</v>
      </c>
    </row>
    <row r="60" spans="1:25" hidden="1">
      <c r="A60" s="1">
        <v>45694.375</v>
      </c>
      <c r="B60" s="1">
        <v>45694.375</v>
      </c>
      <c r="D60" t="s">
        <v>821</v>
      </c>
      <c r="E60" t="s">
        <v>149</v>
      </c>
      <c r="F60" t="s">
        <v>150</v>
      </c>
      <c r="G60" t="s">
        <v>509</v>
      </c>
      <c r="I60" s="4">
        <v>25</v>
      </c>
      <c r="J60" s="4"/>
      <c r="L60" t="s">
        <v>253</v>
      </c>
      <c r="M60" t="s">
        <v>7</v>
      </c>
      <c r="N60" s="4">
        <f>IF(L60="","",IF(OR(Registro2[[#This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60" t="str">
        <f t="shared" si="0"/>
        <v>fev/25</v>
      </c>
      <c r="P60" t="str">
        <f>IF(Registro2[[#This Row],[Data de Pagamento]]&gt;0,TEXT(A60,"mmm/aa"),"")</f>
        <v>fev/25</v>
      </c>
      <c r="T60" s="4">
        <f>IF(Registro2[[#This Row],[Data de Pagamento]]="",0,IF(Registro2[[#This Row],[Conta Financeira]]=base!$A$6,0,Registro2[[#This Row],[Valor Unitário]]))</f>
        <v>25</v>
      </c>
      <c r="U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0" t="str">
        <f>VLOOKUP(Registro2[[#This Row],[Categoria]],'Plano de Contas'!$V$3:W88,2,0)</f>
        <v>Receitas Produtos</v>
      </c>
      <c r="X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0" t="s">
        <v>1536</v>
      </c>
    </row>
    <row r="61" spans="1:25" hidden="1">
      <c r="A61" s="1">
        <v>45694.375</v>
      </c>
      <c r="B61" s="1">
        <v>45694.375</v>
      </c>
      <c r="D61" t="s">
        <v>1</v>
      </c>
      <c r="E61" t="s">
        <v>149</v>
      </c>
      <c r="F61" t="s">
        <v>147</v>
      </c>
      <c r="G61" t="s">
        <v>163</v>
      </c>
      <c r="I61" s="4">
        <v>30</v>
      </c>
      <c r="J61" s="4">
        <v>90</v>
      </c>
      <c r="L61" t="s">
        <v>252</v>
      </c>
      <c r="M61" t="s">
        <v>364</v>
      </c>
      <c r="N61" s="4">
        <f>IF(L61="","",IF(OR(Registro2[[#This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61" t="str">
        <f t="shared" si="0"/>
        <v>fev/25</v>
      </c>
      <c r="P61" t="str">
        <f>IF(Registro2[[#This Row],[Data de Pagamento]]&gt;0,TEXT(A61,"mmm/aa"),"")</f>
        <v>fev/25</v>
      </c>
      <c r="T61" s="4">
        <f>IF(Registro2[[#This Row],[Data de Pagamento]]="",0,IF(Registro2[[#This Row],[Conta Financeira]]=base!$A$6,0,Registro2[[#This Row],[Valor Unitário]]))</f>
        <v>30</v>
      </c>
      <c r="U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1" t="str">
        <f>VLOOKUP(Registro2[[#This Row],[Categoria]],'Plano de Contas'!$V$3:W92,2,0)</f>
        <v>Receitas Serviços</v>
      </c>
      <c r="X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1" t="s">
        <v>1536</v>
      </c>
    </row>
    <row r="62" spans="1:25" hidden="1">
      <c r="A62" s="1">
        <v>45694.4375</v>
      </c>
      <c r="B62" s="1">
        <v>45694.4375</v>
      </c>
      <c r="D62" t="s">
        <v>1</v>
      </c>
      <c r="E62" t="s">
        <v>149</v>
      </c>
      <c r="F62" t="s">
        <v>147</v>
      </c>
      <c r="G62" t="s">
        <v>163</v>
      </c>
      <c r="I62" s="4">
        <v>35</v>
      </c>
      <c r="J62" s="4">
        <v>35</v>
      </c>
      <c r="L62" t="s">
        <v>253</v>
      </c>
      <c r="M62" t="s">
        <v>378</v>
      </c>
      <c r="N62" s="4">
        <f>IF(L62="","",IF(OR(Registro2[[#This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2" t="str">
        <f t="shared" si="0"/>
        <v>fev/25</v>
      </c>
      <c r="P62" t="str">
        <f>IF(Registro2[[#This Row],[Data de Pagamento]]&gt;0,TEXT(A62,"mmm/aa"),"")</f>
        <v>fev/25</v>
      </c>
      <c r="T62" s="4">
        <f>IF(Registro2[[#This Row],[Data de Pagamento]]="",0,IF(Registro2[[#This Row],[Conta Financeira]]=base!$A$6,0,Registro2[[#This Row],[Valor Unitário]]))</f>
        <v>35</v>
      </c>
      <c r="U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2" t="str">
        <f>VLOOKUP(Registro2[[#This Row],[Categoria]],'Plano de Contas'!$V$3:W138,2,0)</f>
        <v>Receitas Serviços</v>
      </c>
      <c r="X6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2" t="s">
        <v>1536</v>
      </c>
    </row>
    <row r="63" spans="1:25" hidden="1">
      <c r="A63" s="1">
        <v>45694.447916666664</v>
      </c>
      <c r="B63" s="1">
        <v>45694.447916666664</v>
      </c>
      <c r="D63" t="s">
        <v>310</v>
      </c>
      <c r="E63" t="s">
        <v>149</v>
      </c>
      <c r="F63" t="s">
        <v>147</v>
      </c>
      <c r="G63" t="s">
        <v>163</v>
      </c>
      <c r="I63" s="4">
        <v>35</v>
      </c>
      <c r="J63" s="4">
        <v>35</v>
      </c>
      <c r="L63" t="s">
        <v>264</v>
      </c>
      <c r="M63" t="s">
        <v>121</v>
      </c>
      <c r="N63" s="4">
        <f>IF(L63="","",IF(OR(Registro2[[#This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3" t="str">
        <f t="shared" si="0"/>
        <v>fev/25</v>
      </c>
      <c r="P63" t="str">
        <f>IF(Registro2[[#This Row],[Data de Pagamento]]&gt;0,TEXT(A63,"mmm/aa"),"")</f>
        <v>fev/25</v>
      </c>
      <c r="T63" s="4">
        <f>IF(Registro2[[#This Row],[Data de Pagamento]]="",0,IF(Registro2[[#This Row],[Conta Financeira]]=base!$A$6,0,Registro2[[#This Row],[Valor Unitário]]))</f>
        <v>35</v>
      </c>
      <c r="U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3" t="str">
        <f>VLOOKUP(Registro2[[#This Row],[Categoria]],'Plano de Contas'!$V$3:W141,2,0)</f>
        <v>Receitas Serviços</v>
      </c>
      <c r="X6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63" t="s">
        <v>1536</v>
      </c>
    </row>
    <row r="64" spans="1:25" hidden="1">
      <c r="A64" s="1">
        <v>45694.458333333336</v>
      </c>
      <c r="B64" s="1">
        <v>45694.458333333336</v>
      </c>
      <c r="D64" t="s">
        <v>310</v>
      </c>
      <c r="E64" t="s">
        <v>149</v>
      </c>
      <c r="F64" t="s">
        <v>152</v>
      </c>
      <c r="G64" t="s">
        <v>159</v>
      </c>
      <c r="I64" s="4">
        <v>40</v>
      </c>
      <c r="J64" s="4">
        <v>40</v>
      </c>
      <c r="L64" t="s">
        <v>253</v>
      </c>
      <c r="M64" t="s">
        <v>62</v>
      </c>
      <c r="N64" s="4">
        <f>IF(L64="","",IF(OR(Registro2[[#This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64" t="str">
        <f t="shared" si="0"/>
        <v>fev/25</v>
      </c>
      <c r="P64" t="str">
        <f>IF(Registro2[[#This Row],[Data de Pagamento]]&gt;0,TEXT(A64,"mmm/aa"),"")</f>
        <v>fev/25</v>
      </c>
      <c r="T64" s="4">
        <f>IF(Registro2[[#This Row],[Data de Pagamento]]="",0,IF(Registro2[[#This Row],[Conta Financeira]]=base!$A$6,0,Registro2[[#This Row],[Valor Unitário]]))</f>
        <v>40</v>
      </c>
      <c r="U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4" t="str">
        <f>VLOOKUP(Registro2[[#This Row],[Categoria]],'Plano de Contas'!$V$3:W139,2,0)</f>
        <v>Receitas Serviços</v>
      </c>
      <c r="X6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0.35599999999999998</v>
      </c>
      <c r="Y64" t="s">
        <v>1536</v>
      </c>
    </row>
    <row r="65" spans="1:25" hidden="1">
      <c r="A65" s="1">
        <v>45694.604166666664</v>
      </c>
      <c r="B65" s="1">
        <v>45694.604166666664</v>
      </c>
      <c r="D65" t="s">
        <v>310</v>
      </c>
      <c r="E65" t="s">
        <v>149</v>
      </c>
      <c r="F65" t="s">
        <v>147</v>
      </c>
      <c r="G65" t="s">
        <v>163</v>
      </c>
      <c r="I65" s="4">
        <v>35</v>
      </c>
      <c r="J65" s="4">
        <v>35</v>
      </c>
      <c r="L65" t="s">
        <v>253</v>
      </c>
      <c r="M65" t="s">
        <v>377</v>
      </c>
      <c r="N65" s="4">
        <f>IF(L65="","",IF(OR(Registro2[[#This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5" t="str">
        <f t="shared" si="0"/>
        <v>fev/25</v>
      </c>
      <c r="P65" t="str">
        <f>IF(Registro2[[#This Row],[Data de Pagamento]]&gt;0,TEXT(A65,"mmm/aa"),"")</f>
        <v>fev/25</v>
      </c>
      <c r="T65" s="4">
        <f>IF(Registro2[[#This Row],[Data de Pagamento]]="",0,IF(Registro2[[#This Row],[Conta Financeira]]=base!$A$6,0,Registro2[[#This Row],[Valor Unitário]]))</f>
        <v>35</v>
      </c>
      <c r="U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5" t="str">
        <f>VLOOKUP(Registro2[[#This Row],[Categoria]],'Plano de Contas'!$V$3:W137,2,0)</f>
        <v>Receitas Serviços</v>
      </c>
      <c r="X6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65" t="s">
        <v>1536</v>
      </c>
    </row>
    <row r="66" spans="1:25" hidden="1">
      <c r="A66" s="1">
        <v>45694.625</v>
      </c>
      <c r="B66" s="1">
        <v>45694.625</v>
      </c>
      <c r="D66" t="s">
        <v>1</v>
      </c>
      <c r="E66" t="s">
        <v>149</v>
      </c>
      <c r="F66" t="s">
        <v>147</v>
      </c>
      <c r="G66" t="s">
        <v>160</v>
      </c>
      <c r="I66" s="4">
        <v>12</v>
      </c>
      <c r="J66" s="4">
        <v>12</v>
      </c>
      <c r="L66" t="s">
        <v>253</v>
      </c>
      <c r="M66" t="s">
        <v>90</v>
      </c>
      <c r="N66" s="4">
        <f>IF(L66="","",IF(OR(Registro2[[#This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66" t="str">
        <f t="shared" ref="O66:O129" si="1">TEXT(B66,"mmm/aa")</f>
        <v>fev/25</v>
      </c>
      <c r="P66" t="str">
        <f>IF(Registro2[[#This Row],[Data de Pagamento]]&gt;0,TEXT(A66,"mmm/aa"),"")</f>
        <v>fev/25</v>
      </c>
      <c r="T66" s="4">
        <f>IF(Registro2[[#This Row],[Data de Pagamento]]="",0,IF(Registro2[[#This Row],[Conta Financeira]]=base!$A$6,0,Registro2[[#This Row],[Valor Unitário]]))</f>
        <v>12</v>
      </c>
      <c r="U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6" t="str">
        <f>VLOOKUP(Registro2[[#This Row],[Categoria]],'Plano de Contas'!$V$3:W142,2,0)</f>
        <v>Receitas Serviços</v>
      </c>
      <c r="X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6" t="s">
        <v>1536</v>
      </c>
    </row>
    <row r="67" spans="1:25" hidden="1">
      <c r="A67" s="1">
        <v>45694.645833333336</v>
      </c>
      <c r="B67" s="1">
        <v>45694.645833333336</v>
      </c>
      <c r="D67" t="s">
        <v>1</v>
      </c>
      <c r="E67" t="s">
        <v>149</v>
      </c>
      <c r="F67" t="s">
        <v>147</v>
      </c>
      <c r="G67" t="s">
        <v>163</v>
      </c>
      <c r="I67" s="4">
        <v>35</v>
      </c>
      <c r="J67" s="4">
        <v>55</v>
      </c>
      <c r="L67" t="s">
        <v>253</v>
      </c>
      <c r="M67" t="s">
        <v>124</v>
      </c>
      <c r="N67" s="4">
        <f>IF(L67="","",IF(OR(Registro2[[#This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7" t="str">
        <f t="shared" si="1"/>
        <v>fev/25</v>
      </c>
      <c r="P67" t="str">
        <f>IF(Registro2[[#This Row],[Data de Pagamento]]&gt;0,TEXT(A67,"mmm/aa"),"")</f>
        <v>fev/25</v>
      </c>
      <c r="T67" s="4">
        <f>IF(Registro2[[#This Row],[Data de Pagamento]]="",0,IF(Registro2[[#This Row],[Conta Financeira]]=base!$A$6,0,Registro2[[#This Row],[Valor Unitário]]))</f>
        <v>35</v>
      </c>
      <c r="U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7" t="str">
        <f>VLOOKUP(Registro2[[#This Row],[Categoria]],'Plano de Contas'!$V$3:W143,2,0)</f>
        <v>Receitas Serviços</v>
      </c>
      <c r="X6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7" t="s">
        <v>1536</v>
      </c>
    </row>
    <row r="68" spans="1:25" hidden="1">
      <c r="A68" s="1">
        <v>45694.645833333336</v>
      </c>
      <c r="B68" s="1">
        <v>45694.645833333336</v>
      </c>
      <c r="D68" t="s">
        <v>1</v>
      </c>
      <c r="E68" t="s">
        <v>149</v>
      </c>
      <c r="F68" t="s">
        <v>150</v>
      </c>
      <c r="G68" t="s">
        <v>511</v>
      </c>
      <c r="I68" s="4">
        <v>20</v>
      </c>
      <c r="J68" s="4"/>
      <c r="L68" t="s">
        <v>253</v>
      </c>
      <c r="M68" t="s">
        <v>124</v>
      </c>
      <c r="N68" s="4">
        <f>IF(L68="","",IF(OR(Registro2[[#This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8</v>
      </c>
      <c r="O68" t="str">
        <f t="shared" si="1"/>
        <v>fev/25</v>
      </c>
      <c r="P68" t="str">
        <f>IF(Registro2[[#This Row],[Data de Pagamento]]&gt;0,TEXT(A68,"mmm/aa"),"")</f>
        <v>fev/25</v>
      </c>
      <c r="T68" s="4">
        <f>IF(Registro2[[#This Row],[Data de Pagamento]]="",0,IF(Registro2[[#This Row],[Conta Financeira]]=base!$A$6,0,Registro2[[#This Row],[Valor Unitário]]))</f>
        <v>20</v>
      </c>
      <c r="U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8" t="str">
        <f>VLOOKUP(Registro2[[#This Row],[Categoria]],'Plano de Contas'!$V$3:W144,2,0)</f>
        <v>Receitas Produtos</v>
      </c>
      <c r="X6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8" t="s">
        <v>1536</v>
      </c>
    </row>
    <row r="69" spans="1:25" hidden="1">
      <c r="A69" s="1">
        <v>45694.666666666664</v>
      </c>
      <c r="B69" s="1">
        <v>45694.666666666664</v>
      </c>
      <c r="D69" t="s">
        <v>1</v>
      </c>
      <c r="E69" t="s">
        <v>149</v>
      </c>
      <c r="F69" t="s">
        <v>152</v>
      </c>
      <c r="G69" t="s">
        <v>159</v>
      </c>
      <c r="I69" s="4">
        <v>40</v>
      </c>
      <c r="J69" s="4">
        <v>40</v>
      </c>
      <c r="L69" t="s">
        <v>252</v>
      </c>
      <c r="M69" t="s">
        <v>380</v>
      </c>
      <c r="N69" s="4">
        <f>IF(L69="","",IF(OR(Registro2[[#This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69" t="str">
        <f t="shared" si="1"/>
        <v>fev/25</v>
      </c>
      <c r="P69" t="str">
        <f>IF(Registro2[[#This Row],[Data de Pagamento]]&gt;0,TEXT(A69,"mmm/aa"),"")</f>
        <v>fev/25</v>
      </c>
      <c r="T69" s="4">
        <f>IF(Registro2[[#This Row],[Data de Pagamento]]="",0,IF(Registro2[[#This Row],[Conta Financeira]]=base!$A$6,0,Registro2[[#This Row],[Valor Unitário]]))</f>
        <v>40</v>
      </c>
      <c r="U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9" t="str">
        <f>VLOOKUP(Registro2[[#This Row],[Categoria]],'Plano de Contas'!$V$3:W149,2,0)</f>
        <v>Receitas Serviços</v>
      </c>
      <c r="X6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9" t="s">
        <v>1536</v>
      </c>
    </row>
    <row r="70" spans="1:25" hidden="1">
      <c r="A70" s="1">
        <v>45694.6875</v>
      </c>
      <c r="B70" s="1">
        <v>45694.6875</v>
      </c>
      <c r="D70" t="s">
        <v>310</v>
      </c>
      <c r="E70" t="s">
        <v>149</v>
      </c>
      <c r="F70" t="s">
        <v>147</v>
      </c>
      <c r="G70" t="s">
        <v>162</v>
      </c>
      <c r="I70" s="4">
        <v>20</v>
      </c>
      <c r="J70" s="4">
        <v>20</v>
      </c>
      <c r="L70" t="s">
        <v>253</v>
      </c>
      <c r="M70" t="s">
        <v>120</v>
      </c>
      <c r="N70" s="4">
        <f>IF(L70="","",IF(OR(Registro2[[#This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70" t="str">
        <f t="shared" si="1"/>
        <v>fev/25</v>
      </c>
      <c r="P70" t="str">
        <f>IF(Registro2[[#This Row],[Data de Pagamento]]&gt;0,TEXT(A70,"mmm/aa"),"")</f>
        <v>fev/25</v>
      </c>
      <c r="T70" s="4">
        <f>IF(Registro2[[#This Row],[Data de Pagamento]]="",0,IF(Registro2[[#This Row],[Conta Financeira]]=base!$A$6,0,Registro2[[#This Row],[Valor Unitário]]))</f>
        <v>20</v>
      </c>
      <c r="U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0" t="str">
        <f>VLOOKUP(Registro2[[#This Row],[Categoria]],'Plano de Contas'!$V$3:W148,2,0)</f>
        <v>Receitas Serviços</v>
      </c>
      <c r="X7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  <c r="Y70" t="s">
        <v>1536</v>
      </c>
    </row>
    <row r="71" spans="1:25" hidden="1">
      <c r="A71" s="1">
        <v>45694.6875</v>
      </c>
      <c r="B71" s="1">
        <v>45694.6875</v>
      </c>
      <c r="D71" t="s">
        <v>1</v>
      </c>
      <c r="E71" t="s">
        <v>149</v>
      </c>
      <c r="F71" t="s">
        <v>152</v>
      </c>
      <c r="G71" t="s">
        <v>159</v>
      </c>
      <c r="I71" s="4">
        <v>40</v>
      </c>
      <c r="J71" s="4">
        <v>40</v>
      </c>
      <c r="L71" t="s">
        <v>264</v>
      </c>
      <c r="M71" t="s">
        <v>212</v>
      </c>
      <c r="N71" s="4">
        <f>IF(L71="","",IF(OR(Registro2[[#This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71" t="str">
        <f t="shared" si="1"/>
        <v>fev/25</v>
      </c>
      <c r="P71" t="str">
        <f>IF(Registro2[[#This Row],[Data de Pagamento]]&gt;0,TEXT(A71,"mmm/aa"),"")</f>
        <v>fev/25</v>
      </c>
      <c r="T71" s="4">
        <f>IF(Registro2[[#This Row],[Data de Pagamento]]="",0,IF(Registro2[[#This Row],[Conta Financeira]]=base!$A$6,0,Registro2[[#This Row],[Valor Unitário]]))</f>
        <v>40</v>
      </c>
      <c r="U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1" t="str">
        <f>VLOOKUP(Registro2[[#This Row],[Categoria]],'Plano de Contas'!$V$3:W150,2,0)</f>
        <v>Receitas Serviços</v>
      </c>
      <c r="X7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1" t="s">
        <v>1536</v>
      </c>
    </row>
    <row r="72" spans="1:25" hidden="1">
      <c r="A72" s="1">
        <v>45694.708333333336</v>
      </c>
      <c r="B72" s="1">
        <v>45694.708333333336</v>
      </c>
      <c r="D72" t="s">
        <v>1</v>
      </c>
      <c r="E72" t="s">
        <v>149</v>
      </c>
      <c r="F72" t="s">
        <v>147</v>
      </c>
      <c r="G72" t="s">
        <v>161</v>
      </c>
      <c r="I72" s="4">
        <v>20</v>
      </c>
      <c r="J72" s="4">
        <v>20</v>
      </c>
      <c r="L72" t="s">
        <v>253</v>
      </c>
      <c r="M72" t="s">
        <v>192</v>
      </c>
      <c r="N72" s="4">
        <f>IF(L72="","",IF(OR(Registro2[[#This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72" t="str">
        <f t="shared" si="1"/>
        <v>fev/25</v>
      </c>
      <c r="P72" t="str">
        <f>IF(Registro2[[#This Row],[Data de Pagamento]]&gt;0,TEXT(A72,"mmm/aa"),"")</f>
        <v>fev/25</v>
      </c>
      <c r="T72" s="4">
        <f>IF(Registro2[[#This Row],[Data de Pagamento]]="",0,IF(Registro2[[#This Row],[Conta Financeira]]=base!$A$6,0,Registro2[[#This Row],[Valor Unitário]]))</f>
        <v>20</v>
      </c>
      <c r="U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2" t="str">
        <f>VLOOKUP(Registro2[[#This Row],[Categoria]],'Plano de Contas'!$V$3:W151,2,0)</f>
        <v>Receitas Serviços</v>
      </c>
      <c r="X7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2" t="s">
        <v>1536</v>
      </c>
    </row>
    <row r="73" spans="1:25" hidden="1">
      <c r="A73" s="1">
        <v>45694.708333333336</v>
      </c>
      <c r="B73" s="1">
        <v>45694.708333333336</v>
      </c>
      <c r="D73" t="s">
        <v>356</v>
      </c>
      <c r="E73" t="s">
        <v>149</v>
      </c>
      <c r="F73" t="s">
        <v>147</v>
      </c>
      <c r="G73" t="s">
        <v>163</v>
      </c>
      <c r="I73" s="4">
        <v>35</v>
      </c>
      <c r="J73" s="4">
        <v>70</v>
      </c>
      <c r="L73" t="s">
        <v>252</v>
      </c>
      <c r="M73" t="s">
        <v>381</v>
      </c>
      <c r="N73" s="4">
        <f>IF(L73="","",IF(OR(Registro2[[#This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3" t="str">
        <f t="shared" si="1"/>
        <v>fev/25</v>
      </c>
      <c r="P73" t="str">
        <f>IF(Registro2[[#This Row],[Data de Pagamento]]&gt;0,TEXT(A73,"mmm/aa"),"")</f>
        <v>fev/25</v>
      </c>
      <c r="T73" s="4">
        <f>IF(Registro2[[#This Row],[Data de Pagamento]]="",0,IF(Registro2[[#This Row],[Conta Financeira]]=base!$A$6,0,Registro2[[#This Row],[Valor Unitário]]))</f>
        <v>35</v>
      </c>
      <c r="U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3" t="str">
        <f>VLOOKUP(Registro2[[#This Row],[Categoria]],'Plano de Contas'!$V$3:W152,2,0)</f>
        <v>Receitas Serviços</v>
      </c>
      <c r="X7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3" t="s">
        <v>1536</v>
      </c>
    </row>
    <row r="74" spans="1:25" hidden="1">
      <c r="A74" s="1">
        <v>45694.708333333336</v>
      </c>
      <c r="B74" s="1">
        <v>45694.708333333336</v>
      </c>
      <c r="D74" t="s">
        <v>356</v>
      </c>
      <c r="E74" t="s">
        <v>149</v>
      </c>
      <c r="F74" t="s">
        <v>147</v>
      </c>
      <c r="G74" t="s">
        <v>163</v>
      </c>
      <c r="I74" s="4">
        <v>35</v>
      </c>
      <c r="J74" s="4"/>
      <c r="L74" t="s">
        <v>264</v>
      </c>
      <c r="M74" t="s">
        <v>381</v>
      </c>
      <c r="N74" s="4">
        <f>IF(L74="","",IF(OR(Registro2[[#This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4" t="str">
        <f t="shared" si="1"/>
        <v>fev/25</v>
      </c>
      <c r="P74" t="str">
        <f>IF(Registro2[[#This Row],[Data de Pagamento]]&gt;0,TEXT(A74,"mmm/aa"),"")</f>
        <v>fev/25</v>
      </c>
      <c r="T74" s="4">
        <f>IF(Registro2[[#This Row],[Data de Pagamento]]="",0,IF(Registro2[[#This Row],[Conta Financeira]]=base!$A$6,0,Registro2[[#This Row],[Valor Unitário]]))</f>
        <v>35</v>
      </c>
      <c r="U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4" t="str">
        <f>VLOOKUP(Registro2[[#This Row],[Categoria]],'Plano de Contas'!$V$3:W153,2,0)</f>
        <v>Receitas Serviços</v>
      </c>
      <c r="X7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4" t="s">
        <v>1536</v>
      </c>
    </row>
    <row r="75" spans="1:25" hidden="1">
      <c r="A75" s="1">
        <v>45694.729166666664</v>
      </c>
      <c r="B75" s="1">
        <v>45694.729166666664</v>
      </c>
      <c r="D75" t="s">
        <v>1</v>
      </c>
      <c r="E75" t="s">
        <v>149</v>
      </c>
      <c r="F75" t="s">
        <v>147</v>
      </c>
      <c r="G75" t="s">
        <v>163</v>
      </c>
      <c r="I75" s="4">
        <v>35</v>
      </c>
      <c r="J75" s="4">
        <v>35</v>
      </c>
      <c r="L75" t="s">
        <v>264</v>
      </c>
      <c r="M75" t="s">
        <v>382</v>
      </c>
      <c r="N75" s="4">
        <f>IF(L75="","",IF(OR(Registro2[[#This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5" t="str">
        <f t="shared" si="1"/>
        <v>fev/25</v>
      </c>
      <c r="P75" t="str">
        <f>IF(Registro2[[#This Row],[Data de Pagamento]]&gt;0,TEXT(A75,"mmm/aa"),"")</f>
        <v>fev/25</v>
      </c>
      <c r="T75" s="4">
        <f>IF(Registro2[[#This Row],[Data de Pagamento]]="",0,IF(Registro2[[#This Row],[Conta Financeira]]=base!$A$6,0,Registro2[[#This Row],[Valor Unitário]]))</f>
        <v>35</v>
      </c>
      <c r="U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5" t="str">
        <f>VLOOKUP(Registro2[[#This Row],[Categoria]],'Plano de Contas'!$V$3:W154,2,0)</f>
        <v>Receitas Serviços</v>
      </c>
      <c r="X7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5" t="s">
        <v>1536</v>
      </c>
    </row>
    <row r="76" spans="1:25" hidden="1">
      <c r="A76" s="1">
        <v>45694.739583333336</v>
      </c>
      <c r="B76" s="1">
        <v>45694.739583333336</v>
      </c>
      <c r="D76" t="s">
        <v>1</v>
      </c>
      <c r="E76" t="s">
        <v>149</v>
      </c>
      <c r="F76" t="s">
        <v>152</v>
      </c>
      <c r="G76" t="s">
        <v>353</v>
      </c>
      <c r="I76" s="4">
        <v>50</v>
      </c>
      <c r="J76" s="4">
        <v>50</v>
      </c>
      <c r="L76" t="s">
        <v>253</v>
      </c>
      <c r="M76" t="s">
        <v>383</v>
      </c>
      <c r="N76" s="4">
        <f>IF(L76="","",IF(OR(Registro2[[#This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76" t="str">
        <f t="shared" si="1"/>
        <v>fev/25</v>
      </c>
      <c r="P76" t="str">
        <f>IF(Registro2[[#This Row],[Data de Pagamento]]&gt;0,TEXT(A76,"mmm/aa"),"")</f>
        <v>fev/25</v>
      </c>
      <c r="T76" s="4">
        <f>IF(Registro2[[#This Row],[Data de Pagamento]]="",0,IF(Registro2[[#This Row],[Conta Financeira]]=base!$A$6,0,Registro2[[#This Row],[Valor Unitário]]))</f>
        <v>50</v>
      </c>
      <c r="U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6" t="str">
        <f>VLOOKUP(Registro2[[#This Row],[Categoria]],'Plano de Contas'!$V$3:W155,2,0)</f>
        <v>Receitas Serviços</v>
      </c>
      <c r="X7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6" t="s">
        <v>1536</v>
      </c>
    </row>
    <row r="77" spans="1:25" hidden="1">
      <c r="A77" s="1">
        <v>45694.75</v>
      </c>
      <c r="B77" s="1">
        <v>45694.75</v>
      </c>
      <c r="D77" t="s">
        <v>2</v>
      </c>
      <c r="E77" t="s">
        <v>149</v>
      </c>
      <c r="F77" t="s">
        <v>152</v>
      </c>
      <c r="G77" t="s">
        <v>159</v>
      </c>
      <c r="I77" s="4">
        <v>40</v>
      </c>
      <c r="J77" s="4">
        <v>40</v>
      </c>
      <c r="L77" t="s">
        <v>252</v>
      </c>
      <c r="M77" t="s">
        <v>300</v>
      </c>
      <c r="N77" s="4">
        <f>IF(L77="","",IF(OR(Registro2[[#This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77" t="str">
        <f t="shared" si="1"/>
        <v>fev/25</v>
      </c>
      <c r="P77" t="str">
        <f>IF(Registro2[[#This Row],[Data de Pagamento]]&gt;0,TEXT(A77,"mmm/aa"),"")</f>
        <v>fev/25</v>
      </c>
      <c r="T77" s="4">
        <f>IF(Registro2[[#This Row],[Data de Pagamento]]="",0,IF(Registro2[[#This Row],[Conta Financeira]]=base!$A$6,0,Registro2[[#This Row],[Valor Unitário]]))</f>
        <v>40</v>
      </c>
      <c r="U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7" t="str">
        <f>VLOOKUP(Registro2[[#This Row],[Categoria]],'Plano de Contas'!$V$3:W156,2,0)</f>
        <v>Receitas Serviços</v>
      </c>
      <c r="X7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7" t="s">
        <v>1536</v>
      </c>
    </row>
    <row r="78" spans="1:25" hidden="1">
      <c r="A78" s="1">
        <v>45694.760416666664</v>
      </c>
      <c r="B78" s="1">
        <v>45694.760416666664</v>
      </c>
      <c r="D78" t="s">
        <v>1</v>
      </c>
      <c r="E78" t="s">
        <v>149</v>
      </c>
      <c r="F78" t="s">
        <v>147</v>
      </c>
      <c r="G78" t="s">
        <v>163</v>
      </c>
      <c r="I78" s="4">
        <v>35</v>
      </c>
      <c r="J78" s="4">
        <v>35</v>
      </c>
      <c r="L78" t="s">
        <v>253</v>
      </c>
      <c r="M78" t="s">
        <v>17</v>
      </c>
      <c r="N78" s="4">
        <f>IF(L78="","",IF(OR(Registro2[[#This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8" t="str">
        <f t="shared" si="1"/>
        <v>fev/25</v>
      </c>
      <c r="P78" t="str">
        <f>IF(Registro2[[#This Row],[Data de Pagamento]]&gt;0,TEXT(A78,"mmm/aa"),"")</f>
        <v>fev/25</v>
      </c>
      <c r="T78" s="4">
        <f>IF(Registro2[[#This Row],[Data de Pagamento]]="",0,IF(Registro2[[#This Row],[Conta Financeira]]=base!$A$6,0,Registro2[[#This Row],[Valor Unitário]]))</f>
        <v>35</v>
      </c>
      <c r="U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8" t="str">
        <f>VLOOKUP(Registro2[[#This Row],[Categoria]],'Plano de Contas'!$V$3:W157,2,0)</f>
        <v>Receitas Serviços</v>
      </c>
      <c r="X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8" t="s">
        <v>1536</v>
      </c>
    </row>
    <row r="79" spans="1:25" hidden="1">
      <c r="A79" s="1">
        <v>45694.770833333336</v>
      </c>
      <c r="B79" s="1">
        <v>45694.770833333336</v>
      </c>
      <c r="D79" t="s">
        <v>1</v>
      </c>
      <c r="E79" t="s">
        <v>149</v>
      </c>
      <c r="F79" t="s">
        <v>147</v>
      </c>
      <c r="G79" t="s">
        <v>163</v>
      </c>
      <c r="I79" s="4">
        <v>35</v>
      </c>
      <c r="J79" s="4">
        <v>35</v>
      </c>
      <c r="L79" t="s">
        <v>264</v>
      </c>
      <c r="M79" t="s">
        <v>116</v>
      </c>
      <c r="N79" s="4">
        <f>IF(L79="","",IF(OR(Registro2[[#This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9" t="str">
        <f t="shared" si="1"/>
        <v>fev/25</v>
      </c>
      <c r="P79" t="str">
        <f>IF(Registro2[[#This Row],[Data de Pagamento]]&gt;0,TEXT(A79,"mmm/aa"),"")</f>
        <v>fev/25</v>
      </c>
      <c r="T79" s="4">
        <f>IF(Registro2[[#This Row],[Data de Pagamento]]="",0,IF(Registro2[[#This Row],[Conta Financeira]]=base!$A$6,0,Registro2[[#This Row],[Valor Unitário]]))</f>
        <v>35</v>
      </c>
      <c r="U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9" t="str">
        <f>VLOOKUP(Registro2[[#This Row],[Categoria]],'Plano de Contas'!$V$3:W158,2,0)</f>
        <v>Receitas Serviços</v>
      </c>
      <c r="X7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9" t="s">
        <v>1536</v>
      </c>
    </row>
    <row r="80" spans="1:25" hidden="1">
      <c r="A80" s="1">
        <v>45694.791666666664</v>
      </c>
      <c r="B80" s="1">
        <v>45694.791666666664</v>
      </c>
      <c r="D80" t="s">
        <v>1</v>
      </c>
      <c r="E80" t="s">
        <v>149</v>
      </c>
      <c r="F80" t="s">
        <v>152</v>
      </c>
      <c r="G80" t="s">
        <v>306</v>
      </c>
      <c r="I80" s="4">
        <v>50</v>
      </c>
      <c r="J80" s="4">
        <v>50</v>
      </c>
      <c r="L80" t="s">
        <v>253</v>
      </c>
      <c r="M80" t="s">
        <v>379</v>
      </c>
      <c r="N80" s="4">
        <f>IF(L80="","",IF(OR(Registro2[[#This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80" t="str">
        <f t="shared" si="1"/>
        <v>fev/25</v>
      </c>
      <c r="P80" t="str">
        <f>IF(Registro2[[#This Row],[Data de Pagamento]]&gt;0,TEXT(A80,"mmm/aa"),"")</f>
        <v>fev/25</v>
      </c>
      <c r="T80" s="4">
        <f>IF(Registro2[[#This Row],[Data de Pagamento]]="",0,IF(Registro2[[#This Row],[Conta Financeira]]=base!$A$6,0,Registro2[[#This Row],[Valor Unitário]]))</f>
        <v>50</v>
      </c>
      <c r="U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0" t="str">
        <f>VLOOKUP(Registro2[[#This Row],[Categoria]],'Plano de Contas'!$V$3:W140,2,0)</f>
        <v>Receitas Serviços</v>
      </c>
      <c r="X8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0" t="s">
        <v>1536</v>
      </c>
    </row>
    <row r="81" spans="1:25" hidden="1">
      <c r="A81" s="1">
        <v>45694.791666666664</v>
      </c>
      <c r="B81" s="1">
        <v>45694.791666666664</v>
      </c>
      <c r="D81" t="s">
        <v>354</v>
      </c>
      <c r="E81" t="s">
        <v>149</v>
      </c>
      <c r="F81" t="s">
        <v>152</v>
      </c>
      <c r="G81" t="s">
        <v>353</v>
      </c>
      <c r="I81" s="4">
        <v>55</v>
      </c>
      <c r="J81" s="4">
        <v>55</v>
      </c>
      <c r="L81" t="s">
        <v>264</v>
      </c>
      <c r="M81" t="s">
        <v>385</v>
      </c>
      <c r="N81" s="4">
        <f>IF(L81="","",IF(OR(Registro2[[#This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81" t="str">
        <f t="shared" si="1"/>
        <v>fev/25</v>
      </c>
      <c r="P81" t="str">
        <f>IF(Registro2[[#This Row],[Data de Pagamento]]&gt;0,TEXT(A81,"mmm/aa"),"")</f>
        <v>fev/25</v>
      </c>
      <c r="T81" s="4">
        <f>IF(Registro2[[#This Row],[Data de Pagamento]]="",0,IF(Registro2[[#This Row],[Conta Financeira]]=base!$A$6,0,Registro2[[#This Row],[Valor Unitário]]))</f>
        <v>55</v>
      </c>
      <c r="U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1" t="str">
        <f>VLOOKUP(Registro2[[#This Row],[Categoria]],'Plano de Contas'!$V$3:W162,2,0)</f>
        <v>Receitas Serviços</v>
      </c>
      <c r="X8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1.7324999999999999</v>
      </c>
      <c r="Y81" t="s">
        <v>1536</v>
      </c>
    </row>
    <row r="82" spans="1:25" hidden="1">
      <c r="A82" s="1">
        <v>45694.809027777781</v>
      </c>
      <c r="B82" s="1">
        <v>45694.809027777781</v>
      </c>
      <c r="D82" t="s">
        <v>1</v>
      </c>
      <c r="E82" t="s">
        <v>149</v>
      </c>
      <c r="F82" t="s">
        <v>147</v>
      </c>
      <c r="G82" t="s">
        <v>163</v>
      </c>
      <c r="I82" s="4">
        <v>35</v>
      </c>
      <c r="J82" s="4">
        <v>35</v>
      </c>
      <c r="L82" t="s">
        <v>252</v>
      </c>
      <c r="M82" t="s">
        <v>270</v>
      </c>
      <c r="N82" s="4">
        <f>IF(L82="","",IF(OR(Registro2[[#This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2" t="str">
        <f t="shared" si="1"/>
        <v>fev/25</v>
      </c>
      <c r="P82" t="str">
        <f>IF(Registro2[[#This Row],[Data de Pagamento]]&gt;0,TEXT(A82,"mmm/aa"),"")</f>
        <v>fev/25</v>
      </c>
      <c r="T82" s="4">
        <f>IF(Registro2[[#This Row],[Data de Pagamento]]="",0,IF(Registro2[[#This Row],[Conta Financeira]]=base!$A$6,0,Registro2[[#This Row],[Valor Unitário]]))</f>
        <v>35</v>
      </c>
      <c r="U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2" t="str">
        <f>VLOOKUP(Registro2[[#This Row],[Categoria]],'Plano de Contas'!$V$3:W159,2,0)</f>
        <v>Receitas Serviços</v>
      </c>
      <c r="X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2" t="s">
        <v>1536</v>
      </c>
    </row>
    <row r="83" spans="1:25" hidden="1">
      <c r="A83" s="1">
        <v>45694.868055555555</v>
      </c>
      <c r="B83" s="1">
        <v>45694.868055555555</v>
      </c>
      <c r="D83" t="s">
        <v>2</v>
      </c>
      <c r="E83" t="s">
        <v>149</v>
      </c>
      <c r="F83" t="s">
        <v>152</v>
      </c>
      <c r="G83" t="s">
        <v>306</v>
      </c>
      <c r="I83" s="4">
        <v>50</v>
      </c>
      <c r="J83" s="4">
        <v>100</v>
      </c>
      <c r="L83" t="s">
        <v>264</v>
      </c>
      <c r="M83" t="s">
        <v>386</v>
      </c>
      <c r="N83" s="4">
        <f>IF(L83="","",IF(OR(Registro2[[#This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83" t="str">
        <f t="shared" si="1"/>
        <v>fev/25</v>
      </c>
      <c r="P83" t="str">
        <f>IF(Registro2[[#This Row],[Data de Pagamento]]&gt;0,TEXT(A83,"mmm/aa"),"")</f>
        <v>fev/25</v>
      </c>
      <c r="T83" s="4">
        <f>IF(Registro2[[#This Row],[Data de Pagamento]]="",0,IF(Registro2[[#This Row],[Conta Financeira]]=base!$A$6,0,Registro2[[#This Row],[Valor Unitário]]))</f>
        <v>50</v>
      </c>
      <c r="U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3" t="str">
        <f>VLOOKUP(Registro2[[#This Row],[Categoria]],'Plano de Contas'!$V$3:W163,2,0)</f>
        <v>Receitas Serviços</v>
      </c>
      <c r="X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3" t="s">
        <v>1536</v>
      </c>
    </row>
    <row r="84" spans="1:25" hidden="1">
      <c r="A84" s="1">
        <v>45694.868055555555</v>
      </c>
      <c r="B84" s="1">
        <v>45694.868055555555</v>
      </c>
      <c r="D84" t="s">
        <v>2</v>
      </c>
      <c r="E84" t="s">
        <v>149</v>
      </c>
      <c r="F84" t="s">
        <v>152</v>
      </c>
      <c r="G84" t="s">
        <v>157</v>
      </c>
      <c r="I84" s="4"/>
      <c r="J84" s="4"/>
      <c r="L84" t="s">
        <v>253</v>
      </c>
      <c r="M84" t="s">
        <v>386</v>
      </c>
      <c r="N84" s="4">
        <f>IF(L84="","",IF(OR(Registro2[[#This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0</v>
      </c>
      <c r="O84" t="str">
        <f t="shared" si="1"/>
        <v>fev/25</v>
      </c>
      <c r="P84" t="str">
        <f>IF(Registro2[[#This Row],[Data de Pagamento]]&gt;0,TEXT(A84,"mmm/aa"),"")</f>
        <v>fev/25</v>
      </c>
      <c r="T84" s="4">
        <f>IF(Registro2[[#This Row],[Data de Pagamento]]="",0,IF(Registro2[[#This Row],[Conta Financeira]]=base!$A$6,0,Registro2[[#This Row],[Valor Unitário]]))</f>
        <v>0</v>
      </c>
      <c r="U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4" t="str">
        <f>VLOOKUP(Registro2[[#This Row],[Categoria]],'Plano de Contas'!$V$3:W164,2,0)</f>
        <v>Receitas Serviços</v>
      </c>
      <c r="X8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4" t="s">
        <v>1536</v>
      </c>
    </row>
    <row r="85" spans="1:25" hidden="1">
      <c r="A85" s="1">
        <v>45695</v>
      </c>
      <c r="B85" s="1">
        <v>45695</v>
      </c>
      <c r="E85" t="s">
        <v>137</v>
      </c>
      <c r="F85" t="s">
        <v>146</v>
      </c>
      <c r="G85" t="s">
        <v>315</v>
      </c>
      <c r="H85" t="s">
        <v>431</v>
      </c>
      <c r="I85" s="4">
        <v>231.02</v>
      </c>
      <c r="J85" s="4"/>
      <c r="N85" s="4" t="str">
        <f>IF(L85="","",IF(OR(Registro2[[#This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85" t="str">
        <f t="shared" si="1"/>
        <v>fev/25</v>
      </c>
      <c r="P85" t="str">
        <f>IF(Registro2[[#This Row],[Data de Pagamento]]&gt;0,TEXT(A85,"mmm/aa"),"")</f>
        <v>fev/25</v>
      </c>
      <c r="T85" s="4">
        <f>IF(Registro2[[#This Row],[Data de Pagamento]]="",0,IF(Registro2[[#This Row],[Conta Financeira]]=base!$A$6,0,Registro2[[#This Row],[Valor Unitário]]))</f>
        <v>231.02</v>
      </c>
      <c r="U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5" t="str">
        <f>VLOOKUP(Registro2[[#This Row],[Categoria]],'Plano de Contas'!$V$3:W58,2,0)</f>
        <v>Despesas Operacionais</v>
      </c>
      <c r="X8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5" t="s">
        <v>1536</v>
      </c>
    </row>
    <row r="86" spans="1:25" hidden="1">
      <c r="A86" s="1">
        <v>45695</v>
      </c>
      <c r="B86" s="1">
        <v>45695</v>
      </c>
      <c r="E86" t="s">
        <v>137</v>
      </c>
      <c r="F86" t="s">
        <v>139</v>
      </c>
      <c r="G86" t="s">
        <v>332</v>
      </c>
      <c r="H86" t="s">
        <v>432</v>
      </c>
      <c r="I86" s="4">
        <v>106</v>
      </c>
      <c r="J86" s="4"/>
      <c r="N86" s="4" t="str">
        <f>IF(L86="","",IF(OR(Registro2[[#This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86" t="str">
        <f t="shared" si="1"/>
        <v>fev/25</v>
      </c>
      <c r="P86" t="str">
        <f>IF(Registro2[[#This Row],[Data de Pagamento]]&gt;0,TEXT(A86,"mmm/aa"),"")</f>
        <v>fev/25</v>
      </c>
      <c r="T86" s="4">
        <f>IF(Registro2[[#This Row],[Data de Pagamento]]="",0,IF(Registro2[[#This Row],[Conta Financeira]]=base!$A$6,0,Registro2[[#This Row],[Valor Unitário]]))</f>
        <v>106</v>
      </c>
      <c r="U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6" t="str">
        <f>VLOOKUP(Registro2[[#This Row],[Categoria]],'Plano de Contas'!$V$3:W59,2,0)</f>
        <v>Custos Operacionais</v>
      </c>
      <c r="X8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6" t="s">
        <v>1536</v>
      </c>
    </row>
    <row r="87" spans="1:25" hidden="1">
      <c r="A87" s="1">
        <v>45695</v>
      </c>
      <c r="B87" s="1">
        <v>45695</v>
      </c>
      <c r="E87" t="s">
        <v>137</v>
      </c>
      <c r="F87" t="s">
        <v>138</v>
      </c>
      <c r="G87" t="s">
        <v>312</v>
      </c>
      <c r="H87" t="s">
        <v>433</v>
      </c>
      <c r="I87" s="4">
        <v>9.99</v>
      </c>
      <c r="J87" s="4"/>
      <c r="N87" s="4" t="str">
        <f>IF(L87="","",IF(OR(Registro2[[#This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87" t="str">
        <f t="shared" si="1"/>
        <v>fev/25</v>
      </c>
      <c r="P87" t="str">
        <f>IF(Registro2[[#This Row],[Data de Pagamento]]&gt;0,TEXT(A87,"mmm/aa"),"")</f>
        <v>fev/25</v>
      </c>
      <c r="T87" s="4">
        <f>IF(Registro2[[#This Row],[Data de Pagamento]]="",0,IF(Registro2[[#This Row],[Conta Financeira]]=base!$A$6,0,Registro2[[#This Row],[Valor Unitário]]))</f>
        <v>9.99</v>
      </c>
      <c r="U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7" t="str">
        <f>VLOOKUP(Registro2[[#This Row],[Categoria]],'Plano de Contas'!$V$3:W60,2,0)</f>
        <v>Despesas Administrativas</v>
      </c>
      <c r="X8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7" t="s">
        <v>1536</v>
      </c>
    </row>
    <row r="88" spans="1:25" hidden="1">
      <c r="A88" s="1">
        <v>45695</v>
      </c>
      <c r="B88" s="1">
        <v>45695</v>
      </c>
      <c r="D88" t="s">
        <v>947</v>
      </c>
      <c r="E88" t="s">
        <v>137</v>
      </c>
      <c r="F88" t="s">
        <v>967</v>
      </c>
      <c r="G88" t="s">
        <v>335</v>
      </c>
      <c r="H88" t="s">
        <v>434</v>
      </c>
      <c r="I88" s="4">
        <v>352.19</v>
      </c>
      <c r="J88" s="4"/>
      <c r="N88" s="4" t="str">
        <f>IF(L88="","",IF(OR(Registro2[[#This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88" t="str">
        <f t="shared" si="1"/>
        <v>fev/25</v>
      </c>
      <c r="P88" t="str">
        <f>IF(Registro2[[#This Row],[Data de Pagamento]]&gt;0,TEXT(A88,"mmm/aa"),"")</f>
        <v>fev/25</v>
      </c>
      <c r="T88" s="4">
        <f>IF(Registro2[[#This Row],[Data de Pagamento]]="",0,IF(Registro2[[#This Row],[Conta Financeira]]=base!$A$6,0,Registro2[[#This Row],[Valor Unitário]]))</f>
        <v>352.19</v>
      </c>
      <c r="U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8" t="str">
        <f>VLOOKUP(Registro2[[#This Row],[Categoria]],'Plano de Contas'!$V$3:W61,2,0)</f>
        <v>Despesas Administrativas</v>
      </c>
      <c r="X8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8" t="s">
        <v>1536</v>
      </c>
    </row>
    <row r="89" spans="1:25" hidden="1">
      <c r="A89" s="1">
        <v>45695</v>
      </c>
      <c r="B89" s="1">
        <v>45695</v>
      </c>
      <c r="E89" t="s">
        <v>137</v>
      </c>
      <c r="F89" t="s">
        <v>139</v>
      </c>
      <c r="G89" t="s">
        <v>332</v>
      </c>
      <c r="H89" t="s">
        <v>435</v>
      </c>
      <c r="I89" s="4">
        <v>19.899999999999999</v>
      </c>
      <c r="J89" s="4"/>
      <c r="N89" s="4" t="str">
        <f>IF(L89="","",IF(OR(Registro2[[#This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89" t="str">
        <f t="shared" si="1"/>
        <v>fev/25</v>
      </c>
      <c r="P89" t="str">
        <f>IF(Registro2[[#This Row],[Data de Pagamento]]&gt;0,TEXT(A89,"mmm/aa"),"")</f>
        <v>fev/25</v>
      </c>
      <c r="T89" s="4">
        <f>IF(Registro2[[#This Row],[Data de Pagamento]]="",0,IF(Registro2[[#This Row],[Conta Financeira]]=base!$A$6,0,Registro2[[#This Row],[Valor Unitário]]))</f>
        <v>19.899999999999999</v>
      </c>
      <c r="U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9" t="str">
        <f>VLOOKUP(Registro2[[#This Row],[Categoria]],'Plano de Contas'!$V$3:W62,2,0)</f>
        <v>Custos Operacionais</v>
      </c>
      <c r="X8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9" t="s">
        <v>1536</v>
      </c>
    </row>
    <row r="90" spans="1:25" hidden="1">
      <c r="A90" s="1">
        <v>45695</v>
      </c>
      <c r="B90" s="1">
        <v>45695</v>
      </c>
      <c r="E90" t="s">
        <v>137</v>
      </c>
      <c r="F90" t="s">
        <v>139</v>
      </c>
      <c r="G90" t="s">
        <v>337</v>
      </c>
      <c r="H90" t="s">
        <v>436</v>
      </c>
      <c r="I90" s="4">
        <v>200</v>
      </c>
      <c r="J90" s="4"/>
      <c r="N90" s="4" t="str">
        <f>IF(L90="","",IF(OR(Registro2[[#This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90" t="str">
        <f t="shared" si="1"/>
        <v>fev/25</v>
      </c>
      <c r="P90" t="str">
        <f>IF(Registro2[[#This Row],[Data de Pagamento]]&gt;0,TEXT(A90,"mmm/aa"),"")</f>
        <v>fev/25</v>
      </c>
      <c r="T90" s="4">
        <f>IF(Registro2[[#This Row],[Data de Pagamento]]="",0,IF(Registro2[[#This Row],[Conta Financeira]]=base!$A$6,0,Registro2[[#This Row],[Valor Unitário]]))</f>
        <v>200</v>
      </c>
      <c r="U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0" t="str">
        <f>VLOOKUP(Registro2[[#This Row],[Categoria]],'Plano de Contas'!$V$3:W63,2,0)</f>
        <v>Despesas Gerias &amp; Vendas</v>
      </c>
      <c r="X9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0" t="s">
        <v>1536</v>
      </c>
    </row>
    <row r="91" spans="1:25" hidden="1">
      <c r="A91" s="1">
        <v>45695</v>
      </c>
      <c r="B91" s="1">
        <v>45695</v>
      </c>
      <c r="E91" t="s">
        <v>137</v>
      </c>
      <c r="F91" t="s">
        <v>967</v>
      </c>
      <c r="G91" t="s">
        <v>449</v>
      </c>
      <c r="H91" t="s">
        <v>437</v>
      </c>
      <c r="I91" s="4">
        <v>99</v>
      </c>
      <c r="J91" s="4"/>
      <c r="N91" s="4" t="str">
        <f>IF(L91="","",IF(OR(Registro2[[#This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91" t="str">
        <f t="shared" si="1"/>
        <v>fev/25</v>
      </c>
      <c r="P91" t="str">
        <f>IF(Registro2[[#This Row],[Data de Pagamento]]&gt;0,TEXT(A91,"mmm/aa"),"")</f>
        <v>fev/25</v>
      </c>
      <c r="T91" s="4">
        <f>IF(Registro2[[#This Row],[Data de Pagamento]]="",0,IF(Registro2[[#This Row],[Conta Financeira]]=base!$A$6,0,Registro2[[#This Row],[Valor Unitário]]))</f>
        <v>99</v>
      </c>
      <c r="U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1" t="str">
        <f>VLOOKUP(Registro2[[#This Row],[Categoria]],'Plano de Contas'!$V$3:W64,2,0)</f>
        <v>Despesas Administrativas</v>
      </c>
      <c r="X9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1" t="s">
        <v>1536</v>
      </c>
    </row>
    <row r="92" spans="1:25" hidden="1">
      <c r="A92" s="1">
        <v>45695.375</v>
      </c>
      <c r="B92" s="1">
        <v>45695.375</v>
      </c>
      <c r="D92" t="s">
        <v>1</v>
      </c>
      <c r="E92" t="s">
        <v>149</v>
      </c>
      <c r="F92" t="s">
        <v>147</v>
      </c>
      <c r="G92" t="s">
        <v>163</v>
      </c>
      <c r="I92" s="4">
        <v>35</v>
      </c>
      <c r="J92" s="4">
        <v>35</v>
      </c>
      <c r="L92" t="s">
        <v>253</v>
      </c>
      <c r="M92" t="s">
        <v>384</v>
      </c>
      <c r="N92" s="4">
        <f>IF(L92="","",IF(OR(Registro2[[#This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2" t="str">
        <f t="shared" si="1"/>
        <v>fev/25</v>
      </c>
      <c r="P92" t="str">
        <f>IF(Registro2[[#This Row],[Data de Pagamento]]&gt;0,TEXT(A92,"mmm/aa"),"")</f>
        <v>fev/25</v>
      </c>
      <c r="T92" s="4">
        <f>IF(Registro2[[#This Row],[Data de Pagamento]]="",0,IF(Registro2[[#This Row],[Conta Financeira]]=base!$A$6,0,Registro2[[#This Row],[Valor Unitário]]))</f>
        <v>35</v>
      </c>
      <c r="U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2" t="str">
        <f>VLOOKUP(Registro2[[#This Row],[Categoria]],'Plano de Contas'!$V$3:W161,2,0)</f>
        <v>Receitas Serviços</v>
      </c>
      <c r="X9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2" t="s">
        <v>1536</v>
      </c>
    </row>
    <row r="93" spans="1:25" hidden="1">
      <c r="A93" s="1">
        <v>45695.385416666664</v>
      </c>
      <c r="B93" s="1">
        <v>45695.385416666664</v>
      </c>
      <c r="D93" t="s">
        <v>310</v>
      </c>
      <c r="E93" t="s">
        <v>149</v>
      </c>
      <c r="F93" t="s">
        <v>152</v>
      </c>
      <c r="G93" t="s">
        <v>157</v>
      </c>
      <c r="I93" s="4">
        <v>50</v>
      </c>
      <c r="J93" s="4">
        <v>50</v>
      </c>
      <c r="L93" t="s">
        <v>252</v>
      </c>
      <c r="M93" t="s">
        <v>276</v>
      </c>
      <c r="N93" s="4">
        <f>IF(L93="","",IF(OR(Registro2[[#This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93" t="str">
        <f t="shared" si="1"/>
        <v>fev/25</v>
      </c>
      <c r="P93" t="str">
        <f>IF(Registro2[[#This Row],[Data de Pagamento]]&gt;0,TEXT(A93,"mmm/aa"),"")</f>
        <v>fev/25</v>
      </c>
      <c r="T93" s="4">
        <f>IF(Registro2[[#This Row],[Data de Pagamento]]="",0,IF(Registro2[[#This Row],[Conta Financeira]]=base!$A$6,0,Registro2[[#This Row],[Valor Unitário]]))</f>
        <v>50</v>
      </c>
      <c r="U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3" t="str">
        <f>VLOOKUP(Registro2[[#This Row],[Categoria]],'Plano de Contas'!$V$3:W172,2,0)</f>
        <v>Receitas Serviços</v>
      </c>
      <c r="X9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0.44500000000000001</v>
      </c>
      <c r="Y93" t="s">
        <v>1536</v>
      </c>
    </row>
    <row r="94" spans="1:25" hidden="1">
      <c r="A94" s="1">
        <v>45695.40625</v>
      </c>
      <c r="B94" s="1">
        <v>45695.40625</v>
      </c>
      <c r="D94" t="s">
        <v>356</v>
      </c>
      <c r="E94" t="s">
        <v>149</v>
      </c>
      <c r="F94" t="s">
        <v>152</v>
      </c>
      <c r="G94" t="s">
        <v>353</v>
      </c>
      <c r="I94" s="4">
        <v>45</v>
      </c>
      <c r="J94" s="4">
        <v>45</v>
      </c>
      <c r="L94" t="s">
        <v>253</v>
      </c>
      <c r="M94" t="s">
        <v>387</v>
      </c>
      <c r="N94" s="4">
        <f>IF(L94="","",IF(OR(Registro2[[#This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20.25</v>
      </c>
      <c r="O94" t="str">
        <f t="shared" si="1"/>
        <v>fev/25</v>
      </c>
      <c r="P94" t="str">
        <f>IF(Registro2[[#This Row],[Data de Pagamento]]&gt;0,TEXT(A94,"mmm/aa"),"")</f>
        <v>fev/25</v>
      </c>
      <c r="T94" s="4">
        <f>IF(Registro2[[#This Row],[Data de Pagamento]]="",0,IF(Registro2[[#This Row],[Conta Financeira]]=base!$A$6,0,Registro2[[#This Row],[Valor Unitário]]))</f>
        <v>45</v>
      </c>
      <c r="U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4" t="str">
        <f>VLOOKUP(Registro2[[#This Row],[Categoria]],'Plano de Contas'!$V$3:W169,2,0)</f>
        <v>Receitas Serviços</v>
      </c>
      <c r="X9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4" t="s">
        <v>1536</v>
      </c>
    </row>
    <row r="95" spans="1:25" hidden="1">
      <c r="A95" s="1">
        <v>45695.416666666664</v>
      </c>
      <c r="B95" s="1">
        <v>45695.416666666664</v>
      </c>
      <c r="D95" t="s">
        <v>1</v>
      </c>
      <c r="E95" t="s">
        <v>149</v>
      </c>
      <c r="F95" t="s">
        <v>152</v>
      </c>
      <c r="G95" t="s">
        <v>353</v>
      </c>
      <c r="I95" s="4">
        <v>55</v>
      </c>
      <c r="J95" s="4">
        <v>55</v>
      </c>
      <c r="L95" t="s">
        <v>264</v>
      </c>
      <c r="M95" t="s">
        <v>388</v>
      </c>
      <c r="N95" s="4">
        <f>IF(L95="","",IF(OR(Registro2[[#This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95" t="str">
        <f t="shared" si="1"/>
        <v>fev/25</v>
      </c>
      <c r="P95" t="str">
        <f>IF(Registro2[[#This Row],[Data de Pagamento]]&gt;0,TEXT(A95,"mmm/aa"),"")</f>
        <v>fev/25</v>
      </c>
      <c r="T95" s="4">
        <f>IF(Registro2[[#This Row],[Data de Pagamento]]="",0,IF(Registro2[[#This Row],[Conta Financeira]]=base!$A$6,0,Registro2[[#This Row],[Valor Unitário]]))</f>
        <v>55</v>
      </c>
      <c r="U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5" t="str">
        <f>VLOOKUP(Registro2[[#This Row],[Categoria]],'Plano de Contas'!$V$3:W171,2,0)</f>
        <v>Receitas Serviços</v>
      </c>
      <c r="X9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5" t="s">
        <v>1536</v>
      </c>
    </row>
    <row r="96" spans="1:25" hidden="1">
      <c r="A96" s="1">
        <v>45695.4375</v>
      </c>
      <c r="B96" s="1">
        <v>45695.4375</v>
      </c>
      <c r="D96" t="s">
        <v>1</v>
      </c>
      <c r="E96" t="s">
        <v>149</v>
      </c>
      <c r="F96" t="s">
        <v>152</v>
      </c>
      <c r="G96" t="s">
        <v>159</v>
      </c>
      <c r="I96" s="4">
        <v>40</v>
      </c>
      <c r="J96" s="4">
        <v>40</v>
      </c>
      <c r="L96" t="s">
        <v>253</v>
      </c>
      <c r="M96" t="s">
        <v>12</v>
      </c>
      <c r="N96" s="4">
        <f>IF(L96="","",IF(OR(Registro2[[#This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96" t="str">
        <f t="shared" si="1"/>
        <v>fev/25</v>
      </c>
      <c r="P96" t="str">
        <f>IF(Registro2[[#This Row],[Data de Pagamento]]&gt;0,TEXT(A96,"mmm/aa"),"")</f>
        <v>fev/25</v>
      </c>
      <c r="T96" s="4">
        <f>IF(Registro2[[#This Row],[Data de Pagamento]]="",0,IF(Registro2[[#This Row],[Conta Financeira]]=base!$A$6,0,Registro2[[#This Row],[Valor Unitário]]))</f>
        <v>40</v>
      </c>
      <c r="U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6" t="str">
        <f>VLOOKUP(Registro2[[#This Row],[Categoria]],'Plano de Contas'!$V$3:W168,2,0)</f>
        <v>Receitas Serviços</v>
      </c>
      <c r="X9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6" t="s">
        <v>1536</v>
      </c>
    </row>
    <row r="97" spans="1:25" hidden="1">
      <c r="A97" s="1">
        <v>45695.447916666664</v>
      </c>
      <c r="B97" s="1">
        <v>45695.447916666664</v>
      </c>
      <c r="D97" t="s">
        <v>1</v>
      </c>
      <c r="E97" t="s">
        <v>149</v>
      </c>
      <c r="F97" t="s">
        <v>147</v>
      </c>
      <c r="G97" t="s">
        <v>163</v>
      </c>
      <c r="I97" s="4">
        <v>35</v>
      </c>
      <c r="J97" s="4">
        <v>35</v>
      </c>
      <c r="L97" t="s">
        <v>252</v>
      </c>
      <c r="M97" t="s">
        <v>80</v>
      </c>
      <c r="N97" s="4">
        <f>IF(L97="","",IF(OR(Registro2[[#This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7" t="str">
        <f t="shared" si="1"/>
        <v>fev/25</v>
      </c>
      <c r="P97" t="str">
        <f>IF(Registro2[[#This Row],[Data de Pagamento]]&gt;0,TEXT(A97,"mmm/aa"),"")</f>
        <v>fev/25</v>
      </c>
      <c r="T97" s="4">
        <f>IF(Registro2[[#This Row],[Data de Pagamento]]="",0,IF(Registro2[[#This Row],[Conta Financeira]]=base!$A$6,0,Registro2[[#This Row],[Valor Unitário]]))</f>
        <v>35</v>
      </c>
      <c r="U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7" t="str">
        <f>VLOOKUP(Registro2[[#This Row],[Categoria]],'Plano de Contas'!$V$3:W160,2,0)</f>
        <v>Receitas Serviços</v>
      </c>
      <c r="X9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7" t="s">
        <v>1536</v>
      </c>
    </row>
    <row r="98" spans="1:25" hidden="1">
      <c r="A98" s="1">
        <v>45695.458333333336</v>
      </c>
      <c r="B98" s="1">
        <v>45695.458333333336</v>
      </c>
      <c r="D98" t="s">
        <v>1</v>
      </c>
      <c r="E98" t="s">
        <v>149</v>
      </c>
      <c r="F98" t="s">
        <v>152</v>
      </c>
      <c r="G98" t="s">
        <v>159</v>
      </c>
      <c r="I98" s="4">
        <v>40</v>
      </c>
      <c r="J98" s="4">
        <v>40</v>
      </c>
      <c r="L98" t="s">
        <v>253</v>
      </c>
      <c r="M98" t="s">
        <v>14</v>
      </c>
      <c r="N98" s="4">
        <f>IF(L98="","",IF(OR(Registro2[[#This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98" t="str">
        <f t="shared" si="1"/>
        <v>fev/25</v>
      </c>
      <c r="P98" t="str">
        <f>IF(Registro2[[#This Row],[Data de Pagamento]]&gt;0,TEXT(A98,"mmm/aa"),"")</f>
        <v>fev/25</v>
      </c>
      <c r="T98" s="4">
        <f>IF(Registro2[[#This Row],[Data de Pagamento]]="",0,IF(Registro2[[#This Row],[Conta Financeira]]=base!$A$6,0,Registro2[[#This Row],[Valor Unitário]]))</f>
        <v>40</v>
      </c>
      <c r="U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8" t="str">
        <f>VLOOKUP(Registro2[[#This Row],[Categoria]],'Plano de Contas'!$V$3:W166,2,0)</f>
        <v>Receitas Serviços</v>
      </c>
      <c r="X9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8" t="s">
        <v>1536</v>
      </c>
    </row>
    <row r="99" spans="1:25" hidden="1">
      <c r="A99" s="1">
        <v>45695.46875</v>
      </c>
      <c r="B99" s="1">
        <v>45695.46875</v>
      </c>
      <c r="D99" t="s">
        <v>2</v>
      </c>
      <c r="E99" t="s">
        <v>149</v>
      </c>
      <c r="F99" t="s">
        <v>147</v>
      </c>
      <c r="G99" t="s">
        <v>163</v>
      </c>
      <c r="I99" s="4">
        <v>35</v>
      </c>
      <c r="J99" s="4">
        <v>35</v>
      </c>
      <c r="L99" t="s">
        <v>252</v>
      </c>
      <c r="M99" t="s">
        <v>123</v>
      </c>
      <c r="N99" s="4">
        <f>IF(L99="","",IF(OR(Registro2[[#This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9" t="str">
        <f t="shared" si="1"/>
        <v>fev/25</v>
      </c>
      <c r="P99" t="str">
        <f>IF(Registro2[[#This Row],[Data de Pagamento]]&gt;0,TEXT(A99,"mmm/aa"),"")</f>
        <v>fev/25</v>
      </c>
      <c r="T99" s="4">
        <f>IF(Registro2[[#This Row],[Data de Pagamento]]="",0,IF(Registro2[[#This Row],[Conta Financeira]]=base!$A$6,0,Registro2[[#This Row],[Valor Unitário]]))</f>
        <v>35</v>
      </c>
      <c r="U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9" t="str">
        <f>VLOOKUP(Registro2[[#This Row],[Categoria]],'Plano de Contas'!$V$3:W170,2,0)</f>
        <v>Receitas Serviços</v>
      </c>
      <c r="X9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9" t="s">
        <v>1536</v>
      </c>
    </row>
    <row r="100" spans="1:25" hidden="1">
      <c r="A100" s="1">
        <v>45695.53125</v>
      </c>
      <c r="B100" s="1">
        <v>45695.53125</v>
      </c>
      <c r="D100" t="s">
        <v>1</v>
      </c>
      <c r="E100" t="s">
        <v>149</v>
      </c>
      <c r="F100" t="s">
        <v>152</v>
      </c>
      <c r="G100" t="s">
        <v>158</v>
      </c>
      <c r="I100" s="4">
        <v>100</v>
      </c>
      <c r="J100" s="4">
        <v>100</v>
      </c>
      <c r="L100" t="s">
        <v>264</v>
      </c>
      <c r="M100" t="s">
        <v>274</v>
      </c>
      <c r="N100" s="4">
        <f>IF(L100="","",IF(OR(Registro2[[#This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45</v>
      </c>
      <c r="O100" t="str">
        <f t="shared" si="1"/>
        <v>fev/25</v>
      </c>
      <c r="P100" t="str">
        <f>IF(Registro2[[#This Row],[Data de Pagamento]]&gt;0,TEXT(A100,"mmm/aa"),"")</f>
        <v>fev/25</v>
      </c>
      <c r="T100" s="4">
        <f>IF(Registro2[[#This Row],[Data de Pagamento]]="",0,IF(Registro2[[#This Row],[Conta Financeira]]=base!$A$6,0,Registro2[[#This Row],[Valor Unitário]]))</f>
        <v>100</v>
      </c>
      <c r="U1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0" t="str">
        <f>VLOOKUP(Registro2[[#This Row],[Categoria]],'Plano de Contas'!$V$3:W175,2,0)</f>
        <v>Receitas Serviços</v>
      </c>
      <c r="X10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00" t="s">
        <v>1536</v>
      </c>
    </row>
    <row r="101" spans="1:25" hidden="1">
      <c r="A101" s="1">
        <v>45695.552083333336</v>
      </c>
      <c r="B101" s="1">
        <v>45695.552083333336</v>
      </c>
      <c r="D101" t="s">
        <v>310</v>
      </c>
      <c r="E101" t="s">
        <v>149</v>
      </c>
      <c r="F101" t="s">
        <v>152</v>
      </c>
      <c r="G101" t="s">
        <v>353</v>
      </c>
      <c r="I101" s="4">
        <v>55</v>
      </c>
      <c r="J101" s="4">
        <v>55</v>
      </c>
      <c r="L101" t="s">
        <v>253</v>
      </c>
      <c r="M101" t="s">
        <v>389</v>
      </c>
      <c r="N101" s="4">
        <f>IF(L101="","",IF(OR(Registro2[[#This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101" t="str">
        <f t="shared" si="1"/>
        <v>fev/25</v>
      </c>
      <c r="P101" t="str">
        <f>IF(Registro2[[#This Row],[Data de Pagamento]]&gt;0,TEXT(A101,"mmm/aa"),"")</f>
        <v>fev/25</v>
      </c>
      <c r="T101" s="4">
        <f>IF(Registro2[[#This Row],[Data de Pagamento]]="",0,IF(Registro2[[#This Row],[Conta Financeira]]=base!$A$6,0,Registro2[[#This Row],[Valor Unitário]]))</f>
        <v>55</v>
      </c>
      <c r="U1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1" t="str">
        <f>VLOOKUP(Registro2[[#This Row],[Categoria]],'Plano de Contas'!$V$3:W176,2,0)</f>
        <v>Receitas Serviços</v>
      </c>
      <c r="X10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0.48949999999999999</v>
      </c>
      <c r="Y101" t="s">
        <v>1536</v>
      </c>
    </row>
    <row r="102" spans="1:25" hidden="1">
      <c r="A102" s="1">
        <v>45695.59375</v>
      </c>
      <c r="B102" s="1">
        <v>45695.59375</v>
      </c>
      <c r="D102" t="s">
        <v>1</v>
      </c>
      <c r="E102" t="s">
        <v>149</v>
      </c>
      <c r="F102" t="s">
        <v>147</v>
      </c>
      <c r="G102" t="s">
        <v>163</v>
      </c>
      <c r="I102" s="4">
        <v>35</v>
      </c>
      <c r="J102" s="4">
        <v>35</v>
      </c>
      <c r="L102" t="s">
        <v>253</v>
      </c>
      <c r="M102" t="s">
        <v>390</v>
      </c>
      <c r="N102" s="4">
        <f>IF(L102="","",IF(OR(Registro2[[#This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2" t="str">
        <f t="shared" si="1"/>
        <v>fev/25</v>
      </c>
      <c r="P102" t="str">
        <f>IF(Registro2[[#This Row],[Data de Pagamento]]&gt;0,TEXT(A102,"mmm/aa"),"")</f>
        <v>fev/25</v>
      </c>
      <c r="T102" s="4">
        <f>IF(Registro2[[#This Row],[Data de Pagamento]]="",0,IF(Registro2[[#This Row],[Conta Financeira]]=base!$A$6,0,Registro2[[#This Row],[Valor Unitário]]))</f>
        <v>35</v>
      </c>
      <c r="U1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2" t="str">
        <f>VLOOKUP(Registro2[[#This Row],[Categoria]],'Plano de Contas'!$V$3:W177,2,0)</f>
        <v>Receitas Serviços</v>
      </c>
      <c r="X10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02" t="s">
        <v>1536</v>
      </c>
    </row>
    <row r="103" spans="1:25" hidden="1">
      <c r="A103" s="1">
        <v>45695.600694444445</v>
      </c>
      <c r="B103" s="1">
        <v>45695.600694444445</v>
      </c>
      <c r="D103" t="s">
        <v>1</v>
      </c>
      <c r="E103" t="s">
        <v>149</v>
      </c>
      <c r="F103" t="s">
        <v>147</v>
      </c>
      <c r="G103" t="s">
        <v>163</v>
      </c>
      <c r="I103" s="4">
        <v>25</v>
      </c>
      <c r="J103" s="4">
        <v>35</v>
      </c>
      <c r="L103" t="s">
        <v>253</v>
      </c>
      <c r="M103" t="s">
        <v>10</v>
      </c>
      <c r="N103" s="4">
        <f>IF(L103="","",IF(OR(Registro2[[#This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103" t="str">
        <f t="shared" si="1"/>
        <v>fev/25</v>
      </c>
      <c r="P103" t="str">
        <f>IF(Registro2[[#This Row],[Data de Pagamento]]&gt;0,TEXT(A103,"mmm/aa"),"")</f>
        <v>fev/25</v>
      </c>
      <c r="T103" s="4">
        <f>IF(Registro2[[#This Row],[Data de Pagamento]]="",0,IF(Registro2[[#This Row],[Conta Financeira]]=base!$A$6,0,Registro2[[#This Row],[Valor Unitário]]))</f>
        <v>25</v>
      </c>
      <c r="U1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3" t="str">
        <f>VLOOKUP(Registro2[[#This Row],[Categoria]],'Plano de Contas'!$V$3:W178,2,0)</f>
        <v>Receitas Serviços</v>
      </c>
      <c r="X1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03" t="s">
        <v>1536</v>
      </c>
    </row>
    <row r="104" spans="1:25" hidden="1">
      <c r="A104" s="1">
        <v>45695.600694444445</v>
      </c>
      <c r="B104" s="1">
        <v>45695.600694444445</v>
      </c>
      <c r="D104" t="s">
        <v>1</v>
      </c>
      <c r="E104" t="s">
        <v>149</v>
      </c>
      <c r="F104" t="s">
        <v>152</v>
      </c>
      <c r="G104" t="s">
        <v>304</v>
      </c>
      <c r="I104" s="4">
        <v>10</v>
      </c>
      <c r="J104" s="4"/>
      <c r="L104" t="s">
        <v>253</v>
      </c>
      <c r="M104" t="s">
        <v>10</v>
      </c>
      <c r="N104" s="4">
        <f>IF(L104="","",IF(OR(Registro2[[#This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04" t="str">
        <f t="shared" si="1"/>
        <v>fev/25</v>
      </c>
      <c r="P104" t="str">
        <f>IF(Registro2[[#This Row],[Data de Pagamento]]&gt;0,TEXT(A104,"mmm/aa"),"")</f>
        <v>fev/25</v>
      </c>
      <c r="T104" s="4">
        <f>IF(Registro2[[#This Row],[Data de Pagamento]]="",0,IF(Registro2[[#This Row],[Conta Financeira]]=base!$A$6,0,Registro2[[#This Row],[Valor Unitário]]))</f>
        <v>10</v>
      </c>
      <c r="U1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4" t="str">
        <f>VLOOKUP(Registro2[[#This Row],[Categoria]],'Plano de Contas'!$V$3:W179,2,0)</f>
        <v>Receitas Serviços</v>
      </c>
      <c r="X1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04" t="s">
        <v>1536</v>
      </c>
    </row>
    <row r="105" spans="1:25" hidden="1">
      <c r="A105" s="1">
        <v>45695.614583333336</v>
      </c>
      <c r="B105" s="1">
        <v>45695.614583333336</v>
      </c>
      <c r="D105" t="s">
        <v>2</v>
      </c>
      <c r="E105" t="s">
        <v>149</v>
      </c>
      <c r="F105" t="s">
        <v>152</v>
      </c>
      <c r="G105" t="s">
        <v>159</v>
      </c>
      <c r="I105" s="4">
        <v>40</v>
      </c>
      <c r="J105" s="4">
        <v>40</v>
      </c>
      <c r="L105" t="s">
        <v>252</v>
      </c>
      <c r="M105" t="s">
        <v>200</v>
      </c>
      <c r="N105" s="4">
        <f>IF(L105="","",IF(OR(Registro2[[#This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105" t="str">
        <f t="shared" si="1"/>
        <v>fev/25</v>
      </c>
      <c r="P105" t="str">
        <f>IF(Registro2[[#This Row],[Data de Pagamento]]&gt;0,TEXT(A105,"mmm/aa"),"")</f>
        <v>fev/25</v>
      </c>
      <c r="T105" s="4">
        <f>IF(Registro2[[#This Row],[Data de Pagamento]]="",0,IF(Registro2[[#This Row],[Conta Financeira]]=base!$A$6,0,Registro2[[#This Row],[Valor Unitário]]))</f>
        <v>40</v>
      </c>
      <c r="U1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5" t="str">
        <f>VLOOKUP(Registro2[[#This Row],[Categoria]],'Plano de Contas'!$V$3:W174,2,0)</f>
        <v>Receitas Serviços</v>
      </c>
      <c r="X1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05" t="s">
        <v>1536</v>
      </c>
    </row>
    <row r="106" spans="1:25" hidden="1">
      <c r="A106" s="1">
        <v>45695.625</v>
      </c>
      <c r="B106" s="1">
        <v>45695.625</v>
      </c>
      <c r="D106" t="s">
        <v>310</v>
      </c>
      <c r="E106" t="s">
        <v>149</v>
      </c>
      <c r="F106" t="s">
        <v>152</v>
      </c>
      <c r="G106" t="s">
        <v>353</v>
      </c>
      <c r="I106" s="4">
        <v>55</v>
      </c>
      <c r="J106" s="4">
        <v>55</v>
      </c>
      <c r="L106" t="s">
        <v>264</v>
      </c>
      <c r="M106" t="s">
        <v>391</v>
      </c>
      <c r="N106" s="4">
        <f>IF(L106="","",IF(OR(Registro2[[#This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106" t="str">
        <f t="shared" si="1"/>
        <v>fev/25</v>
      </c>
      <c r="P106" t="str">
        <f>IF(Registro2[[#This Row],[Data de Pagamento]]&gt;0,TEXT(A106,"mmm/aa"),"")</f>
        <v>fev/25</v>
      </c>
      <c r="T106" s="4">
        <f>IF(Registro2[[#This Row],[Data de Pagamento]]="",0,IF(Registro2[[#This Row],[Conta Financeira]]=base!$A$6,0,Registro2[[#This Row],[Valor Unitário]]))</f>
        <v>55</v>
      </c>
      <c r="U1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6" t="str">
        <f>VLOOKUP(Registro2[[#This Row],[Categoria]],'Plano de Contas'!$V$3:W181,2,0)</f>
        <v>Receitas Serviços</v>
      </c>
      <c r="X10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0.48949999999999999</v>
      </c>
      <c r="Y106" t="s">
        <v>1536</v>
      </c>
    </row>
    <row r="107" spans="1:25" hidden="1">
      <c r="A107" s="1">
        <v>45695.666666666664</v>
      </c>
      <c r="B107" s="1">
        <v>45695.666666666664</v>
      </c>
      <c r="D107" t="s">
        <v>354</v>
      </c>
      <c r="E107" t="s">
        <v>149</v>
      </c>
      <c r="F107" t="s">
        <v>147</v>
      </c>
      <c r="G107" t="s">
        <v>163</v>
      </c>
      <c r="I107" s="4">
        <v>35</v>
      </c>
      <c r="J107" s="4">
        <v>35</v>
      </c>
      <c r="L107" t="s">
        <v>253</v>
      </c>
      <c r="M107" t="s">
        <v>279</v>
      </c>
      <c r="N107" s="4">
        <f>IF(L107="","",IF(OR(Registro2[[#This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7" t="str">
        <f t="shared" si="1"/>
        <v>fev/25</v>
      </c>
      <c r="P107" t="str">
        <f>IF(Registro2[[#This Row],[Data de Pagamento]]&gt;0,TEXT(A107,"mmm/aa"),"")</f>
        <v>fev/25</v>
      </c>
      <c r="T107" s="4">
        <f>IF(Registro2[[#This Row],[Data de Pagamento]]="",0,IF(Registro2[[#This Row],[Conta Financeira]]=base!$A$6,0,Registro2[[#This Row],[Valor Unitário]]))</f>
        <v>35</v>
      </c>
      <c r="U1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7" t="str">
        <f>VLOOKUP(Registro2[[#This Row],[Categoria]],'Plano de Contas'!$V$3:W183,2,0)</f>
        <v>Receitas Serviços</v>
      </c>
      <c r="X10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107" t="s">
        <v>1536</v>
      </c>
    </row>
    <row r="108" spans="1:25" hidden="1">
      <c r="A108" s="1">
        <v>45695.666666666664</v>
      </c>
      <c r="B108" s="1">
        <v>45695.666666666664</v>
      </c>
      <c r="D108" t="s">
        <v>2</v>
      </c>
      <c r="E108" t="s">
        <v>149</v>
      </c>
      <c r="F108" t="s">
        <v>147</v>
      </c>
      <c r="G108" t="s">
        <v>163</v>
      </c>
      <c r="I108" s="4">
        <v>35</v>
      </c>
      <c r="J108" s="4">
        <v>35</v>
      </c>
      <c r="L108" t="s">
        <v>252</v>
      </c>
      <c r="M108" t="s">
        <v>392</v>
      </c>
      <c r="N108" s="4">
        <f>IF(L108="","",IF(OR(Registro2[[#This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8" t="str">
        <f t="shared" si="1"/>
        <v>fev/25</v>
      </c>
      <c r="P108" t="str">
        <f>IF(Registro2[[#This Row],[Data de Pagamento]]&gt;0,TEXT(A108,"mmm/aa"),"")</f>
        <v>fev/25</v>
      </c>
      <c r="T108" s="4">
        <f>IF(Registro2[[#This Row],[Data de Pagamento]]="",0,IF(Registro2[[#This Row],[Conta Financeira]]=base!$A$6,0,Registro2[[#This Row],[Valor Unitário]]))</f>
        <v>35</v>
      </c>
      <c r="U1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8" t="str">
        <f>VLOOKUP(Registro2[[#This Row],[Categoria]],'Plano de Contas'!$V$3:W184,2,0)</f>
        <v>Receitas Serviços</v>
      </c>
      <c r="X10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08" t="s">
        <v>1536</v>
      </c>
    </row>
    <row r="109" spans="1:25" hidden="1">
      <c r="A109" s="1">
        <v>45695.677083333336</v>
      </c>
      <c r="B109" s="1">
        <v>45695.677083333336</v>
      </c>
      <c r="D109" t="s">
        <v>2</v>
      </c>
      <c r="E109" t="s">
        <v>149</v>
      </c>
      <c r="F109" t="s">
        <v>147</v>
      </c>
      <c r="G109" t="s">
        <v>163</v>
      </c>
      <c r="I109" s="4">
        <v>35</v>
      </c>
      <c r="J109" s="4">
        <v>35</v>
      </c>
      <c r="L109" t="s">
        <v>253</v>
      </c>
      <c r="M109" t="s">
        <v>382</v>
      </c>
      <c r="N109" s="4">
        <f>IF(L109="","",IF(OR(Registro2[[#This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9" t="str">
        <f t="shared" si="1"/>
        <v>fev/25</v>
      </c>
      <c r="P109" t="str">
        <f>IF(Registro2[[#This Row],[Data de Pagamento]]&gt;0,TEXT(A109,"mmm/aa"),"")</f>
        <v>fev/25</v>
      </c>
      <c r="T109" s="4">
        <f>IF(Registro2[[#This Row],[Data de Pagamento]]="",0,IF(Registro2[[#This Row],[Conta Financeira]]=base!$A$6,0,Registro2[[#This Row],[Valor Unitário]]))</f>
        <v>35</v>
      </c>
      <c r="U1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9" t="str">
        <f>VLOOKUP(Registro2[[#This Row],[Categoria]],'Plano de Contas'!$V$3:W180,2,0)</f>
        <v>Receitas Serviços</v>
      </c>
      <c r="X10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09" t="s">
        <v>1536</v>
      </c>
    </row>
    <row r="110" spans="1:25" hidden="1">
      <c r="A110" s="1">
        <v>45695.708333333336</v>
      </c>
      <c r="B110" s="1">
        <v>45695.708333333336</v>
      </c>
      <c r="D110" t="s">
        <v>354</v>
      </c>
      <c r="E110" t="s">
        <v>149</v>
      </c>
      <c r="F110" t="s">
        <v>152</v>
      </c>
      <c r="G110" t="s">
        <v>159</v>
      </c>
      <c r="I110" s="4">
        <v>40</v>
      </c>
      <c r="J110" s="4">
        <v>40</v>
      </c>
      <c r="L110" t="s">
        <v>253</v>
      </c>
      <c r="M110" t="s">
        <v>284</v>
      </c>
      <c r="N110" s="4">
        <f>IF(L110="","",IF(OR(Registro2[[#This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110" t="str">
        <f t="shared" si="1"/>
        <v>fev/25</v>
      </c>
      <c r="P110" t="str">
        <f>IF(Registro2[[#This Row],[Data de Pagamento]]&gt;0,TEXT(A110,"mmm/aa"),"")</f>
        <v>fev/25</v>
      </c>
      <c r="T110" s="4">
        <f>IF(Registro2[[#This Row],[Data de Pagamento]]="",0,IF(Registro2[[#This Row],[Conta Financeira]]=base!$A$6,0,Registro2[[#This Row],[Valor Unitário]]))</f>
        <v>40</v>
      </c>
      <c r="U1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0" t="str">
        <f>VLOOKUP(Registro2[[#This Row],[Categoria]],'Plano de Contas'!$V$3:W107,2,0)</f>
        <v>Receitas Serviços</v>
      </c>
      <c r="X11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1.26</v>
      </c>
      <c r="Y110" t="s">
        <v>1536</v>
      </c>
    </row>
    <row r="111" spans="1:25" hidden="1">
      <c r="A111" s="1">
        <v>45695.708333333336</v>
      </c>
      <c r="B111" s="1">
        <v>45695.708333333336</v>
      </c>
      <c r="D111" t="s">
        <v>1</v>
      </c>
      <c r="E111" t="s">
        <v>149</v>
      </c>
      <c r="F111" t="s">
        <v>147</v>
      </c>
      <c r="G111" t="s">
        <v>161</v>
      </c>
      <c r="I111" s="4">
        <v>25</v>
      </c>
      <c r="J111" s="4">
        <v>25</v>
      </c>
      <c r="L111" t="s">
        <v>264</v>
      </c>
      <c r="M111" t="s">
        <v>294</v>
      </c>
      <c r="N111" s="4">
        <f>IF(L111="","",IF(OR(Registro2[[#This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111" t="str">
        <f t="shared" si="1"/>
        <v>fev/25</v>
      </c>
      <c r="P111" t="str">
        <f>IF(Registro2[[#This Row],[Data de Pagamento]]&gt;0,TEXT(A111,"mmm/aa"),"")</f>
        <v>fev/25</v>
      </c>
      <c r="T111" s="4">
        <f>IF(Registro2[[#This Row],[Data de Pagamento]]="",0,IF(Registro2[[#This Row],[Conta Financeira]]=base!$A$6,0,Registro2[[#This Row],[Valor Unitário]]))</f>
        <v>25</v>
      </c>
      <c r="U1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1" t="str">
        <f>VLOOKUP(Registro2[[#This Row],[Categoria]],'Plano de Contas'!$V$3:W190,2,0)</f>
        <v>Receitas Serviços</v>
      </c>
      <c r="X1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11" t="s">
        <v>1536</v>
      </c>
    </row>
    <row r="112" spans="1:25" hidden="1">
      <c r="A112" s="1">
        <v>45695.71875</v>
      </c>
      <c r="B112" s="1">
        <v>45695.71875</v>
      </c>
      <c r="D112" t="s">
        <v>1</v>
      </c>
      <c r="E112" t="s">
        <v>149</v>
      </c>
      <c r="F112" t="s">
        <v>147</v>
      </c>
      <c r="G112" t="s">
        <v>163</v>
      </c>
      <c r="I112" s="4">
        <v>35</v>
      </c>
      <c r="J112" s="4">
        <v>35</v>
      </c>
      <c r="L112" t="s">
        <v>264</v>
      </c>
      <c r="M112" t="s">
        <v>59</v>
      </c>
      <c r="N112" s="4">
        <f>IF(L112="","",IF(OR(Registro2[[#This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2" t="str">
        <f t="shared" si="1"/>
        <v>fev/25</v>
      </c>
      <c r="P112" t="str">
        <f>IF(Registro2[[#This Row],[Data de Pagamento]]&gt;0,TEXT(A112,"mmm/aa"),"")</f>
        <v>fev/25</v>
      </c>
      <c r="T112" s="4">
        <f>IF(Registro2[[#This Row],[Data de Pagamento]]="",0,IF(Registro2[[#This Row],[Conta Financeira]]=base!$A$6,0,Registro2[[#This Row],[Valor Unitário]]))</f>
        <v>35</v>
      </c>
      <c r="U1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2" t="str">
        <f>VLOOKUP(Registro2[[#This Row],[Categoria]],'Plano de Contas'!$V$3:W189,2,0)</f>
        <v>Receitas Serviços</v>
      </c>
      <c r="X11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12" t="s">
        <v>1536</v>
      </c>
    </row>
    <row r="113" spans="1:25" hidden="1">
      <c r="A113" s="1">
        <v>45695.729166666664</v>
      </c>
      <c r="B113" s="1">
        <v>45695.729166666664</v>
      </c>
      <c r="D113" t="s">
        <v>1</v>
      </c>
      <c r="E113" t="s">
        <v>149</v>
      </c>
      <c r="F113" t="s">
        <v>147</v>
      </c>
      <c r="G113" t="s">
        <v>163</v>
      </c>
      <c r="I113" s="4">
        <v>30</v>
      </c>
      <c r="J113" s="4">
        <v>0</v>
      </c>
      <c r="L113" t="s">
        <v>252</v>
      </c>
      <c r="M113" t="s">
        <v>83</v>
      </c>
      <c r="N113" s="4">
        <f>IF(L113="","",IF(OR(Registro2[[#This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113" t="str">
        <f t="shared" si="1"/>
        <v>fev/25</v>
      </c>
      <c r="P113" t="str">
        <f>IF(Registro2[[#This Row],[Data de Pagamento]]&gt;0,TEXT(A113,"mmm/aa"),"")</f>
        <v>fev/25</v>
      </c>
      <c r="T113" s="4">
        <f>IF(Registro2[[#This Row],[Data de Pagamento]]="",0,IF(Registro2[[#This Row],[Conta Financeira]]=base!$A$6,0,Registro2[[#This Row],[Valor Unitário]]))</f>
        <v>30</v>
      </c>
      <c r="U1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113" t="str">
        <f>VLOOKUP(Registro2[[#This Row],[Categoria]],'Plano de Contas'!$V$3:W185,2,0)</f>
        <v>Receitas Serviços</v>
      </c>
      <c r="X11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13" t="s">
        <v>1536</v>
      </c>
    </row>
    <row r="114" spans="1:25" hidden="1">
      <c r="A114" s="1">
        <v>45695.75</v>
      </c>
      <c r="B114" s="1">
        <v>45695.75</v>
      </c>
      <c r="D114" t="s">
        <v>2</v>
      </c>
      <c r="E114" t="s">
        <v>149</v>
      </c>
      <c r="F114" t="s">
        <v>152</v>
      </c>
      <c r="G114" t="s">
        <v>159</v>
      </c>
      <c r="I114" s="4">
        <v>40</v>
      </c>
      <c r="J114" s="4">
        <v>40</v>
      </c>
      <c r="L114" t="s">
        <v>253</v>
      </c>
      <c r="M114" t="s">
        <v>77</v>
      </c>
      <c r="N114" s="4">
        <f>IF(L114="","",IF(OR(Registro2[[#This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114" t="str">
        <f t="shared" si="1"/>
        <v>fev/25</v>
      </c>
      <c r="P114" t="str">
        <f>IF(Registro2[[#This Row],[Data de Pagamento]]&gt;0,TEXT(A114,"mmm/aa"),"")</f>
        <v>fev/25</v>
      </c>
      <c r="T114" s="4">
        <f>IF(Registro2[[#This Row],[Data de Pagamento]]="",0,IF(Registro2[[#This Row],[Conta Financeira]]=base!$A$6,0,Registro2[[#This Row],[Valor Unitário]]))</f>
        <v>40</v>
      </c>
      <c r="U1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4" t="str">
        <f>VLOOKUP(Registro2[[#This Row],[Categoria]],'Plano de Contas'!$V$3:W173,2,0)</f>
        <v>Receitas Serviços</v>
      </c>
      <c r="X11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14" t="s">
        <v>1536</v>
      </c>
    </row>
    <row r="115" spans="1:25" hidden="1">
      <c r="A115" s="1">
        <v>45695.770833333336</v>
      </c>
      <c r="B115" s="1">
        <v>45695.770833333336</v>
      </c>
      <c r="D115" t="s">
        <v>1</v>
      </c>
      <c r="E115" t="s">
        <v>149</v>
      </c>
      <c r="F115" t="s">
        <v>152</v>
      </c>
      <c r="G115" t="s">
        <v>159</v>
      </c>
      <c r="I115" s="4">
        <v>40</v>
      </c>
      <c r="J115" s="4">
        <v>40</v>
      </c>
      <c r="L115" t="s">
        <v>252</v>
      </c>
      <c r="M115" t="s">
        <v>18</v>
      </c>
      <c r="N115" s="4">
        <f>IF(L115="","",IF(OR(Registro2[[#This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115" t="str">
        <f t="shared" si="1"/>
        <v>fev/25</v>
      </c>
      <c r="P115" t="str">
        <f>IF(Registro2[[#This Row],[Data de Pagamento]]&gt;0,TEXT(A115,"mmm/aa"),"")</f>
        <v>fev/25</v>
      </c>
      <c r="T115" s="4">
        <f>IF(Registro2[[#This Row],[Data de Pagamento]]="",0,IF(Registro2[[#This Row],[Conta Financeira]]=base!$A$6,0,Registro2[[#This Row],[Valor Unitário]]))</f>
        <v>40</v>
      </c>
      <c r="U1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5" t="str">
        <f>VLOOKUP(Registro2[[#This Row],[Categoria]],'Plano de Contas'!$V$3:W182,2,0)</f>
        <v>Receitas Serviços</v>
      </c>
      <c r="X11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15" t="s">
        <v>1536</v>
      </c>
    </row>
    <row r="116" spans="1:25" hidden="1">
      <c r="A116" s="1">
        <v>45695.770833333336</v>
      </c>
      <c r="B116" s="1">
        <v>45695.770833333336</v>
      </c>
      <c r="D116" t="s">
        <v>310</v>
      </c>
      <c r="E116" t="s">
        <v>149</v>
      </c>
      <c r="F116" t="s">
        <v>147</v>
      </c>
      <c r="G116" t="s">
        <v>163</v>
      </c>
      <c r="I116" s="4">
        <v>35</v>
      </c>
      <c r="J116" s="4">
        <v>35</v>
      </c>
      <c r="L116" t="s">
        <v>264</v>
      </c>
      <c r="M116" t="s">
        <v>395</v>
      </c>
      <c r="N116" s="4">
        <f>IF(L116="","",IF(OR(Registro2[[#This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6" t="str">
        <f t="shared" si="1"/>
        <v>fev/25</v>
      </c>
      <c r="P116" t="str">
        <f>IF(Registro2[[#This Row],[Data de Pagamento]]&gt;0,TEXT(A116,"mmm/aa"),"")</f>
        <v>fev/25</v>
      </c>
      <c r="T116" s="4">
        <f>IF(Registro2[[#This Row],[Data de Pagamento]]="",0,IF(Registro2[[#This Row],[Conta Financeira]]=base!$A$6,0,Registro2[[#This Row],[Valor Unitário]]))</f>
        <v>35</v>
      </c>
      <c r="U1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6" t="str">
        <f>VLOOKUP(Registro2[[#This Row],[Categoria]],'Plano de Contas'!$V$3:W188,2,0)</f>
        <v>Receitas Serviços</v>
      </c>
      <c r="X11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116" t="s">
        <v>1536</v>
      </c>
    </row>
    <row r="117" spans="1:25" hidden="1">
      <c r="A117" s="1">
        <v>45695.78125</v>
      </c>
      <c r="B117" s="1">
        <v>45695.78125</v>
      </c>
      <c r="D117" t="s">
        <v>1</v>
      </c>
      <c r="E117" t="s">
        <v>149</v>
      </c>
      <c r="F117" t="s">
        <v>152</v>
      </c>
      <c r="G117" t="s">
        <v>353</v>
      </c>
      <c r="I117" s="4">
        <v>48.33</v>
      </c>
      <c r="J117" s="4">
        <v>0</v>
      </c>
      <c r="L117" t="s">
        <v>253</v>
      </c>
      <c r="M117" t="s">
        <v>183</v>
      </c>
      <c r="N117" s="4">
        <f>IF(L117="","",IF(OR(Registro2[[#This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21.7485</v>
      </c>
      <c r="O117" t="str">
        <f t="shared" si="1"/>
        <v>fev/25</v>
      </c>
      <c r="P117" t="str">
        <f>IF(Registro2[[#This Row],[Data de Pagamento]]&gt;0,TEXT(A117,"mmm/aa"),"")</f>
        <v>fev/25</v>
      </c>
      <c r="T117" s="4">
        <f>IF(Registro2[[#This Row],[Data de Pagamento]]="",0,IF(Registro2[[#This Row],[Conta Financeira]]=base!$A$6,0,Registro2[[#This Row],[Valor Unitário]]))</f>
        <v>48.33</v>
      </c>
      <c r="U1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117" t="str">
        <f>VLOOKUP(Registro2[[#This Row],[Categoria]],'Plano de Contas'!$V$3:W165,2,0)</f>
        <v>Receitas Serviços</v>
      </c>
      <c r="X11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17" t="s">
        <v>1536</v>
      </c>
    </row>
    <row r="118" spans="1:25" hidden="1">
      <c r="A118" s="1">
        <v>45695.791666666664</v>
      </c>
      <c r="B118" s="1">
        <v>45695.791666666664</v>
      </c>
      <c r="D118" t="s">
        <v>2</v>
      </c>
      <c r="E118" t="s">
        <v>149</v>
      </c>
      <c r="F118" t="s">
        <v>147</v>
      </c>
      <c r="G118" t="s">
        <v>163</v>
      </c>
      <c r="I118" s="4">
        <v>35</v>
      </c>
      <c r="J118" s="4">
        <v>35</v>
      </c>
      <c r="L118" t="s">
        <v>252</v>
      </c>
      <c r="M118" t="s">
        <v>394</v>
      </c>
      <c r="N118" s="4">
        <f>IF(L118="","",IF(OR(Registro2[[#This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8" t="str">
        <f t="shared" si="1"/>
        <v>fev/25</v>
      </c>
      <c r="P118" t="str">
        <f>IF(Registro2[[#This Row],[Data de Pagamento]]&gt;0,TEXT(A118,"mmm/aa"),"")</f>
        <v>fev/25</v>
      </c>
      <c r="T118" s="4">
        <f>IF(Registro2[[#This Row],[Data de Pagamento]]="",0,IF(Registro2[[#This Row],[Conta Financeira]]=base!$A$6,0,Registro2[[#This Row],[Valor Unitário]]))</f>
        <v>35</v>
      </c>
      <c r="U1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8" t="str">
        <f>VLOOKUP(Registro2[[#This Row],[Categoria]],'Plano de Contas'!$V$3:W187,2,0)</f>
        <v>Receitas Serviços</v>
      </c>
      <c r="X1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18" t="s">
        <v>1536</v>
      </c>
    </row>
    <row r="119" spans="1:25" hidden="1">
      <c r="A119" s="1">
        <v>45695.791666666664</v>
      </c>
      <c r="B119" s="1">
        <v>45695.791666666664</v>
      </c>
      <c r="D119" t="s">
        <v>1</v>
      </c>
      <c r="E119" t="s">
        <v>149</v>
      </c>
      <c r="F119" t="s">
        <v>147</v>
      </c>
      <c r="G119" t="s">
        <v>163</v>
      </c>
      <c r="I119" s="4">
        <v>35</v>
      </c>
      <c r="J119" s="4">
        <v>35</v>
      </c>
      <c r="L119" t="s">
        <v>264</v>
      </c>
      <c r="M119" t="s">
        <v>283</v>
      </c>
      <c r="N119" s="4">
        <f>IF(L119="","",IF(OR(Registro2[[#This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9" t="str">
        <f t="shared" si="1"/>
        <v>fev/25</v>
      </c>
      <c r="P119" t="str">
        <f>IF(Registro2[[#This Row],[Data de Pagamento]]&gt;0,TEXT(A119,"mmm/aa"),"")</f>
        <v>fev/25</v>
      </c>
      <c r="T119" s="4">
        <f>IF(Registro2[[#This Row],[Data de Pagamento]]="",0,IF(Registro2[[#This Row],[Conta Financeira]]=base!$A$6,0,Registro2[[#This Row],[Valor Unitário]]))</f>
        <v>35</v>
      </c>
      <c r="U1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9" t="str">
        <f>VLOOKUP(Registro2[[#This Row],[Categoria]],'Plano de Contas'!$V$3:W193,2,0)</f>
        <v>Receitas Serviços</v>
      </c>
      <c r="X11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19" t="s">
        <v>1536</v>
      </c>
    </row>
    <row r="120" spans="1:25" hidden="1">
      <c r="A120" s="1">
        <v>45695.8125</v>
      </c>
      <c r="B120" s="1">
        <v>45695.8125</v>
      </c>
      <c r="D120" t="s">
        <v>1</v>
      </c>
      <c r="E120" t="s">
        <v>149</v>
      </c>
      <c r="F120" t="s">
        <v>152</v>
      </c>
      <c r="G120" t="s">
        <v>159</v>
      </c>
      <c r="I120" s="4">
        <v>40</v>
      </c>
      <c r="J120" s="4">
        <v>40</v>
      </c>
      <c r="L120" t="s">
        <v>253</v>
      </c>
      <c r="M120" t="s">
        <v>393</v>
      </c>
      <c r="N120" s="4">
        <f>IF(L120="","",IF(OR(Registro2[[#This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120" t="str">
        <f t="shared" si="1"/>
        <v>fev/25</v>
      </c>
      <c r="P120" t="str">
        <f>IF(Registro2[[#This Row],[Data de Pagamento]]&gt;0,TEXT(A120,"mmm/aa"),"")</f>
        <v>fev/25</v>
      </c>
      <c r="T120" s="4">
        <f>IF(Registro2[[#This Row],[Data de Pagamento]]="",0,IF(Registro2[[#This Row],[Conta Financeira]]=base!$A$6,0,Registro2[[#This Row],[Valor Unitário]]))</f>
        <v>40</v>
      </c>
      <c r="U1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0" t="str">
        <f>VLOOKUP(Registro2[[#This Row],[Categoria]],'Plano de Contas'!$V$3:W186,2,0)</f>
        <v>Receitas Serviços</v>
      </c>
      <c r="X12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20" t="s">
        <v>1536</v>
      </c>
    </row>
    <row r="121" spans="1:25" hidden="1">
      <c r="A121" s="1">
        <v>45695.8125</v>
      </c>
      <c r="B121" s="1">
        <v>45695.8125</v>
      </c>
      <c r="D121" t="s">
        <v>310</v>
      </c>
      <c r="E121" t="s">
        <v>149</v>
      </c>
      <c r="F121" t="s">
        <v>147</v>
      </c>
      <c r="G121" t="s">
        <v>163</v>
      </c>
      <c r="I121" s="4">
        <v>35</v>
      </c>
      <c r="J121" s="4">
        <v>35</v>
      </c>
      <c r="L121" t="s">
        <v>252</v>
      </c>
      <c r="M121" t="s">
        <v>396</v>
      </c>
      <c r="N121" s="4">
        <f>IF(L121="","",IF(OR(Registro2[[#This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1" t="str">
        <f t="shared" si="1"/>
        <v>fev/25</v>
      </c>
      <c r="P121" t="str">
        <f>IF(Registro2[[#This Row],[Data de Pagamento]]&gt;0,TEXT(A121,"mmm/aa"),"")</f>
        <v>fev/25</v>
      </c>
      <c r="T121" s="4">
        <f>IF(Registro2[[#This Row],[Data de Pagamento]]="",0,IF(Registro2[[#This Row],[Conta Financeira]]=base!$A$6,0,Registro2[[#This Row],[Valor Unitário]]))</f>
        <v>35</v>
      </c>
      <c r="U1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1" t="str">
        <f>VLOOKUP(Registro2[[#This Row],[Categoria]],'Plano de Contas'!$V$3:W191,2,0)</f>
        <v>Receitas Serviços</v>
      </c>
      <c r="X12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121" t="s">
        <v>1536</v>
      </c>
    </row>
    <row r="122" spans="1:25" hidden="1">
      <c r="A122" s="1">
        <v>45695.822916666664</v>
      </c>
      <c r="B122" s="1">
        <v>45695.822916666664</v>
      </c>
      <c r="D122" t="s">
        <v>1</v>
      </c>
      <c r="E122" t="s">
        <v>149</v>
      </c>
      <c r="F122" t="s">
        <v>147</v>
      </c>
      <c r="G122" t="s">
        <v>161</v>
      </c>
      <c r="I122" s="4">
        <v>25</v>
      </c>
      <c r="J122" s="4">
        <v>25</v>
      </c>
      <c r="L122" t="s">
        <v>264</v>
      </c>
      <c r="M122" t="s">
        <v>271</v>
      </c>
      <c r="N122" s="4">
        <f>IF(L122="","",IF(OR(Registro2[[#This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122" t="str">
        <f t="shared" si="1"/>
        <v>fev/25</v>
      </c>
      <c r="P122" t="str">
        <f>IF(Registro2[[#This Row],[Data de Pagamento]]&gt;0,TEXT(A122,"mmm/aa"),"")</f>
        <v>fev/25</v>
      </c>
      <c r="T122" s="4">
        <f>IF(Registro2[[#This Row],[Data de Pagamento]]="",0,IF(Registro2[[#This Row],[Conta Financeira]]=base!$A$6,0,Registro2[[#This Row],[Valor Unitário]]))</f>
        <v>25</v>
      </c>
      <c r="U1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2" t="str">
        <f>VLOOKUP(Registro2[[#This Row],[Categoria]],'Plano de Contas'!$V$3:W192,2,0)</f>
        <v>Receitas Serviços</v>
      </c>
      <c r="X12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22" t="s">
        <v>1536</v>
      </c>
    </row>
    <row r="123" spans="1:25" hidden="1">
      <c r="A123" s="1">
        <v>45695.834027777775</v>
      </c>
      <c r="B123" s="1">
        <v>45695.834027777775</v>
      </c>
      <c r="D123" t="s">
        <v>1</v>
      </c>
      <c r="E123" t="s">
        <v>149</v>
      </c>
      <c r="F123" t="s">
        <v>824</v>
      </c>
      <c r="G123" t="s">
        <v>837</v>
      </c>
      <c r="I123" s="4">
        <v>144.99</v>
      </c>
      <c r="J123" s="4">
        <v>144.99</v>
      </c>
      <c r="N123" s="4" t="str">
        <f>IF(L123="","",IF(OR(Registro2[[#This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23" t="str">
        <f t="shared" si="1"/>
        <v>fev/25</v>
      </c>
      <c r="P123" t="str">
        <f>IF(Registro2[[#This Row],[Data de Pagamento]]&gt;0,TEXT(A123,"mmm/aa"),"")</f>
        <v>fev/25</v>
      </c>
      <c r="T123" s="4">
        <f>IF(Registro2[[#This Row],[Data de Pagamento]]="",0,IF(Registro2[[#This Row],[Conta Financeira]]=base!$A$6,0,Registro2[[#This Row],[Valor Unitário]]))</f>
        <v>144.99</v>
      </c>
      <c r="U1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3" t="str">
        <f>VLOOKUP(Registro2[[#This Row],[Categoria]],'Plano de Contas'!$V$3:W385,2,0)</f>
        <v>Receitas Serviços</v>
      </c>
      <c r="X12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23" t="s">
        <v>1536</v>
      </c>
    </row>
    <row r="124" spans="1:25" hidden="1">
      <c r="A124" s="1">
        <v>45695.881944444445</v>
      </c>
      <c r="B124" s="1">
        <v>45695.881944444445</v>
      </c>
      <c r="D124" t="s">
        <v>1</v>
      </c>
      <c r="E124" t="s">
        <v>149</v>
      </c>
      <c r="F124" t="s">
        <v>147</v>
      </c>
      <c r="G124" t="s">
        <v>163</v>
      </c>
      <c r="I124" s="4">
        <v>35</v>
      </c>
      <c r="J124" s="4">
        <v>35</v>
      </c>
      <c r="L124" t="s">
        <v>252</v>
      </c>
      <c r="M124" t="s">
        <v>397</v>
      </c>
      <c r="N124" s="4">
        <f>IF(L124="","",IF(OR(Registro2[[#This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4" t="str">
        <f t="shared" si="1"/>
        <v>fev/25</v>
      </c>
      <c r="P124" t="str">
        <f>IF(Registro2[[#This Row],[Data de Pagamento]]&gt;0,TEXT(A124,"mmm/aa"),"")</f>
        <v>fev/25</v>
      </c>
      <c r="T124" s="4">
        <f>IF(Registro2[[#This Row],[Data de Pagamento]]="",0,IF(Registro2[[#This Row],[Conta Financeira]]=base!$A$6,0,Registro2[[#This Row],[Valor Unitário]]))</f>
        <v>35</v>
      </c>
      <c r="U1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4" t="str">
        <f>VLOOKUP(Registro2[[#This Row],[Categoria]],'Plano de Contas'!$V$3:W194,2,0)</f>
        <v>Receitas Serviços</v>
      </c>
      <c r="X12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24" t="s">
        <v>1536</v>
      </c>
    </row>
    <row r="125" spans="1:25" hidden="1">
      <c r="A125" s="1">
        <v>45695.884722222225</v>
      </c>
      <c r="B125" s="1">
        <v>45695.884722222225</v>
      </c>
      <c r="D125" t="s">
        <v>1</v>
      </c>
      <c r="E125" t="s">
        <v>149</v>
      </c>
      <c r="F125" t="s">
        <v>824</v>
      </c>
      <c r="G125" t="s">
        <v>837</v>
      </c>
      <c r="I125" s="4">
        <v>90</v>
      </c>
      <c r="J125" s="4">
        <v>90</v>
      </c>
      <c r="N125" s="4" t="str">
        <f>IF(L125="","",IF(OR(Registro2[[#This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25" t="str">
        <f t="shared" si="1"/>
        <v>fev/25</v>
      </c>
      <c r="P125" t="str">
        <f>IF(Registro2[[#This Row],[Data de Pagamento]]&gt;0,TEXT(A125,"mmm/aa"),"")</f>
        <v>fev/25</v>
      </c>
      <c r="T125" s="4">
        <f>IF(Registro2[[#This Row],[Data de Pagamento]]="",0,IF(Registro2[[#This Row],[Conta Financeira]]=base!$A$6,0,Registro2[[#This Row],[Valor Unitário]]))</f>
        <v>90</v>
      </c>
      <c r="U1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5" t="str">
        <f>VLOOKUP(Registro2[[#This Row],[Categoria]],'Plano de Contas'!$V$3:W386,2,0)</f>
        <v>Receitas Serviços</v>
      </c>
      <c r="X12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25" t="s">
        <v>1536</v>
      </c>
    </row>
    <row r="126" spans="1:25" hidden="1">
      <c r="A126" s="1">
        <v>45696.375</v>
      </c>
      <c r="B126" s="1">
        <v>45696.375</v>
      </c>
      <c r="D126" t="s">
        <v>1</v>
      </c>
      <c r="E126" t="s">
        <v>149</v>
      </c>
      <c r="F126" t="s">
        <v>152</v>
      </c>
      <c r="G126" t="s">
        <v>159</v>
      </c>
      <c r="I126" s="4">
        <v>40</v>
      </c>
      <c r="J126" s="4">
        <v>40</v>
      </c>
      <c r="L126" t="s">
        <v>252</v>
      </c>
      <c r="M126" t="s">
        <v>24</v>
      </c>
      <c r="N126" s="4">
        <f>IF(L126="","",IF(OR(Registro2[[#This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126" t="str">
        <f t="shared" si="1"/>
        <v>fev/25</v>
      </c>
      <c r="P126" t="str">
        <f>IF(Registro2[[#This Row],[Data de Pagamento]]&gt;0,TEXT(A126,"mmm/aa"),"")</f>
        <v>fev/25</v>
      </c>
      <c r="T126" s="4">
        <f>IF(Registro2[[#This Row],[Data de Pagamento]]="",0,IF(Registro2[[#This Row],[Conta Financeira]]=base!$A$6,0,Registro2[[#This Row],[Valor Unitário]]))</f>
        <v>40</v>
      </c>
      <c r="U1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6" t="str">
        <f>VLOOKUP(Registro2[[#This Row],[Categoria]],'Plano de Contas'!$V$3:W195,2,0)</f>
        <v>Receitas Serviços</v>
      </c>
      <c r="X12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26" t="s">
        <v>1536</v>
      </c>
    </row>
    <row r="127" spans="1:25" hidden="1">
      <c r="A127" s="1">
        <v>45696.375</v>
      </c>
      <c r="B127" s="1">
        <v>45696.375</v>
      </c>
      <c r="D127" t="s">
        <v>1</v>
      </c>
      <c r="E127" t="s">
        <v>149</v>
      </c>
      <c r="F127" t="s">
        <v>147</v>
      </c>
      <c r="G127" t="s">
        <v>163</v>
      </c>
      <c r="I127" s="4">
        <v>30</v>
      </c>
      <c r="J127" s="4">
        <v>0</v>
      </c>
      <c r="L127" t="s">
        <v>253</v>
      </c>
      <c r="M127" t="s">
        <v>414</v>
      </c>
      <c r="N127" s="4">
        <f>IF(L127="","",IF(OR(Registro2[[#This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127" t="str">
        <f t="shared" si="1"/>
        <v>fev/25</v>
      </c>
      <c r="P127" t="str">
        <f>IF(Registro2[[#This Row],[Data de Pagamento]]&gt;0,TEXT(A127,"mmm/aa"),"")</f>
        <v>fev/25</v>
      </c>
      <c r="T127" s="4">
        <f>IF(Registro2[[#This Row],[Data de Pagamento]]="",0,IF(Registro2[[#This Row],[Conta Financeira]]=base!$A$6,0,Registro2[[#This Row],[Valor Unitário]]))</f>
        <v>30</v>
      </c>
      <c r="U1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127" t="str">
        <f>VLOOKUP(Registro2[[#This Row],[Categoria]],'Plano de Contas'!$V$3:W234,2,0)</f>
        <v>Receitas Serviços</v>
      </c>
      <c r="X1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27" t="s">
        <v>1536</v>
      </c>
    </row>
    <row r="128" spans="1:25" hidden="1">
      <c r="A128" s="1">
        <v>45696.395833333336</v>
      </c>
      <c r="B128" s="1">
        <v>45696.395833333336</v>
      </c>
      <c r="D128" t="s">
        <v>1</v>
      </c>
      <c r="E128" t="s">
        <v>149</v>
      </c>
      <c r="F128" t="s">
        <v>152</v>
      </c>
      <c r="G128" t="s">
        <v>353</v>
      </c>
      <c r="I128" s="4">
        <v>55</v>
      </c>
      <c r="J128" s="4">
        <v>55</v>
      </c>
      <c r="L128" t="s">
        <v>253</v>
      </c>
      <c r="M128" t="s">
        <v>37</v>
      </c>
      <c r="N128" s="4">
        <f>IF(L128="","",IF(OR(Registro2[[#This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128" t="str">
        <f t="shared" si="1"/>
        <v>fev/25</v>
      </c>
      <c r="P128" t="str">
        <f>IF(Registro2[[#This Row],[Data de Pagamento]]&gt;0,TEXT(A128,"mmm/aa"),"")</f>
        <v>fev/25</v>
      </c>
      <c r="T128" s="4">
        <f>IF(Registro2[[#This Row],[Data de Pagamento]]="",0,IF(Registro2[[#This Row],[Conta Financeira]]=base!$A$6,0,Registro2[[#This Row],[Valor Unitário]]))</f>
        <v>55</v>
      </c>
      <c r="U1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8" t="str">
        <f>VLOOKUP(Registro2[[#This Row],[Categoria]],'Plano de Contas'!$V$3:W167,2,0)</f>
        <v>Receitas Serviços</v>
      </c>
      <c r="X12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28" t="s">
        <v>1536</v>
      </c>
    </row>
    <row r="129" spans="1:25" hidden="1">
      <c r="A129" s="1">
        <v>45696.40625</v>
      </c>
      <c r="B129" s="1">
        <v>45696.40625</v>
      </c>
      <c r="D129" t="s">
        <v>1</v>
      </c>
      <c r="E129" t="s">
        <v>149</v>
      </c>
      <c r="F129" t="s">
        <v>147</v>
      </c>
      <c r="G129" t="s">
        <v>163</v>
      </c>
      <c r="I129" s="4">
        <v>35</v>
      </c>
      <c r="J129" s="4">
        <v>35</v>
      </c>
      <c r="L129" t="s">
        <v>264</v>
      </c>
      <c r="M129" t="s">
        <v>42</v>
      </c>
      <c r="N129" s="4">
        <f>IF(L129="","",IF(OR(Registro2[[#This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9" t="str">
        <f t="shared" si="1"/>
        <v>fev/25</v>
      </c>
      <c r="P129" t="str">
        <f>IF(Registro2[[#This Row],[Data de Pagamento]]&gt;0,TEXT(A129,"mmm/aa"),"")</f>
        <v>fev/25</v>
      </c>
      <c r="T129" s="4">
        <f>IF(Registro2[[#This Row],[Data de Pagamento]]="",0,IF(Registro2[[#This Row],[Conta Financeira]]=base!$A$6,0,Registro2[[#This Row],[Valor Unitário]]))</f>
        <v>35</v>
      </c>
      <c r="U1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9" t="str">
        <f>VLOOKUP(Registro2[[#This Row],[Categoria]],'Plano de Contas'!$V$3:W205,2,0)</f>
        <v>Receitas Serviços</v>
      </c>
      <c r="X1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29" t="s">
        <v>1536</v>
      </c>
    </row>
    <row r="130" spans="1:25" hidden="1">
      <c r="A130" s="1">
        <v>45696.416666666664</v>
      </c>
      <c r="B130" s="1">
        <v>45696.416666666664</v>
      </c>
      <c r="D130" t="s">
        <v>310</v>
      </c>
      <c r="E130" t="s">
        <v>149</v>
      </c>
      <c r="F130" t="s">
        <v>147</v>
      </c>
      <c r="G130" t="s">
        <v>163</v>
      </c>
      <c r="I130" s="4">
        <v>35</v>
      </c>
      <c r="J130" s="4">
        <v>35</v>
      </c>
      <c r="L130" t="s">
        <v>253</v>
      </c>
      <c r="M130" t="s">
        <v>115</v>
      </c>
      <c r="N130" s="4">
        <f>IF(L130="","",IF(OR(Registro2[[#This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0" t="str">
        <f t="shared" ref="O130:O193" si="2">TEXT(B130,"mmm/aa")</f>
        <v>fev/25</v>
      </c>
      <c r="P130" t="str">
        <f>IF(Registro2[[#This Row],[Data de Pagamento]]&gt;0,TEXT(A130,"mmm/aa"),"")</f>
        <v>fev/25</v>
      </c>
      <c r="T130" s="4">
        <f>IF(Registro2[[#This Row],[Data de Pagamento]]="",0,IF(Registro2[[#This Row],[Conta Financeira]]=base!$A$6,0,Registro2[[#This Row],[Valor Unitário]]))</f>
        <v>35</v>
      </c>
      <c r="U1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0" t="str">
        <f>VLOOKUP(Registro2[[#This Row],[Categoria]],'Plano de Contas'!$V$3:W202,2,0)</f>
        <v>Receitas Serviços</v>
      </c>
      <c r="X13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130" t="s">
        <v>1536</v>
      </c>
    </row>
    <row r="131" spans="1:25" hidden="1">
      <c r="A131" s="1">
        <v>45696.416666666664</v>
      </c>
      <c r="B131" s="1">
        <v>45696.416666666664</v>
      </c>
      <c r="D131" t="s">
        <v>1</v>
      </c>
      <c r="E131" t="s">
        <v>149</v>
      </c>
      <c r="F131" t="s">
        <v>147</v>
      </c>
      <c r="G131" t="s">
        <v>163</v>
      </c>
      <c r="I131" s="4">
        <v>35</v>
      </c>
      <c r="J131" s="4">
        <v>35</v>
      </c>
      <c r="L131" t="s">
        <v>252</v>
      </c>
      <c r="M131" t="s">
        <v>68</v>
      </c>
      <c r="N131" s="4">
        <f>IF(L131="","",IF(OR(Registro2[[#This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1" t="str">
        <f t="shared" si="2"/>
        <v>fev/25</v>
      </c>
      <c r="P131" t="str">
        <f>IF(Registro2[[#This Row],[Data de Pagamento]]&gt;0,TEXT(A131,"mmm/aa"),"")</f>
        <v>fev/25</v>
      </c>
      <c r="T131" s="4">
        <f>IF(Registro2[[#This Row],[Data de Pagamento]]="",0,IF(Registro2[[#This Row],[Conta Financeira]]=base!$A$6,0,Registro2[[#This Row],[Valor Unitário]]))</f>
        <v>35</v>
      </c>
      <c r="U1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1" t="str">
        <f>VLOOKUP(Registro2[[#This Row],[Categoria]],'Plano de Contas'!$V$3:W206,2,0)</f>
        <v>Receitas Serviços</v>
      </c>
      <c r="X13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31" t="s">
        <v>1536</v>
      </c>
    </row>
    <row r="132" spans="1:25" hidden="1">
      <c r="A132" s="1">
        <v>45696.427083333336</v>
      </c>
      <c r="B132" s="1">
        <v>45696.427083333336</v>
      </c>
      <c r="D132" t="s">
        <v>354</v>
      </c>
      <c r="E132" t="s">
        <v>149</v>
      </c>
      <c r="F132" t="s">
        <v>147</v>
      </c>
      <c r="G132" t="s">
        <v>161</v>
      </c>
      <c r="I132" s="4">
        <v>20</v>
      </c>
      <c r="J132" s="4">
        <v>20</v>
      </c>
      <c r="L132" t="s">
        <v>264</v>
      </c>
      <c r="M132" t="s">
        <v>401</v>
      </c>
      <c r="N132" s="4">
        <f>IF(L132="","",IF(OR(Registro2[[#This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32" t="str">
        <f t="shared" si="2"/>
        <v>fev/25</v>
      </c>
      <c r="P132" t="str">
        <f>IF(Registro2[[#This Row],[Data de Pagamento]]&gt;0,TEXT(A132,"mmm/aa"),"")</f>
        <v>fev/25</v>
      </c>
      <c r="T132" s="4">
        <f>IF(Registro2[[#This Row],[Data de Pagamento]]="",0,IF(Registro2[[#This Row],[Conta Financeira]]=base!$A$6,0,Registro2[[#This Row],[Valor Unitário]]))</f>
        <v>20</v>
      </c>
      <c r="U1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2" t="str">
        <f>VLOOKUP(Registro2[[#This Row],[Categoria]],'Plano de Contas'!$V$3:W204,2,0)</f>
        <v>Receitas Serviços</v>
      </c>
      <c r="X13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0.63</v>
      </c>
      <c r="Y132" t="s">
        <v>1536</v>
      </c>
    </row>
    <row r="133" spans="1:25" hidden="1">
      <c r="A133" s="1">
        <v>45696.4375</v>
      </c>
      <c r="B133" s="1">
        <v>45696.4375</v>
      </c>
      <c r="D133" t="s">
        <v>1</v>
      </c>
      <c r="E133" t="s">
        <v>149</v>
      </c>
      <c r="F133" t="s">
        <v>152</v>
      </c>
      <c r="G133" t="s">
        <v>154</v>
      </c>
      <c r="I133" s="4">
        <v>50</v>
      </c>
      <c r="J133" s="4">
        <v>50</v>
      </c>
      <c r="L133" t="s">
        <v>252</v>
      </c>
      <c r="M133" t="s">
        <v>298</v>
      </c>
      <c r="N133" s="4">
        <f>IF(L133="","",IF(OR(Registro2[[#This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33" t="str">
        <f t="shared" si="2"/>
        <v>fev/25</v>
      </c>
      <c r="P133" t="str">
        <f>IF(Registro2[[#This Row],[Data de Pagamento]]&gt;0,TEXT(A133,"mmm/aa"),"")</f>
        <v>fev/25</v>
      </c>
      <c r="T133" s="4">
        <f>IF(Registro2[[#This Row],[Data de Pagamento]]="",0,IF(Registro2[[#This Row],[Conta Financeira]]=base!$A$6,0,Registro2[[#This Row],[Valor Unitário]]))</f>
        <v>50</v>
      </c>
      <c r="U1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3" t="str">
        <f>VLOOKUP(Registro2[[#This Row],[Categoria]],'Plano de Contas'!$V$3:W198,2,0)</f>
        <v>Receitas Serviços</v>
      </c>
      <c r="X13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33" t="s">
        <v>1536</v>
      </c>
    </row>
    <row r="134" spans="1:25" hidden="1">
      <c r="A134" s="1">
        <v>45696.458333333336</v>
      </c>
      <c r="B134" s="1">
        <v>45696.458333333336</v>
      </c>
      <c r="D134" t="s">
        <v>1</v>
      </c>
      <c r="E134" t="s">
        <v>149</v>
      </c>
      <c r="F134" t="s">
        <v>147</v>
      </c>
      <c r="G134" t="s">
        <v>163</v>
      </c>
      <c r="I134" s="4">
        <v>35</v>
      </c>
      <c r="J134" s="4">
        <v>35</v>
      </c>
      <c r="L134" t="s">
        <v>253</v>
      </c>
      <c r="M134" t="s">
        <v>293</v>
      </c>
      <c r="N134" s="4">
        <f>IF(L134="","",IF(OR(Registro2[[#This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4" t="str">
        <f t="shared" si="2"/>
        <v>fev/25</v>
      </c>
      <c r="P134" t="str">
        <f>IF(Registro2[[#This Row],[Data de Pagamento]]&gt;0,TEXT(A134,"mmm/aa"),"")</f>
        <v>fev/25</v>
      </c>
      <c r="T134" s="4">
        <f>IF(Registro2[[#This Row],[Data de Pagamento]]="",0,IF(Registro2[[#This Row],[Conta Financeira]]=base!$A$6,0,Registro2[[#This Row],[Valor Unitário]]))</f>
        <v>35</v>
      </c>
      <c r="U1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4" t="str">
        <f>VLOOKUP(Registro2[[#This Row],[Categoria]],'Plano de Contas'!$V$3:W199,2,0)</f>
        <v>Receitas Serviços</v>
      </c>
      <c r="X13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34" t="s">
        <v>1536</v>
      </c>
    </row>
    <row r="135" spans="1:25" hidden="1">
      <c r="A135" s="1">
        <v>45696.479166666664</v>
      </c>
      <c r="B135" s="1">
        <v>45696.479166666664</v>
      </c>
      <c r="D135" t="s">
        <v>1</v>
      </c>
      <c r="E135" t="s">
        <v>149</v>
      </c>
      <c r="F135" t="s">
        <v>147</v>
      </c>
      <c r="G135" t="s">
        <v>163</v>
      </c>
      <c r="I135" s="4">
        <v>30</v>
      </c>
      <c r="J135" s="4">
        <v>0</v>
      </c>
      <c r="L135" t="s">
        <v>252</v>
      </c>
      <c r="M135" t="s">
        <v>400</v>
      </c>
      <c r="N135" s="4">
        <f>IF(L135="","",IF(OR(Registro2[[#This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135" t="str">
        <f t="shared" si="2"/>
        <v>fev/25</v>
      </c>
      <c r="P135" t="str">
        <f>IF(Registro2[[#This Row],[Data de Pagamento]]&gt;0,TEXT(A135,"mmm/aa"),"")</f>
        <v>fev/25</v>
      </c>
      <c r="T135" s="4">
        <f>IF(Registro2[[#This Row],[Data de Pagamento]]="",0,IF(Registro2[[#This Row],[Conta Financeira]]=base!$A$6,0,Registro2[[#This Row],[Valor Unitário]]))</f>
        <v>30</v>
      </c>
      <c r="U1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135" t="str">
        <f>VLOOKUP(Registro2[[#This Row],[Categoria]],'Plano de Contas'!$V$3:W203,2,0)</f>
        <v>Receitas Serviços</v>
      </c>
      <c r="X13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35" t="s">
        <v>1536</v>
      </c>
    </row>
    <row r="136" spans="1:25" hidden="1">
      <c r="A136" s="1">
        <v>45696.486111111109</v>
      </c>
      <c r="B136" s="1">
        <v>45696.486111111109</v>
      </c>
      <c r="D136" t="s">
        <v>310</v>
      </c>
      <c r="E136" t="s">
        <v>149</v>
      </c>
      <c r="F136" t="s">
        <v>147</v>
      </c>
      <c r="G136" t="s">
        <v>163</v>
      </c>
      <c r="I136" s="4">
        <v>35</v>
      </c>
      <c r="J136" s="4">
        <v>35</v>
      </c>
      <c r="L136" t="s">
        <v>264</v>
      </c>
      <c r="M136" t="s">
        <v>402</v>
      </c>
      <c r="N136" s="4">
        <f>IF(L136="","",IF(OR(Registro2[[#This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6" t="str">
        <f t="shared" si="2"/>
        <v>fev/25</v>
      </c>
      <c r="P136" t="str">
        <f>IF(Registro2[[#This Row],[Data de Pagamento]]&gt;0,TEXT(A136,"mmm/aa"),"")</f>
        <v>fev/25</v>
      </c>
      <c r="T136" s="4">
        <f>IF(Registro2[[#This Row],[Data de Pagamento]]="",0,IF(Registro2[[#This Row],[Conta Financeira]]=base!$A$6,0,Registro2[[#This Row],[Valor Unitário]]))</f>
        <v>35</v>
      </c>
      <c r="U1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6" t="str">
        <f>VLOOKUP(Registro2[[#This Row],[Categoria]],'Plano de Contas'!$V$3:W208,2,0)</f>
        <v>Receitas Serviços</v>
      </c>
      <c r="X13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136" t="s">
        <v>1536</v>
      </c>
    </row>
    <row r="137" spans="1:25" hidden="1">
      <c r="A137" s="1">
        <v>45696.520833333336</v>
      </c>
      <c r="B137" s="1">
        <v>45696.520833333336</v>
      </c>
      <c r="D137" t="s">
        <v>1</v>
      </c>
      <c r="E137" t="s">
        <v>149</v>
      </c>
      <c r="F137" t="s">
        <v>147</v>
      </c>
      <c r="G137" t="s">
        <v>163</v>
      </c>
      <c r="I137" s="4">
        <v>35</v>
      </c>
      <c r="J137" s="4">
        <v>80</v>
      </c>
      <c r="L137" t="s">
        <v>252</v>
      </c>
      <c r="M137" t="s">
        <v>107</v>
      </c>
      <c r="N137" s="4">
        <f>IF(L137="","",IF(OR(Registro2[[#This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7" t="str">
        <f t="shared" si="2"/>
        <v>fev/25</v>
      </c>
      <c r="P137" t="str">
        <f>IF(Registro2[[#This Row],[Data de Pagamento]]&gt;0,TEXT(A137,"mmm/aa"),"")</f>
        <v>fev/25</v>
      </c>
      <c r="T137" s="4">
        <f>IF(Registro2[[#This Row],[Data de Pagamento]]="",0,IF(Registro2[[#This Row],[Conta Financeira]]=base!$A$6,0,Registro2[[#This Row],[Valor Unitário]]))</f>
        <v>35</v>
      </c>
      <c r="U1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7" t="str">
        <f>VLOOKUP(Registro2[[#This Row],[Categoria]],'Plano de Contas'!$V$3:W145,2,0)</f>
        <v>Receitas Serviços</v>
      </c>
      <c r="X13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37" t="s">
        <v>1536</v>
      </c>
    </row>
    <row r="138" spans="1:25" hidden="1">
      <c r="A138" s="1">
        <v>45696.520833333336</v>
      </c>
      <c r="B138" s="1">
        <v>45696.520833333336</v>
      </c>
      <c r="D138" t="s">
        <v>1</v>
      </c>
      <c r="E138" t="s">
        <v>149</v>
      </c>
      <c r="F138" t="s">
        <v>147</v>
      </c>
      <c r="G138" t="s">
        <v>163</v>
      </c>
      <c r="I138" s="4">
        <v>35</v>
      </c>
      <c r="J138" s="4"/>
      <c r="L138" t="s">
        <v>253</v>
      </c>
      <c r="M138" t="s">
        <v>107</v>
      </c>
      <c r="N138" s="4">
        <f>IF(L138="","",IF(OR(Registro2[[#This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8" t="str">
        <f t="shared" si="2"/>
        <v>fev/25</v>
      </c>
      <c r="P138" t="str">
        <f>IF(Registro2[[#This Row],[Data de Pagamento]]&gt;0,TEXT(A138,"mmm/aa"),"")</f>
        <v>fev/25</v>
      </c>
      <c r="T138" s="4">
        <f>IF(Registro2[[#This Row],[Data de Pagamento]]="",0,IF(Registro2[[#This Row],[Conta Financeira]]=base!$A$6,0,Registro2[[#This Row],[Valor Unitário]]))</f>
        <v>35</v>
      </c>
      <c r="U1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8" t="str">
        <f>VLOOKUP(Registro2[[#This Row],[Categoria]],'Plano de Contas'!$V$3:W146,2,0)</f>
        <v>Receitas Serviços</v>
      </c>
      <c r="X13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38" t="s">
        <v>1536</v>
      </c>
    </row>
    <row r="139" spans="1:25" hidden="1">
      <c r="A139" s="1">
        <v>45696.520833333336</v>
      </c>
      <c r="B139" s="1">
        <v>45696.520833333336</v>
      </c>
      <c r="D139" t="s">
        <v>1</v>
      </c>
      <c r="E139" t="s">
        <v>149</v>
      </c>
      <c r="F139" t="s">
        <v>152</v>
      </c>
      <c r="G139" t="s">
        <v>352</v>
      </c>
      <c r="I139" s="4">
        <v>10</v>
      </c>
      <c r="J139" s="4"/>
      <c r="L139" t="s">
        <v>253</v>
      </c>
      <c r="M139" t="s">
        <v>107</v>
      </c>
      <c r="N139" s="4">
        <f>IF(L139="","",IF(OR(Registro2[[#This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39" t="str">
        <f t="shared" si="2"/>
        <v>fev/25</v>
      </c>
      <c r="P139" t="str">
        <f>IF(Registro2[[#This Row],[Data de Pagamento]]&gt;0,TEXT(A139,"mmm/aa"),"")</f>
        <v>fev/25</v>
      </c>
      <c r="T139" s="4">
        <f>IF(Registro2[[#This Row],[Data de Pagamento]]="",0,IF(Registro2[[#This Row],[Conta Financeira]]=base!$A$6,0,Registro2[[#This Row],[Valor Unitário]]))</f>
        <v>10</v>
      </c>
      <c r="U1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9" t="str">
        <f>VLOOKUP(Registro2[[#This Row],[Categoria]],'Plano de Contas'!$V$3:W147,2,0)</f>
        <v>Receitas Serviços</v>
      </c>
      <c r="X13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39" t="s">
        <v>1536</v>
      </c>
    </row>
    <row r="140" spans="1:25" hidden="1">
      <c r="A140" s="1">
        <v>45696.520833333336</v>
      </c>
      <c r="B140" s="1">
        <v>45696.520833333336</v>
      </c>
      <c r="D140" t="s">
        <v>1</v>
      </c>
      <c r="E140" t="s">
        <v>149</v>
      </c>
      <c r="F140" t="s">
        <v>147</v>
      </c>
      <c r="G140" t="s">
        <v>163</v>
      </c>
      <c r="I140" s="4">
        <v>35</v>
      </c>
      <c r="J140" s="4">
        <v>35</v>
      </c>
      <c r="L140" t="s">
        <v>264</v>
      </c>
      <c r="M140" t="s">
        <v>289</v>
      </c>
      <c r="N140" s="4">
        <f>IF(L140="","",IF(OR(Registro2[[#This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0" t="str">
        <f t="shared" si="2"/>
        <v>fev/25</v>
      </c>
      <c r="P140" t="str">
        <f>IF(Registro2[[#This Row],[Data de Pagamento]]&gt;0,TEXT(A140,"mmm/aa"),"")</f>
        <v>fev/25</v>
      </c>
      <c r="T140" s="4">
        <f>IF(Registro2[[#This Row],[Data de Pagamento]]="",0,IF(Registro2[[#This Row],[Conta Financeira]]=base!$A$6,0,Registro2[[#This Row],[Valor Unitário]]))</f>
        <v>35</v>
      </c>
      <c r="U1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0" t="str">
        <f>VLOOKUP(Registro2[[#This Row],[Categoria]],'Plano de Contas'!$V$3:W209,2,0)</f>
        <v>Receitas Serviços</v>
      </c>
      <c r="X14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40" t="s">
        <v>1536</v>
      </c>
    </row>
    <row r="141" spans="1:25" hidden="1">
      <c r="A141" s="1">
        <v>45696.541666666664</v>
      </c>
      <c r="B141" s="1">
        <v>45696.541666666664</v>
      </c>
      <c r="D141" t="s">
        <v>1</v>
      </c>
      <c r="E141" t="s">
        <v>149</v>
      </c>
      <c r="F141" t="s">
        <v>147</v>
      </c>
      <c r="G141" t="s">
        <v>163</v>
      </c>
      <c r="I141" s="4">
        <v>35</v>
      </c>
      <c r="J141" s="4">
        <v>35</v>
      </c>
      <c r="L141" t="s">
        <v>264</v>
      </c>
      <c r="M141" t="s">
        <v>404</v>
      </c>
      <c r="N141" s="4">
        <f>IF(L141="","",IF(OR(Registro2[[#This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1" t="str">
        <f t="shared" si="2"/>
        <v>fev/25</v>
      </c>
      <c r="P141" t="str">
        <f>IF(Registro2[[#This Row],[Data de Pagamento]]&gt;0,TEXT(A141,"mmm/aa"),"")</f>
        <v>fev/25</v>
      </c>
      <c r="T141" s="4">
        <f>IF(Registro2[[#This Row],[Data de Pagamento]]="",0,IF(Registro2[[#This Row],[Conta Financeira]]=base!$A$6,0,Registro2[[#This Row],[Valor Unitário]]))</f>
        <v>35</v>
      </c>
      <c r="U1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1" t="str">
        <f>VLOOKUP(Registro2[[#This Row],[Categoria]],'Plano de Contas'!$V$3:W213,2,0)</f>
        <v>Receitas Serviços</v>
      </c>
      <c r="X14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41" t="s">
        <v>1536</v>
      </c>
    </row>
    <row r="142" spans="1:25" hidden="1">
      <c r="A142" s="1">
        <v>45696.552083333336</v>
      </c>
      <c r="B142" s="1">
        <v>45696.552083333336</v>
      </c>
      <c r="D142" t="s">
        <v>1</v>
      </c>
      <c r="E142" t="s">
        <v>149</v>
      </c>
      <c r="F142" t="s">
        <v>152</v>
      </c>
      <c r="G142" t="s">
        <v>353</v>
      </c>
      <c r="I142" s="4">
        <v>50</v>
      </c>
      <c r="J142" s="4">
        <v>50</v>
      </c>
      <c r="L142" t="s">
        <v>253</v>
      </c>
      <c r="M142" t="s">
        <v>278</v>
      </c>
      <c r="N142" s="4">
        <f>IF(L142="","",IF(OR(Registro2[[#This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42" t="str">
        <f t="shared" si="2"/>
        <v>fev/25</v>
      </c>
      <c r="P142" t="str">
        <f>IF(Registro2[[#This Row],[Data de Pagamento]]&gt;0,TEXT(A142,"mmm/aa"),"")</f>
        <v>fev/25</v>
      </c>
      <c r="T142" s="4">
        <f>IF(Registro2[[#This Row],[Data de Pagamento]]="",0,IF(Registro2[[#This Row],[Conta Financeira]]=base!$A$6,0,Registro2[[#This Row],[Valor Unitário]]))</f>
        <v>50</v>
      </c>
      <c r="U1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2" t="str">
        <f>VLOOKUP(Registro2[[#This Row],[Categoria]],'Plano de Contas'!$V$3:W210,2,0)</f>
        <v>Receitas Serviços</v>
      </c>
      <c r="X14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42" t="s">
        <v>1536</v>
      </c>
    </row>
    <row r="143" spans="1:25" hidden="1">
      <c r="A143" s="1">
        <v>45696.552083333336</v>
      </c>
      <c r="B143" s="1">
        <v>45696.552083333336</v>
      </c>
      <c r="D143" t="s">
        <v>1</v>
      </c>
      <c r="E143" t="s">
        <v>149</v>
      </c>
      <c r="F143" t="s">
        <v>147</v>
      </c>
      <c r="G143" t="s">
        <v>163</v>
      </c>
      <c r="I143" s="4">
        <v>35</v>
      </c>
      <c r="J143" s="4">
        <v>35</v>
      </c>
      <c r="L143" t="s">
        <v>252</v>
      </c>
      <c r="M143" t="s">
        <v>403</v>
      </c>
      <c r="N143" s="4">
        <f>IF(L143="","",IF(OR(Registro2[[#This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3" t="str">
        <f t="shared" si="2"/>
        <v>fev/25</v>
      </c>
      <c r="P143" t="str">
        <f>IF(Registro2[[#This Row],[Data de Pagamento]]&gt;0,TEXT(A143,"mmm/aa"),"")</f>
        <v>fev/25</v>
      </c>
      <c r="T143" s="4">
        <f>IF(Registro2[[#This Row],[Data de Pagamento]]="",0,IF(Registro2[[#This Row],[Conta Financeira]]=base!$A$6,0,Registro2[[#This Row],[Valor Unitário]]))</f>
        <v>35</v>
      </c>
      <c r="U1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3" t="str">
        <f>VLOOKUP(Registro2[[#This Row],[Categoria]],'Plano de Contas'!$V$3:W211,2,0)</f>
        <v>Receitas Serviços</v>
      </c>
      <c r="X14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43" t="s">
        <v>1536</v>
      </c>
    </row>
    <row r="144" spans="1:25" hidden="1">
      <c r="A144" s="1">
        <v>45696.572916666664</v>
      </c>
      <c r="B144" s="1">
        <v>45696.572916666664</v>
      </c>
      <c r="D144" t="s">
        <v>1</v>
      </c>
      <c r="E144" t="s">
        <v>149</v>
      </c>
      <c r="F144" t="s">
        <v>147</v>
      </c>
      <c r="G144" t="s">
        <v>163</v>
      </c>
      <c r="I144" s="4">
        <v>35</v>
      </c>
      <c r="J144" s="4">
        <v>35</v>
      </c>
      <c r="L144" t="s">
        <v>253</v>
      </c>
      <c r="M144" t="s">
        <v>38</v>
      </c>
      <c r="N144" s="4">
        <f>IF(L144="","",IF(OR(Registro2[[#This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4" t="str">
        <f t="shared" si="2"/>
        <v>fev/25</v>
      </c>
      <c r="P144" t="str">
        <f>IF(Registro2[[#This Row],[Data de Pagamento]]&gt;0,TEXT(A144,"mmm/aa"),"")</f>
        <v>fev/25</v>
      </c>
      <c r="T144" s="4">
        <f>IF(Registro2[[#This Row],[Data de Pagamento]]="",0,IF(Registro2[[#This Row],[Conta Financeira]]=base!$A$6,0,Registro2[[#This Row],[Valor Unitário]]))</f>
        <v>35</v>
      </c>
      <c r="U1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4" t="str">
        <f>VLOOKUP(Registro2[[#This Row],[Categoria]],'Plano de Contas'!$V$3:W212,2,0)</f>
        <v>Receitas Serviços</v>
      </c>
      <c r="X14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44" t="s">
        <v>1536</v>
      </c>
    </row>
    <row r="145" spans="1:25" hidden="1">
      <c r="A145" s="1">
        <v>45696.600694444445</v>
      </c>
      <c r="B145" s="1">
        <v>45696.600694444445</v>
      </c>
      <c r="D145" t="s">
        <v>1</v>
      </c>
      <c r="E145" t="s">
        <v>149</v>
      </c>
      <c r="F145" t="s">
        <v>147</v>
      </c>
      <c r="G145" t="s">
        <v>163</v>
      </c>
      <c r="I145" s="4">
        <v>30</v>
      </c>
      <c r="J145" s="4">
        <v>30</v>
      </c>
      <c r="L145" t="s">
        <v>253</v>
      </c>
      <c r="M145" t="s">
        <v>405</v>
      </c>
      <c r="N145" s="4">
        <f>IF(L145="","",IF(OR(Registro2[[#This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145" t="str">
        <f t="shared" si="2"/>
        <v>fev/25</v>
      </c>
      <c r="P145" t="str">
        <f>IF(Registro2[[#This Row],[Data de Pagamento]]&gt;0,TEXT(A145,"mmm/aa"),"")</f>
        <v>fev/25</v>
      </c>
      <c r="T145" s="4">
        <f>IF(Registro2[[#This Row],[Data de Pagamento]]="",0,IF(Registro2[[#This Row],[Conta Financeira]]=base!$A$6,0,Registro2[[#This Row],[Valor Unitário]]))</f>
        <v>30</v>
      </c>
      <c r="U1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5" t="str">
        <f>VLOOKUP(Registro2[[#This Row],[Categoria]],'Plano de Contas'!$V$3:W216,2,0)</f>
        <v>Receitas Serviços</v>
      </c>
      <c r="X1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45" t="s">
        <v>1536</v>
      </c>
    </row>
    <row r="146" spans="1:25" hidden="1">
      <c r="A146" s="1">
        <v>45696.614583333336</v>
      </c>
      <c r="B146" s="1">
        <v>45696.614583333336</v>
      </c>
      <c r="D146" t="s">
        <v>1</v>
      </c>
      <c r="E146" t="s">
        <v>149</v>
      </c>
      <c r="F146" t="s">
        <v>147</v>
      </c>
      <c r="G146" t="s">
        <v>161</v>
      </c>
      <c r="I146" s="4">
        <v>20</v>
      </c>
      <c r="J146" s="4">
        <v>25</v>
      </c>
      <c r="L146" t="s">
        <v>252</v>
      </c>
      <c r="M146" t="s">
        <v>398</v>
      </c>
      <c r="N146" s="4">
        <f>IF(L146="","",IF(OR(Registro2[[#This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46" t="str">
        <f t="shared" si="2"/>
        <v>fev/25</v>
      </c>
      <c r="P146" t="str">
        <f>IF(Registro2[[#This Row],[Data de Pagamento]]&gt;0,TEXT(A146,"mmm/aa"),"")</f>
        <v>fev/25</v>
      </c>
      <c r="T146" s="4">
        <f>IF(Registro2[[#This Row],[Data de Pagamento]]="",0,IF(Registro2[[#This Row],[Conta Financeira]]=base!$A$6,0,Registro2[[#This Row],[Valor Unitário]]))</f>
        <v>20</v>
      </c>
      <c r="U1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6" t="str">
        <f>VLOOKUP(Registro2[[#This Row],[Categoria]],'Plano de Contas'!$V$3:W196,2,0)</f>
        <v>Receitas Serviços</v>
      </c>
      <c r="X14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46" t="s">
        <v>1536</v>
      </c>
    </row>
    <row r="147" spans="1:25" hidden="1">
      <c r="A147" s="1">
        <v>45696.625</v>
      </c>
      <c r="B147" s="1">
        <v>45696.625</v>
      </c>
      <c r="D147" t="s">
        <v>1</v>
      </c>
      <c r="E147" t="s">
        <v>149</v>
      </c>
      <c r="F147" t="s">
        <v>147</v>
      </c>
      <c r="G147" t="s">
        <v>163</v>
      </c>
      <c r="I147" s="4">
        <v>35</v>
      </c>
      <c r="J147" s="4">
        <v>35</v>
      </c>
      <c r="L147" t="s">
        <v>253</v>
      </c>
      <c r="M147" t="s">
        <v>282</v>
      </c>
      <c r="N147" s="4">
        <f>IF(L147="","",IF(OR(Registro2[[#This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7" t="str">
        <f t="shared" si="2"/>
        <v>fev/25</v>
      </c>
      <c r="P147" t="str">
        <f>IF(Registro2[[#This Row],[Data de Pagamento]]&gt;0,TEXT(A147,"mmm/aa"),"")</f>
        <v>fev/25</v>
      </c>
      <c r="T147" s="4">
        <f>IF(Registro2[[#This Row],[Data de Pagamento]]="",0,IF(Registro2[[#This Row],[Conta Financeira]]=base!$A$6,0,Registro2[[#This Row],[Valor Unitário]]))</f>
        <v>35</v>
      </c>
      <c r="U1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7" t="str">
        <f>VLOOKUP(Registro2[[#This Row],[Categoria]],'Plano de Contas'!$V$3:W215,2,0)</f>
        <v>Receitas Serviços</v>
      </c>
      <c r="X14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47" t="s">
        <v>1536</v>
      </c>
    </row>
    <row r="148" spans="1:25" hidden="1">
      <c r="A148" s="1">
        <v>45696.625</v>
      </c>
      <c r="B148" s="1">
        <v>45696.625</v>
      </c>
      <c r="D148" t="s">
        <v>1</v>
      </c>
      <c r="E148" t="s">
        <v>149</v>
      </c>
      <c r="F148" t="s">
        <v>152</v>
      </c>
      <c r="G148" t="s">
        <v>159</v>
      </c>
      <c r="I148" s="4">
        <v>40</v>
      </c>
      <c r="J148" s="4">
        <v>40</v>
      </c>
      <c r="L148" t="s">
        <v>264</v>
      </c>
      <c r="M148" t="s">
        <v>407</v>
      </c>
      <c r="N148" s="4">
        <f>IF(L148="","",IF(OR(Registro2[[#This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148" t="str">
        <f t="shared" si="2"/>
        <v>fev/25</v>
      </c>
      <c r="P148" t="str">
        <f>IF(Registro2[[#This Row],[Data de Pagamento]]&gt;0,TEXT(A148,"mmm/aa"),"")</f>
        <v>fev/25</v>
      </c>
      <c r="T148" s="4">
        <f>IF(Registro2[[#This Row],[Data de Pagamento]]="",0,IF(Registro2[[#This Row],[Conta Financeira]]=base!$A$6,0,Registro2[[#This Row],[Valor Unitário]]))</f>
        <v>40</v>
      </c>
      <c r="U1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8" t="str">
        <f>VLOOKUP(Registro2[[#This Row],[Categoria]],'Plano de Contas'!$V$3:W220,2,0)</f>
        <v>Receitas Serviços</v>
      </c>
      <c r="X14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48" t="s">
        <v>1536</v>
      </c>
    </row>
    <row r="149" spans="1:25" hidden="1">
      <c r="A149" s="1">
        <v>45696.638888888891</v>
      </c>
      <c r="B149" s="1">
        <v>45696.638888888891</v>
      </c>
      <c r="D149" t="s">
        <v>310</v>
      </c>
      <c r="E149" t="s">
        <v>149</v>
      </c>
      <c r="F149" t="s">
        <v>147</v>
      </c>
      <c r="G149" t="s">
        <v>163</v>
      </c>
      <c r="I149" s="4">
        <v>35</v>
      </c>
      <c r="J149" s="4">
        <v>35</v>
      </c>
      <c r="L149" t="s">
        <v>253</v>
      </c>
      <c r="M149" t="s">
        <v>408</v>
      </c>
      <c r="N149" s="4">
        <f>IF(L149="","",IF(OR(Registro2[[#This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9" t="str">
        <f t="shared" si="2"/>
        <v>fev/25</v>
      </c>
      <c r="P149" t="str">
        <f>IF(Registro2[[#This Row],[Data de Pagamento]]&gt;0,TEXT(A149,"mmm/aa"),"")</f>
        <v>fev/25</v>
      </c>
      <c r="T149" s="4">
        <f>IF(Registro2[[#This Row],[Data de Pagamento]]="",0,IF(Registro2[[#This Row],[Conta Financeira]]=base!$A$6,0,Registro2[[#This Row],[Valor Unitário]]))</f>
        <v>35</v>
      </c>
      <c r="U1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9" t="str">
        <f>VLOOKUP(Registro2[[#This Row],[Categoria]],'Plano de Contas'!$V$3:W221,2,0)</f>
        <v>Receitas Serviços</v>
      </c>
      <c r="X14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149" t="s">
        <v>1536</v>
      </c>
    </row>
    <row r="150" spans="1:25" hidden="1">
      <c r="A150" s="1">
        <v>45696.666666666664</v>
      </c>
      <c r="B150" s="1">
        <v>45696.666666666664</v>
      </c>
      <c r="D150" t="s">
        <v>354</v>
      </c>
      <c r="E150" t="s">
        <v>149</v>
      </c>
      <c r="F150" t="s">
        <v>147</v>
      </c>
      <c r="G150" t="s">
        <v>163</v>
      </c>
      <c r="I150" s="4">
        <v>35</v>
      </c>
      <c r="J150" s="4">
        <v>35</v>
      </c>
      <c r="L150" t="s">
        <v>252</v>
      </c>
      <c r="M150" t="s">
        <v>406</v>
      </c>
      <c r="N150" s="4">
        <f>IF(L150="","",IF(OR(Registro2[[#This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0" t="str">
        <f t="shared" si="2"/>
        <v>fev/25</v>
      </c>
      <c r="P150" t="str">
        <f>IF(Registro2[[#This Row],[Data de Pagamento]]&gt;0,TEXT(A150,"mmm/aa"),"")</f>
        <v>fev/25</v>
      </c>
      <c r="T150" s="4">
        <f>IF(Registro2[[#This Row],[Data de Pagamento]]="",0,IF(Registro2[[#This Row],[Conta Financeira]]=base!$A$6,0,Registro2[[#This Row],[Valor Unitário]]))</f>
        <v>35</v>
      </c>
      <c r="U1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0" t="str">
        <f>VLOOKUP(Registro2[[#This Row],[Categoria]],'Plano de Contas'!$V$3:W219,2,0)</f>
        <v>Receitas Serviços</v>
      </c>
      <c r="X15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150" t="s">
        <v>1536</v>
      </c>
    </row>
    <row r="151" spans="1:25" hidden="1">
      <c r="A151" s="1">
        <v>45696.666666666664</v>
      </c>
      <c r="B151" s="1">
        <v>45696.666666666664</v>
      </c>
      <c r="D151" t="s">
        <v>1</v>
      </c>
      <c r="E151" t="s">
        <v>149</v>
      </c>
      <c r="F151" t="s">
        <v>147</v>
      </c>
      <c r="G151" t="s">
        <v>163</v>
      </c>
      <c r="I151" s="4">
        <v>35</v>
      </c>
      <c r="J151" s="4">
        <v>35</v>
      </c>
      <c r="L151" t="s">
        <v>264</v>
      </c>
      <c r="M151" t="s">
        <v>291</v>
      </c>
      <c r="N151" s="4">
        <f>IF(L151="","",IF(OR(Registro2[[#This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1" t="str">
        <f t="shared" si="2"/>
        <v>fev/25</v>
      </c>
      <c r="P151" t="str">
        <f>IF(Registro2[[#This Row],[Data de Pagamento]]&gt;0,TEXT(A151,"mmm/aa"),"")</f>
        <v>fev/25</v>
      </c>
      <c r="T151" s="4">
        <f>IF(Registro2[[#This Row],[Data de Pagamento]]="",0,IF(Registro2[[#This Row],[Conta Financeira]]=base!$A$6,0,Registro2[[#This Row],[Valor Unitário]]))</f>
        <v>35</v>
      </c>
      <c r="U1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1" t="str">
        <f>VLOOKUP(Registro2[[#This Row],[Categoria]],'Plano de Contas'!$V$3:W222,2,0)</f>
        <v>Receitas Serviços</v>
      </c>
      <c r="X15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51" t="s">
        <v>1536</v>
      </c>
    </row>
    <row r="152" spans="1:25" hidden="1">
      <c r="A152" s="1">
        <v>45696.6875</v>
      </c>
      <c r="B152" s="1">
        <v>45696.6875</v>
      </c>
      <c r="D152" t="s">
        <v>354</v>
      </c>
      <c r="E152" t="s">
        <v>149</v>
      </c>
      <c r="F152" t="s">
        <v>147</v>
      </c>
      <c r="G152" t="s">
        <v>163</v>
      </c>
      <c r="I152" s="4">
        <v>35</v>
      </c>
      <c r="J152" s="4">
        <v>70</v>
      </c>
      <c r="L152" t="s">
        <v>253</v>
      </c>
      <c r="M152" t="s">
        <v>112</v>
      </c>
      <c r="N152" s="4">
        <f>IF(L152="","",IF(OR(Registro2[[#This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2" t="str">
        <f t="shared" si="2"/>
        <v>fev/25</v>
      </c>
      <c r="P152" t="str">
        <f>IF(Registro2[[#This Row],[Data de Pagamento]]&gt;0,TEXT(A152,"mmm/aa"),"")</f>
        <v>fev/25</v>
      </c>
      <c r="T152" s="4">
        <f>IF(Registro2[[#This Row],[Data de Pagamento]]="",0,IF(Registro2[[#This Row],[Conta Financeira]]=base!$A$6,0,Registro2[[#This Row],[Valor Unitário]]))</f>
        <v>35</v>
      </c>
      <c r="U1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2" t="str">
        <f>VLOOKUP(Registro2[[#This Row],[Categoria]],'Plano de Contas'!$V$3:W217,2,0)</f>
        <v>Receitas Serviços</v>
      </c>
      <c r="X15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152" t="s">
        <v>1536</v>
      </c>
    </row>
    <row r="153" spans="1:25" hidden="1">
      <c r="A153" s="1">
        <v>45696.6875</v>
      </c>
      <c r="B153" s="1">
        <v>45696.6875</v>
      </c>
      <c r="D153" t="s">
        <v>354</v>
      </c>
      <c r="E153" t="s">
        <v>149</v>
      </c>
      <c r="F153" t="s">
        <v>147</v>
      </c>
      <c r="G153" t="s">
        <v>163</v>
      </c>
      <c r="I153" s="4">
        <v>35</v>
      </c>
      <c r="J153" s="4"/>
      <c r="L153" t="s">
        <v>264</v>
      </c>
      <c r="M153" t="s">
        <v>112</v>
      </c>
      <c r="N153" s="4">
        <f>IF(L153="","",IF(OR(Registro2[[#This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3" t="str">
        <f t="shared" si="2"/>
        <v>fev/25</v>
      </c>
      <c r="P153" t="str">
        <f>IF(Registro2[[#This Row],[Data de Pagamento]]&gt;0,TEXT(A153,"mmm/aa"),"")</f>
        <v>fev/25</v>
      </c>
      <c r="T153" s="4">
        <f>IF(Registro2[[#This Row],[Data de Pagamento]]="",0,IF(Registro2[[#This Row],[Conta Financeira]]=base!$A$6,0,Registro2[[#This Row],[Valor Unitário]]))</f>
        <v>35</v>
      </c>
      <c r="U1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3" t="str">
        <f>VLOOKUP(Registro2[[#This Row],[Categoria]],'Plano de Contas'!$V$3:W218,2,0)</f>
        <v>Receitas Serviços</v>
      </c>
      <c r="X15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153" t="s">
        <v>1536</v>
      </c>
    </row>
    <row r="154" spans="1:25" hidden="1">
      <c r="A154" s="1">
        <v>45696.708333333336</v>
      </c>
      <c r="B154" s="1">
        <v>45696.708333333336</v>
      </c>
      <c r="D154" t="s">
        <v>1</v>
      </c>
      <c r="E154" t="s">
        <v>149</v>
      </c>
      <c r="F154" t="s">
        <v>152</v>
      </c>
      <c r="G154" t="s">
        <v>159</v>
      </c>
      <c r="I154" s="4">
        <v>40</v>
      </c>
      <c r="J154" s="4">
        <v>40</v>
      </c>
      <c r="L154" t="s">
        <v>252</v>
      </c>
      <c r="M154" t="s">
        <v>31</v>
      </c>
      <c r="N154" s="4">
        <f>IF(L154="","",IF(OR(Registro2[[#This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154" t="str">
        <f t="shared" si="2"/>
        <v>fev/25</v>
      </c>
      <c r="P154" t="str">
        <f>IF(Registro2[[#This Row],[Data de Pagamento]]&gt;0,TEXT(A154,"mmm/aa"),"")</f>
        <v>fev/25</v>
      </c>
      <c r="T154" s="4">
        <f>IF(Registro2[[#This Row],[Data de Pagamento]]="",0,IF(Registro2[[#This Row],[Conta Financeira]]=base!$A$6,0,Registro2[[#This Row],[Valor Unitário]]))</f>
        <v>40</v>
      </c>
      <c r="U1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4" t="str">
        <f>VLOOKUP(Registro2[[#This Row],[Categoria]],'Plano de Contas'!$V$3:W224,2,0)</f>
        <v>Receitas Serviços</v>
      </c>
      <c r="X15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54" t="s">
        <v>1536</v>
      </c>
    </row>
    <row r="155" spans="1:25" hidden="1">
      <c r="A155" s="1">
        <v>45696.725694444445</v>
      </c>
      <c r="B155" s="1">
        <v>45696.725694444445</v>
      </c>
      <c r="D155" t="s">
        <v>1</v>
      </c>
      <c r="E155" t="s">
        <v>149</v>
      </c>
      <c r="F155" t="s">
        <v>147</v>
      </c>
      <c r="G155" t="s">
        <v>161</v>
      </c>
      <c r="I155" s="4">
        <v>30</v>
      </c>
      <c r="J155" s="4">
        <v>30</v>
      </c>
      <c r="L155" t="s">
        <v>253</v>
      </c>
      <c r="M155" t="s">
        <v>26</v>
      </c>
      <c r="N155" s="4">
        <f>IF(L155="","",IF(OR(Registro2[[#This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155" t="str">
        <f t="shared" si="2"/>
        <v>fev/25</v>
      </c>
      <c r="P155" t="str">
        <f>IF(Registro2[[#This Row],[Data de Pagamento]]&gt;0,TEXT(A155,"mmm/aa"),"")</f>
        <v>fev/25</v>
      </c>
      <c r="T155" s="4">
        <f>IF(Registro2[[#This Row],[Data de Pagamento]]="",0,IF(Registro2[[#This Row],[Conta Financeira]]=base!$A$6,0,Registro2[[#This Row],[Valor Unitário]]))</f>
        <v>30</v>
      </c>
      <c r="U1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5" t="str">
        <f>VLOOKUP(Registro2[[#This Row],[Categoria]],'Plano de Contas'!$V$3:W225,2,0)</f>
        <v>Receitas Serviços</v>
      </c>
      <c r="X1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55" t="s">
        <v>1536</v>
      </c>
    </row>
    <row r="156" spans="1:25" hidden="1">
      <c r="A156" s="1">
        <v>45696.729166666664</v>
      </c>
      <c r="B156" s="1">
        <v>45696.729166666664</v>
      </c>
      <c r="D156" t="s">
        <v>1</v>
      </c>
      <c r="E156" t="s">
        <v>149</v>
      </c>
      <c r="F156" t="s">
        <v>152</v>
      </c>
      <c r="G156" t="s">
        <v>353</v>
      </c>
      <c r="I156" s="4">
        <v>48.33</v>
      </c>
      <c r="J156" s="4">
        <v>0</v>
      </c>
      <c r="L156" t="s">
        <v>253</v>
      </c>
      <c r="M156" t="s">
        <v>182</v>
      </c>
      <c r="N156" s="4">
        <f>IF(L156="","",IF(OR(Registro2[[#This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21.7485</v>
      </c>
      <c r="O156" t="str">
        <f t="shared" si="2"/>
        <v>fev/25</v>
      </c>
      <c r="P156" t="str">
        <f>IF(Registro2[[#This Row],[Data de Pagamento]]&gt;0,TEXT(A156,"mmm/aa"),"")</f>
        <v>fev/25</v>
      </c>
      <c r="T156" s="4">
        <f>IF(Registro2[[#This Row],[Data de Pagamento]]="",0,IF(Registro2[[#This Row],[Conta Financeira]]=base!$A$6,0,Registro2[[#This Row],[Valor Unitário]]))</f>
        <v>48.33</v>
      </c>
      <c r="U1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156" t="str">
        <f>VLOOKUP(Registro2[[#This Row],[Categoria]],'Plano de Contas'!$V$3:W214,2,0)</f>
        <v>Receitas Serviços</v>
      </c>
      <c r="X15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56" t="s">
        <v>1536</v>
      </c>
    </row>
    <row r="157" spans="1:25" hidden="1">
      <c r="A157" s="1">
        <v>45696.729166666664</v>
      </c>
      <c r="B157" s="1">
        <v>45696.729166666664</v>
      </c>
      <c r="D157" t="s">
        <v>1</v>
      </c>
      <c r="E157" t="s">
        <v>149</v>
      </c>
      <c r="F157" t="s">
        <v>147</v>
      </c>
      <c r="G157" t="s">
        <v>163</v>
      </c>
      <c r="I157" s="4">
        <v>35</v>
      </c>
      <c r="J157" s="4">
        <v>35</v>
      </c>
      <c r="L157" t="s">
        <v>252</v>
      </c>
      <c r="M157" t="s">
        <v>296</v>
      </c>
      <c r="N157" s="4">
        <f>IF(L157="","",IF(OR(Registro2[[#This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7" t="str">
        <f t="shared" si="2"/>
        <v>fev/25</v>
      </c>
      <c r="P157" t="str">
        <f>IF(Registro2[[#This Row],[Data de Pagamento]]&gt;0,TEXT(A157,"mmm/aa"),"")</f>
        <v>fev/25</v>
      </c>
      <c r="T157" s="4">
        <f>IF(Registro2[[#This Row],[Data de Pagamento]]="",0,IF(Registro2[[#This Row],[Conta Financeira]]=base!$A$6,0,Registro2[[#This Row],[Valor Unitário]]))</f>
        <v>35</v>
      </c>
      <c r="U1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7" t="str">
        <f>VLOOKUP(Registro2[[#This Row],[Categoria]],'Plano de Contas'!$V$3:W223,2,0)</f>
        <v>Receitas Serviços</v>
      </c>
      <c r="X1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57" t="s">
        <v>1536</v>
      </c>
    </row>
    <row r="158" spans="1:25" hidden="1">
      <c r="A158" s="1">
        <v>45696.739583333336</v>
      </c>
      <c r="B158" s="1">
        <v>45696.739583333336</v>
      </c>
      <c r="D158" t="s">
        <v>2</v>
      </c>
      <c r="E158" t="s">
        <v>149</v>
      </c>
      <c r="F158" t="s">
        <v>147</v>
      </c>
      <c r="G158" t="s">
        <v>161</v>
      </c>
      <c r="I158" s="4">
        <v>20</v>
      </c>
      <c r="J158" s="4">
        <v>20</v>
      </c>
      <c r="L158" t="s">
        <v>264</v>
      </c>
      <c r="M158" t="s">
        <v>409</v>
      </c>
      <c r="N158" s="4">
        <f>IF(L158="","",IF(OR(Registro2[[#This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58" t="str">
        <f t="shared" si="2"/>
        <v>fev/25</v>
      </c>
      <c r="P158" t="str">
        <f>IF(Registro2[[#This Row],[Data de Pagamento]]&gt;0,TEXT(A158,"mmm/aa"),"")</f>
        <v>fev/25</v>
      </c>
      <c r="T158" s="4">
        <f>IF(Registro2[[#This Row],[Data de Pagamento]]="",0,IF(Registro2[[#This Row],[Conta Financeira]]=base!$A$6,0,Registro2[[#This Row],[Valor Unitário]]))</f>
        <v>20</v>
      </c>
      <c r="U1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8" t="str">
        <f>VLOOKUP(Registro2[[#This Row],[Categoria]],'Plano de Contas'!$V$3:W227,2,0)</f>
        <v>Receitas Serviços</v>
      </c>
      <c r="X1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58" t="s">
        <v>1536</v>
      </c>
    </row>
    <row r="159" spans="1:25" hidden="1">
      <c r="A159" s="1">
        <v>45696.75</v>
      </c>
      <c r="B159" s="1">
        <v>45696.75</v>
      </c>
      <c r="D159" t="s">
        <v>310</v>
      </c>
      <c r="E159" t="s">
        <v>149</v>
      </c>
      <c r="F159" t="s">
        <v>147</v>
      </c>
      <c r="G159" t="s">
        <v>163</v>
      </c>
      <c r="I159" s="4">
        <v>35</v>
      </c>
      <c r="J159" s="4">
        <v>70</v>
      </c>
      <c r="L159" t="s">
        <v>253</v>
      </c>
      <c r="M159" t="s">
        <v>399</v>
      </c>
      <c r="N159" s="4">
        <f>IF(L159="","",IF(OR(Registro2[[#This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9" t="str">
        <f t="shared" si="2"/>
        <v>fev/25</v>
      </c>
      <c r="P159" t="str">
        <f>IF(Registro2[[#This Row],[Data de Pagamento]]&gt;0,TEXT(A159,"mmm/aa"),"")</f>
        <v>fev/25</v>
      </c>
      <c r="T159" s="4">
        <f>IF(Registro2[[#This Row],[Data de Pagamento]]="",0,IF(Registro2[[#This Row],[Conta Financeira]]=base!$A$6,0,Registro2[[#This Row],[Valor Unitário]]))</f>
        <v>35</v>
      </c>
      <c r="U1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9" t="str">
        <f>VLOOKUP(Registro2[[#This Row],[Categoria]],'Plano de Contas'!$V$3:W200,2,0)</f>
        <v>Receitas Serviços</v>
      </c>
      <c r="X15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159" t="s">
        <v>1536</v>
      </c>
    </row>
    <row r="160" spans="1:25" hidden="1">
      <c r="A160" s="1">
        <v>45696.75</v>
      </c>
      <c r="B160" s="1">
        <v>45696.75</v>
      </c>
      <c r="D160" t="s">
        <v>310</v>
      </c>
      <c r="E160" t="s">
        <v>149</v>
      </c>
      <c r="F160" t="s">
        <v>147</v>
      </c>
      <c r="G160" t="s">
        <v>163</v>
      </c>
      <c r="I160" s="4">
        <v>35</v>
      </c>
      <c r="J160" s="4"/>
      <c r="L160" t="s">
        <v>253</v>
      </c>
      <c r="M160" t="s">
        <v>399</v>
      </c>
      <c r="N160" s="4">
        <f>IF(L160="","",IF(OR(Registro2[[#This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0" t="str">
        <f t="shared" si="2"/>
        <v>fev/25</v>
      </c>
      <c r="P160" t="str">
        <f>IF(Registro2[[#This Row],[Data de Pagamento]]&gt;0,TEXT(A160,"mmm/aa"),"")</f>
        <v>fev/25</v>
      </c>
      <c r="T160" s="4">
        <f>IF(Registro2[[#This Row],[Data de Pagamento]]="",0,IF(Registro2[[#This Row],[Conta Financeira]]=base!$A$6,0,Registro2[[#This Row],[Valor Unitário]]))</f>
        <v>35</v>
      </c>
      <c r="U1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0" t="str">
        <f>VLOOKUP(Registro2[[#This Row],[Categoria]],'Plano de Contas'!$V$3:W201,2,0)</f>
        <v>Receitas Serviços</v>
      </c>
      <c r="X16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160" t="s">
        <v>1536</v>
      </c>
    </row>
    <row r="161" spans="1:25" hidden="1">
      <c r="A161" s="1">
        <v>45696.760416666664</v>
      </c>
      <c r="B161" s="1">
        <v>45696.760416666664</v>
      </c>
      <c r="D161" t="s">
        <v>354</v>
      </c>
      <c r="E161" t="s">
        <v>149</v>
      </c>
      <c r="F161" t="s">
        <v>152</v>
      </c>
      <c r="G161" t="s">
        <v>159</v>
      </c>
      <c r="I161" s="4">
        <v>40</v>
      </c>
      <c r="J161" s="4">
        <v>40</v>
      </c>
      <c r="L161" t="s">
        <v>252</v>
      </c>
      <c r="M161" t="s">
        <v>44</v>
      </c>
      <c r="N161" s="4">
        <f>IF(L161="","",IF(OR(Registro2[[#This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161" t="str">
        <f t="shared" si="2"/>
        <v>fev/25</v>
      </c>
      <c r="P161" t="str">
        <f>IF(Registro2[[#This Row],[Data de Pagamento]]&gt;0,TEXT(A161,"mmm/aa"),"")</f>
        <v>fev/25</v>
      </c>
      <c r="T161" s="4">
        <f>IF(Registro2[[#This Row],[Data de Pagamento]]="",0,IF(Registro2[[#This Row],[Conta Financeira]]=base!$A$6,0,Registro2[[#This Row],[Valor Unitário]]))</f>
        <v>40</v>
      </c>
      <c r="U1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1" t="str">
        <f>VLOOKUP(Registro2[[#This Row],[Categoria]],'Plano de Contas'!$V$3:W228,2,0)</f>
        <v>Receitas Serviços</v>
      </c>
      <c r="X16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1.26</v>
      </c>
      <c r="Y161" t="s">
        <v>1536</v>
      </c>
    </row>
    <row r="162" spans="1:25" hidden="1">
      <c r="A162" s="1">
        <v>45696.791666666664</v>
      </c>
      <c r="B162" s="1">
        <v>45696.791666666664</v>
      </c>
      <c r="D162" t="s">
        <v>1</v>
      </c>
      <c r="E162" t="s">
        <v>149</v>
      </c>
      <c r="F162" t="s">
        <v>147</v>
      </c>
      <c r="G162" t="s">
        <v>163</v>
      </c>
      <c r="I162" s="4">
        <v>35</v>
      </c>
      <c r="J162" s="4">
        <v>35</v>
      </c>
      <c r="L162" t="s">
        <v>253</v>
      </c>
      <c r="M162" t="s">
        <v>53</v>
      </c>
      <c r="N162" s="4">
        <f>IF(L162="","",IF(OR(Registro2[[#This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2" t="str">
        <f t="shared" si="2"/>
        <v>fev/25</v>
      </c>
      <c r="P162" t="str">
        <f>IF(Registro2[[#This Row],[Data de Pagamento]]&gt;0,TEXT(A162,"mmm/aa"),"")</f>
        <v>fev/25</v>
      </c>
      <c r="T162" s="4">
        <f>IF(Registro2[[#This Row],[Data de Pagamento]]="",0,IF(Registro2[[#This Row],[Conta Financeira]]=base!$A$6,0,Registro2[[#This Row],[Valor Unitário]]))</f>
        <v>35</v>
      </c>
      <c r="U1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2" t="str">
        <f>VLOOKUP(Registro2[[#This Row],[Categoria]],'Plano de Contas'!$V$3:W226,2,0)</f>
        <v>Receitas Serviços</v>
      </c>
      <c r="X16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62" t="s">
        <v>1536</v>
      </c>
    </row>
    <row r="163" spans="1:25" hidden="1">
      <c r="A163" s="1">
        <v>45696.791666666664</v>
      </c>
      <c r="B163" s="1">
        <v>45696.791666666664</v>
      </c>
      <c r="D163" t="s">
        <v>2</v>
      </c>
      <c r="E163" t="s">
        <v>149</v>
      </c>
      <c r="F163" t="s">
        <v>147</v>
      </c>
      <c r="G163" t="s">
        <v>161</v>
      </c>
      <c r="I163" s="4">
        <v>20</v>
      </c>
      <c r="J163" s="4">
        <v>30</v>
      </c>
      <c r="L163" t="s">
        <v>252</v>
      </c>
      <c r="M163" t="s">
        <v>410</v>
      </c>
      <c r="N163" s="4">
        <f>IF(L163="","",IF(OR(Registro2[[#This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63" t="str">
        <f t="shared" si="2"/>
        <v>fev/25</v>
      </c>
      <c r="P163" t="str">
        <f>IF(Registro2[[#This Row],[Data de Pagamento]]&gt;0,TEXT(A163,"mmm/aa"),"")</f>
        <v>fev/25</v>
      </c>
      <c r="T163" s="4">
        <f>IF(Registro2[[#This Row],[Data de Pagamento]]="",0,IF(Registro2[[#This Row],[Conta Financeira]]=base!$A$6,0,Registro2[[#This Row],[Valor Unitário]]))</f>
        <v>20</v>
      </c>
      <c r="U1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3" t="str">
        <f>VLOOKUP(Registro2[[#This Row],[Categoria]],'Plano de Contas'!$V$3:W230,2,0)</f>
        <v>Receitas Serviços</v>
      </c>
      <c r="X16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63" t="s">
        <v>1536</v>
      </c>
    </row>
    <row r="164" spans="1:25" hidden="1">
      <c r="A164" s="1">
        <v>45696.8125</v>
      </c>
      <c r="B164" s="1">
        <v>45696.8125</v>
      </c>
      <c r="D164" t="s">
        <v>310</v>
      </c>
      <c r="E164" t="s">
        <v>149</v>
      </c>
      <c r="F164" t="s">
        <v>152</v>
      </c>
      <c r="G164" t="s">
        <v>353</v>
      </c>
      <c r="I164" s="4">
        <v>40</v>
      </c>
      <c r="J164" s="4">
        <v>40</v>
      </c>
      <c r="L164" t="s">
        <v>253</v>
      </c>
      <c r="M164" t="s">
        <v>297</v>
      </c>
      <c r="N164" s="4">
        <f>IF(L164="","",IF(OR(Registro2[[#This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164" t="str">
        <f t="shared" si="2"/>
        <v>fev/25</v>
      </c>
      <c r="P164" t="str">
        <f>IF(Registro2[[#This Row],[Data de Pagamento]]&gt;0,TEXT(A164,"mmm/aa"),"")</f>
        <v>fev/25</v>
      </c>
      <c r="T164" s="4">
        <f>IF(Registro2[[#This Row],[Data de Pagamento]]="",0,IF(Registro2[[#This Row],[Conta Financeira]]=base!$A$6,0,Registro2[[#This Row],[Valor Unitário]]))</f>
        <v>40</v>
      </c>
      <c r="U1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4" t="str">
        <f>VLOOKUP(Registro2[[#This Row],[Categoria]],'Plano de Contas'!$V$3:W207,2,0)</f>
        <v>Receitas Serviços</v>
      </c>
      <c r="X16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0.35599999999999998</v>
      </c>
      <c r="Y164" t="s">
        <v>1536</v>
      </c>
    </row>
    <row r="165" spans="1:25" hidden="1">
      <c r="A165" s="1">
        <v>45696.8125</v>
      </c>
      <c r="B165" s="1">
        <v>45696.8125</v>
      </c>
      <c r="D165" t="s">
        <v>1</v>
      </c>
      <c r="E165" t="s">
        <v>149</v>
      </c>
      <c r="F165" t="s">
        <v>147</v>
      </c>
      <c r="G165" t="s">
        <v>161</v>
      </c>
      <c r="I165" s="4">
        <v>20</v>
      </c>
      <c r="J165" s="4">
        <v>25</v>
      </c>
      <c r="L165" t="s">
        <v>264</v>
      </c>
      <c r="M165" t="s">
        <v>290</v>
      </c>
      <c r="N165" s="4">
        <f>IF(L165="","",IF(OR(Registro2[[#This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65" t="str">
        <f t="shared" si="2"/>
        <v>fev/25</v>
      </c>
      <c r="P165" t="str">
        <f>IF(Registro2[[#This Row],[Data de Pagamento]]&gt;0,TEXT(A165,"mmm/aa"),"")</f>
        <v>fev/25</v>
      </c>
      <c r="T165" s="4">
        <f>IF(Registro2[[#This Row],[Data de Pagamento]]="",0,IF(Registro2[[#This Row],[Conta Financeira]]=base!$A$6,0,Registro2[[#This Row],[Valor Unitário]]))</f>
        <v>20</v>
      </c>
      <c r="U1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5" t="str">
        <f>VLOOKUP(Registro2[[#This Row],[Categoria]],'Plano de Contas'!$V$3:W229,2,0)</f>
        <v>Receitas Serviços</v>
      </c>
      <c r="X16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65" t="s">
        <v>1536</v>
      </c>
    </row>
    <row r="166" spans="1:25" hidden="1">
      <c r="A166" s="1">
        <v>45696.875</v>
      </c>
      <c r="B166" s="1">
        <v>45696.875</v>
      </c>
      <c r="D166" t="s">
        <v>1</v>
      </c>
      <c r="E166" t="s">
        <v>149</v>
      </c>
      <c r="F166" t="s">
        <v>152</v>
      </c>
      <c r="G166" t="s">
        <v>353</v>
      </c>
      <c r="I166" s="4">
        <v>55</v>
      </c>
      <c r="J166" s="4">
        <v>55</v>
      </c>
      <c r="L166" t="s">
        <v>264</v>
      </c>
      <c r="M166" t="s">
        <v>411</v>
      </c>
      <c r="N166" s="4">
        <f>IF(L166="","",IF(OR(Registro2[[#This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166" t="str">
        <f t="shared" si="2"/>
        <v>fev/25</v>
      </c>
      <c r="P166" t="str">
        <f>IF(Registro2[[#This Row],[Data de Pagamento]]&gt;0,TEXT(A166,"mmm/aa"),"")</f>
        <v>fev/25</v>
      </c>
      <c r="T166" s="4">
        <f>IF(Registro2[[#This Row],[Data de Pagamento]]="",0,IF(Registro2[[#This Row],[Conta Financeira]]=base!$A$6,0,Registro2[[#This Row],[Valor Unitário]]))</f>
        <v>55</v>
      </c>
      <c r="U1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6" t="str">
        <f>VLOOKUP(Registro2[[#This Row],[Categoria]],'Plano de Contas'!$V$3:W231,2,0)</f>
        <v>Receitas Serviços</v>
      </c>
      <c r="X1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66" t="s">
        <v>1536</v>
      </c>
    </row>
    <row r="167" spans="1:25" hidden="1">
      <c r="A167" s="1">
        <v>45696.913194444445</v>
      </c>
      <c r="B167" s="1">
        <v>45696.913194444445</v>
      </c>
      <c r="D167" t="s">
        <v>1</v>
      </c>
      <c r="E167" t="s">
        <v>149</v>
      </c>
      <c r="F167" t="s">
        <v>147</v>
      </c>
      <c r="G167" t="s">
        <v>161</v>
      </c>
      <c r="I167" s="4">
        <v>20</v>
      </c>
      <c r="J167" s="4">
        <v>20</v>
      </c>
      <c r="L167" t="s">
        <v>264</v>
      </c>
      <c r="M167" t="s">
        <v>412</v>
      </c>
      <c r="N167" s="4">
        <f>IF(L167="","",IF(OR(Registro2[[#This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67" t="str">
        <f t="shared" si="2"/>
        <v>fev/25</v>
      </c>
      <c r="P167" t="str">
        <f>IF(Registro2[[#This Row],[Data de Pagamento]]&gt;0,TEXT(A167,"mmm/aa"),"")</f>
        <v>fev/25</v>
      </c>
      <c r="T167" s="4">
        <f>IF(Registro2[[#This Row],[Data de Pagamento]]="",0,IF(Registro2[[#This Row],[Conta Financeira]]=base!$A$6,0,Registro2[[#This Row],[Valor Unitário]]))</f>
        <v>20</v>
      </c>
      <c r="U1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7" t="str">
        <f>VLOOKUP(Registro2[[#This Row],[Categoria]],'Plano de Contas'!$V$3:W232,2,0)</f>
        <v>Receitas Serviços</v>
      </c>
      <c r="X16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67" t="s">
        <v>1536</v>
      </c>
    </row>
    <row r="168" spans="1:25" hidden="1">
      <c r="A168" s="1">
        <v>45696.913194444445</v>
      </c>
      <c r="B168" s="1">
        <v>45696.913194444445</v>
      </c>
      <c r="D168" t="s">
        <v>354</v>
      </c>
      <c r="E168" t="s">
        <v>149</v>
      </c>
      <c r="F168" t="s">
        <v>152</v>
      </c>
      <c r="G168" t="s">
        <v>353</v>
      </c>
      <c r="I168" s="4">
        <v>55</v>
      </c>
      <c r="J168" s="4">
        <v>55</v>
      </c>
      <c r="L168" t="s">
        <v>252</v>
      </c>
      <c r="M168" t="s">
        <v>413</v>
      </c>
      <c r="N168" s="4">
        <f>IF(L168="","",IF(OR(Registro2[[#This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168" t="str">
        <f t="shared" si="2"/>
        <v>fev/25</v>
      </c>
      <c r="P168" t="str">
        <f>IF(Registro2[[#This Row],[Data de Pagamento]]&gt;0,TEXT(A168,"mmm/aa"),"")</f>
        <v>fev/25</v>
      </c>
      <c r="T168" s="4">
        <f>IF(Registro2[[#This Row],[Data de Pagamento]]="",0,IF(Registro2[[#This Row],[Conta Financeira]]=base!$A$6,0,Registro2[[#This Row],[Valor Unitário]]))</f>
        <v>55</v>
      </c>
      <c r="U1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8" t="str">
        <f>VLOOKUP(Registro2[[#This Row],[Categoria]],'Plano de Contas'!$V$3:W233,2,0)</f>
        <v>Receitas Serviços</v>
      </c>
      <c r="X16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1.7324999999999999</v>
      </c>
      <c r="Y168" t="s">
        <v>1536</v>
      </c>
    </row>
    <row r="169" spans="1:25" hidden="1">
      <c r="A169" s="1">
        <v>45696.93472222222</v>
      </c>
      <c r="B169" s="1">
        <v>45696.93472222222</v>
      </c>
      <c r="D169" t="s">
        <v>1</v>
      </c>
      <c r="E169" t="s">
        <v>149</v>
      </c>
      <c r="F169" t="s">
        <v>824</v>
      </c>
      <c r="G169" t="s">
        <v>837</v>
      </c>
      <c r="I169" s="4">
        <v>120</v>
      </c>
      <c r="J169" s="4">
        <v>120</v>
      </c>
      <c r="N169" s="4" t="str">
        <f>IF(L169="","",IF(OR(Registro2[[#This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69" t="str">
        <f t="shared" si="2"/>
        <v>fev/25</v>
      </c>
      <c r="P169" t="str">
        <f>IF(Registro2[[#This Row],[Data de Pagamento]]&gt;0,TEXT(A169,"mmm/aa"),"")</f>
        <v>fev/25</v>
      </c>
      <c r="T169" s="4">
        <f>IF(Registro2[[#This Row],[Data de Pagamento]]="",0,IF(Registro2[[#This Row],[Conta Financeira]]=base!$A$6,0,Registro2[[#This Row],[Valor Unitário]]))</f>
        <v>120</v>
      </c>
      <c r="U1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9" t="str">
        <f>VLOOKUP(Registro2[[#This Row],[Categoria]],'Plano de Contas'!$V$3:W387,2,0)</f>
        <v>Receitas Serviços</v>
      </c>
      <c r="X16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69" t="s">
        <v>1536</v>
      </c>
    </row>
    <row r="170" spans="1:25" hidden="1">
      <c r="A170" s="1">
        <v>45696.935416666667</v>
      </c>
      <c r="B170" s="1">
        <v>45696.935416666667</v>
      </c>
      <c r="D170" t="s">
        <v>310</v>
      </c>
      <c r="E170" t="s">
        <v>149</v>
      </c>
      <c r="F170" t="s">
        <v>824</v>
      </c>
      <c r="G170" t="s">
        <v>837</v>
      </c>
      <c r="I170" s="4">
        <v>90</v>
      </c>
      <c r="J170" s="4">
        <v>90</v>
      </c>
      <c r="N170" s="4" t="str">
        <f>IF(L170="","",IF(OR(Registro2[[#This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70" t="str">
        <f t="shared" si="2"/>
        <v>fev/25</v>
      </c>
      <c r="P170" t="str">
        <f>IF(Registro2[[#This Row],[Data de Pagamento]]&gt;0,TEXT(A170,"mmm/aa"),"")</f>
        <v>fev/25</v>
      </c>
      <c r="T170" s="4">
        <f>IF(Registro2[[#This Row],[Data de Pagamento]]="",0,IF(Registro2[[#This Row],[Conta Financeira]]=base!$A$6,0,Registro2[[#This Row],[Valor Unitário]]))</f>
        <v>90</v>
      </c>
      <c r="U1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0" t="str">
        <f>VLOOKUP(Registro2[[#This Row],[Categoria]],'Plano de Contas'!$V$3:W388,2,0)</f>
        <v>Receitas Serviços</v>
      </c>
      <c r="X17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0.80100000000000005</v>
      </c>
      <c r="Y170" t="s">
        <v>1536</v>
      </c>
    </row>
    <row r="171" spans="1:25" hidden="1">
      <c r="A171" s="1">
        <v>45696.935416666667</v>
      </c>
      <c r="B171" s="1">
        <v>45696.935416666667</v>
      </c>
      <c r="D171" t="s">
        <v>1</v>
      </c>
      <c r="E171" t="s">
        <v>149</v>
      </c>
      <c r="F171" t="s">
        <v>824</v>
      </c>
      <c r="G171" t="s">
        <v>837</v>
      </c>
      <c r="I171" s="4">
        <v>144.99</v>
      </c>
      <c r="J171" s="4">
        <v>144.99</v>
      </c>
      <c r="N171" s="4" t="str">
        <f>IF(L171="","",IF(OR(Registro2[[#This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71" t="str">
        <f t="shared" si="2"/>
        <v>fev/25</v>
      </c>
      <c r="P171" t="str">
        <f>IF(Registro2[[#This Row],[Data de Pagamento]]&gt;0,TEXT(A171,"mmm/aa"),"")</f>
        <v>fev/25</v>
      </c>
      <c r="T171" s="4">
        <f>IF(Registro2[[#This Row],[Data de Pagamento]]="",0,IF(Registro2[[#This Row],[Conta Financeira]]=base!$A$6,0,Registro2[[#This Row],[Valor Unitário]]))</f>
        <v>144.99</v>
      </c>
      <c r="U1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1" t="str">
        <f>VLOOKUP(Registro2[[#This Row],[Categoria]],'Plano de Contas'!$V$3:W389,2,0)</f>
        <v>Receitas Serviços</v>
      </c>
      <c r="X17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71" t="s">
        <v>1536</v>
      </c>
    </row>
    <row r="172" spans="1:25" hidden="1">
      <c r="A172" s="1">
        <v>45696.944444444445</v>
      </c>
      <c r="B172" s="1">
        <v>45696.944444444445</v>
      </c>
      <c r="D172" t="s">
        <v>1</v>
      </c>
      <c r="E172" t="s">
        <v>149</v>
      </c>
      <c r="F172" t="s">
        <v>152</v>
      </c>
      <c r="G172" t="s">
        <v>306</v>
      </c>
      <c r="I172" s="4">
        <v>50</v>
      </c>
      <c r="J172" s="4">
        <v>50</v>
      </c>
      <c r="L172" t="s">
        <v>253</v>
      </c>
      <c r="M172" t="s">
        <v>281</v>
      </c>
      <c r="N172" s="4">
        <f>IF(L172="","",IF(OR(Registro2[[#This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72" t="str">
        <f t="shared" si="2"/>
        <v>fev/25</v>
      </c>
      <c r="P172" t="str">
        <f>IF(Registro2[[#This Row],[Data de Pagamento]]&gt;0,TEXT(A172,"mmm/aa"),"")</f>
        <v>fev/25</v>
      </c>
      <c r="T172" s="4">
        <f>IF(Registro2[[#This Row],[Data de Pagamento]]="",0,IF(Registro2[[#This Row],[Conta Financeira]]=base!$A$6,0,Registro2[[#This Row],[Valor Unitário]]))</f>
        <v>50</v>
      </c>
      <c r="U1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2" t="str">
        <f>VLOOKUP(Registro2[[#This Row],[Categoria]],'Plano de Contas'!$V$3:W235,2,0)</f>
        <v>Receitas Serviços</v>
      </c>
      <c r="X17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72" t="s">
        <v>1536</v>
      </c>
    </row>
    <row r="173" spans="1:25" hidden="1">
      <c r="A173" s="1">
        <v>45697</v>
      </c>
      <c r="B173" s="1">
        <v>45697</v>
      </c>
      <c r="E173" t="s">
        <v>137</v>
      </c>
      <c r="F173" t="s">
        <v>146</v>
      </c>
      <c r="G173" t="s">
        <v>314</v>
      </c>
      <c r="H173" t="s">
        <v>438</v>
      </c>
      <c r="I173" s="4">
        <v>128.62</v>
      </c>
      <c r="J173" s="4"/>
      <c r="N173" s="4" t="str">
        <f>IF(L173="","",IF(OR(Registro2[[#This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73" t="str">
        <f t="shared" si="2"/>
        <v>fev/25</v>
      </c>
      <c r="P173" t="str">
        <f>IF(Registro2[[#This Row],[Data de Pagamento]]&gt;0,TEXT(A173,"mmm/aa"),"")</f>
        <v>fev/25</v>
      </c>
      <c r="T173" s="4">
        <f>IF(Registro2[[#This Row],[Data de Pagamento]]="",0,IF(Registro2[[#This Row],[Conta Financeira]]=base!$A$6,0,Registro2[[#This Row],[Valor Unitário]]))</f>
        <v>128.62</v>
      </c>
      <c r="U1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3" t="str">
        <f>VLOOKUP(Registro2[[#This Row],[Categoria]],'Plano de Contas'!$V$3:W65,2,0)</f>
        <v>Despesas Operacionais</v>
      </c>
      <c r="X17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73" t="s">
        <v>1536</v>
      </c>
    </row>
    <row r="174" spans="1:25" hidden="1">
      <c r="A174" s="1">
        <v>45698.375</v>
      </c>
      <c r="B174" s="1">
        <v>45698.375</v>
      </c>
      <c r="D174" t="s">
        <v>1</v>
      </c>
      <c r="E174" t="s">
        <v>149</v>
      </c>
      <c r="F174" t="s">
        <v>147</v>
      </c>
      <c r="G174" t="s">
        <v>163</v>
      </c>
      <c r="I174" s="4">
        <v>35</v>
      </c>
      <c r="J174" s="4">
        <v>35</v>
      </c>
      <c r="L174" t="s">
        <v>252</v>
      </c>
      <c r="M174" t="s">
        <v>277</v>
      </c>
      <c r="N174" s="4">
        <f>IF(L174="","",IF(OR(Registro2[[#This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4" t="str">
        <f t="shared" si="2"/>
        <v>fev/25</v>
      </c>
      <c r="P174" t="str">
        <f>IF(Registro2[[#This Row],[Data de Pagamento]]&gt;0,TEXT(A174,"mmm/aa"),"")</f>
        <v>fev/25</v>
      </c>
      <c r="T174" s="4">
        <f>IF(Registro2[[#This Row],[Data de Pagamento]]="",0,IF(Registro2[[#This Row],[Conta Financeira]]=base!$A$6,0,Registro2[[#This Row],[Valor Unitário]]))</f>
        <v>35</v>
      </c>
      <c r="U1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4" t="str">
        <f>VLOOKUP(Registro2[[#This Row],[Categoria]],'Plano de Contas'!$V$3:W236,2,0)</f>
        <v>Receitas Serviços</v>
      </c>
      <c r="X17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74" t="s">
        <v>1536</v>
      </c>
    </row>
    <row r="175" spans="1:25" hidden="1">
      <c r="A175" s="1">
        <v>45698.416666666664</v>
      </c>
      <c r="B175" s="1">
        <v>45698.416666666664</v>
      </c>
      <c r="D175" t="s">
        <v>310</v>
      </c>
      <c r="E175" t="s">
        <v>149</v>
      </c>
      <c r="F175" t="s">
        <v>147</v>
      </c>
      <c r="G175" t="s">
        <v>161</v>
      </c>
      <c r="I175" s="4">
        <v>20</v>
      </c>
      <c r="J175" s="4">
        <v>35</v>
      </c>
      <c r="L175" t="s">
        <v>253</v>
      </c>
      <c r="M175" t="s">
        <v>416</v>
      </c>
      <c r="N175" s="4">
        <f>IF(L175="","",IF(OR(Registro2[[#This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75" t="str">
        <f t="shared" si="2"/>
        <v>fev/25</v>
      </c>
      <c r="P175" t="str">
        <f>IF(Registro2[[#This Row],[Data de Pagamento]]&gt;0,TEXT(A175,"mmm/aa"),"")</f>
        <v>fev/25</v>
      </c>
      <c r="T175" s="4">
        <f>IF(Registro2[[#This Row],[Data de Pagamento]]="",0,IF(Registro2[[#This Row],[Conta Financeira]]=base!$A$6,0,Registro2[[#This Row],[Valor Unitário]]))</f>
        <v>20</v>
      </c>
      <c r="U1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5" t="str">
        <f>VLOOKUP(Registro2[[#This Row],[Categoria]],'Plano de Contas'!$V$3:W241,2,0)</f>
        <v>Receitas Serviços</v>
      </c>
      <c r="X17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  <c r="Y175" t="s">
        <v>1536</v>
      </c>
    </row>
    <row r="176" spans="1:25" hidden="1">
      <c r="A176" s="1">
        <v>45698.416666666664</v>
      </c>
      <c r="B176" s="1">
        <v>45698.416666666664</v>
      </c>
      <c r="D176" t="s">
        <v>310</v>
      </c>
      <c r="E176" t="s">
        <v>149</v>
      </c>
      <c r="F176" t="s">
        <v>152</v>
      </c>
      <c r="G176" t="s">
        <v>352</v>
      </c>
      <c r="I176" s="4">
        <v>15</v>
      </c>
      <c r="J176" s="4"/>
      <c r="L176" t="s">
        <v>253</v>
      </c>
      <c r="M176" t="s">
        <v>416</v>
      </c>
      <c r="N176" s="4">
        <f>IF(L176="","",IF(OR(Registro2[[#This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76" t="str">
        <f t="shared" si="2"/>
        <v>fev/25</v>
      </c>
      <c r="P176" t="str">
        <f>IF(Registro2[[#This Row],[Data de Pagamento]]&gt;0,TEXT(A176,"mmm/aa"),"")</f>
        <v>fev/25</v>
      </c>
      <c r="T176" s="4">
        <f>IF(Registro2[[#This Row],[Data de Pagamento]]="",0,IF(Registro2[[#This Row],[Conta Financeira]]=base!$A$6,0,Registro2[[#This Row],[Valor Unitário]]))</f>
        <v>15</v>
      </c>
      <c r="U1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6" t="str">
        <f>VLOOKUP(Registro2[[#This Row],[Categoria]],'Plano de Contas'!$V$3:W242,2,0)</f>
        <v>Receitas Serviços</v>
      </c>
      <c r="X17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  <c r="Y176" t="s">
        <v>1536</v>
      </c>
    </row>
    <row r="177" spans="1:25" hidden="1">
      <c r="A177" s="1">
        <v>45698.416666666664</v>
      </c>
      <c r="B177" s="1">
        <v>45698.416666666664</v>
      </c>
      <c r="D177" t="s">
        <v>2</v>
      </c>
      <c r="E177" t="s">
        <v>149</v>
      </c>
      <c r="F177" t="s">
        <v>147</v>
      </c>
      <c r="G177" t="s">
        <v>163</v>
      </c>
      <c r="I177" s="4">
        <v>35</v>
      </c>
      <c r="J177" s="4">
        <v>35</v>
      </c>
      <c r="L177" t="s">
        <v>252</v>
      </c>
      <c r="M177" t="s">
        <v>417</v>
      </c>
      <c r="N177" s="4">
        <f>IF(L177="","",IF(OR(Registro2[[#This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7" t="str">
        <f t="shared" si="2"/>
        <v>fev/25</v>
      </c>
      <c r="P177" t="str">
        <f>IF(Registro2[[#This Row],[Data de Pagamento]]&gt;0,TEXT(A177,"mmm/aa"),"")</f>
        <v>fev/25</v>
      </c>
      <c r="T177" s="4">
        <f>IF(Registro2[[#This Row],[Data de Pagamento]]="",0,IF(Registro2[[#This Row],[Conta Financeira]]=base!$A$6,0,Registro2[[#This Row],[Valor Unitário]]))</f>
        <v>35</v>
      </c>
      <c r="U1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7" t="str">
        <f>VLOOKUP(Registro2[[#This Row],[Categoria]],'Plano de Contas'!$V$3:W243,2,0)</f>
        <v>Receitas Serviços</v>
      </c>
      <c r="X17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77" t="s">
        <v>1536</v>
      </c>
    </row>
    <row r="178" spans="1:25" hidden="1">
      <c r="A178" s="1">
        <v>45698.416666666664</v>
      </c>
      <c r="B178" s="1">
        <v>45698.416666666664</v>
      </c>
      <c r="D178" t="s">
        <v>2</v>
      </c>
      <c r="E178" t="s">
        <v>149</v>
      </c>
      <c r="F178" t="s">
        <v>152</v>
      </c>
      <c r="G178" t="s">
        <v>157</v>
      </c>
      <c r="I178" s="4">
        <v>50</v>
      </c>
      <c r="J178" s="4">
        <v>50</v>
      </c>
      <c r="L178" t="s">
        <v>252</v>
      </c>
      <c r="M178" t="s">
        <v>207</v>
      </c>
      <c r="N178" s="4">
        <f>IF(L178="","",IF(OR(Registro2[[#This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78" t="str">
        <f t="shared" si="2"/>
        <v>fev/25</v>
      </c>
      <c r="P178" t="str">
        <f>IF(Registro2[[#This Row],[Data de Pagamento]]&gt;0,TEXT(A178,"mmm/aa"),"")</f>
        <v>fev/25</v>
      </c>
      <c r="T178" s="4">
        <f>IF(Registro2[[#This Row],[Data de Pagamento]]="",0,IF(Registro2[[#This Row],[Conta Financeira]]=base!$A$6,0,Registro2[[#This Row],[Valor Unitário]]))</f>
        <v>50</v>
      </c>
      <c r="U1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8" t="str">
        <f>VLOOKUP(Registro2[[#This Row],[Categoria]],'Plano de Contas'!$V$3:W255,2,0)</f>
        <v>Receitas Serviços</v>
      </c>
      <c r="X1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78" t="s">
        <v>1536</v>
      </c>
    </row>
    <row r="179" spans="1:25" hidden="1">
      <c r="A179" s="1">
        <v>45698.4375</v>
      </c>
      <c r="B179" s="1">
        <v>45698.4375</v>
      </c>
      <c r="D179" t="s">
        <v>310</v>
      </c>
      <c r="E179" t="s">
        <v>149</v>
      </c>
      <c r="F179" t="s">
        <v>147</v>
      </c>
      <c r="G179" t="s">
        <v>163</v>
      </c>
      <c r="I179" s="4">
        <v>35</v>
      </c>
      <c r="J179" s="4">
        <v>35</v>
      </c>
      <c r="L179" t="s">
        <v>253</v>
      </c>
      <c r="M179" t="s">
        <v>415</v>
      </c>
      <c r="N179" s="4">
        <f>IF(L179="","",IF(OR(Registro2[[#This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9" t="str">
        <f t="shared" si="2"/>
        <v>fev/25</v>
      </c>
      <c r="P179" t="str">
        <f>IF(Registro2[[#This Row],[Data de Pagamento]]&gt;0,TEXT(A179,"mmm/aa"),"")</f>
        <v>fev/25</v>
      </c>
      <c r="T179" s="4">
        <f>IF(Registro2[[#This Row],[Data de Pagamento]]="",0,IF(Registro2[[#This Row],[Conta Financeira]]=base!$A$6,0,Registro2[[#This Row],[Valor Unitário]]))</f>
        <v>35</v>
      </c>
      <c r="U1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9" t="str">
        <f>VLOOKUP(Registro2[[#This Row],[Categoria]],'Plano de Contas'!$V$3:W240,2,0)</f>
        <v>Receitas Serviços</v>
      </c>
      <c r="X17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179" t="s">
        <v>1536</v>
      </c>
    </row>
    <row r="180" spans="1:25" hidden="1">
      <c r="A180" s="1">
        <v>45698.5625</v>
      </c>
      <c r="B180" s="1">
        <v>45698.5625</v>
      </c>
      <c r="D180" t="s">
        <v>1</v>
      </c>
      <c r="E180" t="s">
        <v>149</v>
      </c>
      <c r="F180" t="s">
        <v>152</v>
      </c>
      <c r="G180" t="s">
        <v>353</v>
      </c>
      <c r="I180" s="4">
        <v>55</v>
      </c>
      <c r="J180" s="4">
        <v>65</v>
      </c>
      <c r="L180" t="s">
        <v>253</v>
      </c>
      <c r="M180" t="s">
        <v>418</v>
      </c>
      <c r="N180" s="4">
        <f>IF(L180="","",IF(OR(Registro2[[#This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180" t="str">
        <f t="shared" si="2"/>
        <v>fev/25</v>
      </c>
      <c r="P180" t="str">
        <f>IF(Registro2[[#This Row],[Data de Pagamento]]&gt;0,TEXT(A180,"mmm/aa"),"")</f>
        <v>fev/25</v>
      </c>
      <c r="T180" s="4">
        <f>IF(Registro2[[#This Row],[Data de Pagamento]]="",0,IF(Registro2[[#This Row],[Conta Financeira]]=base!$A$6,0,Registro2[[#This Row],[Valor Unitário]]))</f>
        <v>55</v>
      </c>
      <c r="U1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0" t="str">
        <f>VLOOKUP(Registro2[[#This Row],[Categoria]],'Plano de Contas'!$V$3:W244,2,0)</f>
        <v>Receitas Serviços</v>
      </c>
      <c r="X18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80" t="s">
        <v>1536</v>
      </c>
    </row>
    <row r="181" spans="1:25" hidden="1">
      <c r="A181" s="1">
        <v>45698.5625</v>
      </c>
      <c r="B181" s="1">
        <v>45698.5625</v>
      </c>
      <c r="D181" t="s">
        <v>1</v>
      </c>
      <c r="E181" t="s">
        <v>149</v>
      </c>
      <c r="F181" t="s">
        <v>152</v>
      </c>
      <c r="G181" t="s">
        <v>352</v>
      </c>
      <c r="I181" s="4">
        <v>10</v>
      </c>
      <c r="J181" s="4"/>
      <c r="L181" t="s">
        <v>253</v>
      </c>
      <c r="M181" t="s">
        <v>418</v>
      </c>
      <c r="N181" s="4">
        <f>IF(L181="","",IF(OR(Registro2[[#This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81" t="str">
        <f t="shared" si="2"/>
        <v>fev/25</v>
      </c>
      <c r="P181" t="str">
        <f>IF(Registro2[[#This Row],[Data de Pagamento]]&gt;0,TEXT(A181,"mmm/aa"),"")</f>
        <v>fev/25</v>
      </c>
      <c r="T181" s="4">
        <f>IF(Registro2[[#This Row],[Data de Pagamento]]="",0,IF(Registro2[[#This Row],[Conta Financeira]]=base!$A$6,0,Registro2[[#This Row],[Valor Unitário]]))</f>
        <v>10</v>
      </c>
      <c r="U1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1" t="str">
        <f>VLOOKUP(Registro2[[#This Row],[Categoria]],'Plano de Contas'!$V$3:W245,2,0)</f>
        <v>Receitas Serviços</v>
      </c>
      <c r="X18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81" t="s">
        <v>1536</v>
      </c>
    </row>
    <row r="182" spans="1:25" hidden="1">
      <c r="A182" s="1">
        <v>45698.59375</v>
      </c>
      <c r="B182" s="1">
        <v>45698.59375</v>
      </c>
      <c r="D182" t="s">
        <v>1</v>
      </c>
      <c r="E182" t="s">
        <v>149</v>
      </c>
      <c r="F182" t="s">
        <v>152</v>
      </c>
      <c r="G182" t="s">
        <v>353</v>
      </c>
      <c r="I182" s="4">
        <v>55</v>
      </c>
      <c r="J182" s="4">
        <v>55</v>
      </c>
      <c r="L182" t="s">
        <v>253</v>
      </c>
      <c r="M182" t="s">
        <v>419</v>
      </c>
      <c r="N182" s="4">
        <f>IF(L182="","",IF(OR(Registro2[[#This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182" t="str">
        <f t="shared" si="2"/>
        <v>fev/25</v>
      </c>
      <c r="P182" t="str">
        <f>IF(Registro2[[#This Row],[Data de Pagamento]]&gt;0,TEXT(A182,"mmm/aa"),"")</f>
        <v>fev/25</v>
      </c>
      <c r="T182" s="4">
        <f>IF(Registro2[[#This Row],[Data de Pagamento]]="",0,IF(Registro2[[#This Row],[Conta Financeira]]=base!$A$6,0,Registro2[[#This Row],[Valor Unitário]]))</f>
        <v>55</v>
      </c>
      <c r="U1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2" t="str">
        <f>VLOOKUP(Registro2[[#This Row],[Categoria]],'Plano de Contas'!$V$3:W247,2,0)</f>
        <v>Receitas Serviços</v>
      </c>
      <c r="X1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82" t="s">
        <v>1536</v>
      </c>
    </row>
    <row r="183" spans="1:25" hidden="1">
      <c r="A183" s="1">
        <v>45698.604166666664</v>
      </c>
      <c r="B183" s="1">
        <v>45698.604166666664</v>
      </c>
      <c r="D183" t="s">
        <v>1</v>
      </c>
      <c r="E183" t="s">
        <v>149</v>
      </c>
      <c r="F183" t="s">
        <v>152</v>
      </c>
      <c r="G183" t="s">
        <v>159</v>
      </c>
      <c r="I183" s="4">
        <v>40</v>
      </c>
      <c r="J183" s="4">
        <v>40</v>
      </c>
      <c r="L183" t="s">
        <v>252</v>
      </c>
      <c r="M183" t="s">
        <v>110</v>
      </c>
      <c r="N183" s="4">
        <f>IF(L183="","",IF(OR(Registro2[[#This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183" t="str">
        <f t="shared" si="2"/>
        <v>fev/25</v>
      </c>
      <c r="P183" t="str">
        <f>IF(Registro2[[#This Row],[Data de Pagamento]]&gt;0,TEXT(A183,"mmm/aa"),"")</f>
        <v>fev/25</v>
      </c>
      <c r="T183" s="4">
        <f>IF(Registro2[[#This Row],[Data de Pagamento]]="",0,IF(Registro2[[#This Row],[Conta Financeira]]=base!$A$6,0,Registro2[[#This Row],[Valor Unitário]]))</f>
        <v>40</v>
      </c>
      <c r="U1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3" t="str">
        <f>VLOOKUP(Registro2[[#This Row],[Categoria]],'Plano de Contas'!$V$3:W246,2,0)</f>
        <v>Receitas Serviços</v>
      </c>
      <c r="X1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83" t="s">
        <v>1536</v>
      </c>
    </row>
    <row r="184" spans="1:25" hidden="1">
      <c r="A184" s="1">
        <v>45698.625</v>
      </c>
      <c r="B184" s="1">
        <v>45698.625</v>
      </c>
      <c r="D184" t="s">
        <v>1</v>
      </c>
      <c r="E184" t="s">
        <v>149</v>
      </c>
      <c r="F184" t="s">
        <v>152</v>
      </c>
      <c r="G184" t="s">
        <v>154</v>
      </c>
      <c r="I184" s="4">
        <v>50</v>
      </c>
      <c r="J184" s="4">
        <v>45</v>
      </c>
      <c r="L184" t="s">
        <v>252</v>
      </c>
      <c r="M184" t="s">
        <v>272</v>
      </c>
      <c r="N184" s="4">
        <f>IF(L184="","",IF(OR(Registro2[[#This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84" t="str">
        <f t="shared" si="2"/>
        <v>fev/25</v>
      </c>
      <c r="P184" t="str">
        <f>IF(Registro2[[#This Row],[Data de Pagamento]]&gt;0,TEXT(A184,"mmm/aa"),"")</f>
        <v>fev/25</v>
      </c>
      <c r="T184" s="4">
        <f>IF(Registro2[[#This Row],[Data de Pagamento]]="",0,IF(Registro2[[#This Row],[Conta Financeira]]=base!$A$6,0,Registro2[[#This Row],[Valor Unitário]]))</f>
        <v>50</v>
      </c>
      <c r="U1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4" t="str">
        <f>VLOOKUP(Registro2[[#This Row],[Categoria]],'Plano de Contas'!$V$3:W248,2,0)</f>
        <v>Receitas Serviços</v>
      </c>
      <c r="X18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84" t="s">
        <v>1536</v>
      </c>
    </row>
    <row r="185" spans="1:25" hidden="1">
      <c r="A185" s="1">
        <v>45698.625</v>
      </c>
      <c r="B185" s="1">
        <v>45698.625</v>
      </c>
      <c r="D185" t="s">
        <v>354</v>
      </c>
      <c r="E185" t="s">
        <v>149</v>
      </c>
      <c r="F185" t="s">
        <v>147</v>
      </c>
      <c r="G185" t="s">
        <v>163</v>
      </c>
      <c r="I185" s="4">
        <v>35</v>
      </c>
      <c r="J185" s="4">
        <v>60</v>
      </c>
      <c r="L185" t="s">
        <v>253</v>
      </c>
      <c r="M185" t="s">
        <v>420</v>
      </c>
      <c r="N185" s="4">
        <f>IF(L185="","",IF(OR(Registro2[[#This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5" t="str">
        <f t="shared" si="2"/>
        <v>fev/25</v>
      </c>
      <c r="P185" t="str">
        <f>IF(Registro2[[#This Row],[Data de Pagamento]]&gt;0,TEXT(A185,"mmm/aa"),"")</f>
        <v>fev/25</v>
      </c>
      <c r="T185" s="4">
        <f>IF(Registro2[[#This Row],[Data de Pagamento]]="",0,IF(Registro2[[#This Row],[Conta Financeira]]=base!$A$6,0,Registro2[[#This Row],[Valor Unitário]]))</f>
        <v>35</v>
      </c>
      <c r="U1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5" t="str">
        <f>VLOOKUP(Registro2[[#This Row],[Categoria]],'Plano de Contas'!$V$3:W249,2,0)</f>
        <v>Receitas Serviços</v>
      </c>
      <c r="X18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185" t="s">
        <v>1536</v>
      </c>
    </row>
    <row r="186" spans="1:25" hidden="1">
      <c r="A186" s="1">
        <v>45698.625</v>
      </c>
      <c r="B186" s="1">
        <v>45698.625</v>
      </c>
      <c r="D186" t="s">
        <v>354</v>
      </c>
      <c r="E186" t="s">
        <v>149</v>
      </c>
      <c r="F186" t="s">
        <v>150</v>
      </c>
      <c r="G186" t="s">
        <v>509</v>
      </c>
      <c r="I186" s="4">
        <v>25</v>
      </c>
      <c r="J186" s="4"/>
      <c r="L186" t="s">
        <v>253</v>
      </c>
      <c r="M186" t="s">
        <v>420</v>
      </c>
      <c r="N186" s="4">
        <f>IF(L186="","",IF(OR(Registro2[[#This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86" t="str">
        <f t="shared" si="2"/>
        <v>fev/25</v>
      </c>
      <c r="P186" t="str">
        <f>IF(Registro2[[#This Row],[Data de Pagamento]]&gt;0,TEXT(A186,"mmm/aa"),"")</f>
        <v>fev/25</v>
      </c>
      <c r="T186" s="4">
        <f>IF(Registro2[[#This Row],[Data de Pagamento]]="",0,IF(Registro2[[#This Row],[Conta Financeira]]=base!$A$6,0,Registro2[[#This Row],[Valor Unitário]]))</f>
        <v>25</v>
      </c>
      <c r="U1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6" t="str">
        <f>VLOOKUP(Registro2[[#This Row],[Categoria]],'Plano de Contas'!$V$3:W250,2,0)</f>
        <v>Receitas Produtos</v>
      </c>
      <c r="X18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0.78749999999999998</v>
      </c>
      <c r="Y186" t="s">
        <v>1536</v>
      </c>
    </row>
    <row r="187" spans="1:25" hidden="1">
      <c r="A187" s="1">
        <v>45698.677083333336</v>
      </c>
      <c r="B187" s="1">
        <v>45698.677083333336</v>
      </c>
      <c r="D187" t="s">
        <v>1</v>
      </c>
      <c r="E187" t="s">
        <v>149</v>
      </c>
      <c r="F187" t="s">
        <v>147</v>
      </c>
      <c r="G187" t="s">
        <v>163</v>
      </c>
      <c r="I187" s="4">
        <v>35</v>
      </c>
      <c r="J187" s="4">
        <v>35</v>
      </c>
      <c r="L187" t="s">
        <v>253</v>
      </c>
      <c r="M187" t="s">
        <v>421</v>
      </c>
      <c r="N187" s="4">
        <f>IF(L187="","",IF(OR(Registro2[[#This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7" t="str">
        <f t="shared" si="2"/>
        <v>fev/25</v>
      </c>
      <c r="P187" t="str">
        <f>IF(Registro2[[#This Row],[Data de Pagamento]]&gt;0,TEXT(A187,"mmm/aa"),"")</f>
        <v>fev/25</v>
      </c>
      <c r="T187" s="4">
        <f>IF(Registro2[[#This Row],[Data de Pagamento]]="",0,IF(Registro2[[#This Row],[Conta Financeira]]=base!$A$6,0,Registro2[[#This Row],[Valor Unitário]]))</f>
        <v>35</v>
      </c>
      <c r="U1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7" t="str">
        <f>VLOOKUP(Registro2[[#This Row],[Categoria]],'Plano de Contas'!$V$3:W251,2,0)</f>
        <v>Receitas Serviços</v>
      </c>
      <c r="X18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87" t="s">
        <v>1536</v>
      </c>
    </row>
    <row r="188" spans="1:25" hidden="1">
      <c r="A188" s="1">
        <v>45698.708333333336</v>
      </c>
      <c r="B188" s="1">
        <v>45698.708333333336</v>
      </c>
      <c r="D188" t="s">
        <v>1</v>
      </c>
      <c r="E188" t="s">
        <v>149</v>
      </c>
      <c r="F188" t="s">
        <v>147</v>
      </c>
      <c r="G188" t="s">
        <v>163</v>
      </c>
      <c r="I188" s="4">
        <v>30</v>
      </c>
      <c r="J188" s="4">
        <v>60</v>
      </c>
      <c r="L188" t="s">
        <v>252</v>
      </c>
      <c r="M188" t="s">
        <v>16</v>
      </c>
      <c r="N188" s="4">
        <f>IF(L188="","",IF(OR(Registro2[[#This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188" t="str">
        <f t="shared" si="2"/>
        <v>fev/25</v>
      </c>
      <c r="P188" t="str">
        <f>IF(Registro2[[#This Row],[Data de Pagamento]]&gt;0,TEXT(A188,"mmm/aa"),"")</f>
        <v>fev/25</v>
      </c>
      <c r="T188" s="4">
        <f>IF(Registro2[[#This Row],[Data de Pagamento]]="",0,IF(Registro2[[#This Row],[Conta Financeira]]=base!$A$6,0,Registro2[[#This Row],[Valor Unitário]]))</f>
        <v>30</v>
      </c>
      <c r="U1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8" t="str">
        <f>VLOOKUP(Registro2[[#This Row],[Categoria]],'Plano de Contas'!$V$3:W237,2,0)</f>
        <v>Receitas Serviços</v>
      </c>
      <c r="X18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88" t="s">
        <v>1536</v>
      </c>
    </row>
    <row r="189" spans="1:25" hidden="1">
      <c r="A189" s="1">
        <v>45698.708333333336</v>
      </c>
      <c r="B189" s="1">
        <v>45698.708333333336</v>
      </c>
      <c r="D189" t="s">
        <v>1</v>
      </c>
      <c r="E189" t="s">
        <v>149</v>
      </c>
      <c r="F189" t="s">
        <v>147</v>
      </c>
      <c r="G189" t="s">
        <v>163</v>
      </c>
      <c r="I189" s="4">
        <v>30</v>
      </c>
      <c r="J189" s="4"/>
      <c r="L189" t="s">
        <v>253</v>
      </c>
      <c r="M189" t="s">
        <v>16</v>
      </c>
      <c r="N189" s="4">
        <f>IF(L189="","",IF(OR(Registro2[[#This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189" t="str">
        <f t="shared" si="2"/>
        <v>fev/25</v>
      </c>
      <c r="P189" t="str">
        <f>IF(Registro2[[#This Row],[Data de Pagamento]]&gt;0,TEXT(A189,"mmm/aa"),"")</f>
        <v>fev/25</v>
      </c>
      <c r="T189" s="4">
        <f>IF(Registro2[[#This Row],[Data de Pagamento]]="",0,IF(Registro2[[#This Row],[Conta Financeira]]=base!$A$6,0,Registro2[[#This Row],[Valor Unitário]]))</f>
        <v>30</v>
      </c>
      <c r="U1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9" t="str">
        <f>VLOOKUP(Registro2[[#This Row],[Categoria]],'Plano de Contas'!$V$3:W238,2,0)</f>
        <v>Receitas Serviços</v>
      </c>
      <c r="X18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89" t="s">
        <v>1536</v>
      </c>
    </row>
    <row r="190" spans="1:25" hidden="1">
      <c r="A190" s="1">
        <v>45698.739583333336</v>
      </c>
      <c r="B190" s="1">
        <v>45698.739583333336</v>
      </c>
      <c r="D190" t="s">
        <v>1</v>
      </c>
      <c r="E190" t="s">
        <v>149</v>
      </c>
      <c r="F190" t="s">
        <v>147</v>
      </c>
      <c r="G190" t="s">
        <v>162</v>
      </c>
      <c r="I190" s="4">
        <v>15</v>
      </c>
      <c r="J190" s="4">
        <v>15</v>
      </c>
      <c r="L190" t="s">
        <v>252</v>
      </c>
      <c r="M190" t="s">
        <v>423</v>
      </c>
      <c r="N190" s="4">
        <f>IF(L190="","",IF(OR(Registro2[[#This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90" t="str">
        <f t="shared" si="2"/>
        <v>fev/25</v>
      </c>
      <c r="P190" t="str">
        <f>IF(Registro2[[#This Row],[Data de Pagamento]]&gt;0,TEXT(A190,"mmm/aa"),"")</f>
        <v>fev/25</v>
      </c>
      <c r="T190" s="4">
        <f>IF(Registro2[[#This Row],[Data de Pagamento]]="",0,IF(Registro2[[#This Row],[Conta Financeira]]=base!$A$6,0,Registro2[[#This Row],[Valor Unitário]]))</f>
        <v>15</v>
      </c>
      <c r="U1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0" t="str">
        <f>VLOOKUP(Registro2[[#This Row],[Categoria]],'Plano de Contas'!$V$3:W253,2,0)</f>
        <v>Receitas Serviços</v>
      </c>
      <c r="X19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90" t="s">
        <v>1536</v>
      </c>
    </row>
    <row r="191" spans="1:25" hidden="1">
      <c r="A191" s="1">
        <v>45698.760416666664</v>
      </c>
      <c r="B191" s="1">
        <v>45698.760416666664</v>
      </c>
      <c r="D191" t="s">
        <v>1</v>
      </c>
      <c r="E191" t="s">
        <v>149</v>
      </c>
      <c r="F191" t="s">
        <v>147</v>
      </c>
      <c r="G191" t="s">
        <v>163</v>
      </c>
      <c r="I191" s="4">
        <v>35</v>
      </c>
      <c r="J191" s="4">
        <v>35</v>
      </c>
      <c r="L191" t="s">
        <v>253</v>
      </c>
      <c r="M191" t="s">
        <v>422</v>
      </c>
      <c r="N191" s="4">
        <f>IF(L191="","",IF(OR(Registro2[[#This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1" t="str">
        <f t="shared" si="2"/>
        <v>fev/25</v>
      </c>
      <c r="P191" t="str">
        <f>IF(Registro2[[#This Row],[Data de Pagamento]]&gt;0,TEXT(A191,"mmm/aa"),"")</f>
        <v>fev/25</v>
      </c>
      <c r="T191" s="4">
        <f>IF(Registro2[[#This Row],[Data de Pagamento]]="",0,IF(Registro2[[#This Row],[Conta Financeira]]=base!$A$6,0,Registro2[[#This Row],[Valor Unitário]]))</f>
        <v>35</v>
      </c>
      <c r="U1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1" t="str">
        <f>VLOOKUP(Registro2[[#This Row],[Categoria]],'Plano de Contas'!$V$3:W252,2,0)</f>
        <v>Receitas Serviços</v>
      </c>
      <c r="X19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91" t="s">
        <v>1536</v>
      </c>
    </row>
    <row r="192" spans="1:25" hidden="1">
      <c r="A192" s="1">
        <v>45698.8125</v>
      </c>
      <c r="B192" s="1">
        <v>45698.8125</v>
      </c>
      <c r="D192" t="s">
        <v>1</v>
      </c>
      <c r="E192" t="s">
        <v>149</v>
      </c>
      <c r="F192" t="s">
        <v>147</v>
      </c>
      <c r="G192" t="s">
        <v>163</v>
      </c>
      <c r="I192" s="4">
        <v>35</v>
      </c>
      <c r="J192" s="4">
        <v>35</v>
      </c>
      <c r="L192" t="s">
        <v>252</v>
      </c>
      <c r="M192" t="s">
        <v>424</v>
      </c>
      <c r="N192" s="4">
        <f>IF(L192="","",IF(OR(Registro2[[#This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2" t="str">
        <f t="shared" si="2"/>
        <v>fev/25</v>
      </c>
      <c r="P192" t="str">
        <f>IF(Registro2[[#This Row],[Data de Pagamento]]&gt;0,TEXT(A192,"mmm/aa"),"")</f>
        <v>fev/25</v>
      </c>
      <c r="T192" s="4">
        <f>IF(Registro2[[#This Row],[Data de Pagamento]]="",0,IF(Registro2[[#This Row],[Conta Financeira]]=base!$A$6,0,Registro2[[#This Row],[Valor Unitário]]))</f>
        <v>35</v>
      </c>
      <c r="U1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2" t="str">
        <f>VLOOKUP(Registro2[[#This Row],[Categoria]],'Plano de Contas'!$V$3:W254,2,0)</f>
        <v>Receitas Serviços</v>
      </c>
      <c r="X19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92" t="s">
        <v>1536</v>
      </c>
    </row>
    <row r="193" spans="1:25" hidden="1">
      <c r="A193" s="1">
        <v>45699</v>
      </c>
      <c r="B193" s="1">
        <v>45699</v>
      </c>
      <c r="E193" t="s">
        <v>137</v>
      </c>
      <c r="F193" t="s">
        <v>139</v>
      </c>
      <c r="G193" t="s">
        <v>331</v>
      </c>
      <c r="H193" t="s">
        <v>439</v>
      </c>
      <c r="I193" s="4">
        <v>58</v>
      </c>
      <c r="J193" s="4"/>
      <c r="N193" s="4" t="str">
        <f>IF(L193="","",IF(OR(Registro2[[#This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93" t="str">
        <f t="shared" si="2"/>
        <v>fev/25</v>
      </c>
      <c r="P193" t="str">
        <f>IF(Registro2[[#This Row],[Data de Pagamento]]&gt;0,TEXT(A193,"mmm/aa"),"")</f>
        <v>fev/25</v>
      </c>
      <c r="T193" s="4">
        <f>IF(Registro2[[#This Row],[Data de Pagamento]]="",0,IF(Registro2[[#This Row],[Conta Financeira]]=base!$A$6,0,Registro2[[#This Row],[Valor Unitário]]))</f>
        <v>58</v>
      </c>
      <c r="U1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3" t="str">
        <f>VLOOKUP(Registro2[[#This Row],[Categoria]],'Plano de Contas'!$V$3:W66,2,0)</f>
        <v>Custos Operacionais Produtos</v>
      </c>
      <c r="X19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93" t="s">
        <v>1536</v>
      </c>
    </row>
    <row r="194" spans="1:25" hidden="1">
      <c r="A194" s="1">
        <v>45699</v>
      </c>
      <c r="B194" s="1">
        <v>45699</v>
      </c>
      <c r="E194" t="s">
        <v>137</v>
      </c>
      <c r="F194" t="s">
        <v>139</v>
      </c>
      <c r="G194" t="s">
        <v>331</v>
      </c>
      <c r="H194" t="s">
        <v>440</v>
      </c>
      <c r="I194" s="4">
        <v>310</v>
      </c>
      <c r="J194" s="4"/>
      <c r="N194" s="4" t="str">
        <f>IF(L194="","",IF(OR(Registro2[[#This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94" t="str">
        <f t="shared" ref="O194:O257" si="3">TEXT(B194,"mmm/aa")</f>
        <v>fev/25</v>
      </c>
      <c r="P194" t="str">
        <f>IF(Registro2[[#This Row],[Data de Pagamento]]&gt;0,TEXT(A194,"mmm/aa"),"")</f>
        <v>fev/25</v>
      </c>
      <c r="T194" s="4">
        <f>IF(Registro2[[#This Row],[Data de Pagamento]]="",0,IF(Registro2[[#This Row],[Conta Financeira]]=base!$A$6,0,Registro2[[#This Row],[Valor Unitário]]))</f>
        <v>310</v>
      </c>
      <c r="U1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4" t="str">
        <f>VLOOKUP(Registro2[[#This Row],[Categoria]],'Plano de Contas'!$V$3:W67,2,0)</f>
        <v>Custos Operacionais Produtos</v>
      </c>
      <c r="X19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94" t="s">
        <v>1536</v>
      </c>
    </row>
    <row r="195" spans="1:25" hidden="1">
      <c r="A195" s="1">
        <v>45699</v>
      </c>
      <c r="B195" s="1">
        <v>45699</v>
      </c>
      <c r="E195" t="s">
        <v>137</v>
      </c>
      <c r="F195" t="s">
        <v>139</v>
      </c>
      <c r="G195" t="s">
        <v>331</v>
      </c>
      <c r="H195" t="s">
        <v>441</v>
      </c>
      <c r="I195" s="4">
        <v>96</v>
      </c>
      <c r="J195" s="4"/>
      <c r="N195" s="4" t="str">
        <f>IF(L195="","",IF(OR(Registro2[[#This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95" t="str">
        <f t="shared" si="3"/>
        <v>fev/25</v>
      </c>
      <c r="P195" t="str">
        <f>IF(Registro2[[#This Row],[Data de Pagamento]]&gt;0,TEXT(A195,"mmm/aa"),"")</f>
        <v>fev/25</v>
      </c>
      <c r="T195" s="4">
        <f>IF(Registro2[[#This Row],[Data de Pagamento]]="",0,IF(Registro2[[#This Row],[Conta Financeira]]=base!$A$6,0,Registro2[[#This Row],[Valor Unitário]]))</f>
        <v>96</v>
      </c>
      <c r="U1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5" t="str">
        <f>VLOOKUP(Registro2[[#This Row],[Categoria]],'Plano de Contas'!$V$3:W68,2,0)</f>
        <v>Custos Operacionais Produtos</v>
      </c>
      <c r="X19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95" t="s">
        <v>1536</v>
      </c>
    </row>
    <row r="196" spans="1:25" hidden="1">
      <c r="A196" s="1">
        <v>45699</v>
      </c>
      <c r="B196" s="1">
        <v>45699</v>
      </c>
      <c r="E196" t="s">
        <v>137</v>
      </c>
      <c r="F196" t="s">
        <v>139</v>
      </c>
      <c r="G196" t="s">
        <v>331</v>
      </c>
      <c r="H196" t="s">
        <v>442</v>
      </c>
      <c r="I196" s="4">
        <v>150</v>
      </c>
      <c r="J196" s="4"/>
      <c r="N196" s="4" t="str">
        <f>IF(L196="","",IF(OR(Registro2[[#This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96" t="str">
        <f t="shared" si="3"/>
        <v>fev/25</v>
      </c>
      <c r="P196" t="str">
        <f>IF(Registro2[[#This Row],[Data de Pagamento]]&gt;0,TEXT(A196,"mmm/aa"),"")</f>
        <v>fev/25</v>
      </c>
      <c r="T196" s="4">
        <f>IF(Registro2[[#This Row],[Data de Pagamento]]="",0,IF(Registro2[[#This Row],[Conta Financeira]]=base!$A$6,0,Registro2[[#This Row],[Valor Unitário]]))</f>
        <v>150</v>
      </c>
      <c r="U1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6" t="str">
        <f>VLOOKUP(Registro2[[#This Row],[Categoria]],'Plano de Contas'!$V$3:W69,2,0)</f>
        <v>Custos Operacionais Produtos</v>
      </c>
      <c r="X19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96" t="s">
        <v>1536</v>
      </c>
    </row>
    <row r="197" spans="1:25" hidden="1">
      <c r="A197" s="1">
        <v>45699</v>
      </c>
      <c r="B197" s="1">
        <v>45699</v>
      </c>
      <c r="E197" t="s">
        <v>137</v>
      </c>
      <c r="F197" t="s">
        <v>139</v>
      </c>
      <c r="G197" t="s">
        <v>331</v>
      </c>
      <c r="H197" t="s">
        <v>443</v>
      </c>
      <c r="I197" s="4">
        <v>270</v>
      </c>
      <c r="J197" s="4"/>
      <c r="N197" s="4" t="str">
        <f>IF(L197="","",IF(OR(Registro2[[#This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97" t="str">
        <f t="shared" si="3"/>
        <v>fev/25</v>
      </c>
      <c r="P197" t="str">
        <f>IF(Registro2[[#This Row],[Data de Pagamento]]&gt;0,TEXT(A197,"mmm/aa"),"")</f>
        <v>fev/25</v>
      </c>
      <c r="T197" s="4">
        <f>IF(Registro2[[#This Row],[Data de Pagamento]]="",0,IF(Registro2[[#This Row],[Conta Financeira]]=base!$A$6,0,Registro2[[#This Row],[Valor Unitário]]))</f>
        <v>270</v>
      </c>
      <c r="U1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7" t="str">
        <f>VLOOKUP(Registro2[[#This Row],[Categoria]],'Plano de Contas'!$V$3:W70,2,0)</f>
        <v>Custos Operacionais Produtos</v>
      </c>
      <c r="X19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97" t="s">
        <v>1536</v>
      </c>
    </row>
    <row r="198" spans="1:25" hidden="1">
      <c r="A198" s="1">
        <v>45699.447916666664</v>
      </c>
      <c r="B198" s="1">
        <v>45699.447916666664</v>
      </c>
      <c r="D198" t="s">
        <v>1</v>
      </c>
      <c r="E198" t="s">
        <v>149</v>
      </c>
      <c r="F198" t="s">
        <v>147</v>
      </c>
      <c r="G198" t="s">
        <v>163</v>
      </c>
      <c r="I198" s="4">
        <v>35</v>
      </c>
      <c r="J198" s="4">
        <v>70</v>
      </c>
      <c r="L198" t="s">
        <v>252</v>
      </c>
      <c r="M198" t="s">
        <v>425</v>
      </c>
      <c r="N198" s="4">
        <f>IF(L198="","",IF(OR(Registro2[[#This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8" t="str">
        <f t="shared" si="3"/>
        <v>fev/25</v>
      </c>
      <c r="P198" t="str">
        <f>IF(Registro2[[#This Row],[Data de Pagamento]]&gt;0,TEXT(A198,"mmm/aa"),"")</f>
        <v>fev/25</v>
      </c>
      <c r="T198" s="4">
        <f>IF(Registro2[[#This Row],[Data de Pagamento]]="",0,IF(Registro2[[#This Row],[Conta Financeira]]=base!$A$6,0,Registro2[[#This Row],[Valor Unitário]]))</f>
        <v>35</v>
      </c>
      <c r="U1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8" t="str">
        <f>VLOOKUP(Registro2[[#This Row],[Categoria]],'Plano de Contas'!$V$3:W258,2,0)</f>
        <v>Receitas Serviços</v>
      </c>
      <c r="X19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98" t="s">
        <v>1536</v>
      </c>
    </row>
    <row r="199" spans="1:25" hidden="1">
      <c r="A199" s="1">
        <v>45699.447916666664</v>
      </c>
      <c r="B199" s="1">
        <v>45699.447916666664</v>
      </c>
      <c r="D199" t="s">
        <v>1</v>
      </c>
      <c r="E199" t="s">
        <v>149</v>
      </c>
      <c r="F199" t="s">
        <v>147</v>
      </c>
      <c r="G199" t="s">
        <v>163</v>
      </c>
      <c r="I199" s="4">
        <v>35</v>
      </c>
      <c r="J199" s="4"/>
      <c r="L199" t="s">
        <v>253</v>
      </c>
      <c r="M199" t="s">
        <v>425</v>
      </c>
      <c r="N199" s="4">
        <f>IF(L199="","",IF(OR(Registro2[[#This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9" t="str">
        <f t="shared" si="3"/>
        <v>fev/25</v>
      </c>
      <c r="P199" t="str">
        <f>IF(Registro2[[#This Row],[Data de Pagamento]]&gt;0,TEXT(A199,"mmm/aa"),"")</f>
        <v>fev/25</v>
      </c>
      <c r="T199" s="4">
        <f>IF(Registro2[[#This Row],[Data de Pagamento]]="",0,IF(Registro2[[#This Row],[Conta Financeira]]=base!$A$6,0,Registro2[[#This Row],[Valor Unitário]]))</f>
        <v>35</v>
      </c>
      <c r="U1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9" t="str">
        <f>VLOOKUP(Registro2[[#This Row],[Categoria]],'Plano de Contas'!$V$3:W259,2,0)</f>
        <v>Receitas Serviços</v>
      </c>
      <c r="X19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199" t="s">
        <v>1536</v>
      </c>
    </row>
    <row r="200" spans="1:25" hidden="1">
      <c r="A200" s="1">
        <v>45699.5</v>
      </c>
      <c r="B200" s="1">
        <v>45699.5</v>
      </c>
      <c r="D200" t="s">
        <v>1</v>
      </c>
      <c r="E200" t="s">
        <v>149</v>
      </c>
      <c r="F200" t="s">
        <v>147</v>
      </c>
      <c r="G200" t="s">
        <v>163</v>
      </c>
      <c r="I200" s="4">
        <v>35</v>
      </c>
      <c r="J200" s="4">
        <v>35</v>
      </c>
      <c r="L200" t="s">
        <v>252</v>
      </c>
      <c r="M200" t="s">
        <v>372</v>
      </c>
      <c r="N200" s="4">
        <f>IF(L200="","",IF(OR(Registro2[[#This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0" t="str">
        <f t="shared" si="3"/>
        <v>fev/25</v>
      </c>
      <c r="P200" t="str">
        <f>IF(Registro2[[#This Row],[Data de Pagamento]]&gt;0,TEXT(A200,"mmm/aa"),"")</f>
        <v>fev/25</v>
      </c>
      <c r="T200" s="4">
        <f>IF(Registro2[[#This Row],[Data de Pagamento]]="",0,IF(Registro2[[#This Row],[Conta Financeira]]=base!$A$6,0,Registro2[[#This Row],[Valor Unitário]]))</f>
        <v>35</v>
      </c>
      <c r="U2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0" t="str">
        <f>VLOOKUP(Registro2[[#This Row],[Categoria]],'Plano de Contas'!$V$3:W260,2,0)</f>
        <v>Receitas Serviços</v>
      </c>
      <c r="X20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00" t="s">
        <v>1536</v>
      </c>
    </row>
    <row r="201" spans="1:25" hidden="1">
      <c r="A201" s="1">
        <v>45699.5625</v>
      </c>
      <c r="B201" s="1">
        <v>45699.5625</v>
      </c>
      <c r="D201" t="s">
        <v>354</v>
      </c>
      <c r="E201" t="s">
        <v>149</v>
      </c>
      <c r="F201" t="s">
        <v>147</v>
      </c>
      <c r="G201" t="s">
        <v>163</v>
      </c>
      <c r="I201" s="4">
        <v>35</v>
      </c>
      <c r="J201" s="4">
        <v>35</v>
      </c>
      <c r="L201" t="s">
        <v>253</v>
      </c>
      <c r="M201" t="s">
        <v>269</v>
      </c>
      <c r="N201" s="4">
        <f>IF(L201="","",IF(OR(Registro2[[#This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1" t="str">
        <f t="shared" si="3"/>
        <v>fev/25</v>
      </c>
      <c r="P201" t="str">
        <f>IF(Registro2[[#This Row],[Data de Pagamento]]&gt;0,TEXT(A201,"mmm/aa"),"")</f>
        <v>fev/25</v>
      </c>
      <c r="T201" s="4">
        <f>IF(Registro2[[#This Row],[Data de Pagamento]]="",0,IF(Registro2[[#This Row],[Conta Financeira]]=base!$A$6,0,Registro2[[#This Row],[Valor Unitário]]))</f>
        <v>35</v>
      </c>
      <c r="U2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1" t="str">
        <f>VLOOKUP(Registro2[[#This Row],[Categoria]],'Plano de Contas'!$V$3:W257,2,0)</f>
        <v>Receitas Serviços</v>
      </c>
      <c r="X20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201" t="s">
        <v>1536</v>
      </c>
    </row>
    <row r="202" spans="1:25" hidden="1">
      <c r="A202" s="1">
        <v>45699.590277777781</v>
      </c>
      <c r="B202" s="1">
        <v>45699.590277777781</v>
      </c>
      <c r="E202" t="s">
        <v>137</v>
      </c>
      <c r="F202" t="s">
        <v>138</v>
      </c>
      <c r="G202" t="s">
        <v>143</v>
      </c>
      <c r="H202" t="s">
        <v>143</v>
      </c>
      <c r="I202" s="4">
        <v>100</v>
      </c>
      <c r="J202" s="4"/>
      <c r="N202" s="4" t="str">
        <f>IF(L202="","",IF(OR(Registro2[[#This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02" t="str">
        <f t="shared" si="3"/>
        <v>fev/25</v>
      </c>
      <c r="P202" t="str">
        <f>IF(Registro2[[#This Row],[Data de Pagamento]]&gt;0,TEXT(A202,"mmm/aa"),"")</f>
        <v>fev/25</v>
      </c>
      <c r="T202" s="4">
        <f>IF(Registro2[[#This Row],[Data de Pagamento]]="",0,IF(Registro2[[#This Row],[Conta Financeira]]=base!$A$6,0,Registro2[[#This Row],[Valor Unitário]]))</f>
        <v>100</v>
      </c>
      <c r="U2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2" t="str">
        <f>VLOOKUP(Registro2[[#This Row],[Categoria]],'Plano de Contas'!$V$3:W71,2,0)</f>
        <v>Custos Operacionais</v>
      </c>
      <c r="X20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02" t="s">
        <v>1536</v>
      </c>
    </row>
    <row r="203" spans="1:25" hidden="1">
      <c r="A203" s="1">
        <v>45699.592361111114</v>
      </c>
      <c r="B203" s="1">
        <v>45699.592361111114</v>
      </c>
      <c r="E203" t="s">
        <v>137</v>
      </c>
      <c r="F203" t="s">
        <v>967</v>
      </c>
      <c r="G203" t="s">
        <v>449</v>
      </c>
      <c r="H203" t="s">
        <v>444</v>
      </c>
      <c r="I203" s="4">
        <v>30</v>
      </c>
      <c r="J203" s="4"/>
      <c r="N203" s="4" t="str">
        <f>IF(L203="","",IF(OR(Registro2[[#This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03" t="str">
        <f t="shared" si="3"/>
        <v>fev/25</v>
      </c>
      <c r="P203" t="str">
        <f>IF(Registro2[[#This Row],[Data de Pagamento]]&gt;0,TEXT(A203,"mmm/aa"),"")</f>
        <v>fev/25</v>
      </c>
      <c r="T203" s="4">
        <f>IF(Registro2[[#This Row],[Data de Pagamento]]="",0,IF(Registro2[[#This Row],[Conta Financeira]]=base!$A$6,0,Registro2[[#This Row],[Valor Unitário]]))</f>
        <v>30</v>
      </c>
      <c r="U2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3" t="str">
        <f>VLOOKUP(Registro2[[#This Row],[Categoria]],'Plano de Contas'!$V$3:W72,2,0)</f>
        <v>Despesas Administrativas</v>
      </c>
      <c r="X2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03" t="s">
        <v>1536</v>
      </c>
    </row>
    <row r="204" spans="1:25" hidden="1">
      <c r="A204" s="1">
        <v>45699.635416666664</v>
      </c>
      <c r="B204" s="1">
        <v>45699.635416666664</v>
      </c>
      <c r="D204" t="s">
        <v>2</v>
      </c>
      <c r="E204" t="s">
        <v>149</v>
      </c>
      <c r="F204" t="s">
        <v>147</v>
      </c>
      <c r="G204" t="s">
        <v>163</v>
      </c>
      <c r="I204" s="4">
        <v>35</v>
      </c>
      <c r="J204" s="4">
        <v>60</v>
      </c>
      <c r="L204" t="s">
        <v>253</v>
      </c>
      <c r="M204" t="s">
        <v>75</v>
      </c>
      <c r="N204" s="4">
        <f>IF(L204="","",IF(OR(Registro2[[#This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4" t="str">
        <f t="shared" si="3"/>
        <v>fev/25</v>
      </c>
      <c r="P204" t="str">
        <f>IF(Registro2[[#This Row],[Data de Pagamento]]&gt;0,TEXT(A204,"mmm/aa"),"")</f>
        <v>fev/25</v>
      </c>
      <c r="T204" s="4">
        <f>IF(Registro2[[#This Row],[Data de Pagamento]]="",0,IF(Registro2[[#This Row],[Conta Financeira]]=base!$A$6,0,Registro2[[#This Row],[Valor Unitário]]))</f>
        <v>35</v>
      </c>
      <c r="U2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4" t="str">
        <f>VLOOKUP(Registro2[[#This Row],[Categoria]],'Plano de Contas'!$V$3:W262,2,0)</f>
        <v>Receitas Serviços</v>
      </c>
      <c r="X2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04" t="s">
        <v>1536</v>
      </c>
    </row>
    <row r="205" spans="1:25" hidden="1">
      <c r="A205" s="1">
        <v>45699.635416666664</v>
      </c>
      <c r="B205" s="1">
        <v>45699.635416666664</v>
      </c>
      <c r="D205" t="s">
        <v>2</v>
      </c>
      <c r="E205" t="s">
        <v>149</v>
      </c>
      <c r="F205" t="s">
        <v>150</v>
      </c>
      <c r="G205" t="s">
        <v>511</v>
      </c>
      <c r="I205" s="4">
        <v>25</v>
      </c>
      <c r="J205" s="4"/>
      <c r="L205" t="s">
        <v>253</v>
      </c>
      <c r="M205" t="s">
        <v>75</v>
      </c>
      <c r="N205" s="4">
        <f>IF(L205="","",IF(OR(Registro2[[#This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205" t="str">
        <f t="shared" si="3"/>
        <v>fev/25</v>
      </c>
      <c r="P205" t="str">
        <f>IF(Registro2[[#This Row],[Data de Pagamento]]&gt;0,TEXT(A205,"mmm/aa"),"")</f>
        <v>fev/25</v>
      </c>
      <c r="T205" s="4">
        <f>IF(Registro2[[#This Row],[Data de Pagamento]]="",0,IF(Registro2[[#This Row],[Conta Financeira]]=base!$A$6,0,Registro2[[#This Row],[Valor Unitário]]))</f>
        <v>25</v>
      </c>
      <c r="U2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5" t="str">
        <f>VLOOKUP(Registro2[[#This Row],[Categoria]],'Plano de Contas'!$V$3:W263,2,0)</f>
        <v>Receitas Produtos</v>
      </c>
      <c r="X2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05" t="s">
        <v>1536</v>
      </c>
    </row>
    <row r="206" spans="1:25" hidden="1">
      <c r="A206" s="1">
        <v>45699.760416666664</v>
      </c>
      <c r="B206" s="1">
        <v>45699.760416666664</v>
      </c>
      <c r="D206" t="s">
        <v>1</v>
      </c>
      <c r="E206" t="s">
        <v>149</v>
      </c>
      <c r="F206" t="s">
        <v>147</v>
      </c>
      <c r="G206" t="s">
        <v>161</v>
      </c>
      <c r="I206" s="4">
        <v>20</v>
      </c>
      <c r="J206" s="4">
        <v>20</v>
      </c>
      <c r="L206" t="s">
        <v>264</v>
      </c>
      <c r="M206" t="s">
        <v>275</v>
      </c>
      <c r="N206" s="4">
        <f>IF(L206="","",IF(OR(Registro2[[#This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06" t="str">
        <f t="shared" si="3"/>
        <v>fev/25</v>
      </c>
      <c r="P206" t="str">
        <f>IF(Registro2[[#This Row],[Data de Pagamento]]&gt;0,TEXT(A206,"mmm/aa"),"")</f>
        <v>fev/25</v>
      </c>
      <c r="T206" s="4">
        <f>IF(Registro2[[#This Row],[Data de Pagamento]]="",0,IF(Registro2[[#This Row],[Conta Financeira]]=base!$A$6,0,Registro2[[#This Row],[Valor Unitário]]))</f>
        <v>20</v>
      </c>
      <c r="U2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6" t="str">
        <f>VLOOKUP(Registro2[[#This Row],[Categoria]],'Plano de Contas'!$V$3:W264,2,0)</f>
        <v>Receitas Serviços</v>
      </c>
      <c r="X20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06" t="s">
        <v>1536</v>
      </c>
    </row>
    <row r="207" spans="1:25" hidden="1">
      <c r="A207" s="1">
        <v>45699.791666666664</v>
      </c>
      <c r="B207" s="1">
        <v>45699.791666666664</v>
      </c>
      <c r="D207" t="s">
        <v>1</v>
      </c>
      <c r="E207" t="s">
        <v>149</v>
      </c>
      <c r="F207" t="s">
        <v>147</v>
      </c>
      <c r="G207" t="s">
        <v>161</v>
      </c>
      <c r="I207" s="4">
        <v>20</v>
      </c>
      <c r="J207" s="4">
        <v>20</v>
      </c>
      <c r="L207" t="s">
        <v>252</v>
      </c>
      <c r="M207" t="s">
        <v>285</v>
      </c>
      <c r="N207" s="4">
        <f>IF(L207="","",IF(OR(Registro2[[#This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07" t="str">
        <f t="shared" si="3"/>
        <v>fev/25</v>
      </c>
      <c r="P207" t="str">
        <f>IF(Registro2[[#This Row],[Data de Pagamento]]&gt;0,TEXT(A207,"mmm/aa"),"")</f>
        <v>fev/25</v>
      </c>
      <c r="T207" s="4">
        <f>IF(Registro2[[#This Row],[Data de Pagamento]]="",0,IF(Registro2[[#This Row],[Conta Financeira]]=base!$A$6,0,Registro2[[#This Row],[Valor Unitário]]))</f>
        <v>20</v>
      </c>
      <c r="U2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7" t="str">
        <f>VLOOKUP(Registro2[[#This Row],[Categoria]],'Plano de Contas'!$V$3:W256,2,0)</f>
        <v>Receitas Serviços</v>
      </c>
      <c r="X20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07" t="s">
        <v>1536</v>
      </c>
    </row>
    <row r="208" spans="1:25" hidden="1">
      <c r="A208" s="1">
        <v>45699.802083333336</v>
      </c>
      <c r="B208" s="1">
        <v>45699.802083333336</v>
      </c>
      <c r="D208" t="s">
        <v>1</v>
      </c>
      <c r="E208" t="s">
        <v>149</v>
      </c>
      <c r="F208" t="s">
        <v>147</v>
      </c>
      <c r="G208" t="s">
        <v>163</v>
      </c>
      <c r="I208" s="4">
        <v>35</v>
      </c>
      <c r="J208" s="4">
        <v>35</v>
      </c>
      <c r="L208" t="s">
        <v>264</v>
      </c>
      <c r="M208" t="s">
        <v>210</v>
      </c>
      <c r="N208" s="4">
        <f>IF(L208="","",IF(OR(Registro2[[#This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8" t="str">
        <f t="shared" si="3"/>
        <v>fev/25</v>
      </c>
      <c r="P208" t="str">
        <f>IF(Registro2[[#This Row],[Data de Pagamento]]&gt;0,TEXT(A208,"mmm/aa"),"")</f>
        <v>fev/25</v>
      </c>
      <c r="T208" s="4">
        <f>IF(Registro2[[#This Row],[Data de Pagamento]]="",0,IF(Registro2[[#This Row],[Conta Financeira]]=base!$A$6,0,Registro2[[#This Row],[Valor Unitário]]))</f>
        <v>35</v>
      </c>
      <c r="U2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8" t="str">
        <f>VLOOKUP(Registro2[[#This Row],[Categoria]],'Plano de Contas'!$V$3:W265,2,0)</f>
        <v>Receitas Serviços</v>
      </c>
      <c r="X20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08" t="s">
        <v>1536</v>
      </c>
    </row>
    <row r="209" spans="1:25" hidden="1">
      <c r="A209" s="1">
        <v>45699.836805555555</v>
      </c>
      <c r="B209" s="1">
        <v>45699.836805555555</v>
      </c>
      <c r="D209" t="s">
        <v>1</v>
      </c>
      <c r="E209" t="s">
        <v>149</v>
      </c>
      <c r="F209" t="s">
        <v>152</v>
      </c>
      <c r="G209" t="s">
        <v>353</v>
      </c>
      <c r="I209" s="4">
        <v>55</v>
      </c>
      <c r="J209" s="4">
        <v>55</v>
      </c>
      <c r="L209" t="s">
        <v>264</v>
      </c>
      <c r="M209" t="s">
        <v>382</v>
      </c>
      <c r="N209" s="4">
        <f>IF(L209="","",IF(OR(Registro2[[#This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209" t="str">
        <f t="shared" si="3"/>
        <v>fev/25</v>
      </c>
      <c r="P209" t="str">
        <f>IF(Registro2[[#This Row],[Data de Pagamento]]&gt;0,TEXT(A209,"mmm/aa"),"")</f>
        <v>fev/25</v>
      </c>
      <c r="T209" s="4">
        <f>IF(Registro2[[#This Row],[Data de Pagamento]]="",0,IF(Registro2[[#This Row],[Conta Financeira]]=base!$A$6,0,Registro2[[#This Row],[Valor Unitário]]))</f>
        <v>55</v>
      </c>
      <c r="U2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9" t="str">
        <f>VLOOKUP(Registro2[[#This Row],[Categoria]],'Plano de Contas'!$V$3:W266,2,0)</f>
        <v>Receitas Serviços</v>
      </c>
      <c r="X20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09" t="s">
        <v>1536</v>
      </c>
    </row>
    <row r="210" spans="1:25" hidden="1">
      <c r="A210" s="1">
        <v>45700.458333333336</v>
      </c>
      <c r="B210" s="1">
        <v>45700.458333333336</v>
      </c>
      <c r="D210" t="s">
        <v>1</v>
      </c>
      <c r="E210" t="s">
        <v>149</v>
      </c>
      <c r="F210" t="s">
        <v>147</v>
      </c>
      <c r="G210" t="s">
        <v>163</v>
      </c>
      <c r="I210" s="4">
        <v>35</v>
      </c>
      <c r="J210" s="4">
        <v>35</v>
      </c>
      <c r="L210" t="s">
        <v>253</v>
      </c>
      <c r="M210" t="s">
        <v>119</v>
      </c>
      <c r="N210" s="4">
        <f>IF(L210="","",IF(OR(Registro2[[#This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0" t="str">
        <f t="shared" si="3"/>
        <v>fev/25</v>
      </c>
      <c r="P210" t="str">
        <f>IF(Registro2[[#This Row],[Data de Pagamento]]&gt;0,TEXT(A210,"mmm/aa"),"")</f>
        <v>fev/25</v>
      </c>
      <c r="T210" s="4">
        <f>IF(Registro2[[#This Row],[Data de Pagamento]]="",0,IF(Registro2[[#This Row],[Conta Financeira]]=base!$A$6,0,Registro2[[#This Row],[Valor Unitário]]))</f>
        <v>35</v>
      </c>
      <c r="U2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0" t="str">
        <f>VLOOKUP(Registro2[[#This Row],[Categoria]],'Plano de Contas'!$V$3:W268,2,0)</f>
        <v>Receitas Serviços</v>
      </c>
      <c r="X21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10" t="s">
        <v>1536</v>
      </c>
    </row>
    <row r="211" spans="1:25" hidden="1">
      <c r="A211" s="1">
        <v>45700.479166666664</v>
      </c>
      <c r="B211" s="1">
        <v>45700.479166666664</v>
      </c>
      <c r="D211" t="s">
        <v>310</v>
      </c>
      <c r="E211" t="s">
        <v>149</v>
      </c>
      <c r="F211" t="s">
        <v>147</v>
      </c>
      <c r="G211" t="s">
        <v>161</v>
      </c>
      <c r="I211" s="4">
        <v>20</v>
      </c>
      <c r="J211" s="4">
        <v>20</v>
      </c>
      <c r="L211" t="s">
        <v>253</v>
      </c>
      <c r="M211" t="s">
        <v>462</v>
      </c>
      <c r="N211" s="4">
        <f>IF(L211="","",IF(OR(Registro2[[#This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11" t="str">
        <f t="shared" si="3"/>
        <v>fev/25</v>
      </c>
      <c r="P211" t="str">
        <f>IF(Registro2[[#This Row],[Data de Pagamento]]&gt;0,TEXT(A211,"mmm/aa"),"")</f>
        <v>fev/25</v>
      </c>
      <c r="T211" s="4">
        <f>IF(Registro2[[#This Row],[Data de Pagamento]]="",0,IF(Registro2[[#This Row],[Conta Financeira]]=base!$A$6,0,Registro2[[#This Row],[Valor Unitário]]))</f>
        <v>20</v>
      </c>
      <c r="U2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1" t="str">
        <f>VLOOKUP(Registro2[[#This Row],[Categoria]],'Plano de Contas'!$V$3:W269,2,0)</f>
        <v>Receitas Serviços</v>
      </c>
      <c r="X21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  <c r="Y211" t="s">
        <v>1536</v>
      </c>
    </row>
    <row r="212" spans="1:25" hidden="1">
      <c r="A212" s="1">
        <v>45700.489583333336</v>
      </c>
      <c r="B212" s="1">
        <v>45700.489583333336</v>
      </c>
      <c r="D212" t="s">
        <v>1</v>
      </c>
      <c r="E212" t="s">
        <v>149</v>
      </c>
      <c r="F212" t="s">
        <v>147</v>
      </c>
      <c r="G212" t="s">
        <v>163</v>
      </c>
      <c r="I212" s="4">
        <v>35</v>
      </c>
      <c r="J212" s="4">
        <v>35</v>
      </c>
      <c r="L212" t="s">
        <v>264</v>
      </c>
      <c r="M212" t="s">
        <v>468</v>
      </c>
      <c r="N212" s="4">
        <f>IF(L212="","",IF(OR(Registro2[[#This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2" t="str">
        <f t="shared" si="3"/>
        <v>fev/25</v>
      </c>
      <c r="P212" t="str">
        <f>IF(Registro2[[#This Row],[Data de Pagamento]]&gt;0,TEXT(A212,"mmm/aa"),"")</f>
        <v>fev/25</v>
      </c>
      <c r="T212" s="4">
        <f>IF(Registro2[[#This Row],[Data de Pagamento]]="",0,IF(Registro2[[#This Row],[Conta Financeira]]=base!$A$6,0,Registro2[[#This Row],[Valor Unitário]]))</f>
        <v>35</v>
      </c>
      <c r="U2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2" t="str">
        <f>VLOOKUP(Registro2[[#This Row],[Categoria]],'Plano de Contas'!$V$3:W270,2,0)</f>
        <v>Receitas Serviços</v>
      </c>
      <c r="X21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12" t="s">
        <v>1536</v>
      </c>
    </row>
    <row r="213" spans="1:25" hidden="1">
      <c r="A213" s="1">
        <v>45700.5625</v>
      </c>
      <c r="B213" s="1">
        <v>45700.5625</v>
      </c>
      <c r="D213" t="s">
        <v>1</v>
      </c>
      <c r="E213" t="s">
        <v>149</v>
      </c>
      <c r="F213" t="s">
        <v>147</v>
      </c>
      <c r="G213" t="s">
        <v>163</v>
      </c>
      <c r="I213" s="4">
        <v>35</v>
      </c>
      <c r="J213" s="4">
        <v>35</v>
      </c>
      <c r="L213" t="s">
        <v>253</v>
      </c>
      <c r="M213" t="s">
        <v>469</v>
      </c>
      <c r="N213" s="4">
        <f>IF(L213="","",IF(OR(Registro2[[#This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3" t="str">
        <f t="shared" si="3"/>
        <v>fev/25</v>
      </c>
      <c r="P213" t="str">
        <f>IF(Registro2[[#This Row],[Data de Pagamento]]&gt;0,TEXT(A213,"mmm/aa"),"")</f>
        <v>fev/25</v>
      </c>
      <c r="T213" s="4">
        <f>IF(Registro2[[#This Row],[Data de Pagamento]]="",0,IF(Registro2[[#This Row],[Conta Financeira]]=base!$A$6,0,Registro2[[#This Row],[Valor Unitário]]))</f>
        <v>35</v>
      </c>
      <c r="U2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3" t="str">
        <f>VLOOKUP(Registro2[[#This Row],[Categoria]],'Plano de Contas'!$V$3:W273,2,0)</f>
        <v>Receitas Serviços</v>
      </c>
      <c r="X21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13" t="s">
        <v>1536</v>
      </c>
    </row>
    <row r="214" spans="1:25" hidden="1">
      <c r="A214" s="1">
        <v>45700.625</v>
      </c>
      <c r="B214" s="1">
        <v>45700.625</v>
      </c>
      <c r="D214" t="s">
        <v>1</v>
      </c>
      <c r="E214" t="s">
        <v>149</v>
      </c>
      <c r="F214" t="s">
        <v>152</v>
      </c>
      <c r="G214" t="s">
        <v>353</v>
      </c>
      <c r="I214" s="4">
        <v>55</v>
      </c>
      <c r="J214" s="4">
        <v>55</v>
      </c>
      <c r="L214" t="s">
        <v>264</v>
      </c>
      <c r="M214" t="s">
        <v>465</v>
      </c>
      <c r="N214" s="4">
        <f>IF(L214="","",IF(OR(Registro2[[#This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214" t="str">
        <f t="shared" si="3"/>
        <v>fev/25</v>
      </c>
      <c r="P214" t="str">
        <f>IF(Registro2[[#This Row],[Data de Pagamento]]&gt;0,TEXT(A214,"mmm/aa"),"")</f>
        <v>fev/25</v>
      </c>
      <c r="T214" s="4">
        <f>IF(Registro2[[#This Row],[Data de Pagamento]]="",0,IF(Registro2[[#This Row],[Conta Financeira]]=base!$A$6,0,Registro2[[#This Row],[Valor Unitário]]))</f>
        <v>55</v>
      </c>
      <c r="U2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4" t="str">
        <f>VLOOKUP(Registro2[[#This Row],[Categoria]],'Plano de Contas'!$V$3:W271,2,0)</f>
        <v>Receitas Serviços</v>
      </c>
      <c r="X21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14" t="s">
        <v>1536</v>
      </c>
    </row>
    <row r="215" spans="1:25" hidden="1">
      <c r="A215" s="1">
        <v>45700.683333333334</v>
      </c>
      <c r="B215" s="1">
        <v>45700.683333333334</v>
      </c>
      <c r="D215" t="s">
        <v>136</v>
      </c>
      <c r="E215" t="s">
        <v>137</v>
      </c>
      <c r="F215" t="s">
        <v>138</v>
      </c>
      <c r="G215" t="s">
        <v>338</v>
      </c>
      <c r="H215" t="s">
        <v>959</v>
      </c>
      <c r="I215" s="4">
        <v>41.22</v>
      </c>
      <c r="J215" s="4"/>
      <c r="N215" s="4" t="str">
        <f>IF(L215="","",IF(OR(Registro2[[#This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5" t="str">
        <f t="shared" si="3"/>
        <v>fev/25</v>
      </c>
      <c r="P215" t="str">
        <f>IF(Registro2[[#This Row],[Data de Pagamento]]&gt;0,TEXT(A215,"mmm/aa"),"")</f>
        <v>fev/25</v>
      </c>
      <c r="T215" s="4">
        <f>IF(Registro2[[#This Row],[Data de Pagamento]]="",0,IF(Registro2[[#This Row],[Conta Financeira]]=base!$A$6,0,Registro2[[#This Row],[Valor Unitário]]))</f>
        <v>41.22</v>
      </c>
      <c r="U2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5" t="str">
        <f>VLOOKUP(Registro2[[#This Row],[Categoria]],'Plano de Contas'!$V$3:W475,2,0)</f>
        <v>Despesas Administrativas</v>
      </c>
      <c r="X21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15" t="s">
        <v>1536</v>
      </c>
    </row>
    <row r="216" spans="1:25" hidden="1">
      <c r="A216" s="1">
        <v>45700.685416666667</v>
      </c>
      <c r="B216" s="1">
        <v>45700.685416666667</v>
      </c>
      <c r="D216" t="s">
        <v>136</v>
      </c>
      <c r="E216" t="s">
        <v>137</v>
      </c>
      <c r="F216" t="s">
        <v>138</v>
      </c>
      <c r="G216" t="s">
        <v>969</v>
      </c>
      <c r="H216" t="s">
        <v>960</v>
      </c>
      <c r="I216" s="4">
        <v>30</v>
      </c>
      <c r="J216" s="4"/>
      <c r="N216" s="4" t="str">
        <f>IF(L216="","",IF(OR(Registro2[[#This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6" t="str">
        <f t="shared" si="3"/>
        <v>fev/25</v>
      </c>
      <c r="P216" t="str">
        <f>IF(Registro2[[#This Row],[Data de Pagamento]]&gt;0,TEXT(A216,"mmm/aa"),"")</f>
        <v>fev/25</v>
      </c>
      <c r="T216" s="4">
        <f>IF(Registro2[[#This Row],[Data de Pagamento]]="",0,IF(Registro2[[#This Row],[Conta Financeira]]=base!$A$6,0,Registro2[[#This Row],[Valor Unitário]]))</f>
        <v>30</v>
      </c>
      <c r="U2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6" t="str">
        <f>VLOOKUP(Registro2[[#This Row],[Categoria]],'Plano de Contas'!$V$3:W476,2,0)</f>
        <v>Despesas Operacionais</v>
      </c>
      <c r="X21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16" t="s">
        <v>1536</v>
      </c>
    </row>
    <row r="217" spans="1:25" hidden="1">
      <c r="A217" s="1">
        <v>45700.686111111114</v>
      </c>
      <c r="B217" s="1">
        <v>45700.686111111114</v>
      </c>
      <c r="D217" t="s">
        <v>136</v>
      </c>
      <c r="E217" t="s">
        <v>137</v>
      </c>
      <c r="F217" t="s">
        <v>146</v>
      </c>
      <c r="G217" t="s">
        <v>314</v>
      </c>
      <c r="H217" t="s">
        <v>961</v>
      </c>
      <c r="I217" s="4">
        <v>60</v>
      </c>
      <c r="J217" s="4"/>
      <c r="N217" s="4" t="str">
        <f>IF(L217="","",IF(OR(Registro2[[#This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7" t="str">
        <f t="shared" si="3"/>
        <v>fev/25</v>
      </c>
      <c r="P217" t="str">
        <f>IF(Registro2[[#This Row],[Data de Pagamento]]&gt;0,TEXT(A217,"mmm/aa"),"")</f>
        <v>fev/25</v>
      </c>
      <c r="T217" s="4">
        <f>IF(Registro2[[#This Row],[Data de Pagamento]]="",0,IF(Registro2[[#This Row],[Conta Financeira]]=base!$A$6,0,Registro2[[#This Row],[Valor Unitário]]))</f>
        <v>60</v>
      </c>
      <c r="U2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7" t="str">
        <f>VLOOKUP(Registro2[[#This Row],[Categoria]],'Plano de Contas'!$V$3:W477,2,0)</f>
        <v>Despesas Operacionais</v>
      </c>
      <c r="X21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17" t="s">
        <v>1536</v>
      </c>
    </row>
    <row r="218" spans="1:25" hidden="1">
      <c r="A218" s="1">
        <v>45700.697916666664</v>
      </c>
      <c r="B218" s="1">
        <v>45700.697916666664</v>
      </c>
      <c r="D218" t="s">
        <v>1</v>
      </c>
      <c r="E218" t="s">
        <v>149</v>
      </c>
      <c r="F218" t="s">
        <v>147</v>
      </c>
      <c r="G218" t="s">
        <v>163</v>
      </c>
      <c r="I218" s="4">
        <v>35</v>
      </c>
      <c r="J218" s="4">
        <v>35</v>
      </c>
      <c r="L218" t="s">
        <v>264</v>
      </c>
      <c r="M218" t="s">
        <v>470</v>
      </c>
      <c r="N218" s="4">
        <f>IF(L218="","",IF(OR(Registro2[[#This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8" t="str">
        <f t="shared" si="3"/>
        <v>fev/25</v>
      </c>
      <c r="P218" t="str">
        <f>IF(Registro2[[#This Row],[Data de Pagamento]]&gt;0,TEXT(A218,"mmm/aa"),"")</f>
        <v>fev/25</v>
      </c>
      <c r="T218" s="4">
        <f>IF(Registro2[[#This Row],[Data de Pagamento]]="",0,IF(Registro2[[#This Row],[Conta Financeira]]=base!$A$6,0,Registro2[[#This Row],[Valor Unitário]]))</f>
        <v>35</v>
      </c>
      <c r="U2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8" t="str">
        <f>VLOOKUP(Registro2[[#This Row],[Categoria]],'Plano de Contas'!$V$3:W278,2,0)</f>
        <v>Receitas Serviços</v>
      </c>
      <c r="X2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18" t="s">
        <v>1536</v>
      </c>
    </row>
    <row r="219" spans="1:25" hidden="1">
      <c r="A219" s="1">
        <v>45700.729166666664</v>
      </c>
      <c r="B219" s="1">
        <v>45700.729166666664</v>
      </c>
      <c r="D219" t="s">
        <v>2</v>
      </c>
      <c r="E219" t="s">
        <v>149</v>
      </c>
      <c r="F219" t="s">
        <v>147</v>
      </c>
      <c r="G219" t="s">
        <v>163</v>
      </c>
      <c r="I219" s="4">
        <v>35</v>
      </c>
      <c r="J219" s="4">
        <v>35</v>
      </c>
      <c r="L219" t="s">
        <v>253</v>
      </c>
      <c r="M219" t="s">
        <v>8</v>
      </c>
      <c r="N219" s="4">
        <f>IF(L219="","",IF(OR(Registro2[[#This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9" t="str">
        <f t="shared" si="3"/>
        <v>fev/25</v>
      </c>
      <c r="P219" t="str">
        <f>IF(Registro2[[#This Row],[Data de Pagamento]]&gt;0,TEXT(A219,"mmm/aa"),"")</f>
        <v>fev/25</v>
      </c>
      <c r="T219" s="4">
        <f>IF(Registro2[[#This Row],[Data de Pagamento]]="",0,IF(Registro2[[#This Row],[Conta Financeira]]=base!$A$6,0,Registro2[[#This Row],[Valor Unitário]]))</f>
        <v>35</v>
      </c>
      <c r="U2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9" t="str">
        <f>VLOOKUP(Registro2[[#This Row],[Categoria]],'Plano de Contas'!$V$3:W275,2,0)</f>
        <v>Receitas Serviços</v>
      </c>
      <c r="X21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19" t="s">
        <v>1536</v>
      </c>
    </row>
    <row r="220" spans="1:25" hidden="1">
      <c r="A220" s="1">
        <v>45700.756944444445</v>
      </c>
      <c r="B220" s="1">
        <v>45700.756944444445</v>
      </c>
      <c r="D220" t="s">
        <v>1</v>
      </c>
      <c r="E220" t="s">
        <v>149</v>
      </c>
      <c r="F220" t="s">
        <v>147</v>
      </c>
      <c r="G220" t="s">
        <v>161</v>
      </c>
      <c r="I220" s="4">
        <v>20</v>
      </c>
      <c r="J220" s="4">
        <v>20</v>
      </c>
      <c r="L220" t="s">
        <v>253</v>
      </c>
      <c r="M220" t="s">
        <v>26</v>
      </c>
      <c r="N220" s="4">
        <f>IF(L220="","",IF(OR(Registro2[[#This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20" t="str">
        <f t="shared" si="3"/>
        <v>fev/25</v>
      </c>
      <c r="P220" t="str">
        <f>IF(Registro2[[#This Row],[Data de Pagamento]]&gt;0,TEXT(A220,"mmm/aa"),"")</f>
        <v>fev/25</v>
      </c>
      <c r="T220" s="4">
        <f>IF(Registro2[[#This Row],[Data de Pagamento]]="",0,IF(Registro2[[#This Row],[Conta Financeira]]=base!$A$6,0,Registro2[[#This Row],[Valor Unitário]]))</f>
        <v>20</v>
      </c>
      <c r="U2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0" t="str">
        <f>VLOOKUP(Registro2[[#This Row],[Categoria]],'Plano de Contas'!$V$3:W279,2,0)</f>
        <v>Receitas Serviços</v>
      </c>
      <c r="X22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20" t="s">
        <v>1536</v>
      </c>
    </row>
    <row r="221" spans="1:25" hidden="1">
      <c r="A221" s="1">
        <v>45700.760416666664</v>
      </c>
      <c r="B221" s="1">
        <v>45700.760416666664</v>
      </c>
      <c r="D221" t="s">
        <v>310</v>
      </c>
      <c r="E221" t="s">
        <v>149</v>
      </c>
      <c r="F221" t="s">
        <v>147</v>
      </c>
      <c r="G221" t="s">
        <v>163</v>
      </c>
      <c r="I221" s="4">
        <v>35</v>
      </c>
      <c r="J221" s="4">
        <v>35</v>
      </c>
      <c r="L221" t="s">
        <v>253</v>
      </c>
      <c r="M221" t="s">
        <v>191</v>
      </c>
      <c r="N221" s="4">
        <f>IF(L221="","",IF(OR(Registro2[[#This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1" t="str">
        <f t="shared" si="3"/>
        <v>fev/25</v>
      </c>
      <c r="P221" t="str">
        <f>IF(Registro2[[#This Row],[Data de Pagamento]]&gt;0,TEXT(A221,"mmm/aa"),"")</f>
        <v>fev/25</v>
      </c>
      <c r="T221" s="4">
        <f>IF(Registro2[[#This Row],[Data de Pagamento]]="",0,IF(Registro2[[#This Row],[Conta Financeira]]=base!$A$6,0,Registro2[[#This Row],[Valor Unitário]]))</f>
        <v>35</v>
      </c>
      <c r="U2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1" t="str">
        <f>VLOOKUP(Registro2[[#This Row],[Categoria]],'Plano de Contas'!$V$3:W272,2,0)</f>
        <v>Receitas Serviços</v>
      </c>
      <c r="X22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221" t="s">
        <v>1536</v>
      </c>
    </row>
    <row r="222" spans="1:25" hidden="1">
      <c r="A222" s="1">
        <v>45700.763888888891</v>
      </c>
      <c r="B222" s="1">
        <v>45700.763888888891</v>
      </c>
      <c r="D222" t="s">
        <v>310</v>
      </c>
      <c r="E222" t="s">
        <v>149</v>
      </c>
      <c r="F222" t="s">
        <v>147</v>
      </c>
      <c r="G222" t="s">
        <v>161</v>
      </c>
      <c r="I222" s="4">
        <v>20</v>
      </c>
      <c r="J222" s="4">
        <v>60</v>
      </c>
      <c r="L222" t="s">
        <v>253</v>
      </c>
      <c r="M222" t="s">
        <v>463</v>
      </c>
      <c r="N222" s="4">
        <f>IF(L222="","",IF(OR(Registro2[[#This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22" t="str">
        <f t="shared" si="3"/>
        <v>fev/25</v>
      </c>
      <c r="P222" t="str">
        <f>IF(Registro2[[#This Row],[Data de Pagamento]]&gt;0,TEXT(A222,"mmm/aa"),"")</f>
        <v>fev/25</v>
      </c>
      <c r="T222" s="4">
        <f>IF(Registro2[[#This Row],[Data de Pagamento]]="",0,IF(Registro2[[#This Row],[Conta Financeira]]=base!$A$6,0,Registro2[[#This Row],[Valor Unitário]]))</f>
        <v>20</v>
      </c>
      <c r="U2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2" t="str">
        <f>VLOOKUP(Registro2[[#This Row],[Categoria]],'Plano de Contas'!$V$3:W280,2,0)</f>
        <v>Receitas Serviços</v>
      </c>
      <c r="X22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  <c r="Y222" t="s">
        <v>1536</v>
      </c>
    </row>
    <row r="223" spans="1:25" hidden="1">
      <c r="A223" s="1">
        <v>45700.763888888891</v>
      </c>
      <c r="B223" s="1">
        <v>45700.763888888891</v>
      </c>
      <c r="D223" t="s">
        <v>310</v>
      </c>
      <c r="E223" t="s">
        <v>149</v>
      </c>
      <c r="F223" t="s">
        <v>147</v>
      </c>
      <c r="G223" t="s">
        <v>166</v>
      </c>
      <c r="I223" s="4">
        <v>15</v>
      </c>
      <c r="J223" s="4"/>
      <c r="L223" t="s">
        <v>253</v>
      </c>
      <c r="M223" t="s">
        <v>463</v>
      </c>
      <c r="N223" s="4">
        <f>IF(L223="","",IF(OR(Registro2[[#This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23" t="str">
        <f t="shared" si="3"/>
        <v>fev/25</v>
      </c>
      <c r="P223" t="str">
        <f>IF(Registro2[[#This Row],[Data de Pagamento]]&gt;0,TEXT(A223,"mmm/aa"),"")</f>
        <v>fev/25</v>
      </c>
      <c r="T223" s="4">
        <f>IF(Registro2[[#This Row],[Data de Pagamento]]="",0,IF(Registro2[[#This Row],[Conta Financeira]]=base!$A$6,0,Registro2[[#This Row],[Valor Unitário]]))</f>
        <v>15</v>
      </c>
      <c r="U2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3" t="str">
        <f>VLOOKUP(Registro2[[#This Row],[Categoria]],'Plano de Contas'!$V$3:W281,2,0)</f>
        <v>Receitas Serviços</v>
      </c>
      <c r="X22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  <c r="Y223" t="s">
        <v>1536</v>
      </c>
    </row>
    <row r="224" spans="1:25" hidden="1">
      <c r="A224" s="1">
        <v>45700.763888888891</v>
      </c>
      <c r="B224" s="1">
        <v>45700.763888888891</v>
      </c>
      <c r="D224" t="s">
        <v>310</v>
      </c>
      <c r="E224" t="s">
        <v>149</v>
      </c>
      <c r="F224" t="s">
        <v>150</v>
      </c>
      <c r="G224" t="s">
        <v>508</v>
      </c>
      <c r="I224" s="4">
        <v>25</v>
      </c>
      <c r="J224" s="4"/>
      <c r="L224" t="s">
        <v>253</v>
      </c>
      <c r="M224" t="s">
        <v>463</v>
      </c>
      <c r="N224" s="4">
        <f>IF(L224="","",IF(OR(Registro2[[#This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224" t="str">
        <f t="shared" si="3"/>
        <v>fev/25</v>
      </c>
      <c r="P224" t="str">
        <f>IF(Registro2[[#This Row],[Data de Pagamento]]&gt;0,TEXT(A224,"mmm/aa"),"")</f>
        <v>fev/25</v>
      </c>
      <c r="T224" s="4">
        <f>IF(Registro2[[#This Row],[Data de Pagamento]]="",0,IF(Registro2[[#This Row],[Conta Financeira]]=base!$A$6,0,Registro2[[#This Row],[Valor Unitário]]))</f>
        <v>25</v>
      </c>
      <c r="U2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4" t="str">
        <f>VLOOKUP(Registro2[[#This Row],[Categoria]],'Plano de Contas'!$V$3:W282,2,0)</f>
        <v>Receitas Produtos</v>
      </c>
      <c r="X22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0.2225</v>
      </c>
      <c r="Y224" t="s">
        <v>1536</v>
      </c>
    </row>
    <row r="225" spans="1:25" hidden="1">
      <c r="A225" s="1">
        <v>45700.78125</v>
      </c>
      <c r="B225" s="1">
        <v>45700.78125</v>
      </c>
      <c r="D225" t="s">
        <v>310</v>
      </c>
      <c r="E225" t="s">
        <v>149</v>
      </c>
      <c r="F225" t="s">
        <v>147</v>
      </c>
      <c r="G225" t="s">
        <v>161</v>
      </c>
      <c r="I225" s="4">
        <v>20</v>
      </c>
      <c r="J225" s="4">
        <v>20</v>
      </c>
      <c r="L225" t="s">
        <v>264</v>
      </c>
      <c r="M225" t="s">
        <v>464</v>
      </c>
      <c r="N225" s="4">
        <f>IF(L225="","",IF(OR(Registro2[[#This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25" t="str">
        <f t="shared" si="3"/>
        <v>fev/25</v>
      </c>
      <c r="P225" t="str">
        <f>IF(Registro2[[#This Row],[Data de Pagamento]]&gt;0,TEXT(A225,"mmm/aa"),"")</f>
        <v>fev/25</v>
      </c>
      <c r="T225" s="4">
        <f>IF(Registro2[[#This Row],[Data de Pagamento]]="",0,IF(Registro2[[#This Row],[Conta Financeira]]=base!$A$6,0,Registro2[[#This Row],[Valor Unitário]]))</f>
        <v>20</v>
      </c>
      <c r="U2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5" t="str">
        <f>VLOOKUP(Registro2[[#This Row],[Categoria]],'Plano de Contas'!$V$3:W283,2,0)</f>
        <v>Receitas Serviços</v>
      </c>
      <c r="X22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  <c r="Y225" t="s">
        <v>1536</v>
      </c>
    </row>
    <row r="226" spans="1:25" hidden="1">
      <c r="A226" s="1">
        <v>45700.791666666664</v>
      </c>
      <c r="B226" s="1">
        <v>45700.791666666664</v>
      </c>
      <c r="D226" t="s">
        <v>310</v>
      </c>
      <c r="E226" t="s">
        <v>149</v>
      </c>
      <c r="F226" t="s">
        <v>152</v>
      </c>
      <c r="G226" t="s">
        <v>159</v>
      </c>
      <c r="I226" s="4">
        <v>40</v>
      </c>
      <c r="J226" s="4">
        <v>40</v>
      </c>
      <c r="L226" t="s">
        <v>253</v>
      </c>
      <c r="M226" t="s">
        <v>466</v>
      </c>
      <c r="N226" s="4">
        <f>IF(L226="","",IF(OR(Registro2[[#This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226" t="str">
        <f t="shared" si="3"/>
        <v>fev/25</v>
      </c>
      <c r="P226" t="str">
        <f>IF(Registro2[[#This Row],[Data de Pagamento]]&gt;0,TEXT(A226,"mmm/aa"),"")</f>
        <v>fev/25</v>
      </c>
      <c r="T226" s="4">
        <f>IF(Registro2[[#This Row],[Data de Pagamento]]="",0,IF(Registro2[[#This Row],[Conta Financeira]]=base!$A$6,0,Registro2[[#This Row],[Valor Unitário]]))</f>
        <v>40</v>
      </c>
      <c r="U2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6" t="str">
        <f>VLOOKUP(Registro2[[#This Row],[Categoria]],'Plano de Contas'!$V$3:W277,2,0)</f>
        <v>Receitas Serviços</v>
      </c>
      <c r="X22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0.35599999999999998</v>
      </c>
      <c r="Y226" t="s">
        <v>1536</v>
      </c>
    </row>
    <row r="227" spans="1:25" hidden="1">
      <c r="A227" s="1">
        <v>45700.791666666664</v>
      </c>
      <c r="B227" s="1">
        <v>45700.791666666664</v>
      </c>
      <c r="D227" t="s">
        <v>1</v>
      </c>
      <c r="E227" t="s">
        <v>149</v>
      </c>
      <c r="F227" t="s">
        <v>147</v>
      </c>
      <c r="G227" t="s">
        <v>163</v>
      </c>
      <c r="I227" s="4">
        <v>35</v>
      </c>
      <c r="J227" s="4">
        <v>35</v>
      </c>
      <c r="L227" t="s">
        <v>264</v>
      </c>
      <c r="M227" t="s">
        <v>471</v>
      </c>
      <c r="N227" s="4">
        <f>IF(L227="","",IF(OR(Registro2[[#This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7" t="str">
        <f t="shared" si="3"/>
        <v>fev/25</v>
      </c>
      <c r="P227" t="str">
        <f>IF(Registro2[[#This Row],[Data de Pagamento]]&gt;0,TEXT(A227,"mmm/aa"),"")</f>
        <v>fev/25</v>
      </c>
      <c r="T227" s="4">
        <f>IF(Registro2[[#This Row],[Data de Pagamento]]="",0,IF(Registro2[[#This Row],[Conta Financeira]]=base!$A$6,0,Registro2[[#This Row],[Valor Unitário]]))</f>
        <v>35</v>
      </c>
      <c r="U2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7" t="str">
        <f>VLOOKUP(Registro2[[#This Row],[Categoria]],'Plano de Contas'!$V$3:W284,2,0)</f>
        <v>Receitas Serviços</v>
      </c>
      <c r="X2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27" t="s">
        <v>1536</v>
      </c>
    </row>
    <row r="228" spans="1:25" hidden="1">
      <c r="A228" s="1">
        <v>45700.8125</v>
      </c>
      <c r="B228" s="1">
        <v>45700.8125</v>
      </c>
      <c r="D228" t="s">
        <v>1</v>
      </c>
      <c r="E228" t="s">
        <v>149</v>
      </c>
      <c r="F228" t="s">
        <v>152</v>
      </c>
      <c r="G228" t="s">
        <v>159</v>
      </c>
      <c r="I228" s="4">
        <v>40</v>
      </c>
      <c r="J228" s="4">
        <v>40</v>
      </c>
      <c r="L228" t="s">
        <v>253</v>
      </c>
      <c r="M228" t="s">
        <v>467</v>
      </c>
      <c r="N228" s="4">
        <f>IF(L228="","",IF(OR(Registro2[[#This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228" t="str">
        <f t="shared" si="3"/>
        <v>fev/25</v>
      </c>
      <c r="P228" t="str">
        <f>IF(Registro2[[#This Row],[Data de Pagamento]]&gt;0,TEXT(A228,"mmm/aa"),"")</f>
        <v>fev/25</v>
      </c>
      <c r="T228" s="4">
        <f>IF(Registro2[[#This Row],[Data de Pagamento]]="",0,IF(Registro2[[#This Row],[Conta Financeira]]=base!$A$6,0,Registro2[[#This Row],[Valor Unitário]]))</f>
        <v>40</v>
      </c>
      <c r="U2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8" t="str">
        <f>VLOOKUP(Registro2[[#This Row],[Categoria]],'Plano de Contas'!$V$3:W286,2,0)</f>
        <v>Receitas Serviços</v>
      </c>
      <c r="X22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28" t="s">
        <v>1536</v>
      </c>
    </row>
    <row r="229" spans="1:25" hidden="1">
      <c r="A229" s="1">
        <v>45700.84375</v>
      </c>
      <c r="B229" s="1">
        <v>45700.84375</v>
      </c>
      <c r="D229" t="s">
        <v>310</v>
      </c>
      <c r="E229" t="s">
        <v>149</v>
      </c>
      <c r="F229" t="s">
        <v>147</v>
      </c>
      <c r="G229" t="s">
        <v>163</v>
      </c>
      <c r="I229" s="4">
        <v>35</v>
      </c>
      <c r="J229" s="4">
        <v>35</v>
      </c>
      <c r="L229" t="s">
        <v>264</v>
      </c>
      <c r="M229" t="s">
        <v>382</v>
      </c>
      <c r="N229" s="4">
        <f>IF(L229="","",IF(OR(Registro2[[#This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9" t="str">
        <f t="shared" si="3"/>
        <v>fev/25</v>
      </c>
      <c r="P229" t="str">
        <f>IF(Registro2[[#This Row],[Data de Pagamento]]&gt;0,TEXT(A229,"mmm/aa"),"")</f>
        <v>fev/25</v>
      </c>
      <c r="T229" s="4">
        <f>IF(Registro2[[#This Row],[Data de Pagamento]]="",0,IF(Registro2[[#This Row],[Conta Financeira]]=base!$A$6,0,Registro2[[#This Row],[Valor Unitário]]))</f>
        <v>35</v>
      </c>
      <c r="U2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9" t="str">
        <f>VLOOKUP(Registro2[[#This Row],[Categoria]],'Plano de Contas'!$V$3:W285,2,0)</f>
        <v>Receitas Serviços</v>
      </c>
      <c r="X22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229" t="s">
        <v>1536</v>
      </c>
    </row>
    <row r="230" spans="1:25" hidden="1">
      <c r="A230" s="1">
        <v>45701</v>
      </c>
      <c r="B230" s="1">
        <v>45701</v>
      </c>
      <c r="E230" t="s">
        <v>137</v>
      </c>
      <c r="F230" t="s">
        <v>146</v>
      </c>
      <c r="G230" t="s">
        <v>315</v>
      </c>
      <c r="H230" t="s">
        <v>445</v>
      </c>
      <c r="I230" s="4">
        <v>375.29</v>
      </c>
      <c r="J230" s="4"/>
      <c r="N230" s="4" t="str">
        <f>IF(L230="","",IF(OR(Registro2[[#This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30" t="str">
        <f t="shared" si="3"/>
        <v>fev/25</v>
      </c>
      <c r="P230" t="str">
        <f>IF(Registro2[[#This Row],[Data de Pagamento]]&gt;0,TEXT(A230,"mmm/aa"),"")</f>
        <v>fev/25</v>
      </c>
      <c r="T230" s="4">
        <f>IF(Registro2[[#This Row],[Data de Pagamento]]="",0,IF(Registro2[[#This Row],[Conta Financeira]]=base!$A$6,0,Registro2[[#This Row],[Valor Unitário]]))</f>
        <v>375.29</v>
      </c>
      <c r="U2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0" t="str">
        <f>VLOOKUP(Registro2[[#This Row],[Categoria]],'Plano de Contas'!$V$3:W73,2,0)</f>
        <v>Despesas Operacionais</v>
      </c>
      <c r="X23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30" t="s">
        <v>1536</v>
      </c>
    </row>
    <row r="231" spans="1:25" hidden="1">
      <c r="A231" s="1">
        <v>45701.416666666664</v>
      </c>
      <c r="B231" s="1">
        <v>45701.416666666664</v>
      </c>
      <c r="D231" t="s">
        <v>1</v>
      </c>
      <c r="E231" t="s">
        <v>149</v>
      </c>
      <c r="F231" t="s">
        <v>147</v>
      </c>
      <c r="G231" t="s">
        <v>163</v>
      </c>
      <c r="I231" s="4">
        <v>35</v>
      </c>
      <c r="J231" s="4">
        <v>35</v>
      </c>
      <c r="L231" t="s">
        <v>252</v>
      </c>
      <c r="M231" t="s">
        <v>473</v>
      </c>
      <c r="N231" s="4">
        <f>IF(L231="","",IF(OR(Registro2[[#This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1" t="str">
        <f t="shared" si="3"/>
        <v>fev/25</v>
      </c>
      <c r="P231" t="str">
        <f>IF(Registro2[[#This Row],[Data de Pagamento]]&gt;0,TEXT(A231,"mmm/aa"),"")</f>
        <v>fev/25</v>
      </c>
      <c r="T231" s="4">
        <f>IF(Registro2[[#This Row],[Data de Pagamento]]="",0,IF(Registro2[[#This Row],[Conta Financeira]]=base!$A$6,0,Registro2[[#This Row],[Valor Unitário]]))</f>
        <v>35</v>
      </c>
      <c r="U2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1" t="str">
        <f>VLOOKUP(Registro2[[#This Row],[Categoria]],'Plano de Contas'!$V$3:W274,2,0)</f>
        <v>Receitas Serviços</v>
      </c>
      <c r="X23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31" t="s">
        <v>1536</v>
      </c>
    </row>
    <row r="232" spans="1:25" hidden="1">
      <c r="A232" s="1">
        <v>45701.416666666664</v>
      </c>
      <c r="B232" s="1">
        <v>45701.416666666664</v>
      </c>
      <c r="D232" t="s">
        <v>2</v>
      </c>
      <c r="E232" t="s">
        <v>149</v>
      </c>
      <c r="F232" t="s">
        <v>147</v>
      </c>
      <c r="G232" t="s">
        <v>160</v>
      </c>
      <c r="I232" s="4">
        <v>12</v>
      </c>
      <c r="J232" s="4">
        <v>12</v>
      </c>
      <c r="L232" t="s">
        <v>253</v>
      </c>
      <c r="M232" t="s">
        <v>474</v>
      </c>
      <c r="N232" s="4">
        <f>IF(L232="","",IF(OR(Registro2[[#This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232" t="str">
        <f t="shared" si="3"/>
        <v>fev/25</v>
      </c>
      <c r="P232" t="str">
        <f>IF(Registro2[[#This Row],[Data de Pagamento]]&gt;0,TEXT(A232,"mmm/aa"),"")</f>
        <v>fev/25</v>
      </c>
      <c r="T232" s="4">
        <f>IF(Registro2[[#This Row],[Data de Pagamento]]="",0,IF(Registro2[[#This Row],[Conta Financeira]]=base!$A$6,0,Registro2[[#This Row],[Valor Unitário]]))</f>
        <v>12</v>
      </c>
      <c r="U2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2" t="str">
        <f>VLOOKUP(Registro2[[#This Row],[Categoria]],'Plano de Contas'!$V$3:W289,2,0)</f>
        <v>Receitas Serviços</v>
      </c>
      <c r="X23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32" t="s">
        <v>1536</v>
      </c>
    </row>
    <row r="233" spans="1:25" hidden="1">
      <c r="A233" s="1">
        <v>45701.447916666664</v>
      </c>
      <c r="B233" s="1">
        <v>45701.447916666664</v>
      </c>
      <c r="D233" t="s">
        <v>2</v>
      </c>
      <c r="E233" t="s">
        <v>149</v>
      </c>
      <c r="F233" t="s">
        <v>152</v>
      </c>
      <c r="G233" t="s">
        <v>353</v>
      </c>
      <c r="I233" s="4">
        <v>45</v>
      </c>
      <c r="J233" s="4">
        <v>45</v>
      </c>
      <c r="L233" t="s">
        <v>253</v>
      </c>
      <c r="M233" t="s">
        <v>475</v>
      </c>
      <c r="N233" s="4">
        <f>IF(L233="","",IF(OR(Registro2[[#This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20.25</v>
      </c>
      <c r="O233" t="str">
        <f t="shared" si="3"/>
        <v>fev/25</v>
      </c>
      <c r="P233" t="str">
        <f>IF(Registro2[[#This Row],[Data de Pagamento]]&gt;0,TEXT(A233,"mmm/aa"),"")</f>
        <v>fev/25</v>
      </c>
      <c r="T233" s="4">
        <f>IF(Registro2[[#This Row],[Data de Pagamento]]="",0,IF(Registro2[[#This Row],[Conta Financeira]]=base!$A$6,0,Registro2[[#This Row],[Valor Unitário]]))</f>
        <v>45</v>
      </c>
      <c r="U2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3" t="str">
        <f>VLOOKUP(Registro2[[#This Row],[Categoria]],'Plano de Contas'!$V$3:W290,2,0)</f>
        <v>Receitas Serviços</v>
      </c>
      <c r="X23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33" t="s">
        <v>1536</v>
      </c>
    </row>
    <row r="234" spans="1:25" hidden="1">
      <c r="A234" s="1">
        <v>45701.489583333336</v>
      </c>
      <c r="B234" s="1">
        <v>45701.489583333336</v>
      </c>
      <c r="D234" t="s">
        <v>310</v>
      </c>
      <c r="E234" t="s">
        <v>149</v>
      </c>
      <c r="F234" t="s">
        <v>152</v>
      </c>
      <c r="G234" t="s">
        <v>159</v>
      </c>
      <c r="I234" s="4">
        <v>40</v>
      </c>
      <c r="J234" s="4">
        <v>40</v>
      </c>
      <c r="L234" t="s">
        <v>252</v>
      </c>
      <c r="M234" t="s">
        <v>372</v>
      </c>
      <c r="N234" s="4">
        <f>IF(L234="","",IF(OR(Registro2[[#This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234" t="str">
        <f t="shared" si="3"/>
        <v>fev/25</v>
      </c>
      <c r="P234" t="str">
        <f>IF(Registro2[[#This Row],[Data de Pagamento]]&gt;0,TEXT(A234,"mmm/aa"),"")</f>
        <v>fev/25</v>
      </c>
      <c r="T234" s="4">
        <f>IF(Registro2[[#This Row],[Data de Pagamento]]="",0,IF(Registro2[[#This Row],[Conta Financeira]]=base!$A$6,0,Registro2[[#This Row],[Valor Unitário]]))</f>
        <v>40</v>
      </c>
      <c r="U2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4" t="str">
        <f>VLOOKUP(Registro2[[#This Row],[Categoria]],'Plano de Contas'!$V$3:W287,2,0)</f>
        <v>Receitas Serviços</v>
      </c>
      <c r="X23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0.35599999999999998</v>
      </c>
      <c r="Y234" t="s">
        <v>1536</v>
      </c>
    </row>
    <row r="235" spans="1:25" hidden="1">
      <c r="A235" s="1">
        <v>45701.583333333336</v>
      </c>
      <c r="B235" s="1">
        <v>45701.583333333336</v>
      </c>
      <c r="D235" t="s">
        <v>1</v>
      </c>
      <c r="E235" t="s">
        <v>149</v>
      </c>
      <c r="F235" t="s">
        <v>147</v>
      </c>
      <c r="G235" t="s">
        <v>163</v>
      </c>
      <c r="I235" s="4">
        <v>35</v>
      </c>
      <c r="J235" s="4">
        <v>35</v>
      </c>
      <c r="L235" t="s">
        <v>253</v>
      </c>
      <c r="M235" t="s">
        <v>476</v>
      </c>
      <c r="N235" s="4">
        <f>IF(L235="","",IF(OR(Registro2[[#This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5" t="str">
        <f t="shared" si="3"/>
        <v>fev/25</v>
      </c>
      <c r="P235" t="str">
        <f>IF(Registro2[[#This Row],[Data de Pagamento]]&gt;0,TEXT(A235,"mmm/aa"),"")</f>
        <v>fev/25</v>
      </c>
      <c r="T235" s="4">
        <f>IF(Registro2[[#This Row],[Data de Pagamento]]="",0,IF(Registro2[[#This Row],[Conta Financeira]]=base!$A$6,0,Registro2[[#This Row],[Valor Unitário]]))</f>
        <v>35</v>
      </c>
      <c r="U2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5" t="str">
        <f>VLOOKUP(Registro2[[#This Row],[Categoria]],'Plano de Contas'!$V$3:W291,2,0)</f>
        <v>Receitas Serviços</v>
      </c>
      <c r="X23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35" t="s">
        <v>1536</v>
      </c>
    </row>
    <row r="236" spans="1:25" hidden="1">
      <c r="A236" s="1">
        <v>45701.604166666664</v>
      </c>
      <c r="B236" s="1">
        <v>45701.604166666664</v>
      </c>
      <c r="D236" t="s">
        <v>1</v>
      </c>
      <c r="E236" t="s">
        <v>149</v>
      </c>
      <c r="F236" t="s">
        <v>147</v>
      </c>
      <c r="G236" t="s">
        <v>163</v>
      </c>
      <c r="I236" s="4">
        <v>30</v>
      </c>
      <c r="J236" s="4">
        <v>0</v>
      </c>
      <c r="L236" t="s">
        <v>252</v>
      </c>
      <c r="M236" t="s">
        <v>122</v>
      </c>
      <c r="N236" s="4">
        <f>IF(L236="","",IF(OR(Registro2[[#This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236" t="str">
        <f t="shared" si="3"/>
        <v>fev/25</v>
      </c>
      <c r="P236" t="str">
        <f>IF(Registro2[[#This Row],[Data de Pagamento]]&gt;0,TEXT(A236,"mmm/aa"),"")</f>
        <v>fev/25</v>
      </c>
      <c r="T236" s="4">
        <f>IF(Registro2[[#This Row],[Data de Pagamento]]="",0,IF(Registro2[[#This Row],[Conta Financeira]]=base!$A$6,0,Registro2[[#This Row],[Valor Unitário]]))</f>
        <v>30</v>
      </c>
      <c r="U2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236" t="str">
        <f>VLOOKUP(Registro2[[#This Row],[Categoria]],'Plano de Contas'!$V$3:W288,2,0)</f>
        <v>Receitas Serviços</v>
      </c>
      <c r="X23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36" t="s">
        <v>1536</v>
      </c>
    </row>
    <row r="237" spans="1:25" hidden="1">
      <c r="A237" s="1">
        <v>45701.625</v>
      </c>
      <c r="B237" s="1">
        <v>45701.625</v>
      </c>
      <c r="D237" t="s">
        <v>310</v>
      </c>
      <c r="E237" t="s">
        <v>149</v>
      </c>
      <c r="F237" t="s">
        <v>147</v>
      </c>
      <c r="G237" t="s">
        <v>163</v>
      </c>
      <c r="I237" s="4">
        <v>35</v>
      </c>
      <c r="J237" s="4">
        <v>35</v>
      </c>
      <c r="L237" t="s">
        <v>252</v>
      </c>
      <c r="M237" t="s">
        <v>477</v>
      </c>
      <c r="N237" s="4">
        <f>IF(L237="","",IF(OR(Registro2[[#This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7" t="str">
        <f t="shared" si="3"/>
        <v>fev/25</v>
      </c>
      <c r="P237" t="str">
        <f>IF(Registro2[[#This Row],[Data de Pagamento]]&gt;0,TEXT(A237,"mmm/aa"),"")</f>
        <v>fev/25</v>
      </c>
      <c r="T237" s="4">
        <f>IF(Registro2[[#This Row],[Data de Pagamento]]="",0,IF(Registro2[[#This Row],[Conta Financeira]]=base!$A$6,0,Registro2[[#This Row],[Valor Unitário]]))</f>
        <v>35</v>
      </c>
      <c r="U2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7" t="str">
        <f>VLOOKUP(Registro2[[#This Row],[Categoria]],'Plano de Contas'!$V$3:W292,2,0)</f>
        <v>Receitas Serviços</v>
      </c>
      <c r="X23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237" t="s">
        <v>1536</v>
      </c>
    </row>
    <row r="238" spans="1:25" hidden="1">
      <c r="A238" s="1">
        <v>45701.692361111112</v>
      </c>
      <c r="B238" s="1">
        <v>45701.692361111112</v>
      </c>
      <c r="D238" t="s">
        <v>354</v>
      </c>
      <c r="E238" t="s">
        <v>149</v>
      </c>
      <c r="F238" t="s">
        <v>824</v>
      </c>
      <c r="G238" t="s">
        <v>837</v>
      </c>
      <c r="I238" s="4">
        <v>120</v>
      </c>
      <c r="J238" s="4">
        <v>120</v>
      </c>
      <c r="N238" s="4" t="str">
        <f>IF(L238="","",IF(OR(Registro2[[#This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38" t="str">
        <f t="shared" si="3"/>
        <v>fev/25</v>
      </c>
      <c r="P238" t="str">
        <f>IF(Registro2[[#This Row],[Data de Pagamento]]&gt;0,TEXT(A238,"mmm/aa"),"")</f>
        <v>fev/25</v>
      </c>
      <c r="T238" s="4">
        <f>IF(Registro2[[#This Row],[Data de Pagamento]]="",0,IF(Registro2[[#This Row],[Conta Financeira]]=base!$A$6,0,Registro2[[#This Row],[Valor Unitário]]))</f>
        <v>120</v>
      </c>
      <c r="U2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8" t="str">
        <f>VLOOKUP(Registro2[[#This Row],[Categoria]],'Plano de Contas'!$V$3:W390,2,0)</f>
        <v>Receitas Serviços</v>
      </c>
      <c r="X23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3.7800000000000002</v>
      </c>
      <c r="Y238" t="s">
        <v>1536</v>
      </c>
    </row>
    <row r="239" spans="1:25" hidden="1">
      <c r="A239" s="1">
        <v>45701.739583333336</v>
      </c>
      <c r="B239" s="1">
        <v>45701.739583333336</v>
      </c>
      <c r="D239" t="s">
        <v>1</v>
      </c>
      <c r="E239" t="s">
        <v>149</v>
      </c>
      <c r="F239" t="s">
        <v>152</v>
      </c>
      <c r="G239" t="s">
        <v>353</v>
      </c>
      <c r="I239" s="4">
        <v>55</v>
      </c>
      <c r="J239" s="4">
        <v>55</v>
      </c>
      <c r="L239" t="s">
        <v>252</v>
      </c>
      <c r="M239" t="s">
        <v>478</v>
      </c>
      <c r="N239" s="4">
        <f>IF(L239="","",IF(OR(Registro2[[#This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239" t="str">
        <f t="shared" si="3"/>
        <v>fev/25</v>
      </c>
      <c r="P239" t="str">
        <f>IF(Registro2[[#This Row],[Data de Pagamento]]&gt;0,TEXT(A239,"mmm/aa"),"")</f>
        <v>fev/25</v>
      </c>
      <c r="T239" s="4">
        <f>IF(Registro2[[#This Row],[Data de Pagamento]]="",0,IF(Registro2[[#This Row],[Conta Financeira]]=base!$A$6,0,Registro2[[#This Row],[Valor Unitário]]))</f>
        <v>55</v>
      </c>
      <c r="U2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9" t="str">
        <f>VLOOKUP(Registro2[[#This Row],[Categoria]],'Plano de Contas'!$V$3:W293,2,0)</f>
        <v>Receitas Serviços</v>
      </c>
      <c r="X23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39" t="s">
        <v>1536</v>
      </c>
    </row>
    <row r="240" spans="1:25" hidden="1">
      <c r="A240" s="1">
        <v>45701.770833333336</v>
      </c>
      <c r="B240" s="1">
        <v>45701.770833333336</v>
      </c>
      <c r="D240" t="s">
        <v>1</v>
      </c>
      <c r="E240" t="s">
        <v>149</v>
      </c>
      <c r="F240" t="s">
        <v>147</v>
      </c>
      <c r="G240" t="s">
        <v>163</v>
      </c>
      <c r="I240" s="4">
        <v>30</v>
      </c>
      <c r="J240" s="4">
        <v>30</v>
      </c>
      <c r="L240" t="s">
        <v>252</v>
      </c>
      <c r="M240" t="s">
        <v>364</v>
      </c>
      <c r="N240" s="4">
        <f>IF(L240="","",IF(OR(Registro2[[#This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240" t="str">
        <f t="shared" si="3"/>
        <v>fev/25</v>
      </c>
      <c r="P240" t="str">
        <f>IF(Registro2[[#This Row],[Data de Pagamento]]&gt;0,TEXT(A240,"mmm/aa"),"")</f>
        <v>fev/25</v>
      </c>
      <c r="T240" s="4">
        <f>IF(Registro2[[#This Row],[Data de Pagamento]]="",0,IF(Registro2[[#This Row],[Conta Financeira]]=base!$A$6,0,Registro2[[#This Row],[Valor Unitário]]))</f>
        <v>30</v>
      </c>
      <c r="U2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0" t="str">
        <f>VLOOKUP(Registro2[[#This Row],[Categoria]],'Plano de Contas'!$V$3:W261,2,0)</f>
        <v>Receitas Serviços</v>
      </c>
      <c r="X24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40" t="s">
        <v>1536</v>
      </c>
    </row>
    <row r="241" spans="1:25" hidden="1">
      <c r="A241" s="1">
        <v>45701.791666666664</v>
      </c>
      <c r="B241" s="1">
        <v>45701.791666666664</v>
      </c>
      <c r="D241" t="s">
        <v>1</v>
      </c>
      <c r="E241" t="s">
        <v>149</v>
      </c>
      <c r="F241" t="s">
        <v>147</v>
      </c>
      <c r="G241" t="s">
        <v>163</v>
      </c>
      <c r="I241" s="4">
        <v>30</v>
      </c>
      <c r="J241" s="4">
        <v>0</v>
      </c>
      <c r="L241" t="s">
        <v>252</v>
      </c>
      <c r="M241" t="s">
        <v>185</v>
      </c>
      <c r="N241" s="4">
        <f>IF(L241="","",IF(OR(Registro2[[#This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241" t="str">
        <f t="shared" si="3"/>
        <v>fev/25</v>
      </c>
      <c r="P241" t="str">
        <f>IF(Registro2[[#This Row],[Data de Pagamento]]&gt;0,TEXT(A241,"mmm/aa"),"")</f>
        <v>fev/25</v>
      </c>
      <c r="T241" s="4">
        <f>IF(Registro2[[#This Row],[Data de Pagamento]]="",0,IF(Registro2[[#This Row],[Conta Financeira]]=base!$A$6,0,Registro2[[#This Row],[Valor Unitário]]))</f>
        <v>30</v>
      </c>
      <c r="U2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241" t="str">
        <f>VLOOKUP(Registro2[[#This Row],[Categoria]],'Plano de Contas'!$V$3:W294,2,0)</f>
        <v>Receitas Serviços</v>
      </c>
      <c r="X24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41" t="s">
        <v>1536</v>
      </c>
    </row>
    <row r="242" spans="1:25" hidden="1">
      <c r="A242" s="1">
        <v>45701.791666666664</v>
      </c>
      <c r="B242" s="1">
        <v>45701.791666666664</v>
      </c>
      <c r="D242" t="s">
        <v>354</v>
      </c>
      <c r="E242" t="s">
        <v>149</v>
      </c>
      <c r="F242" t="s">
        <v>152</v>
      </c>
      <c r="G242" t="s">
        <v>353</v>
      </c>
      <c r="I242" s="4">
        <v>55</v>
      </c>
      <c r="J242" s="4">
        <v>55</v>
      </c>
      <c r="L242" t="s">
        <v>253</v>
      </c>
      <c r="M242" t="s">
        <v>479</v>
      </c>
      <c r="N242" s="4">
        <f>IF(L242="","",IF(OR(Registro2[[#This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242" t="str">
        <f t="shared" si="3"/>
        <v>fev/25</v>
      </c>
      <c r="P242" t="str">
        <f>IF(Registro2[[#This Row],[Data de Pagamento]]&gt;0,TEXT(A242,"mmm/aa"),"")</f>
        <v>fev/25</v>
      </c>
      <c r="T242" s="4">
        <f>IF(Registro2[[#This Row],[Data de Pagamento]]="",0,IF(Registro2[[#This Row],[Conta Financeira]]=base!$A$6,0,Registro2[[#This Row],[Valor Unitário]]))</f>
        <v>55</v>
      </c>
      <c r="U2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2" t="str">
        <f>VLOOKUP(Registro2[[#This Row],[Categoria]],'Plano de Contas'!$V$3:W296,2,0)</f>
        <v>Receitas Serviços</v>
      </c>
      <c r="X24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1.7324999999999999</v>
      </c>
      <c r="Y242" t="s">
        <v>1536</v>
      </c>
    </row>
    <row r="243" spans="1:25" hidden="1">
      <c r="A243" s="1">
        <v>45701.822916666664</v>
      </c>
      <c r="B243" s="1">
        <v>45701.822916666664</v>
      </c>
      <c r="D243" t="s">
        <v>1</v>
      </c>
      <c r="E243" t="s">
        <v>149</v>
      </c>
      <c r="F243" t="s">
        <v>147</v>
      </c>
      <c r="G243" t="s">
        <v>161</v>
      </c>
      <c r="I243" s="4">
        <v>35</v>
      </c>
      <c r="J243" s="4">
        <v>35</v>
      </c>
      <c r="L243" t="s">
        <v>252</v>
      </c>
      <c r="M243" t="s">
        <v>376</v>
      </c>
      <c r="N243" s="4">
        <f>IF(L243="","",IF(OR(Registro2[[#This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3" t="str">
        <f t="shared" si="3"/>
        <v>fev/25</v>
      </c>
      <c r="P243" t="str">
        <f>IF(Registro2[[#This Row],[Data de Pagamento]]&gt;0,TEXT(A243,"mmm/aa"),"")</f>
        <v>fev/25</v>
      </c>
      <c r="T243" s="4">
        <f>IF(Registro2[[#This Row],[Data de Pagamento]]="",0,IF(Registro2[[#This Row],[Conta Financeira]]=base!$A$6,0,Registro2[[#This Row],[Valor Unitário]]))</f>
        <v>35</v>
      </c>
      <c r="U2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3" t="str">
        <f>VLOOKUP(Registro2[[#This Row],[Categoria]],'Plano de Contas'!$V$3:W295,2,0)</f>
        <v>Receitas Serviços</v>
      </c>
      <c r="X24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43" t="s">
        <v>1536</v>
      </c>
    </row>
    <row r="244" spans="1:25" hidden="1">
      <c r="A244" s="1">
        <v>45701.833333333336</v>
      </c>
      <c r="B244" s="1">
        <v>45701.833333333336</v>
      </c>
      <c r="D244" t="s">
        <v>1</v>
      </c>
      <c r="E244" t="s">
        <v>149</v>
      </c>
      <c r="F244" t="s">
        <v>824</v>
      </c>
      <c r="G244" t="s">
        <v>837</v>
      </c>
      <c r="I244" s="4">
        <v>120</v>
      </c>
      <c r="J244" s="4">
        <v>120</v>
      </c>
      <c r="N244" s="4" t="str">
        <f>IF(L244="","",IF(OR(Registro2[[#This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44" t="str">
        <f t="shared" si="3"/>
        <v>fev/25</v>
      </c>
      <c r="P244" t="str">
        <f>IF(Registro2[[#This Row],[Data de Pagamento]]&gt;0,TEXT(A244,"mmm/aa"),"")</f>
        <v>fev/25</v>
      </c>
      <c r="T244" s="4">
        <f>IF(Registro2[[#This Row],[Data de Pagamento]]="",0,IF(Registro2[[#This Row],[Conta Financeira]]=base!$A$6,0,Registro2[[#This Row],[Valor Unitário]]))</f>
        <v>120</v>
      </c>
      <c r="U2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4" t="str">
        <f>VLOOKUP(Registro2[[#This Row],[Categoria]],'Plano de Contas'!$V$3:W391,2,0)</f>
        <v>Receitas Serviços</v>
      </c>
      <c r="X24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44" t="s">
        <v>1536</v>
      </c>
    </row>
    <row r="245" spans="1:25" hidden="1">
      <c r="A245" s="1">
        <v>45702.381944444445</v>
      </c>
      <c r="B245" s="1">
        <v>45702.381944444445</v>
      </c>
      <c r="D245" t="s">
        <v>1</v>
      </c>
      <c r="E245" t="s">
        <v>149</v>
      </c>
      <c r="F245" t="s">
        <v>152</v>
      </c>
      <c r="G245" t="s">
        <v>159</v>
      </c>
      <c r="I245" s="4">
        <v>40</v>
      </c>
      <c r="J245" s="4">
        <v>40</v>
      </c>
      <c r="L245" t="s">
        <v>252</v>
      </c>
      <c r="M245" t="s">
        <v>44</v>
      </c>
      <c r="N245" s="4">
        <f>IF(L245="","",IF(OR(Registro2[[#This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245" t="str">
        <f t="shared" si="3"/>
        <v>fev/25</v>
      </c>
      <c r="P245" t="str">
        <f>IF(Registro2[[#This Row],[Data de Pagamento]]&gt;0,TEXT(A245,"mmm/aa"),"")</f>
        <v>fev/25</v>
      </c>
      <c r="T245" s="4">
        <f>IF(Registro2[[#This Row],[Data de Pagamento]]="",0,IF(Registro2[[#This Row],[Conta Financeira]]=base!$A$6,0,Registro2[[#This Row],[Valor Unitário]]))</f>
        <v>40</v>
      </c>
      <c r="U2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5" t="str">
        <f>VLOOKUP(Registro2[[#This Row],[Categoria]],'Plano de Contas'!$V$3:W299,2,0)</f>
        <v>Receitas Serviços</v>
      </c>
      <c r="X2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45" t="s">
        <v>1536</v>
      </c>
    </row>
    <row r="246" spans="1:25" hidden="1">
      <c r="A246" s="1">
        <v>45702.416666666664</v>
      </c>
      <c r="B246" s="1">
        <v>45702.416666666664</v>
      </c>
      <c r="D246" t="s">
        <v>2</v>
      </c>
      <c r="E246" t="s">
        <v>149</v>
      </c>
      <c r="F246" t="s">
        <v>152</v>
      </c>
      <c r="G246" t="s">
        <v>159</v>
      </c>
      <c r="I246" s="4">
        <v>40</v>
      </c>
      <c r="J246" s="4">
        <v>40</v>
      </c>
      <c r="L246" t="s">
        <v>252</v>
      </c>
      <c r="M246" t="s">
        <v>480</v>
      </c>
      <c r="N246" s="4">
        <f>IF(L246="","",IF(OR(Registro2[[#This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246" t="str">
        <f t="shared" si="3"/>
        <v>fev/25</v>
      </c>
      <c r="P246" t="str">
        <f>IF(Registro2[[#This Row],[Data de Pagamento]]&gt;0,TEXT(A246,"mmm/aa"),"")</f>
        <v>fev/25</v>
      </c>
      <c r="T246" s="4">
        <f>IF(Registro2[[#This Row],[Data de Pagamento]]="",0,IF(Registro2[[#This Row],[Conta Financeira]]=base!$A$6,0,Registro2[[#This Row],[Valor Unitário]]))</f>
        <v>40</v>
      </c>
      <c r="U2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6" t="str">
        <f>VLOOKUP(Registro2[[#This Row],[Categoria]],'Plano de Contas'!$V$3:W267,2,0)</f>
        <v>Receitas Serviços</v>
      </c>
      <c r="X24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46" t="s">
        <v>1536</v>
      </c>
    </row>
    <row r="247" spans="1:25" hidden="1">
      <c r="A247" s="1">
        <v>45702.416666666664</v>
      </c>
      <c r="B247" s="1">
        <v>45702.416666666664</v>
      </c>
      <c r="D247" t="s">
        <v>1</v>
      </c>
      <c r="E247" t="s">
        <v>149</v>
      </c>
      <c r="F247" t="s">
        <v>147</v>
      </c>
      <c r="G247" t="s">
        <v>163</v>
      </c>
      <c r="I247" s="4">
        <v>35</v>
      </c>
      <c r="J247" s="4">
        <v>35</v>
      </c>
      <c r="L247" t="s">
        <v>253</v>
      </c>
      <c r="M247" t="s">
        <v>481</v>
      </c>
      <c r="N247" s="4">
        <f>IF(L247="","",IF(OR(Registro2[[#This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7" t="str">
        <f t="shared" si="3"/>
        <v>fev/25</v>
      </c>
      <c r="P247" t="str">
        <f>IF(Registro2[[#This Row],[Data de Pagamento]]&gt;0,TEXT(A247,"mmm/aa"),"")</f>
        <v>fev/25</v>
      </c>
      <c r="T247" s="4">
        <f>IF(Registro2[[#This Row],[Data de Pagamento]]="",0,IF(Registro2[[#This Row],[Conta Financeira]]=base!$A$6,0,Registro2[[#This Row],[Valor Unitário]]))</f>
        <v>35</v>
      </c>
      <c r="U2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7" t="str">
        <f>VLOOKUP(Registro2[[#This Row],[Categoria]],'Plano de Contas'!$V$3:W298,2,0)</f>
        <v>Receitas Serviços</v>
      </c>
      <c r="X24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47" t="s">
        <v>1536</v>
      </c>
    </row>
    <row r="248" spans="1:25" hidden="1">
      <c r="A248" s="1">
        <v>45702.4375</v>
      </c>
      <c r="B248" s="1">
        <v>45702.4375</v>
      </c>
      <c r="D248" t="s">
        <v>1</v>
      </c>
      <c r="E248" t="s">
        <v>149</v>
      </c>
      <c r="F248" t="s">
        <v>147</v>
      </c>
      <c r="G248" t="s">
        <v>163</v>
      </c>
      <c r="I248" s="4">
        <v>35</v>
      </c>
      <c r="J248" s="4">
        <v>35</v>
      </c>
      <c r="L248" t="s">
        <v>252</v>
      </c>
      <c r="M248" t="s">
        <v>482</v>
      </c>
      <c r="N248" s="4">
        <f>IF(L248="","",IF(OR(Registro2[[#This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8" t="str">
        <f t="shared" si="3"/>
        <v>fev/25</v>
      </c>
      <c r="P248" t="str">
        <f>IF(Registro2[[#This Row],[Data de Pagamento]]&gt;0,TEXT(A248,"mmm/aa"),"")</f>
        <v>fev/25</v>
      </c>
      <c r="T248" s="4">
        <f>IF(Registro2[[#This Row],[Data de Pagamento]]="",0,IF(Registro2[[#This Row],[Conta Financeira]]=base!$A$6,0,Registro2[[#This Row],[Valor Unitário]]))</f>
        <v>35</v>
      </c>
      <c r="U2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8" t="str">
        <f>VLOOKUP(Registro2[[#This Row],[Categoria]],'Plano de Contas'!$V$3:W276,2,0)</f>
        <v>Receitas Serviços</v>
      </c>
      <c r="X24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48" t="s">
        <v>1536</v>
      </c>
    </row>
    <row r="249" spans="1:25" hidden="1">
      <c r="A249" s="1">
        <v>45702.4375</v>
      </c>
      <c r="B249" s="1">
        <v>45702.4375</v>
      </c>
      <c r="D249" t="s">
        <v>310</v>
      </c>
      <c r="E249" t="s">
        <v>149</v>
      </c>
      <c r="F249" t="s">
        <v>147</v>
      </c>
      <c r="G249" t="s">
        <v>163</v>
      </c>
      <c r="I249" s="4">
        <v>35</v>
      </c>
      <c r="J249" s="4">
        <v>35</v>
      </c>
      <c r="L249" t="s">
        <v>253</v>
      </c>
      <c r="M249" t="s">
        <v>71</v>
      </c>
      <c r="N249" s="4">
        <f>IF(L249="","",IF(OR(Registro2[[#This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9" t="str">
        <f t="shared" si="3"/>
        <v>fev/25</v>
      </c>
      <c r="P249" t="str">
        <f>IF(Registro2[[#This Row],[Data de Pagamento]]&gt;0,TEXT(A249,"mmm/aa"),"")</f>
        <v>fev/25</v>
      </c>
      <c r="T249" s="4">
        <f>IF(Registro2[[#This Row],[Data de Pagamento]]="",0,IF(Registro2[[#This Row],[Conta Financeira]]=base!$A$6,0,Registro2[[#This Row],[Valor Unitário]]))</f>
        <v>35</v>
      </c>
      <c r="U2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9" t="str">
        <f>VLOOKUP(Registro2[[#This Row],[Categoria]],'Plano de Contas'!$V$3:W300,2,0)</f>
        <v>Receitas Serviços</v>
      </c>
      <c r="X24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249" t="s">
        <v>1536</v>
      </c>
    </row>
    <row r="250" spans="1:25" hidden="1">
      <c r="A250" s="1">
        <v>45702.458333333336</v>
      </c>
      <c r="B250" s="1">
        <v>45702.458333333336</v>
      </c>
      <c r="D250" t="s">
        <v>354</v>
      </c>
      <c r="E250" t="s">
        <v>149</v>
      </c>
      <c r="F250" t="s">
        <v>152</v>
      </c>
      <c r="G250" t="s">
        <v>353</v>
      </c>
      <c r="I250" s="4">
        <v>55</v>
      </c>
      <c r="J250" s="4">
        <v>55</v>
      </c>
      <c r="L250" t="s">
        <v>252</v>
      </c>
      <c r="M250" t="s">
        <v>398</v>
      </c>
      <c r="N250" s="4">
        <f>IF(L250="","",IF(OR(Registro2[[#This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250" t="str">
        <f t="shared" si="3"/>
        <v>fev/25</v>
      </c>
      <c r="P250" t="str">
        <f>IF(Registro2[[#This Row],[Data de Pagamento]]&gt;0,TEXT(A250,"mmm/aa"),"")</f>
        <v>fev/25</v>
      </c>
      <c r="T250" s="4">
        <f>IF(Registro2[[#This Row],[Data de Pagamento]]="",0,IF(Registro2[[#This Row],[Conta Financeira]]=base!$A$6,0,Registro2[[#This Row],[Valor Unitário]]))</f>
        <v>55</v>
      </c>
      <c r="U2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0" t="str">
        <f>VLOOKUP(Registro2[[#This Row],[Categoria]],'Plano de Contas'!$V$3:W297,2,0)</f>
        <v>Receitas Serviços</v>
      </c>
      <c r="X25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1.7324999999999999</v>
      </c>
      <c r="Y250" t="s">
        <v>1536</v>
      </c>
    </row>
    <row r="251" spans="1:25" hidden="1">
      <c r="A251" s="1">
        <v>45702.46875</v>
      </c>
      <c r="B251" s="1">
        <v>45702.46875</v>
      </c>
      <c r="D251" t="s">
        <v>2</v>
      </c>
      <c r="E251" t="s">
        <v>149</v>
      </c>
      <c r="F251" t="s">
        <v>152</v>
      </c>
      <c r="G251" t="s">
        <v>353</v>
      </c>
      <c r="I251" s="4">
        <v>45</v>
      </c>
      <c r="J251" s="4">
        <v>45</v>
      </c>
      <c r="L251" t="s">
        <v>264</v>
      </c>
      <c r="M251" t="s">
        <v>483</v>
      </c>
      <c r="N251" s="4">
        <f>IF(L251="","",IF(OR(Registro2[[#This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20.25</v>
      </c>
      <c r="O251" t="str">
        <f t="shared" si="3"/>
        <v>fev/25</v>
      </c>
      <c r="P251" t="str">
        <f>IF(Registro2[[#This Row],[Data de Pagamento]]&gt;0,TEXT(A251,"mmm/aa"),"")</f>
        <v>fev/25</v>
      </c>
      <c r="T251" s="4">
        <f>IF(Registro2[[#This Row],[Data de Pagamento]]="",0,IF(Registro2[[#This Row],[Conta Financeira]]=base!$A$6,0,Registro2[[#This Row],[Valor Unitário]]))</f>
        <v>45</v>
      </c>
      <c r="U2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1" t="str">
        <f>VLOOKUP(Registro2[[#This Row],[Categoria]],'Plano de Contas'!$V$3:W303,2,0)</f>
        <v>Receitas Serviços</v>
      </c>
      <c r="X25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51" t="s">
        <v>1536</v>
      </c>
    </row>
    <row r="252" spans="1:25" hidden="1">
      <c r="A252" s="1">
        <v>45702.479166666664</v>
      </c>
      <c r="B252" s="1">
        <v>45702.479166666664</v>
      </c>
      <c r="D252" t="s">
        <v>1</v>
      </c>
      <c r="E252" t="s">
        <v>149</v>
      </c>
      <c r="F252" t="s">
        <v>147</v>
      </c>
      <c r="G252" t="s">
        <v>163</v>
      </c>
      <c r="I252" s="4">
        <v>35</v>
      </c>
      <c r="J252" s="4">
        <v>35</v>
      </c>
      <c r="L252" t="s">
        <v>253</v>
      </c>
      <c r="M252" t="s">
        <v>484</v>
      </c>
      <c r="N252" s="4">
        <f>IF(L252="","",IF(OR(Registro2[[#This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2" t="str">
        <f t="shared" si="3"/>
        <v>fev/25</v>
      </c>
      <c r="P252" t="str">
        <f>IF(Registro2[[#This Row],[Data de Pagamento]]&gt;0,TEXT(A252,"mmm/aa"),"")</f>
        <v>fev/25</v>
      </c>
      <c r="T252" s="4">
        <f>IF(Registro2[[#This Row],[Data de Pagamento]]="",0,IF(Registro2[[#This Row],[Conta Financeira]]=base!$A$6,0,Registro2[[#This Row],[Valor Unitário]]))</f>
        <v>35</v>
      </c>
      <c r="U2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2" t="str">
        <f>VLOOKUP(Registro2[[#This Row],[Categoria]],'Plano de Contas'!$V$3:W302,2,0)</f>
        <v>Receitas Serviços</v>
      </c>
      <c r="X25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52" t="s">
        <v>1536</v>
      </c>
    </row>
    <row r="253" spans="1:25" hidden="1">
      <c r="A253" s="1">
        <v>45702.5</v>
      </c>
      <c r="B253" s="1">
        <v>45702.5</v>
      </c>
      <c r="D253" t="s">
        <v>310</v>
      </c>
      <c r="E253" t="s">
        <v>149</v>
      </c>
      <c r="F253" t="s">
        <v>147</v>
      </c>
      <c r="G253" t="s">
        <v>163</v>
      </c>
      <c r="I253" s="4">
        <v>35</v>
      </c>
      <c r="J253" s="4">
        <v>35</v>
      </c>
      <c r="L253" t="s">
        <v>264</v>
      </c>
      <c r="M253" t="s">
        <v>121</v>
      </c>
      <c r="N253" s="4">
        <f>IF(L253="","",IF(OR(Registro2[[#This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3" t="str">
        <f t="shared" si="3"/>
        <v>fev/25</v>
      </c>
      <c r="P253" t="str">
        <f>IF(Registro2[[#This Row],[Data de Pagamento]]&gt;0,TEXT(A253,"mmm/aa"),"")</f>
        <v>fev/25</v>
      </c>
      <c r="T253" s="4">
        <f>IF(Registro2[[#This Row],[Data de Pagamento]]="",0,IF(Registro2[[#This Row],[Conta Financeira]]=base!$A$6,0,Registro2[[#This Row],[Valor Unitário]]))</f>
        <v>35</v>
      </c>
      <c r="U2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3" t="str">
        <f>VLOOKUP(Registro2[[#This Row],[Categoria]],'Plano de Contas'!$V$3:W306,2,0)</f>
        <v>Receitas Serviços</v>
      </c>
      <c r="X25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253" t="s">
        <v>1536</v>
      </c>
    </row>
    <row r="254" spans="1:25" hidden="1">
      <c r="A254" s="1">
        <v>45702.572916666664</v>
      </c>
      <c r="B254" s="1">
        <v>45702.572916666664</v>
      </c>
      <c r="D254" t="s">
        <v>310</v>
      </c>
      <c r="E254" t="s">
        <v>149</v>
      </c>
      <c r="F254" t="s">
        <v>152</v>
      </c>
      <c r="G254" t="s">
        <v>352</v>
      </c>
      <c r="I254" s="4">
        <v>20</v>
      </c>
      <c r="J254" s="4">
        <v>20</v>
      </c>
      <c r="L254" t="s">
        <v>264</v>
      </c>
      <c r="M254" t="s">
        <v>382</v>
      </c>
      <c r="N254" s="4">
        <f>IF(L254="","",IF(OR(Registro2[[#This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54" t="str">
        <f t="shared" si="3"/>
        <v>fev/25</v>
      </c>
      <c r="P254" t="str">
        <f>IF(Registro2[[#This Row],[Data de Pagamento]]&gt;0,TEXT(A254,"mmm/aa"),"")</f>
        <v>fev/25</v>
      </c>
      <c r="T254" s="4">
        <f>IF(Registro2[[#This Row],[Data de Pagamento]]="",0,IF(Registro2[[#This Row],[Conta Financeira]]=base!$A$6,0,Registro2[[#This Row],[Valor Unitário]]))</f>
        <v>20</v>
      </c>
      <c r="U2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4" t="str">
        <f>VLOOKUP(Registro2[[#This Row],[Categoria]],'Plano de Contas'!$V$3:W307,2,0)</f>
        <v>Receitas Serviços</v>
      </c>
      <c r="X25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  <c r="Y254" t="s">
        <v>1536</v>
      </c>
    </row>
    <row r="255" spans="1:25" hidden="1">
      <c r="A255" s="1">
        <v>45702.583333333336</v>
      </c>
      <c r="B255" s="1">
        <v>45702.583333333336</v>
      </c>
      <c r="D255" t="s">
        <v>1</v>
      </c>
      <c r="E255" t="s">
        <v>149</v>
      </c>
      <c r="F255" t="s">
        <v>147</v>
      </c>
      <c r="G255" t="s">
        <v>163</v>
      </c>
      <c r="I255" s="4">
        <v>35</v>
      </c>
      <c r="J255" s="4">
        <v>35</v>
      </c>
      <c r="L255" t="s">
        <v>253</v>
      </c>
      <c r="M255" t="s">
        <v>485</v>
      </c>
      <c r="N255" s="4">
        <f>IF(L255="","",IF(OR(Registro2[[#This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5" t="str">
        <f t="shared" si="3"/>
        <v>fev/25</v>
      </c>
      <c r="P255" t="str">
        <f>IF(Registro2[[#This Row],[Data de Pagamento]]&gt;0,TEXT(A255,"mmm/aa"),"")</f>
        <v>fev/25</v>
      </c>
      <c r="T255" s="4">
        <f>IF(Registro2[[#This Row],[Data de Pagamento]]="",0,IF(Registro2[[#This Row],[Conta Financeira]]=base!$A$6,0,Registro2[[#This Row],[Valor Unitário]]))</f>
        <v>35</v>
      </c>
      <c r="U2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5" t="str">
        <f>VLOOKUP(Registro2[[#This Row],[Categoria]],'Plano de Contas'!$V$3:W301,2,0)</f>
        <v>Receitas Serviços</v>
      </c>
      <c r="X2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55" t="s">
        <v>1536</v>
      </c>
    </row>
    <row r="256" spans="1:25" hidden="1">
      <c r="A256" s="1">
        <v>45702.625</v>
      </c>
      <c r="B256" s="1">
        <v>45702.625</v>
      </c>
      <c r="D256" t="s">
        <v>1</v>
      </c>
      <c r="E256" t="s">
        <v>149</v>
      </c>
      <c r="F256" t="s">
        <v>147</v>
      </c>
      <c r="G256" t="s">
        <v>163</v>
      </c>
      <c r="I256" s="4">
        <v>45</v>
      </c>
      <c r="J256" s="4">
        <v>45</v>
      </c>
      <c r="L256" t="s">
        <v>264</v>
      </c>
      <c r="M256" t="s">
        <v>486</v>
      </c>
      <c r="N256" s="4">
        <f>IF(L256="","",IF(OR(Registro2[[#This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20.25</v>
      </c>
      <c r="O256" t="str">
        <f t="shared" si="3"/>
        <v>fev/25</v>
      </c>
      <c r="P256" t="str">
        <f>IF(Registro2[[#This Row],[Data de Pagamento]]&gt;0,TEXT(A256,"mmm/aa"),"")</f>
        <v>fev/25</v>
      </c>
      <c r="T256" s="4">
        <f>IF(Registro2[[#This Row],[Data de Pagamento]]="",0,IF(Registro2[[#This Row],[Conta Financeira]]=base!$A$6,0,Registro2[[#This Row],[Valor Unitário]]))</f>
        <v>45</v>
      </c>
      <c r="U2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6" t="str">
        <f>VLOOKUP(Registro2[[#This Row],[Categoria]],'Plano de Contas'!$V$3:W239,2,0)</f>
        <v>Receitas Serviços</v>
      </c>
      <c r="X25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56" t="s">
        <v>1536</v>
      </c>
    </row>
    <row r="257" spans="1:25" hidden="1">
      <c r="A257" s="1">
        <v>45702.625</v>
      </c>
      <c r="B257" s="1">
        <v>45702.625</v>
      </c>
      <c r="D257" t="s">
        <v>1</v>
      </c>
      <c r="E257" t="s">
        <v>149</v>
      </c>
      <c r="F257" t="s">
        <v>147</v>
      </c>
      <c r="G257" t="s">
        <v>163</v>
      </c>
      <c r="I257" s="4">
        <v>35</v>
      </c>
      <c r="J257" s="4">
        <v>35</v>
      </c>
      <c r="L257" t="s">
        <v>253</v>
      </c>
      <c r="M257" t="s">
        <v>282</v>
      </c>
      <c r="N257" s="4">
        <f>IF(L257="","",IF(OR(Registro2[[#This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7" t="str">
        <f t="shared" si="3"/>
        <v>fev/25</v>
      </c>
      <c r="P257" t="str">
        <f>IF(Registro2[[#This Row],[Data de Pagamento]]&gt;0,TEXT(A257,"mmm/aa"),"")</f>
        <v>fev/25</v>
      </c>
      <c r="T257" s="4">
        <f>IF(Registro2[[#This Row],[Data de Pagamento]]="",0,IF(Registro2[[#This Row],[Conta Financeira]]=base!$A$6,0,Registro2[[#This Row],[Valor Unitário]]))</f>
        <v>35</v>
      </c>
      <c r="U2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7" t="str">
        <f>VLOOKUP(Registro2[[#This Row],[Categoria]],'Plano de Contas'!$V$3:W308,2,0)</f>
        <v>Receitas Serviços</v>
      </c>
      <c r="X2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57" t="s">
        <v>1536</v>
      </c>
    </row>
    <row r="258" spans="1:25" hidden="1">
      <c r="A258" s="1">
        <v>45702.635416666664</v>
      </c>
      <c r="B258" s="1">
        <v>45702.635416666664</v>
      </c>
      <c r="D258" t="s">
        <v>1</v>
      </c>
      <c r="E258" t="s">
        <v>149</v>
      </c>
      <c r="F258" t="s">
        <v>152</v>
      </c>
      <c r="G258" t="s">
        <v>159</v>
      </c>
      <c r="I258" s="4">
        <v>40</v>
      </c>
      <c r="J258" s="4">
        <v>40</v>
      </c>
      <c r="L258" t="s">
        <v>252</v>
      </c>
      <c r="M258" t="s">
        <v>487</v>
      </c>
      <c r="N258" s="4">
        <f>IF(L258="","",IF(OR(Registro2[[#This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258" t="str">
        <f t="shared" ref="O258:O321" si="4">TEXT(B258,"mmm/aa")</f>
        <v>fev/25</v>
      </c>
      <c r="P258" t="str">
        <f>IF(Registro2[[#This Row],[Data de Pagamento]]&gt;0,TEXT(A258,"mmm/aa"),"")</f>
        <v>fev/25</v>
      </c>
      <c r="T258" s="4">
        <f>IF(Registro2[[#This Row],[Data de Pagamento]]="",0,IF(Registro2[[#This Row],[Conta Financeira]]=base!$A$6,0,Registro2[[#This Row],[Valor Unitário]]))</f>
        <v>40</v>
      </c>
      <c r="U2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8" t="str">
        <f>VLOOKUP(Registro2[[#This Row],[Categoria]],'Plano de Contas'!$V$3:W311,2,0)</f>
        <v>Receitas Serviços</v>
      </c>
      <c r="X2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58" t="s">
        <v>1536</v>
      </c>
    </row>
    <row r="259" spans="1:25" hidden="1">
      <c r="A259" s="1">
        <v>45702.645833333336</v>
      </c>
      <c r="B259" s="1">
        <v>45702.645833333336</v>
      </c>
      <c r="D259" t="s">
        <v>1</v>
      </c>
      <c r="E259" t="s">
        <v>149</v>
      </c>
      <c r="F259" t="s">
        <v>147</v>
      </c>
      <c r="G259" t="s">
        <v>163</v>
      </c>
      <c r="I259" s="4">
        <v>35</v>
      </c>
      <c r="J259" s="4">
        <v>35</v>
      </c>
      <c r="L259" t="s">
        <v>253</v>
      </c>
      <c r="M259" t="s">
        <v>278</v>
      </c>
      <c r="N259" s="4">
        <f>IF(L259="","",IF(OR(Registro2[[#This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9" t="str">
        <f t="shared" si="4"/>
        <v>fev/25</v>
      </c>
      <c r="P259" t="str">
        <f>IF(Registro2[[#This Row],[Data de Pagamento]]&gt;0,TEXT(A259,"mmm/aa"),"")</f>
        <v>fev/25</v>
      </c>
      <c r="T259" s="4">
        <f>IF(Registro2[[#This Row],[Data de Pagamento]]="",0,IF(Registro2[[#This Row],[Conta Financeira]]=base!$A$6,0,Registro2[[#This Row],[Valor Unitário]]))</f>
        <v>35</v>
      </c>
      <c r="U2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9" t="str">
        <f>VLOOKUP(Registro2[[#This Row],[Categoria]],'Plano de Contas'!$V$3:W312,2,0)</f>
        <v>Receitas Serviços</v>
      </c>
      <c r="X25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59" t="s">
        <v>1536</v>
      </c>
    </row>
    <row r="260" spans="1:25" hidden="1">
      <c r="A260" s="1">
        <v>45702.65625</v>
      </c>
      <c r="B260" s="1">
        <v>45702.65625</v>
      </c>
      <c r="D260" t="s">
        <v>1</v>
      </c>
      <c r="E260" t="s">
        <v>149</v>
      </c>
      <c r="F260" t="s">
        <v>147</v>
      </c>
      <c r="G260" t="s">
        <v>163</v>
      </c>
      <c r="I260" s="4">
        <v>35</v>
      </c>
      <c r="J260" s="4">
        <v>35</v>
      </c>
      <c r="L260" t="s">
        <v>252</v>
      </c>
      <c r="M260" t="s">
        <v>488</v>
      </c>
      <c r="N260" s="4">
        <f>IF(L260="","",IF(OR(Registro2[[#This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0" t="str">
        <f t="shared" si="4"/>
        <v>fev/25</v>
      </c>
      <c r="P260" t="str">
        <f>IF(Registro2[[#This Row],[Data de Pagamento]]&gt;0,TEXT(A260,"mmm/aa"),"")</f>
        <v>fev/25</v>
      </c>
      <c r="T260" s="4">
        <f>IF(Registro2[[#This Row],[Data de Pagamento]]="",0,IF(Registro2[[#This Row],[Conta Financeira]]=base!$A$6,0,Registro2[[#This Row],[Valor Unitário]]))</f>
        <v>35</v>
      </c>
      <c r="U2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0" t="str">
        <f>VLOOKUP(Registro2[[#This Row],[Categoria]],'Plano de Contas'!$V$3:W314,2,0)</f>
        <v>Receitas Serviços</v>
      </c>
      <c r="X2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60" t="s">
        <v>1536</v>
      </c>
    </row>
    <row r="261" spans="1:25" hidden="1">
      <c r="A261" s="1">
        <v>45702.6875</v>
      </c>
      <c r="B261" s="1">
        <v>45702.6875</v>
      </c>
      <c r="D261" t="s">
        <v>310</v>
      </c>
      <c r="E261" t="s">
        <v>149</v>
      </c>
      <c r="F261" t="s">
        <v>147</v>
      </c>
      <c r="G261" t="s">
        <v>161</v>
      </c>
      <c r="I261" s="4">
        <v>20</v>
      </c>
      <c r="J261" s="4">
        <v>25</v>
      </c>
      <c r="L261" t="s">
        <v>252</v>
      </c>
      <c r="M261" t="s">
        <v>489</v>
      </c>
      <c r="N261" s="4">
        <f>IF(L261="","",IF(OR(Registro2[[#This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61" t="str">
        <f t="shared" si="4"/>
        <v>fev/25</v>
      </c>
      <c r="P261" t="str">
        <f>IF(Registro2[[#This Row],[Data de Pagamento]]&gt;0,TEXT(A261,"mmm/aa"),"")</f>
        <v>fev/25</v>
      </c>
      <c r="T261" s="4">
        <f>IF(Registro2[[#This Row],[Data de Pagamento]]="",0,IF(Registro2[[#This Row],[Conta Financeira]]=base!$A$6,0,Registro2[[#This Row],[Valor Unitário]]))</f>
        <v>20</v>
      </c>
      <c r="U2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1" t="str">
        <f>VLOOKUP(Registro2[[#This Row],[Categoria]],'Plano de Contas'!$V$3:W315,2,0)</f>
        <v>Receitas Serviços</v>
      </c>
      <c r="X26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  <c r="Y261" t="s">
        <v>1536</v>
      </c>
    </row>
    <row r="262" spans="1:25" hidden="1">
      <c r="A262" s="1">
        <v>45702.697916666664</v>
      </c>
      <c r="B262" s="1">
        <v>45702.697916666664</v>
      </c>
      <c r="D262" t="s">
        <v>1</v>
      </c>
      <c r="E262" t="s">
        <v>149</v>
      </c>
      <c r="F262" t="s">
        <v>152</v>
      </c>
      <c r="G262" t="s">
        <v>353</v>
      </c>
      <c r="I262" s="4">
        <v>55</v>
      </c>
      <c r="J262" s="4">
        <v>55</v>
      </c>
      <c r="L262" t="s">
        <v>264</v>
      </c>
      <c r="M262" t="s">
        <v>290</v>
      </c>
      <c r="N262" s="4">
        <f>IF(L262="","",IF(OR(Registro2[[#This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262" t="str">
        <f t="shared" si="4"/>
        <v>fev/25</v>
      </c>
      <c r="P262" t="str">
        <f>IF(Registro2[[#This Row],[Data de Pagamento]]&gt;0,TEXT(A262,"mmm/aa"),"")</f>
        <v>fev/25</v>
      </c>
      <c r="T262" s="4">
        <f>IF(Registro2[[#This Row],[Data de Pagamento]]="",0,IF(Registro2[[#This Row],[Conta Financeira]]=base!$A$6,0,Registro2[[#This Row],[Valor Unitário]]))</f>
        <v>55</v>
      </c>
      <c r="U2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2" t="str">
        <f>VLOOKUP(Registro2[[#This Row],[Categoria]],'Plano de Contas'!$V$3:W316,2,0)</f>
        <v>Receitas Serviços</v>
      </c>
      <c r="X26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62" t="s">
        <v>1536</v>
      </c>
    </row>
    <row r="263" spans="1:25" hidden="1">
      <c r="A263" s="1">
        <v>45702.708333333336</v>
      </c>
      <c r="B263" s="1">
        <v>45702.708333333336</v>
      </c>
      <c r="D263" t="s">
        <v>354</v>
      </c>
      <c r="E263" t="s">
        <v>149</v>
      </c>
      <c r="F263" t="s">
        <v>152</v>
      </c>
      <c r="G263" t="s">
        <v>353</v>
      </c>
      <c r="I263" s="4">
        <v>50</v>
      </c>
      <c r="J263" s="4">
        <v>50</v>
      </c>
      <c r="L263" t="s">
        <v>253</v>
      </c>
      <c r="M263" t="s">
        <v>490</v>
      </c>
      <c r="N263" s="4">
        <f>IF(L263="","",IF(OR(Registro2[[#This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263" t="str">
        <f t="shared" si="4"/>
        <v>fev/25</v>
      </c>
      <c r="P263" t="str">
        <f>IF(Registro2[[#This Row],[Data de Pagamento]]&gt;0,TEXT(A263,"mmm/aa"),"")</f>
        <v>fev/25</v>
      </c>
      <c r="T263" s="4">
        <f>IF(Registro2[[#This Row],[Data de Pagamento]]="",0,IF(Registro2[[#This Row],[Conta Financeira]]=base!$A$6,0,Registro2[[#This Row],[Valor Unitário]]))</f>
        <v>50</v>
      </c>
      <c r="U2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3" t="str">
        <f>VLOOKUP(Registro2[[#This Row],[Categoria]],'Plano de Contas'!$V$3:W309,2,0)</f>
        <v>Receitas Serviços</v>
      </c>
      <c r="X26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1.575</v>
      </c>
      <c r="Y263" t="s">
        <v>1536</v>
      </c>
    </row>
    <row r="264" spans="1:25" hidden="1">
      <c r="A264" s="1">
        <v>45702.729166666664</v>
      </c>
      <c r="B264" s="1">
        <v>45702.729166666664</v>
      </c>
      <c r="D264" t="s">
        <v>2</v>
      </c>
      <c r="E264" t="s">
        <v>149</v>
      </c>
      <c r="F264" t="s">
        <v>147</v>
      </c>
      <c r="G264" t="s">
        <v>160</v>
      </c>
      <c r="I264" s="4">
        <v>12</v>
      </c>
      <c r="J264" s="4">
        <v>15</v>
      </c>
      <c r="L264" t="s">
        <v>252</v>
      </c>
      <c r="M264" t="s">
        <v>491</v>
      </c>
      <c r="N264" s="4">
        <f>IF(L264="","",IF(OR(Registro2[[#This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264" t="str">
        <f t="shared" si="4"/>
        <v>fev/25</v>
      </c>
      <c r="P264" t="str">
        <f>IF(Registro2[[#This Row],[Data de Pagamento]]&gt;0,TEXT(A264,"mmm/aa"),"")</f>
        <v>fev/25</v>
      </c>
      <c r="T264" s="4">
        <f>IF(Registro2[[#This Row],[Data de Pagamento]]="",0,IF(Registro2[[#This Row],[Conta Financeira]]=base!$A$6,0,Registro2[[#This Row],[Valor Unitário]]))</f>
        <v>12</v>
      </c>
      <c r="U2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4" t="str">
        <f>VLOOKUP(Registro2[[#This Row],[Categoria]],'Plano de Contas'!$V$3:W319,2,0)</f>
        <v>Receitas Serviços</v>
      </c>
      <c r="X26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64" t="s">
        <v>1536</v>
      </c>
    </row>
    <row r="265" spans="1:25" hidden="1">
      <c r="A265" s="1">
        <v>45702.770833333336</v>
      </c>
      <c r="B265" s="1">
        <v>45702.770833333336</v>
      </c>
      <c r="D265" t="s">
        <v>1</v>
      </c>
      <c r="E265" t="s">
        <v>149</v>
      </c>
      <c r="F265" t="s">
        <v>152</v>
      </c>
      <c r="G265" t="s">
        <v>159</v>
      </c>
      <c r="I265" s="4">
        <v>40</v>
      </c>
      <c r="J265" s="4">
        <v>40</v>
      </c>
      <c r="L265" t="s">
        <v>264</v>
      </c>
      <c r="M265" t="s">
        <v>492</v>
      </c>
      <c r="N265" s="4">
        <f>IF(L265="","",IF(OR(Registro2[[#This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265" t="str">
        <f t="shared" si="4"/>
        <v>fev/25</v>
      </c>
      <c r="P265" t="str">
        <f>IF(Registro2[[#This Row],[Data de Pagamento]]&gt;0,TEXT(A265,"mmm/aa"),"")</f>
        <v>fev/25</v>
      </c>
      <c r="T265" s="4">
        <f>IF(Registro2[[#This Row],[Data de Pagamento]]="",0,IF(Registro2[[#This Row],[Conta Financeira]]=base!$A$6,0,Registro2[[#This Row],[Valor Unitário]]))</f>
        <v>40</v>
      </c>
      <c r="U2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5" t="str">
        <f>VLOOKUP(Registro2[[#This Row],[Categoria]],'Plano de Contas'!$V$3:W320,2,0)</f>
        <v>Receitas Serviços</v>
      </c>
      <c r="X26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65" t="s">
        <v>1536</v>
      </c>
    </row>
    <row r="266" spans="1:25" hidden="1">
      <c r="A266" s="1">
        <v>45702.774305555555</v>
      </c>
      <c r="B266" s="1">
        <v>45702.774305555555</v>
      </c>
      <c r="D266" t="s">
        <v>1</v>
      </c>
      <c r="E266" t="s">
        <v>149</v>
      </c>
      <c r="F266" t="s">
        <v>147</v>
      </c>
      <c r="G266" t="s">
        <v>161</v>
      </c>
      <c r="I266" s="4">
        <v>20</v>
      </c>
      <c r="J266" s="4">
        <v>25</v>
      </c>
      <c r="L266" t="s">
        <v>252</v>
      </c>
      <c r="M266" t="s">
        <v>105</v>
      </c>
      <c r="N266" s="4">
        <f>IF(L266="","",IF(OR(Registro2[[#This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66" t="str">
        <f t="shared" si="4"/>
        <v>fev/25</v>
      </c>
      <c r="P266" t="str">
        <f>IF(Registro2[[#This Row],[Data de Pagamento]]&gt;0,TEXT(A266,"mmm/aa"),"")</f>
        <v>fev/25</v>
      </c>
      <c r="T266" s="4">
        <f>IF(Registro2[[#This Row],[Data de Pagamento]]="",0,IF(Registro2[[#This Row],[Conta Financeira]]=base!$A$6,0,Registro2[[#This Row],[Valor Unitário]]))</f>
        <v>20</v>
      </c>
      <c r="U2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6" t="str">
        <f>VLOOKUP(Registro2[[#This Row],[Categoria]],'Plano de Contas'!$V$3:W321,2,0)</f>
        <v>Receitas Serviços</v>
      </c>
      <c r="X2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66" t="s">
        <v>1536</v>
      </c>
    </row>
    <row r="267" spans="1:25" hidden="1">
      <c r="A267" s="1">
        <v>45702.791666666664</v>
      </c>
      <c r="B267" s="1">
        <v>45702.791666666664</v>
      </c>
      <c r="D267" t="s">
        <v>354</v>
      </c>
      <c r="E267" t="s">
        <v>149</v>
      </c>
      <c r="F267" t="s">
        <v>147</v>
      </c>
      <c r="G267" t="s">
        <v>163</v>
      </c>
      <c r="I267" s="4">
        <v>35</v>
      </c>
      <c r="J267" s="4">
        <v>70</v>
      </c>
      <c r="L267" t="s">
        <v>252</v>
      </c>
      <c r="M267" t="s">
        <v>493</v>
      </c>
      <c r="N267" s="4">
        <f>IF(L267="","",IF(OR(Registro2[[#This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7" t="str">
        <f t="shared" si="4"/>
        <v>fev/25</v>
      </c>
      <c r="P267" t="str">
        <f>IF(Registro2[[#This Row],[Data de Pagamento]]&gt;0,TEXT(A267,"mmm/aa"),"")</f>
        <v>fev/25</v>
      </c>
      <c r="T267" s="4">
        <f>IF(Registro2[[#This Row],[Data de Pagamento]]="",0,IF(Registro2[[#This Row],[Conta Financeira]]=base!$A$6,0,Registro2[[#This Row],[Valor Unitário]]))</f>
        <v>35</v>
      </c>
      <c r="U2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7" t="str">
        <f>VLOOKUP(Registro2[[#This Row],[Categoria]],'Plano de Contas'!$V$3:W304,2,0)</f>
        <v>Receitas Serviços</v>
      </c>
      <c r="X26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267" t="s">
        <v>1536</v>
      </c>
    </row>
    <row r="268" spans="1:25" hidden="1">
      <c r="A268" s="1">
        <v>45702.791666666664</v>
      </c>
      <c r="B268" s="1">
        <v>45702.791666666664</v>
      </c>
      <c r="D268" t="s">
        <v>354</v>
      </c>
      <c r="E268" t="s">
        <v>149</v>
      </c>
      <c r="F268" t="s">
        <v>147</v>
      </c>
      <c r="G268" t="s">
        <v>163</v>
      </c>
      <c r="I268" s="4">
        <v>35</v>
      </c>
      <c r="J268" s="4"/>
      <c r="L268" t="s">
        <v>252</v>
      </c>
      <c r="M268" t="s">
        <v>493</v>
      </c>
      <c r="N268" s="4">
        <f>IF(L268="","",IF(OR(Registro2[[#This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8" t="str">
        <f t="shared" si="4"/>
        <v>fev/25</v>
      </c>
      <c r="P268" t="str">
        <f>IF(Registro2[[#This Row],[Data de Pagamento]]&gt;0,TEXT(A268,"mmm/aa"),"")</f>
        <v>fev/25</v>
      </c>
      <c r="T268" s="4">
        <f>IF(Registro2[[#This Row],[Data de Pagamento]]="",0,IF(Registro2[[#This Row],[Conta Financeira]]=base!$A$6,0,Registro2[[#This Row],[Valor Unitário]]))</f>
        <v>35</v>
      </c>
      <c r="U2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8" t="str">
        <f>VLOOKUP(Registro2[[#This Row],[Categoria]],'Plano de Contas'!$V$3:W305,2,0)</f>
        <v>Receitas Serviços</v>
      </c>
      <c r="X26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268" t="s">
        <v>1536</v>
      </c>
    </row>
    <row r="269" spans="1:25" hidden="1">
      <c r="A269" s="1">
        <v>45702.791666666664</v>
      </c>
      <c r="B269" s="1">
        <v>45702.791666666664</v>
      </c>
      <c r="D269" t="s">
        <v>2</v>
      </c>
      <c r="E269" t="s">
        <v>149</v>
      </c>
      <c r="F269" t="s">
        <v>147</v>
      </c>
      <c r="G269" t="s">
        <v>163</v>
      </c>
      <c r="I269" s="4">
        <v>35</v>
      </c>
      <c r="J269" s="4">
        <v>35</v>
      </c>
      <c r="L269" t="s">
        <v>253</v>
      </c>
      <c r="M269" t="s">
        <v>127</v>
      </c>
      <c r="N269" s="4">
        <f>IF(L269="","",IF(OR(Registro2[[#This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9" t="str">
        <f t="shared" si="4"/>
        <v>fev/25</v>
      </c>
      <c r="P269" t="str">
        <f>IF(Registro2[[#This Row],[Data de Pagamento]]&gt;0,TEXT(A269,"mmm/aa"),"")</f>
        <v>fev/25</v>
      </c>
      <c r="T269" s="4">
        <f>IF(Registro2[[#This Row],[Data de Pagamento]]="",0,IF(Registro2[[#This Row],[Conta Financeira]]=base!$A$6,0,Registro2[[#This Row],[Valor Unitário]]))</f>
        <v>35</v>
      </c>
      <c r="U2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9" t="str">
        <f>VLOOKUP(Registro2[[#This Row],[Categoria]],'Plano de Contas'!$V$3:W313,2,0)</f>
        <v>Receitas Serviços</v>
      </c>
      <c r="X26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69" t="s">
        <v>1536</v>
      </c>
    </row>
    <row r="270" spans="1:25" hidden="1">
      <c r="A270" s="1">
        <v>45702.8125</v>
      </c>
      <c r="B270" s="1">
        <v>45702.8125</v>
      </c>
      <c r="D270" t="s">
        <v>1</v>
      </c>
      <c r="E270" t="s">
        <v>149</v>
      </c>
      <c r="F270" t="s">
        <v>152</v>
      </c>
      <c r="G270" t="s">
        <v>159</v>
      </c>
      <c r="I270" s="4">
        <v>40</v>
      </c>
      <c r="J270" s="4">
        <v>80</v>
      </c>
      <c r="L270" t="s">
        <v>253</v>
      </c>
      <c r="M270" t="s">
        <v>28</v>
      </c>
      <c r="N270" s="4">
        <f>IF(L270="","",IF(OR(Registro2[[#This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270" t="str">
        <f t="shared" si="4"/>
        <v>fev/25</v>
      </c>
      <c r="P270" t="str">
        <f>IF(Registro2[[#This Row],[Data de Pagamento]]&gt;0,TEXT(A270,"mmm/aa"),"")</f>
        <v>fev/25</v>
      </c>
      <c r="T270" s="4">
        <f>IF(Registro2[[#This Row],[Data de Pagamento]]="",0,IF(Registro2[[#This Row],[Conta Financeira]]=base!$A$6,0,Registro2[[#This Row],[Valor Unitário]]))</f>
        <v>40</v>
      </c>
      <c r="U2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70" t="str">
        <f>VLOOKUP(Registro2[[#This Row],[Categoria]],'Plano de Contas'!$V$3:W317,2,0)</f>
        <v>Receitas Serviços</v>
      </c>
      <c r="X27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70" t="s">
        <v>1536</v>
      </c>
    </row>
    <row r="271" spans="1:25" hidden="1">
      <c r="A271" s="1">
        <v>45702.8125</v>
      </c>
      <c r="B271" s="1">
        <v>45702.8125</v>
      </c>
      <c r="D271" t="s">
        <v>1</v>
      </c>
      <c r="E271" t="s">
        <v>149</v>
      </c>
      <c r="F271" t="s">
        <v>150</v>
      </c>
      <c r="G271" t="s">
        <v>472</v>
      </c>
      <c r="I271" s="4">
        <v>40</v>
      </c>
      <c r="J271" s="4"/>
      <c r="L271" t="s">
        <v>253</v>
      </c>
      <c r="M271" t="s">
        <v>28</v>
      </c>
      <c r="N271" s="4">
        <f>IF(L271="","",IF(OR(Registro2[[#This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271" t="str">
        <f t="shared" si="4"/>
        <v>fev/25</v>
      </c>
      <c r="P271" t="str">
        <f>IF(Registro2[[#This Row],[Data de Pagamento]]&gt;0,TEXT(A271,"mmm/aa"),"")</f>
        <v>fev/25</v>
      </c>
      <c r="T271" s="4">
        <f>IF(Registro2[[#This Row],[Data de Pagamento]]="",0,IF(Registro2[[#This Row],[Conta Financeira]]=base!$A$6,0,Registro2[[#This Row],[Valor Unitário]]))</f>
        <v>40</v>
      </c>
      <c r="U2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71" t="str">
        <f>VLOOKUP(Registro2[[#This Row],[Categoria]],'Plano de Contas'!$V$3:W318,2,0)</f>
        <v>Receitas Produtos</v>
      </c>
      <c r="X27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71" t="s">
        <v>1536</v>
      </c>
    </row>
    <row r="272" spans="1:25" hidden="1">
      <c r="A272" s="1">
        <v>45702.888888888891</v>
      </c>
      <c r="B272" s="1">
        <v>45702.888888888891</v>
      </c>
      <c r="D272" t="s">
        <v>310</v>
      </c>
      <c r="E272" t="s">
        <v>149</v>
      </c>
      <c r="F272" t="s">
        <v>147</v>
      </c>
      <c r="G272" t="s">
        <v>163</v>
      </c>
      <c r="I272" s="4">
        <v>35</v>
      </c>
      <c r="J272" s="4">
        <v>35</v>
      </c>
      <c r="L272" t="s">
        <v>264</v>
      </c>
      <c r="M272" t="s">
        <v>494</v>
      </c>
      <c r="N272" s="4">
        <f>IF(L272="","",IF(OR(Registro2[[#This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72" t="str">
        <f t="shared" si="4"/>
        <v>fev/25</v>
      </c>
      <c r="P272" t="str">
        <f>IF(Registro2[[#This Row],[Data de Pagamento]]&gt;0,TEXT(A272,"mmm/aa"),"")</f>
        <v>fev/25</v>
      </c>
      <c r="T272" s="4">
        <f>IF(Registro2[[#This Row],[Data de Pagamento]]="",0,IF(Registro2[[#This Row],[Conta Financeira]]=base!$A$6,0,Registro2[[#This Row],[Valor Unitário]]))</f>
        <v>35</v>
      </c>
      <c r="U2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72" t="str">
        <f>VLOOKUP(Registro2[[#This Row],[Categoria]],'Plano de Contas'!$V$3:W322,2,0)</f>
        <v>Receitas Serviços</v>
      </c>
      <c r="X27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272" t="s">
        <v>1536</v>
      </c>
    </row>
    <row r="273" spans="1:25" hidden="1">
      <c r="A273" s="1">
        <v>45702.888888888891</v>
      </c>
      <c r="B273" s="1">
        <v>45702.888888888891</v>
      </c>
      <c r="D273" t="s">
        <v>1</v>
      </c>
      <c r="E273" t="s">
        <v>149</v>
      </c>
      <c r="F273" t="s">
        <v>147</v>
      </c>
      <c r="G273" t="s">
        <v>163</v>
      </c>
      <c r="I273" s="4">
        <v>35</v>
      </c>
      <c r="J273" s="4">
        <v>35</v>
      </c>
      <c r="L273" t="s">
        <v>264</v>
      </c>
      <c r="M273" t="s">
        <v>495</v>
      </c>
      <c r="N273" s="4">
        <f>IF(L273="","",IF(OR(Registro2[[#This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73" t="str">
        <f t="shared" si="4"/>
        <v>fev/25</v>
      </c>
      <c r="P273" t="str">
        <f>IF(Registro2[[#This Row],[Data de Pagamento]]&gt;0,TEXT(A273,"mmm/aa"),"")</f>
        <v>fev/25</v>
      </c>
      <c r="T273" s="4">
        <f>IF(Registro2[[#This Row],[Data de Pagamento]]="",0,IF(Registro2[[#This Row],[Conta Financeira]]=base!$A$6,0,Registro2[[#This Row],[Valor Unitário]]))</f>
        <v>35</v>
      </c>
      <c r="U2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73" t="str">
        <f>VLOOKUP(Registro2[[#This Row],[Categoria]],'Plano de Contas'!$V$3:W323,2,0)</f>
        <v>Receitas Serviços</v>
      </c>
      <c r="X27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73" t="s">
        <v>1536</v>
      </c>
    </row>
    <row r="274" spans="1:25" hidden="1">
      <c r="A274" s="1">
        <v>45702.909722222219</v>
      </c>
      <c r="B274" s="1">
        <v>45702.909722222219</v>
      </c>
      <c r="D274" t="s">
        <v>354</v>
      </c>
      <c r="E274" t="s">
        <v>149</v>
      </c>
      <c r="F274" t="s">
        <v>147</v>
      </c>
      <c r="G274" t="s">
        <v>163</v>
      </c>
      <c r="I274" s="4">
        <v>30</v>
      </c>
      <c r="J274" s="4">
        <v>10</v>
      </c>
      <c r="L274" t="s">
        <v>253</v>
      </c>
      <c r="M274" t="s">
        <v>95</v>
      </c>
      <c r="N274" s="4">
        <f>IF(L274="","",IF(OR(Registro2[[#This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274" t="str">
        <f t="shared" si="4"/>
        <v>fev/25</v>
      </c>
      <c r="P274" t="str">
        <f>IF(Registro2[[#This Row],[Data de Pagamento]]&gt;0,TEXT(A274,"mmm/aa"),"")</f>
        <v>fev/25</v>
      </c>
      <c r="T274" s="4">
        <f>IF(Registro2[[#This Row],[Data de Pagamento]]="",0,IF(Registro2[[#This Row],[Conta Financeira]]=base!$A$6,0,Registro2[[#This Row],[Valor Unitário]]))</f>
        <v>30</v>
      </c>
      <c r="U2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74" t="str">
        <f>VLOOKUP(Registro2[[#This Row],[Categoria]],'Plano de Contas'!$V$3:W324,2,0)</f>
        <v>Receitas Serviços</v>
      </c>
      <c r="X27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0.94500000000000006</v>
      </c>
      <c r="Y274" t="s">
        <v>1536</v>
      </c>
    </row>
    <row r="275" spans="1:25" hidden="1">
      <c r="A275" s="1">
        <v>45702.909722222219</v>
      </c>
      <c r="B275" s="1">
        <v>45702.909722222219</v>
      </c>
      <c r="D275" t="s">
        <v>354</v>
      </c>
      <c r="E275" t="s">
        <v>149</v>
      </c>
      <c r="F275" t="s">
        <v>150</v>
      </c>
      <c r="G275" t="s">
        <v>166</v>
      </c>
      <c r="I275" s="4">
        <v>10</v>
      </c>
      <c r="J275" s="4"/>
      <c r="L275" t="s">
        <v>253</v>
      </c>
      <c r="M275" t="s">
        <v>95</v>
      </c>
      <c r="N275" s="4">
        <f>IF(L275="","",IF(OR(Registro2[[#This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</v>
      </c>
      <c r="O275" t="str">
        <f t="shared" si="4"/>
        <v>fev/25</v>
      </c>
      <c r="P275" t="str">
        <f>IF(Registro2[[#This Row],[Data de Pagamento]]&gt;0,TEXT(A275,"mmm/aa"),"")</f>
        <v>fev/25</v>
      </c>
      <c r="T275" s="4">
        <f>IF(Registro2[[#This Row],[Data de Pagamento]]="",0,IF(Registro2[[#This Row],[Conta Financeira]]=base!$A$6,0,Registro2[[#This Row],[Valor Unitário]]))</f>
        <v>10</v>
      </c>
      <c r="U2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75" t="str">
        <f>VLOOKUP(Registro2[[#This Row],[Categoria]],'Plano de Contas'!$V$3:W325,2,0)</f>
        <v>Receitas Serviços</v>
      </c>
      <c r="X27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  <c r="Y275" t="s">
        <v>1536</v>
      </c>
    </row>
    <row r="276" spans="1:25" hidden="1">
      <c r="A276" s="1">
        <v>45702.911111111112</v>
      </c>
      <c r="B276" s="1">
        <v>45702.911111111112</v>
      </c>
      <c r="D276" t="s">
        <v>354</v>
      </c>
      <c r="E276" t="s">
        <v>149</v>
      </c>
      <c r="F276" t="s">
        <v>824</v>
      </c>
      <c r="G276" t="s">
        <v>837</v>
      </c>
      <c r="I276" s="4">
        <v>120</v>
      </c>
      <c r="J276" s="4">
        <v>120</v>
      </c>
      <c r="N276" s="4" t="str">
        <f>IF(L276="","",IF(OR(Registro2[[#This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76" t="str">
        <f t="shared" si="4"/>
        <v>fev/25</v>
      </c>
      <c r="P276" t="str">
        <f>IF(Registro2[[#This Row],[Data de Pagamento]]&gt;0,TEXT(A276,"mmm/aa"),"")</f>
        <v>fev/25</v>
      </c>
      <c r="T276" s="4">
        <f>IF(Registro2[[#This Row],[Data de Pagamento]]="",0,IF(Registro2[[#This Row],[Conta Financeira]]=base!$A$6,0,Registro2[[#This Row],[Valor Unitário]]))</f>
        <v>120</v>
      </c>
      <c r="U2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76" t="str">
        <f>VLOOKUP(Registro2[[#This Row],[Categoria]],'Plano de Contas'!$V$3:W392,2,0)</f>
        <v>Receitas Serviços</v>
      </c>
      <c r="X27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3.7800000000000002</v>
      </c>
      <c r="Y276" t="s">
        <v>1536</v>
      </c>
    </row>
    <row r="277" spans="1:25" hidden="1">
      <c r="A277" s="1">
        <v>45702.916666666664</v>
      </c>
      <c r="B277" s="1">
        <v>45702.916666666664</v>
      </c>
      <c r="D277" t="s">
        <v>1</v>
      </c>
      <c r="E277" t="s">
        <v>149</v>
      </c>
      <c r="F277" t="s">
        <v>147</v>
      </c>
      <c r="G277" t="s">
        <v>163</v>
      </c>
      <c r="I277" s="4">
        <v>35</v>
      </c>
      <c r="J277" s="4">
        <v>35</v>
      </c>
      <c r="L277" t="s">
        <v>264</v>
      </c>
      <c r="M277" t="s">
        <v>496</v>
      </c>
      <c r="N277" s="4">
        <f>IF(L277="","",IF(OR(Registro2[[#This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77" t="str">
        <f t="shared" si="4"/>
        <v>fev/25</v>
      </c>
      <c r="P277" t="str">
        <f>IF(Registro2[[#This Row],[Data de Pagamento]]&gt;0,TEXT(A277,"mmm/aa"),"")</f>
        <v>fev/25</v>
      </c>
      <c r="T277" s="4">
        <f>IF(Registro2[[#This Row],[Data de Pagamento]]="",0,IF(Registro2[[#This Row],[Conta Financeira]]=base!$A$6,0,Registro2[[#This Row],[Valor Unitário]]))</f>
        <v>35</v>
      </c>
      <c r="U2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77" t="str">
        <f>VLOOKUP(Registro2[[#This Row],[Categoria]],'Plano de Contas'!$V$3:W326,2,0)</f>
        <v>Receitas Serviços</v>
      </c>
      <c r="X27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77" t="s">
        <v>1536</v>
      </c>
    </row>
    <row r="278" spans="1:25" hidden="1">
      <c r="A278" s="1">
        <v>45703</v>
      </c>
      <c r="B278" s="1">
        <v>45703</v>
      </c>
      <c r="D278" t="s">
        <v>947</v>
      </c>
      <c r="E278" t="s">
        <v>137</v>
      </c>
      <c r="F278" t="s">
        <v>139</v>
      </c>
      <c r="G278" t="s">
        <v>336</v>
      </c>
      <c r="H278" t="s">
        <v>954</v>
      </c>
      <c r="I278" s="4">
        <v>1439.15</v>
      </c>
      <c r="J278" s="4"/>
      <c r="L278" t="s">
        <v>252</v>
      </c>
      <c r="N278" s="4" t="str">
        <f>IF(L278="","",IF(OR(Registro2[[#This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78" t="str">
        <f t="shared" si="4"/>
        <v>fev/25</v>
      </c>
      <c r="P278" t="str">
        <f>IF(Registro2[[#This Row],[Data de Pagamento]]&gt;0,TEXT(A278,"mmm/aa"),"")</f>
        <v>fev/25</v>
      </c>
      <c r="T278" s="4">
        <f>IF(Registro2[[#This Row],[Data de Pagamento]]="",0,IF(Registro2[[#This Row],[Conta Financeira]]=base!$A$6,0,Registro2[[#This Row],[Valor Unitário]]))</f>
        <v>1439.15</v>
      </c>
      <c r="U2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78" t="str">
        <f>VLOOKUP(Registro2[[#This Row],[Categoria]],'Plano de Contas'!$V$3:W478,2,0)</f>
        <v>Custos Operacionais</v>
      </c>
      <c r="X2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78" t="s">
        <v>1536</v>
      </c>
    </row>
    <row r="279" spans="1:25" hidden="1">
      <c r="A279" s="1">
        <v>45703</v>
      </c>
      <c r="B279" s="1">
        <v>45703</v>
      </c>
      <c r="D279" t="s">
        <v>947</v>
      </c>
      <c r="E279" t="s">
        <v>137</v>
      </c>
      <c r="F279" t="s">
        <v>139</v>
      </c>
      <c r="G279" t="s">
        <v>336</v>
      </c>
      <c r="H279" t="s">
        <v>955</v>
      </c>
      <c r="I279" s="4">
        <v>1801.3</v>
      </c>
      <c r="J279" s="4"/>
      <c r="L279" t="s">
        <v>253</v>
      </c>
      <c r="N279" s="4" t="str">
        <f>IF(L279="","",IF(OR(Registro2[[#This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79" t="str">
        <f t="shared" si="4"/>
        <v>fev/25</v>
      </c>
      <c r="P279" t="str">
        <f>IF(Registro2[[#This Row],[Data de Pagamento]]&gt;0,TEXT(A279,"mmm/aa"),"")</f>
        <v>fev/25</v>
      </c>
      <c r="T279" s="4">
        <f>IF(Registro2[[#This Row],[Data de Pagamento]]="",0,IF(Registro2[[#This Row],[Conta Financeira]]=base!$A$6,0,Registro2[[#This Row],[Valor Unitário]]))</f>
        <v>1801.3</v>
      </c>
      <c r="U2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79" t="str">
        <f>VLOOKUP(Registro2[[#This Row],[Categoria]],'Plano de Contas'!$V$3:W479,2,0)</f>
        <v>Custos Operacionais</v>
      </c>
      <c r="X27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79" t="s">
        <v>1536</v>
      </c>
    </row>
    <row r="280" spans="1:25" hidden="1">
      <c r="A280" s="1">
        <v>45703</v>
      </c>
      <c r="B280" s="1">
        <v>45703</v>
      </c>
      <c r="D280" t="s">
        <v>947</v>
      </c>
      <c r="E280" t="s">
        <v>137</v>
      </c>
      <c r="F280" t="s">
        <v>139</v>
      </c>
      <c r="G280" t="s">
        <v>336</v>
      </c>
      <c r="H280" t="s">
        <v>956</v>
      </c>
      <c r="I280" s="4">
        <v>1216.0999999999999</v>
      </c>
      <c r="J280" s="4"/>
      <c r="L280" t="s">
        <v>264</v>
      </c>
      <c r="N280" s="4" t="str">
        <f>IF(L280="","",IF(OR(Registro2[[#This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80" t="str">
        <f t="shared" si="4"/>
        <v>fev/25</v>
      </c>
      <c r="P280" t="str">
        <f>IF(Registro2[[#This Row],[Data de Pagamento]]&gt;0,TEXT(A280,"mmm/aa"),"")</f>
        <v>fev/25</v>
      </c>
      <c r="T280" s="4">
        <f>IF(Registro2[[#This Row],[Data de Pagamento]]="",0,IF(Registro2[[#This Row],[Conta Financeira]]=base!$A$6,0,Registro2[[#This Row],[Valor Unitário]]))</f>
        <v>1216.0999999999999</v>
      </c>
      <c r="U2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80" t="str">
        <f>VLOOKUP(Registro2[[#This Row],[Categoria]],'Plano de Contas'!$V$3:W480,2,0)</f>
        <v>Custos Operacionais</v>
      </c>
      <c r="X28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80" t="s">
        <v>1536</v>
      </c>
    </row>
    <row r="281" spans="1:25" hidden="1">
      <c r="A281" s="1">
        <v>45703</v>
      </c>
      <c r="B281" s="1">
        <v>45703</v>
      </c>
      <c r="D281" t="s">
        <v>947</v>
      </c>
      <c r="E281" t="s">
        <v>137</v>
      </c>
      <c r="F281" t="s">
        <v>146</v>
      </c>
      <c r="G281" t="s">
        <v>315</v>
      </c>
      <c r="H281" t="s">
        <v>957</v>
      </c>
      <c r="I281" s="4">
        <v>432</v>
      </c>
      <c r="J281" s="4"/>
      <c r="N281" s="4" t="str">
        <f>IF(L281="","",IF(OR(Registro2[[#This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81" t="str">
        <f t="shared" si="4"/>
        <v>fev/25</v>
      </c>
      <c r="P281" t="str">
        <f>IF(Registro2[[#This Row],[Data de Pagamento]]&gt;0,TEXT(A281,"mmm/aa"),"")</f>
        <v>fev/25</v>
      </c>
      <c r="T281" s="4">
        <f>IF(Registro2[[#This Row],[Data de Pagamento]]="",0,IF(Registro2[[#This Row],[Conta Financeira]]=base!$A$6,0,Registro2[[#This Row],[Valor Unitário]]))</f>
        <v>432</v>
      </c>
      <c r="U2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81" t="str">
        <f>VLOOKUP(Registro2[[#This Row],[Categoria]],'Plano de Contas'!$V$3:W481,2,0)</f>
        <v>Despesas Operacionais</v>
      </c>
      <c r="X28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81" t="s">
        <v>1536</v>
      </c>
    </row>
    <row r="282" spans="1:25" hidden="1">
      <c r="A282" s="1">
        <v>45703.416666666664</v>
      </c>
      <c r="B282" s="1">
        <v>45703.416666666664</v>
      </c>
      <c r="D282" t="s">
        <v>1</v>
      </c>
      <c r="E282" t="s">
        <v>149</v>
      </c>
      <c r="F282" t="s">
        <v>147</v>
      </c>
      <c r="G282" t="s">
        <v>163</v>
      </c>
      <c r="I282" s="4">
        <v>35</v>
      </c>
      <c r="J282" s="4">
        <v>35</v>
      </c>
      <c r="L282" t="s">
        <v>252</v>
      </c>
      <c r="M282" t="s">
        <v>22</v>
      </c>
      <c r="N282" s="4">
        <f>IF(L282="","",IF(OR(Registro2[[#This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82" t="str">
        <f t="shared" si="4"/>
        <v>fev/25</v>
      </c>
      <c r="P282" t="str">
        <f>IF(Registro2[[#This Row],[Data de Pagamento]]&gt;0,TEXT(A282,"mmm/aa"),"")</f>
        <v>fev/25</v>
      </c>
      <c r="T282" s="4">
        <f>IF(Registro2[[#This Row],[Data de Pagamento]]="",0,IF(Registro2[[#This Row],[Conta Financeira]]=base!$A$6,0,Registro2[[#This Row],[Valor Unitário]]))</f>
        <v>35</v>
      </c>
      <c r="U2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82" t="str">
        <f>VLOOKUP(Registro2[[#This Row],[Categoria]],'Plano de Contas'!$V$3:W310,2,0)</f>
        <v>Receitas Serviços</v>
      </c>
      <c r="X2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82" t="s">
        <v>1536</v>
      </c>
    </row>
    <row r="283" spans="1:25" hidden="1">
      <c r="A283" s="1">
        <v>45703.416666666664</v>
      </c>
      <c r="B283" s="1">
        <v>45703.416666666664</v>
      </c>
      <c r="D283" t="s">
        <v>1</v>
      </c>
      <c r="E283" t="s">
        <v>149</v>
      </c>
      <c r="F283" t="s">
        <v>147</v>
      </c>
      <c r="G283" t="s">
        <v>163</v>
      </c>
      <c r="I283" s="4">
        <v>35</v>
      </c>
      <c r="J283" s="4">
        <v>70</v>
      </c>
      <c r="L283" t="s">
        <v>253</v>
      </c>
      <c r="M283" t="s">
        <v>13</v>
      </c>
      <c r="N283" s="4">
        <f>IF(L283="","",IF(OR(Registro2[[#This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83" t="str">
        <f t="shared" si="4"/>
        <v>fev/25</v>
      </c>
      <c r="P283" t="str">
        <f>IF(Registro2[[#This Row],[Data de Pagamento]]&gt;0,TEXT(A283,"mmm/aa"),"")</f>
        <v>fev/25</v>
      </c>
      <c r="T283" s="4">
        <f>IF(Registro2[[#This Row],[Data de Pagamento]]="",0,IF(Registro2[[#This Row],[Conta Financeira]]=base!$A$6,0,Registro2[[#This Row],[Valor Unitário]]))</f>
        <v>35</v>
      </c>
      <c r="U2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83" t="str">
        <f>VLOOKUP(Registro2[[#This Row],[Categoria]],'Plano de Contas'!$V$3:W327,2,0)</f>
        <v>Receitas Serviços</v>
      </c>
      <c r="X2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83" t="s">
        <v>1536</v>
      </c>
    </row>
    <row r="284" spans="1:25" hidden="1">
      <c r="A284" s="1">
        <v>45703.416666666664</v>
      </c>
      <c r="B284" s="1">
        <v>45703.416666666664</v>
      </c>
      <c r="D284" t="s">
        <v>1</v>
      </c>
      <c r="E284" t="s">
        <v>149</v>
      </c>
      <c r="F284" t="s">
        <v>147</v>
      </c>
      <c r="G284" t="s">
        <v>163</v>
      </c>
      <c r="I284" s="4">
        <v>35</v>
      </c>
      <c r="J284" s="4"/>
      <c r="L284" t="s">
        <v>253</v>
      </c>
      <c r="M284" t="s">
        <v>13</v>
      </c>
      <c r="N284" s="4">
        <f>IF(L284="","",IF(OR(Registro2[[#This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84" t="str">
        <f t="shared" si="4"/>
        <v>fev/25</v>
      </c>
      <c r="P284" t="str">
        <f>IF(Registro2[[#This Row],[Data de Pagamento]]&gt;0,TEXT(A284,"mmm/aa"),"")</f>
        <v>fev/25</v>
      </c>
      <c r="T284" s="4">
        <f>IF(Registro2[[#This Row],[Data de Pagamento]]="",0,IF(Registro2[[#This Row],[Conta Financeira]]=base!$A$6,0,Registro2[[#This Row],[Valor Unitário]]))</f>
        <v>35</v>
      </c>
      <c r="U2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84" t="str">
        <f>VLOOKUP(Registro2[[#This Row],[Categoria]],'Plano de Contas'!$V$3:W328,2,0)</f>
        <v>Receitas Serviços</v>
      </c>
      <c r="X28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84" t="s">
        <v>1536</v>
      </c>
    </row>
    <row r="285" spans="1:25" hidden="1">
      <c r="A285" s="1">
        <v>45703.423611111109</v>
      </c>
      <c r="B285" s="1">
        <v>45703.423611111109</v>
      </c>
      <c r="D285" t="s">
        <v>136</v>
      </c>
      <c r="E285" t="s">
        <v>137</v>
      </c>
      <c r="F285" t="s">
        <v>138</v>
      </c>
      <c r="G285" t="s">
        <v>312</v>
      </c>
      <c r="H285" t="s">
        <v>963</v>
      </c>
      <c r="I285" s="4">
        <v>5</v>
      </c>
      <c r="J285" s="4"/>
      <c r="N285" s="4" t="str">
        <f>IF(L285="","",IF(OR(Registro2[[#This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85" t="str">
        <f t="shared" si="4"/>
        <v>fev/25</v>
      </c>
      <c r="P285" t="str">
        <f>IF(Registro2[[#This Row],[Data de Pagamento]]&gt;0,TEXT(A285,"mmm/aa"),"")</f>
        <v>fev/25</v>
      </c>
      <c r="T285" s="4">
        <f>IF(Registro2[[#This Row],[Data de Pagamento]]="",0,IF(Registro2[[#This Row],[Conta Financeira]]=base!$A$6,0,Registro2[[#This Row],[Valor Unitário]]))</f>
        <v>5</v>
      </c>
      <c r="U2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85" t="str">
        <f>VLOOKUP(Registro2[[#This Row],[Categoria]],'Plano de Contas'!$V$3:W482,2,0)</f>
        <v>Despesas Administrativas</v>
      </c>
      <c r="X28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85" t="s">
        <v>1536</v>
      </c>
    </row>
    <row r="286" spans="1:25" hidden="1">
      <c r="A286" s="1">
        <v>45703.424305555556</v>
      </c>
      <c r="B286" s="1">
        <v>45703.424305555556</v>
      </c>
      <c r="D286" t="s">
        <v>136</v>
      </c>
      <c r="E286" t="s">
        <v>137</v>
      </c>
      <c r="F286" t="s">
        <v>138</v>
      </c>
      <c r="G286" t="s">
        <v>340</v>
      </c>
      <c r="H286" t="s">
        <v>964</v>
      </c>
      <c r="I286" s="4">
        <v>110</v>
      </c>
      <c r="J286" s="4"/>
      <c r="N286" s="4" t="str">
        <f>IF(L286="","",IF(OR(Registro2[[#This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86" t="str">
        <f t="shared" si="4"/>
        <v>fev/25</v>
      </c>
      <c r="P286" t="str">
        <f>IF(Registro2[[#This Row],[Data de Pagamento]]&gt;0,TEXT(A286,"mmm/aa"),"")</f>
        <v>fev/25</v>
      </c>
      <c r="T286" s="4">
        <f>IF(Registro2[[#This Row],[Data de Pagamento]]="",0,IF(Registro2[[#This Row],[Conta Financeira]]=base!$A$6,0,Registro2[[#This Row],[Valor Unitário]]))</f>
        <v>110</v>
      </c>
      <c r="U2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86" t="str">
        <f>VLOOKUP(Registro2[[#This Row],[Categoria]],'Plano de Contas'!$V$3:W483,2,0)</f>
        <v>Despesas Gerias &amp; Vendas</v>
      </c>
      <c r="X28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86" t="s">
        <v>1536</v>
      </c>
    </row>
    <row r="287" spans="1:25" hidden="1">
      <c r="A287" s="1">
        <v>45703.447916666664</v>
      </c>
      <c r="B287" s="1">
        <v>45703.447916666664</v>
      </c>
      <c r="D287" t="s">
        <v>2</v>
      </c>
      <c r="E287" t="s">
        <v>149</v>
      </c>
      <c r="F287" t="s">
        <v>152</v>
      </c>
      <c r="G287" t="s">
        <v>159</v>
      </c>
      <c r="I287" s="4">
        <v>40</v>
      </c>
      <c r="J287" s="4">
        <v>40</v>
      </c>
      <c r="L287" t="s">
        <v>252</v>
      </c>
      <c r="M287" t="s">
        <v>72</v>
      </c>
      <c r="N287" s="4">
        <f>IF(L287="","",IF(OR(Registro2[[#This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287" t="str">
        <f t="shared" si="4"/>
        <v>fev/25</v>
      </c>
      <c r="P287" t="str">
        <f>IF(Registro2[[#This Row],[Data de Pagamento]]&gt;0,TEXT(A287,"mmm/aa"),"")</f>
        <v>fev/25</v>
      </c>
      <c r="T287" s="4">
        <f>IF(Registro2[[#This Row],[Data de Pagamento]]="",0,IF(Registro2[[#This Row],[Conta Financeira]]=base!$A$6,0,Registro2[[#This Row],[Valor Unitário]]))</f>
        <v>40</v>
      </c>
      <c r="U2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87" t="str">
        <f>VLOOKUP(Registro2[[#This Row],[Categoria]],'Plano de Contas'!$V$3:W331,2,0)</f>
        <v>Receitas Serviços</v>
      </c>
      <c r="X28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87" t="s">
        <v>1536</v>
      </c>
    </row>
    <row r="288" spans="1:25" hidden="1">
      <c r="A288" s="1">
        <v>45703.447916666664</v>
      </c>
      <c r="B288" s="1">
        <v>45703.447916666664</v>
      </c>
      <c r="D288" t="s">
        <v>2</v>
      </c>
      <c r="E288" t="s">
        <v>149</v>
      </c>
      <c r="F288" t="s">
        <v>147</v>
      </c>
      <c r="G288" t="s">
        <v>162</v>
      </c>
      <c r="I288" s="4">
        <v>15</v>
      </c>
      <c r="J288" s="4">
        <v>15</v>
      </c>
      <c r="L288" t="s">
        <v>264</v>
      </c>
      <c r="M288" t="s">
        <v>382</v>
      </c>
      <c r="N288" s="4">
        <f>IF(L288="","",IF(OR(Registro2[[#This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88" t="str">
        <f t="shared" si="4"/>
        <v>fev/25</v>
      </c>
      <c r="P288" t="str">
        <f>IF(Registro2[[#This Row],[Data de Pagamento]]&gt;0,TEXT(A288,"mmm/aa"),"")</f>
        <v>fev/25</v>
      </c>
      <c r="T288" s="4">
        <f>IF(Registro2[[#This Row],[Data de Pagamento]]="",0,IF(Registro2[[#This Row],[Conta Financeira]]=base!$A$6,0,Registro2[[#This Row],[Valor Unitário]]))</f>
        <v>15</v>
      </c>
      <c r="U2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88" t="str">
        <f>VLOOKUP(Registro2[[#This Row],[Categoria]],'Plano de Contas'!$V$3:W353,2,0)</f>
        <v>Receitas Serviços</v>
      </c>
      <c r="X28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88" t="s">
        <v>1536</v>
      </c>
    </row>
    <row r="289" spans="1:25" hidden="1">
      <c r="A289" s="1">
        <v>45703.46875</v>
      </c>
      <c r="B289" s="1">
        <v>45703.46875</v>
      </c>
      <c r="D289" t="s">
        <v>310</v>
      </c>
      <c r="E289" t="s">
        <v>149</v>
      </c>
      <c r="F289" t="s">
        <v>152</v>
      </c>
      <c r="G289" t="s">
        <v>353</v>
      </c>
      <c r="I289" s="4">
        <v>55</v>
      </c>
      <c r="J289" s="4">
        <v>55</v>
      </c>
      <c r="L289" t="s">
        <v>253</v>
      </c>
      <c r="M289" t="s">
        <v>387</v>
      </c>
      <c r="N289" s="4">
        <f>IF(L289="","",IF(OR(Registro2[[#This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289" t="str">
        <f t="shared" si="4"/>
        <v>fev/25</v>
      </c>
      <c r="P289" t="str">
        <f>IF(Registro2[[#This Row],[Data de Pagamento]]&gt;0,TEXT(A289,"mmm/aa"),"")</f>
        <v>fev/25</v>
      </c>
      <c r="T289" s="4">
        <f>IF(Registro2[[#This Row],[Data de Pagamento]]="",0,IF(Registro2[[#This Row],[Conta Financeira]]=base!$A$6,0,Registro2[[#This Row],[Valor Unitário]]))</f>
        <v>55</v>
      </c>
      <c r="U2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89" t="str">
        <f>VLOOKUP(Registro2[[#This Row],[Categoria]],'Plano de Contas'!$V$3:W330,2,0)</f>
        <v>Receitas Serviços</v>
      </c>
      <c r="X28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0.48949999999999999</v>
      </c>
      <c r="Y289" t="s">
        <v>1536</v>
      </c>
    </row>
    <row r="290" spans="1:25" hidden="1">
      <c r="A290" s="1">
        <v>45703.46875</v>
      </c>
      <c r="B290" s="1">
        <v>45703.46875</v>
      </c>
      <c r="D290" t="s">
        <v>310</v>
      </c>
      <c r="E290" t="s">
        <v>149</v>
      </c>
      <c r="F290" t="s">
        <v>147</v>
      </c>
      <c r="G290" t="s">
        <v>163</v>
      </c>
      <c r="I290" s="4">
        <v>35</v>
      </c>
      <c r="J290" s="4">
        <v>35</v>
      </c>
      <c r="L290" t="s">
        <v>252</v>
      </c>
      <c r="M290" t="s">
        <v>107</v>
      </c>
      <c r="N290" s="4">
        <f>IF(L290="","",IF(OR(Registro2[[#This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90" t="str">
        <f t="shared" si="4"/>
        <v>fev/25</v>
      </c>
      <c r="P290" t="str">
        <f>IF(Registro2[[#This Row],[Data de Pagamento]]&gt;0,TEXT(A290,"mmm/aa"),"")</f>
        <v>fev/25</v>
      </c>
      <c r="T290" s="4">
        <f>IF(Registro2[[#This Row],[Data de Pagamento]]="",0,IF(Registro2[[#This Row],[Conta Financeira]]=base!$A$6,0,Registro2[[#This Row],[Valor Unitário]]))</f>
        <v>35</v>
      </c>
      <c r="U2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90" t="str">
        <f>VLOOKUP(Registro2[[#This Row],[Categoria]],'Plano de Contas'!$V$3:W332,2,0)</f>
        <v>Receitas Serviços</v>
      </c>
      <c r="X29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290" t="s">
        <v>1536</v>
      </c>
    </row>
    <row r="291" spans="1:25" hidden="1">
      <c r="A291" s="1">
        <v>45703.46875</v>
      </c>
      <c r="B291" s="1">
        <v>45703.46875</v>
      </c>
      <c r="D291" t="s">
        <v>1</v>
      </c>
      <c r="E291" t="s">
        <v>149</v>
      </c>
      <c r="F291" t="s">
        <v>147</v>
      </c>
      <c r="G291" t="s">
        <v>163</v>
      </c>
      <c r="I291" s="4">
        <v>35</v>
      </c>
      <c r="J291" s="4">
        <v>35</v>
      </c>
      <c r="L291" t="s">
        <v>264</v>
      </c>
      <c r="M291" t="s">
        <v>497</v>
      </c>
      <c r="N291" s="4">
        <f>IF(L291="","",IF(OR(Registro2[[#This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91" t="str">
        <f t="shared" si="4"/>
        <v>fev/25</v>
      </c>
      <c r="P291" t="str">
        <f>IF(Registro2[[#This Row],[Data de Pagamento]]&gt;0,TEXT(A291,"mmm/aa"),"")</f>
        <v>fev/25</v>
      </c>
      <c r="T291" s="4">
        <f>IF(Registro2[[#This Row],[Data de Pagamento]]="",0,IF(Registro2[[#This Row],[Conta Financeira]]=base!$A$6,0,Registro2[[#This Row],[Valor Unitário]]))</f>
        <v>35</v>
      </c>
      <c r="U2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91" t="str">
        <f>VLOOKUP(Registro2[[#This Row],[Categoria]],'Plano de Contas'!$V$3:W333,2,0)</f>
        <v>Receitas Serviços</v>
      </c>
      <c r="X29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91" t="s">
        <v>1536</v>
      </c>
    </row>
    <row r="292" spans="1:25" hidden="1">
      <c r="A292" s="1">
        <v>45703.489583333336</v>
      </c>
      <c r="B292" s="1">
        <v>45703.489583333336</v>
      </c>
      <c r="D292" t="s">
        <v>310</v>
      </c>
      <c r="E292" t="s">
        <v>149</v>
      </c>
      <c r="F292" t="s">
        <v>147</v>
      </c>
      <c r="G292" t="s">
        <v>161</v>
      </c>
      <c r="I292" s="4">
        <v>20</v>
      </c>
      <c r="J292" s="4">
        <v>20</v>
      </c>
      <c r="L292" t="s">
        <v>264</v>
      </c>
      <c r="M292" t="s">
        <v>498</v>
      </c>
      <c r="N292" s="4">
        <f>IF(L292="","",IF(OR(Registro2[[#This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92" t="str">
        <f t="shared" si="4"/>
        <v>fev/25</v>
      </c>
      <c r="P292" t="str">
        <f>IF(Registro2[[#This Row],[Data de Pagamento]]&gt;0,TEXT(A292,"mmm/aa"),"")</f>
        <v>fev/25</v>
      </c>
      <c r="T292" s="4">
        <f>IF(Registro2[[#This Row],[Data de Pagamento]]="",0,IF(Registro2[[#This Row],[Conta Financeira]]=base!$A$6,0,Registro2[[#This Row],[Valor Unitário]]))</f>
        <v>20</v>
      </c>
      <c r="U2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92" t="str">
        <f>VLOOKUP(Registro2[[#This Row],[Categoria]],'Plano de Contas'!$V$3:W335,2,0)</f>
        <v>Receitas Serviços</v>
      </c>
      <c r="X29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  <c r="Y292" t="s">
        <v>1536</v>
      </c>
    </row>
    <row r="293" spans="1:25" hidden="1">
      <c r="A293" s="1">
        <v>45703.520833333336</v>
      </c>
      <c r="B293" s="1">
        <v>45703.520833333336</v>
      </c>
      <c r="D293" t="s">
        <v>1</v>
      </c>
      <c r="E293" t="s">
        <v>149</v>
      </c>
      <c r="F293" t="s">
        <v>147</v>
      </c>
      <c r="G293" t="s">
        <v>163</v>
      </c>
      <c r="I293" s="4">
        <v>35</v>
      </c>
      <c r="J293" s="4">
        <v>35</v>
      </c>
      <c r="L293" t="s">
        <v>252</v>
      </c>
      <c r="M293" t="s">
        <v>73</v>
      </c>
      <c r="N293" s="4">
        <f>IF(L293="","",IF(OR(Registro2[[#This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93" t="str">
        <f t="shared" si="4"/>
        <v>fev/25</v>
      </c>
      <c r="P293" t="str">
        <f>IF(Registro2[[#This Row],[Data de Pagamento]]&gt;0,TEXT(A293,"mmm/aa"),"")</f>
        <v>fev/25</v>
      </c>
      <c r="T293" s="4">
        <f>IF(Registro2[[#This Row],[Data de Pagamento]]="",0,IF(Registro2[[#This Row],[Conta Financeira]]=base!$A$6,0,Registro2[[#This Row],[Valor Unitário]]))</f>
        <v>35</v>
      </c>
      <c r="U2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93" t="str">
        <f>VLOOKUP(Registro2[[#This Row],[Categoria]],'Plano de Contas'!$V$3:W329,2,0)</f>
        <v>Receitas Serviços</v>
      </c>
      <c r="X29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93" t="s">
        <v>1536</v>
      </c>
    </row>
    <row r="294" spans="1:25" hidden="1">
      <c r="A294" s="1">
        <v>45703.53125</v>
      </c>
      <c r="B294" s="1">
        <v>45703.53125</v>
      </c>
      <c r="D294" t="s">
        <v>1</v>
      </c>
      <c r="E294" t="s">
        <v>149</v>
      </c>
      <c r="F294" t="s">
        <v>147</v>
      </c>
      <c r="G294" t="s">
        <v>163</v>
      </c>
      <c r="I294" s="4">
        <v>30</v>
      </c>
      <c r="J294" s="4">
        <v>0</v>
      </c>
      <c r="L294" t="s">
        <v>253</v>
      </c>
      <c r="M294" t="s">
        <v>83</v>
      </c>
      <c r="N294" s="4">
        <f>IF(L294="","",IF(OR(Registro2[[#This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294" t="str">
        <f t="shared" si="4"/>
        <v>fev/25</v>
      </c>
      <c r="P294" t="str">
        <f>IF(Registro2[[#This Row],[Data de Pagamento]]&gt;0,TEXT(A294,"mmm/aa"),"")</f>
        <v>fev/25</v>
      </c>
      <c r="T294" s="4">
        <f>IF(Registro2[[#This Row],[Data de Pagamento]]="",0,IF(Registro2[[#This Row],[Conta Financeira]]=base!$A$6,0,Registro2[[#This Row],[Valor Unitário]]))</f>
        <v>30</v>
      </c>
      <c r="U2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294" t="str">
        <f>VLOOKUP(Registro2[[#This Row],[Categoria]],'Plano de Contas'!$V$3:W337,2,0)</f>
        <v>Receitas Serviços</v>
      </c>
      <c r="X29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94" t="s">
        <v>1536</v>
      </c>
    </row>
    <row r="295" spans="1:25" hidden="1">
      <c r="A295" s="1">
        <v>45703.5625</v>
      </c>
      <c r="B295" s="1">
        <v>45703.5625</v>
      </c>
      <c r="D295" t="s">
        <v>1</v>
      </c>
      <c r="E295" t="s">
        <v>149</v>
      </c>
      <c r="F295" t="s">
        <v>152</v>
      </c>
      <c r="G295" t="s">
        <v>353</v>
      </c>
      <c r="I295" s="4">
        <v>55</v>
      </c>
      <c r="J295" s="4">
        <v>55</v>
      </c>
      <c r="L295" t="s">
        <v>253</v>
      </c>
      <c r="M295" t="s">
        <v>88</v>
      </c>
      <c r="N295" s="4">
        <f>IF(L295="","",IF(OR(Registro2[[#This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295" t="str">
        <f t="shared" si="4"/>
        <v>fev/25</v>
      </c>
      <c r="P295" t="str">
        <f>IF(Registro2[[#This Row],[Data de Pagamento]]&gt;0,TEXT(A295,"mmm/aa"),"")</f>
        <v>fev/25</v>
      </c>
      <c r="T295" s="4">
        <f>IF(Registro2[[#This Row],[Data de Pagamento]]="",0,IF(Registro2[[#This Row],[Conta Financeira]]=base!$A$6,0,Registro2[[#This Row],[Valor Unitário]]))</f>
        <v>55</v>
      </c>
      <c r="U2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95" t="str">
        <f>VLOOKUP(Registro2[[#This Row],[Categoria]],'Plano de Contas'!$V$3:W334,2,0)</f>
        <v>Receitas Serviços</v>
      </c>
      <c r="X29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95" t="s">
        <v>1536</v>
      </c>
    </row>
    <row r="296" spans="1:25" hidden="1">
      <c r="A296" s="1">
        <v>45703.604166666664</v>
      </c>
      <c r="B296" s="1">
        <v>45703.604166666664</v>
      </c>
      <c r="D296" t="s">
        <v>354</v>
      </c>
      <c r="E296" t="s">
        <v>149</v>
      </c>
      <c r="F296" t="s">
        <v>147</v>
      </c>
      <c r="G296" t="s">
        <v>163</v>
      </c>
      <c r="I296" s="4">
        <v>35</v>
      </c>
      <c r="J296" s="4">
        <v>20</v>
      </c>
      <c r="L296" t="s">
        <v>252</v>
      </c>
      <c r="M296" t="s">
        <v>499</v>
      </c>
      <c r="N296" s="4">
        <f>IF(L296="","",IF(OR(Registro2[[#This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96" t="str">
        <f t="shared" si="4"/>
        <v>fev/25</v>
      </c>
      <c r="P296" t="str">
        <f>IF(Registro2[[#This Row],[Data de Pagamento]]&gt;0,TEXT(A296,"mmm/aa"),"")</f>
        <v>fev/25</v>
      </c>
      <c r="T296" s="4">
        <f>IF(Registro2[[#This Row],[Data de Pagamento]]="",0,IF(Registro2[[#This Row],[Conta Financeira]]=base!$A$6,0,Registro2[[#This Row],[Valor Unitário]]))</f>
        <v>35</v>
      </c>
      <c r="U2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96" t="str">
        <f>VLOOKUP(Registro2[[#This Row],[Categoria]],'Plano de Contas'!$V$3:W339,2,0)</f>
        <v>Receitas Serviços</v>
      </c>
      <c r="X29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296" t="s">
        <v>1536</v>
      </c>
    </row>
    <row r="297" spans="1:25" hidden="1">
      <c r="A297" s="1">
        <v>45703.625</v>
      </c>
      <c r="B297" s="1">
        <v>45703.625</v>
      </c>
      <c r="D297" t="s">
        <v>1</v>
      </c>
      <c r="E297" t="s">
        <v>149</v>
      </c>
      <c r="F297" t="s">
        <v>147</v>
      </c>
      <c r="G297" t="s">
        <v>163</v>
      </c>
      <c r="I297" s="4">
        <v>30</v>
      </c>
      <c r="J297" s="4">
        <v>0</v>
      </c>
      <c r="L297" t="s">
        <v>252</v>
      </c>
      <c r="M297" t="s">
        <v>400</v>
      </c>
      <c r="N297" s="4">
        <f>IF(L297="","",IF(OR(Registro2[[#This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297" t="str">
        <f t="shared" si="4"/>
        <v>fev/25</v>
      </c>
      <c r="P297" t="str">
        <f>IF(Registro2[[#This Row],[Data de Pagamento]]&gt;0,TEXT(A297,"mmm/aa"),"")</f>
        <v>fev/25</v>
      </c>
      <c r="T297" s="4">
        <f>IF(Registro2[[#This Row],[Data de Pagamento]]="",0,IF(Registro2[[#This Row],[Conta Financeira]]=base!$A$6,0,Registro2[[#This Row],[Valor Unitário]]))</f>
        <v>30</v>
      </c>
      <c r="U2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297" t="str">
        <f>VLOOKUP(Registro2[[#This Row],[Categoria]],'Plano de Contas'!$V$3:W338,2,0)</f>
        <v>Receitas Serviços</v>
      </c>
      <c r="X29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97" t="s">
        <v>1536</v>
      </c>
    </row>
    <row r="298" spans="1:25" hidden="1">
      <c r="A298" s="1">
        <v>45703.645833333336</v>
      </c>
      <c r="B298" s="1">
        <v>45703.645833333336</v>
      </c>
      <c r="D298" t="s">
        <v>354</v>
      </c>
      <c r="E298" t="s">
        <v>149</v>
      </c>
      <c r="F298" t="s">
        <v>147</v>
      </c>
      <c r="G298" t="s">
        <v>163</v>
      </c>
      <c r="I298" s="4">
        <v>35</v>
      </c>
      <c r="J298" s="4">
        <v>35</v>
      </c>
      <c r="L298" t="s">
        <v>252</v>
      </c>
      <c r="M298" t="s">
        <v>296</v>
      </c>
      <c r="N298" s="4">
        <f>IF(L298="","",IF(OR(Registro2[[#This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98" t="str">
        <f t="shared" si="4"/>
        <v>fev/25</v>
      </c>
      <c r="P298" t="str">
        <f>IF(Registro2[[#This Row],[Data de Pagamento]]&gt;0,TEXT(A298,"mmm/aa"),"")</f>
        <v>fev/25</v>
      </c>
      <c r="T298" s="4">
        <f>IF(Registro2[[#This Row],[Data de Pagamento]]="",0,IF(Registro2[[#This Row],[Conta Financeira]]=base!$A$6,0,Registro2[[#This Row],[Valor Unitário]]))</f>
        <v>35</v>
      </c>
      <c r="U2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98" t="str">
        <f>VLOOKUP(Registro2[[#This Row],[Categoria]],'Plano de Contas'!$V$3:W336,2,0)</f>
        <v>Receitas Serviços</v>
      </c>
      <c r="X29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298" t="s">
        <v>1536</v>
      </c>
    </row>
    <row r="299" spans="1:25" hidden="1">
      <c r="A299" s="1">
        <v>45703.645833333336</v>
      </c>
      <c r="B299" s="1">
        <v>45703.645833333336</v>
      </c>
      <c r="D299" t="s">
        <v>1</v>
      </c>
      <c r="E299" t="s">
        <v>149</v>
      </c>
      <c r="F299" t="s">
        <v>147</v>
      </c>
      <c r="G299" t="s">
        <v>163</v>
      </c>
      <c r="I299" s="4">
        <v>35</v>
      </c>
      <c r="J299" s="4">
        <v>35</v>
      </c>
      <c r="L299" t="s">
        <v>253</v>
      </c>
      <c r="M299" t="s">
        <v>500</v>
      </c>
      <c r="N299" s="4">
        <f>IF(L299="","",IF(OR(Registro2[[#This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99" t="str">
        <f t="shared" si="4"/>
        <v>fev/25</v>
      </c>
      <c r="P299" t="str">
        <f>IF(Registro2[[#This Row],[Data de Pagamento]]&gt;0,TEXT(A299,"mmm/aa"),"")</f>
        <v>fev/25</v>
      </c>
      <c r="T299" s="4">
        <f>IF(Registro2[[#This Row],[Data de Pagamento]]="",0,IF(Registro2[[#This Row],[Conta Financeira]]=base!$A$6,0,Registro2[[#This Row],[Valor Unitário]]))</f>
        <v>35</v>
      </c>
      <c r="U2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99" t="str">
        <f>VLOOKUP(Registro2[[#This Row],[Categoria]],'Plano de Contas'!$V$3:W340,2,0)</f>
        <v>Receitas Serviços</v>
      </c>
      <c r="X29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299" t="s">
        <v>1536</v>
      </c>
    </row>
    <row r="300" spans="1:25" hidden="1">
      <c r="A300" s="1">
        <v>45703.65625</v>
      </c>
      <c r="B300" s="1">
        <v>45703.65625</v>
      </c>
      <c r="D300" t="s">
        <v>1</v>
      </c>
      <c r="E300" t="s">
        <v>149</v>
      </c>
      <c r="F300" t="s">
        <v>147</v>
      </c>
      <c r="G300" t="s">
        <v>163</v>
      </c>
      <c r="I300" s="4">
        <v>35</v>
      </c>
      <c r="J300" s="4">
        <v>35</v>
      </c>
      <c r="L300" t="s">
        <v>264</v>
      </c>
      <c r="M300" t="s">
        <v>501</v>
      </c>
      <c r="N300" s="4">
        <f>IF(L300="","",IF(OR(Registro2[[#This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00" t="str">
        <f t="shared" si="4"/>
        <v>fev/25</v>
      </c>
      <c r="P300" t="str">
        <f>IF(Registro2[[#This Row],[Data de Pagamento]]&gt;0,TEXT(A300,"mmm/aa"),"")</f>
        <v>fev/25</v>
      </c>
      <c r="T300" s="4">
        <f>IF(Registro2[[#This Row],[Data de Pagamento]]="",0,IF(Registro2[[#This Row],[Conta Financeira]]=base!$A$6,0,Registro2[[#This Row],[Valor Unitário]]))</f>
        <v>35</v>
      </c>
      <c r="U3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00" t="str">
        <f>VLOOKUP(Registro2[[#This Row],[Categoria]],'Plano de Contas'!$V$3:W341,2,0)</f>
        <v>Receitas Serviços</v>
      </c>
      <c r="X30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00" t="s">
        <v>1536</v>
      </c>
    </row>
    <row r="301" spans="1:25" hidden="1">
      <c r="A301" s="1">
        <v>45703.677083333336</v>
      </c>
      <c r="B301" s="1">
        <v>45703.677083333336</v>
      </c>
      <c r="D301" t="s">
        <v>1</v>
      </c>
      <c r="E301" t="s">
        <v>149</v>
      </c>
      <c r="F301" t="s">
        <v>147</v>
      </c>
      <c r="G301" t="s">
        <v>163</v>
      </c>
      <c r="I301" s="4">
        <v>30</v>
      </c>
      <c r="J301" s="4">
        <v>0</v>
      </c>
      <c r="L301" t="s">
        <v>253</v>
      </c>
      <c r="M301" t="s">
        <v>414</v>
      </c>
      <c r="N301" s="4">
        <f>IF(L301="","",IF(OR(Registro2[[#This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301" t="str">
        <f t="shared" si="4"/>
        <v>fev/25</v>
      </c>
      <c r="P301" t="str">
        <f>IF(Registro2[[#This Row],[Data de Pagamento]]&gt;0,TEXT(A301,"mmm/aa"),"")</f>
        <v>fev/25</v>
      </c>
      <c r="T301" s="4">
        <f>IF(Registro2[[#This Row],[Data de Pagamento]]="",0,IF(Registro2[[#This Row],[Conta Financeira]]=base!$A$6,0,Registro2[[#This Row],[Valor Unitário]]))</f>
        <v>30</v>
      </c>
      <c r="U3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301" t="str">
        <f>VLOOKUP(Registro2[[#This Row],[Categoria]],'Plano de Contas'!$V$3:W343,2,0)</f>
        <v>Receitas Serviços</v>
      </c>
      <c r="X30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01" t="s">
        <v>1536</v>
      </c>
    </row>
    <row r="302" spans="1:25" hidden="1">
      <c r="A302" s="1">
        <v>45703.697916666664</v>
      </c>
      <c r="B302" s="1">
        <v>45703.697916666664</v>
      </c>
      <c r="D302" t="s">
        <v>1</v>
      </c>
      <c r="E302" t="s">
        <v>149</v>
      </c>
      <c r="F302" t="s">
        <v>147</v>
      </c>
      <c r="G302" t="s">
        <v>163</v>
      </c>
      <c r="I302" s="4">
        <v>30</v>
      </c>
      <c r="J302" s="4">
        <v>0</v>
      </c>
      <c r="L302" t="s">
        <v>253</v>
      </c>
      <c r="M302" t="s">
        <v>405</v>
      </c>
      <c r="N302" s="4">
        <f>IF(L302="","",IF(OR(Registro2[[#This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302" t="str">
        <f t="shared" si="4"/>
        <v>fev/25</v>
      </c>
      <c r="P302" t="str">
        <f>IF(Registro2[[#This Row],[Data de Pagamento]]&gt;0,TEXT(A302,"mmm/aa"),"")</f>
        <v>fev/25</v>
      </c>
      <c r="T302" s="4">
        <f>IF(Registro2[[#This Row],[Data de Pagamento]]="",0,IF(Registro2[[#This Row],[Conta Financeira]]=base!$A$6,0,Registro2[[#This Row],[Valor Unitário]]))</f>
        <v>30</v>
      </c>
      <c r="U3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302" t="str">
        <f>VLOOKUP(Registro2[[#This Row],[Categoria]],'Plano de Contas'!$V$3:W345,2,0)</f>
        <v>Receitas Serviços</v>
      </c>
      <c r="X30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02" t="s">
        <v>1536</v>
      </c>
    </row>
    <row r="303" spans="1:25" hidden="1">
      <c r="A303" s="1">
        <v>45703.708333333336</v>
      </c>
      <c r="B303" s="1">
        <v>45703.708333333336</v>
      </c>
      <c r="D303" t="s">
        <v>1</v>
      </c>
      <c r="E303" t="s">
        <v>149</v>
      </c>
      <c r="F303" t="s">
        <v>152</v>
      </c>
      <c r="G303" t="s">
        <v>353</v>
      </c>
      <c r="I303" s="4">
        <v>50</v>
      </c>
      <c r="J303" s="4">
        <v>50</v>
      </c>
      <c r="L303" t="s">
        <v>264</v>
      </c>
      <c r="M303" t="s">
        <v>502</v>
      </c>
      <c r="N303" s="4">
        <f>IF(L303="","",IF(OR(Registro2[[#This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303" t="str">
        <f t="shared" si="4"/>
        <v>fev/25</v>
      </c>
      <c r="P303" t="str">
        <f>IF(Registro2[[#This Row],[Data de Pagamento]]&gt;0,TEXT(A303,"mmm/aa"),"")</f>
        <v>fev/25</v>
      </c>
      <c r="T303" s="4">
        <f>IF(Registro2[[#This Row],[Data de Pagamento]]="",0,IF(Registro2[[#This Row],[Conta Financeira]]=base!$A$6,0,Registro2[[#This Row],[Valor Unitário]]))</f>
        <v>50</v>
      </c>
      <c r="U3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03" t="str">
        <f>VLOOKUP(Registro2[[#This Row],[Categoria]],'Plano de Contas'!$V$3:W344,2,0)</f>
        <v>Receitas Serviços</v>
      </c>
      <c r="X3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03" t="s">
        <v>1536</v>
      </c>
    </row>
    <row r="304" spans="1:25" hidden="1">
      <c r="A304" s="1">
        <v>45703.71875</v>
      </c>
      <c r="B304" s="1">
        <v>45703.71875</v>
      </c>
      <c r="D304" t="s">
        <v>1</v>
      </c>
      <c r="E304" t="s">
        <v>149</v>
      </c>
      <c r="F304" t="s">
        <v>147</v>
      </c>
      <c r="G304" t="s">
        <v>163</v>
      </c>
      <c r="I304" s="4">
        <v>35</v>
      </c>
      <c r="J304" s="4">
        <v>35</v>
      </c>
      <c r="L304" t="s">
        <v>253</v>
      </c>
      <c r="M304" t="s">
        <v>35</v>
      </c>
      <c r="N304" s="4">
        <f>IF(L304="","",IF(OR(Registro2[[#This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04" t="str">
        <f t="shared" si="4"/>
        <v>fev/25</v>
      </c>
      <c r="P304" t="str">
        <f>IF(Registro2[[#This Row],[Data de Pagamento]]&gt;0,TEXT(A304,"mmm/aa"),"")</f>
        <v>fev/25</v>
      </c>
      <c r="T304" s="4">
        <f>IF(Registro2[[#This Row],[Data de Pagamento]]="",0,IF(Registro2[[#This Row],[Conta Financeira]]=base!$A$6,0,Registro2[[#This Row],[Valor Unitário]]))</f>
        <v>35</v>
      </c>
      <c r="U3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04" t="str">
        <f>VLOOKUP(Registro2[[#This Row],[Categoria]],'Plano de Contas'!$V$3:W346,2,0)</f>
        <v>Receitas Serviços</v>
      </c>
      <c r="X3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04" t="s">
        <v>1536</v>
      </c>
    </row>
    <row r="305" spans="1:25" hidden="1">
      <c r="A305" s="1">
        <v>45703.729166666664</v>
      </c>
      <c r="B305" s="1">
        <v>45703.729166666664</v>
      </c>
      <c r="D305" t="s">
        <v>1</v>
      </c>
      <c r="E305" t="s">
        <v>149</v>
      </c>
      <c r="F305" t="s">
        <v>147</v>
      </c>
      <c r="G305" t="s">
        <v>163</v>
      </c>
      <c r="I305" s="4">
        <v>35</v>
      </c>
      <c r="J305" s="4">
        <v>35</v>
      </c>
      <c r="L305" t="s">
        <v>252</v>
      </c>
      <c r="M305" t="s">
        <v>503</v>
      </c>
      <c r="N305" s="4">
        <f>IF(L305="","",IF(OR(Registro2[[#This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05" t="str">
        <f t="shared" si="4"/>
        <v>fev/25</v>
      </c>
      <c r="P305" t="str">
        <f>IF(Registro2[[#This Row],[Data de Pagamento]]&gt;0,TEXT(A305,"mmm/aa"),"")</f>
        <v>fev/25</v>
      </c>
      <c r="T305" s="4">
        <f>IF(Registro2[[#This Row],[Data de Pagamento]]="",0,IF(Registro2[[#This Row],[Conta Financeira]]=base!$A$6,0,Registro2[[#This Row],[Valor Unitário]]))</f>
        <v>35</v>
      </c>
      <c r="U3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05" t="str">
        <f>VLOOKUP(Registro2[[#This Row],[Categoria]],'Plano de Contas'!$V$3:W342,2,0)</f>
        <v>Receitas Serviços</v>
      </c>
      <c r="X3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05" t="s">
        <v>1536</v>
      </c>
    </row>
    <row r="306" spans="1:25" hidden="1">
      <c r="A306" s="1">
        <v>45703.731249999997</v>
      </c>
      <c r="B306" s="1">
        <v>45703.731249999997</v>
      </c>
      <c r="D306" t="s">
        <v>1</v>
      </c>
      <c r="E306" t="s">
        <v>149</v>
      </c>
      <c r="F306" t="s">
        <v>824</v>
      </c>
      <c r="G306" t="s">
        <v>837</v>
      </c>
      <c r="I306" s="4">
        <v>120</v>
      </c>
      <c r="J306" s="4">
        <v>120</v>
      </c>
      <c r="N306" s="4" t="str">
        <f>IF(L306="","",IF(OR(Registro2[[#This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306" t="str">
        <f t="shared" si="4"/>
        <v>fev/25</v>
      </c>
      <c r="P306" t="str">
        <f>IF(Registro2[[#This Row],[Data de Pagamento]]&gt;0,TEXT(A306,"mmm/aa"),"")</f>
        <v>fev/25</v>
      </c>
      <c r="T306" s="4">
        <f>IF(Registro2[[#This Row],[Data de Pagamento]]="",0,IF(Registro2[[#This Row],[Conta Financeira]]=base!$A$6,0,Registro2[[#This Row],[Valor Unitário]]))</f>
        <v>120</v>
      </c>
      <c r="U3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06" t="str">
        <f>VLOOKUP(Registro2[[#This Row],[Categoria]],'Plano de Contas'!$V$3:W393,2,0)</f>
        <v>Receitas Serviços</v>
      </c>
      <c r="X30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06" t="s">
        <v>1536</v>
      </c>
    </row>
    <row r="307" spans="1:25" hidden="1">
      <c r="A307" s="1">
        <v>45703.739583333336</v>
      </c>
      <c r="B307" s="1">
        <v>45703.739583333336</v>
      </c>
      <c r="D307" t="s">
        <v>310</v>
      </c>
      <c r="E307" t="s">
        <v>149</v>
      </c>
      <c r="F307" t="s">
        <v>152</v>
      </c>
      <c r="G307" t="s">
        <v>159</v>
      </c>
      <c r="I307" s="4">
        <v>40</v>
      </c>
      <c r="J307" s="4">
        <v>40</v>
      </c>
      <c r="L307" t="s">
        <v>264</v>
      </c>
      <c r="M307" t="s">
        <v>504</v>
      </c>
      <c r="N307" s="4">
        <f>IF(L307="","",IF(OR(Registro2[[#This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307" t="str">
        <f t="shared" si="4"/>
        <v>fev/25</v>
      </c>
      <c r="P307" t="str">
        <f>IF(Registro2[[#This Row],[Data de Pagamento]]&gt;0,TEXT(A307,"mmm/aa"),"")</f>
        <v>fev/25</v>
      </c>
      <c r="T307" s="4">
        <f>IF(Registro2[[#This Row],[Data de Pagamento]]="",0,IF(Registro2[[#This Row],[Conta Financeira]]=base!$A$6,0,Registro2[[#This Row],[Valor Unitário]]))</f>
        <v>40</v>
      </c>
      <c r="U3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07" t="str">
        <f>VLOOKUP(Registro2[[#This Row],[Categoria]],'Plano de Contas'!$V$3:W347,2,0)</f>
        <v>Receitas Serviços</v>
      </c>
      <c r="X30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0.35599999999999998</v>
      </c>
      <c r="Y307" t="s">
        <v>1536</v>
      </c>
    </row>
    <row r="308" spans="1:25" hidden="1">
      <c r="A308" s="1">
        <v>45703.760416666664</v>
      </c>
      <c r="B308" s="1">
        <v>45703.760416666664</v>
      </c>
      <c r="D308" t="s">
        <v>1</v>
      </c>
      <c r="E308" t="s">
        <v>149</v>
      </c>
      <c r="F308" t="s">
        <v>147</v>
      </c>
      <c r="G308" t="s">
        <v>163</v>
      </c>
      <c r="I308" s="4">
        <v>35</v>
      </c>
      <c r="J308" s="4">
        <v>35</v>
      </c>
      <c r="L308" t="s">
        <v>252</v>
      </c>
      <c r="M308" t="s">
        <v>273</v>
      </c>
      <c r="N308" s="4">
        <f>IF(L308="","",IF(OR(Registro2[[#This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08" t="str">
        <f t="shared" si="4"/>
        <v>fev/25</v>
      </c>
      <c r="P308" t="str">
        <f>IF(Registro2[[#This Row],[Data de Pagamento]]&gt;0,TEXT(A308,"mmm/aa"),"")</f>
        <v>fev/25</v>
      </c>
      <c r="T308" s="4">
        <f>IF(Registro2[[#This Row],[Data de Pagamento]]="",0,IF(Registro2[[#This Row],[Conta Financeira]]=base!$A$6,0,Registro2[[#This Row],[Valor Unitário]]))</f>
        <v>35</v>
      </c>
      <c r="U3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08" t="str">
        <f>VLOOKUP(Registro2[[#This Row],[Categoria]],'Plano de Contas'!$V$3:W349,2,0)</f>
        <v>Receitas Serviços</v>
      </c>
      <c r="X30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08" t="s">
        <v>1536</v>
      </c>
    </row>
    <row r="309" spans="1:25" hidden="1">
      <c r="A309" s="1">
        <v>45703.78125</v>
      </c>
      <c r="B309" s="1">
        <v>45703.78125</v>
      </c>
      <c r="D309" t="s">
        <v>310</v>
      </c>
      <c r="E309" t="s">
        <v>149</v>
      </c>
      <c r="F309" t="s">
        <v>147</v>
      </c>
      <c r="G309" t="s">
        <v>163</v>
      </c>
      <c r="I309" s="4">
        <v>35</v>
      </c>
      <c r="J309" s="4">
        <v>35</v>
      </c>
      <c r="L309" t="s">
        <v>264</v>
      </c>
      <c r="M309" t="s">
        <v>505</v>
      </c>
      <c r="N309" s="4">
        <f>IF(L309="","",IF(OR(Registro2[[#This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09" t="str">
        <f t="shared" si="4"/>
        <v>fev/25</v>
      </c>
      <c r="P309" t="str">
        <f>IF(Registro2[[#This Row],[Data de Pagamento]]&gt;0,TEXT(A309,"mmm/aa"),"")</f>
        <v>fev/25</v>
      </c>
      <c r="T309" s="4">
        <f>IF(Registro2[[#This Row],[Data de Pagamento]]="",0,IF(Registro2[[#This Row],[Conta Financeira]]=base!$A$6,0,Registro2[[#This Row],[Valor Unitário]]))</f>
        <v>35</v>
      </c>
      <c r="U3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09" t="str">
        <f>VLOOKUP(Registro2[[#This Row],[Categoria]],'Plano de Contas'!$V$3:W348,2,0)</f>
        <v>Receitas Serviços</v>
      </c>
      <c r="X30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309" t="s">
        <v>1536</v>
      </c>
    </row>
    <row r="310" spans="1:25" hidden="1">
      <c r="A310" s="1">
        <v>45703.791666666664</v>
      </c>
      <c r="B310" s="1">
        <v>45703.791666666664</v>
      </c>
      <c r="D310" t="s">
        <v>1</v>
      </c>
      <c r="E310" t="s">
        <v>149</v>
      </c>
      <c r="F310" t="s">
        <v>152</v>
      </c>
      <c r="G310" t="s">
        <v>353</v>
      </c>
      <c r="I310" s="4">
        <v>50</v>
      </c>
      <c r="J310" s="4">
        <v>50</v>
      </c>
      <c r="L310" t="s">
        <v>253</v>
      </c>
      <c r="M310" t="s">
        <v>506</v>
      </c>
      <c r="N310" s="4">
        <f>IF(L310="","",IF(OR(Registro2[[#This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310" t="str">
        <f t="shared" si="4"/>
        <v>fev/25</v>
      </c>
      <c r="P310" t="str">
        <f>IF(Registro2[[#This Row],[Data de Pagamento]]&gt;0,TEXT(A310,"mmm/aa"),"")</f>
        <v>fev/25</v>
      </c>
      <c r="T310" s="4">
        <f>IF(Registro2[[#This Row],[Data de Pagamento]]="",0,IF(Registro2[[#This Row],[Conta Financeira]]=base!$A$6,0,Registro2[[#This Row],[Valor Unitário]]))</f>
        <v>50</v>
      </c>
      <c r="U3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10" t="str">
        <f>VLOOKUP(Registro2[[#This Row],[Categoria]],'Plano de Contas'!$V$3:W350,2,0)</f>
        <v>Receitas Serviços</v>
      </c>
      <c r="X31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10" t="s">
        <v>1536</v>
      </c>
    </row>
    <row r="311" spans="1:25" hidden="1">
      <c r="A311" s="1">
        <v>45703.8125</v>
      </c>
      <c r="B311" s="1">
        <v>45703.8125</v>
      </c>
      <c r="D311" t="s">
        <v>2</v>
      </c>
      <c r="E311" t="s">
        <v>149</v>
      </c>
      <c r="F311" t="s">
        <v>147</v>
      </c>
      <c r="G311" t="s">
        <v>163</v>
      </c>
      <c r="I311" s="4">
        <v>35</v>
      </c>
      <c r="J311" s="4">
        <v>35</v>
      </c>
      <c r="L311" t="s">
        <v>264</v>
      </c>
      <c r="M311" t="s">
        <v>42</v>
      </c>
      <c r="N311" s="4">
        <f>IF(L311="","",IF(OR(Registro2[[#This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11" t="str">
        <f t="shared" si="4"/>
        <v>fev/25</v>
      </c>
      <c r="P311" t="str">
        <f>IF(Registro2[[#This Row],[Data de Pagamento]]&gt;0,TEXT(A311,"mmm/aa"),"")</f>
        <v>fev/25</v>
      </c>
      <c r="T311" s="4">
        <f>IF(Registro2[[#This Row],[Data de Pagamento]]="",0,IF(Registro2[[#This Row],[Conta Financeira]]=base!$A$6,0,Registro2[[#This Row],[Valor Unitário]]))</f>
        <v>35</v>
      </c>
      <c r="U3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11" t="str">
        <f>VLOOKUP(Registro2[[#This Row],[Categoria]],'Plano de Contas'!$V$3:W351,2,0)</f>
        <v>Receitas Serviços</v>
      </c>
      <c r="X3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11" t="s">
        <v>1536</v>
      </c>
    </row>
    <row r="312" spans="1:25" hidden="1">
      <c r="A312" s="1">
        <v>45703.822916666664</v>
      </c>
      <c r="B312" s="1">
        <v>45703.822916666664</v>
      </c>
      <c r="D312" t="s">
        <v>1</v>
      </c>
      <c r="E312" t="s">
        <v>149</v>
      </c>
      <c r="F312" t="s">
        <v>147</v>
      </c>
      <c r="G312" t="s">
        <v>163</v>
      </c>
      <c r="I312" s="4">
        <v>35</v>
      </c>
      <c r="J312" s="4">
        <v>35</v>
      </c>
      <c r="L312" t="s">
        <v>253</v>
      </c>
      <c r="M312" t="s">
        <v>405</v>
      </c>
      <c r="N312" s="4">
        <f>IF(L312="","",IF(OR(Registro2[[#This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12" t="str">
        <f t="shared" si="4"/>
        <v>fev/25</v>
      </c>
      <c r="P312" t="str">
        <f>IF(Registro2[[#This Row],[Data de Pagamento]]&gt;0,TEXT(A312,"mmm/aa"),"")</f>
        <v>fev/25</v>
      </c>
      <c r="T312" s="4">
        <f>IF(Registro2[[#This Row],[Data de Pagamento]]="",0,IF(Registro2[[#This Row],[Conta Financeira]]=base!$A$6,0,Registro2[[#This Row],[Valor Unitário]]))</f>
        <v>35</v>
      </c>
      <c r="U3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12" t="str">
        <f>VLOOKUP(Registro2[[#This Row],[Categoria]],'Plano de Contas'!$V$3:W352,2,0)</f>
        <v>Receitas Serviços</v>
      </c>
      <c r="X31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12" t="s">
        <v>1536</v>
      </c>
    </row>
    <row r="313" spans="1:25" hidden="1">
      <c r="A313" s="1">
        <v>45703.875</v>
      </c>
      <c r="B313" s="1">
        <v>45703.875</v>
      </c>
      <c r="D313" t="s">
        <v>1</v>
      </c>
      <c r="E313" t="s">
        <v>149</v>
      </c>
      <c r="F313" t="s">
        <v>147</v>
      </c>
      <c r="G313" t="s">
        <v>161</v>
      </c>
      <c r="I313" s="4">
        <v>25</v>
      </c>
      <c r="J313" s="4">
        <v>25</v>
      </c>
      <c r="L313" t="s">
        <v>264</v>
      </c>
      <c r="M313" t="s">
        <v>271</v>
      </c>
      <c r="N313" s="4">
        <f>IF(L313="","",IF(OR(Registro2[[#This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313" t="str">
        <f t="shared" si="4"/>
        <v>fev/25</v>
      </c>
      <c r="P313" t="str">
        <f>IF(Registro2[[#This Row],[Data de Pagamento]]&gt;0,TEXT(A313,"mmm/aa"),"")</f>
        <v>fev/25</v>
      </c>
      <c r="T313" s="4">
        <f>IF(Registro2[[#This Row],[Data de Pagamento]]="",0,IF(Registro2[[#This Row],[Conta Financeira]]=base!$A$6,0,Registro2[[#This Row],[Valor Unitário]]))</f>
        <v>25</v>
      </c>
      <c r="U3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13" t="str">
        <f>VLOOKUP(Registro2[[#This Row],[Categoria]],'Plano de Contas'!$V$3:W354,2,0)</f>
        <v>Receitas Serviços</v>
      </c>
      <c r="X31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13" t="s">
        <v>1536</v>
      </c>
    </row>
    <row r="314" spans="1:25" hidden="1">
      <c r="A314" s="1">
        <v>45705.625</v>
      </c>
      <c r="B314" s="1">
        <v>45705.625</v>
      </c>
      <c r="D314" t="s">
        <v>1</v>
      </c>
      <c r="E314" t="s">
        <v>149</v>
      </c>
      <c r="F314" t="s">
        <v>152</v>
      </c>
      <c r="G314" t="s">
        <v>159</v>
      </c>
      <c r="I314" s="4">
        <v>40</v>
      </c>
      <c r="J314" s="4">
        <v>40</v>
      </c>
      <c r="L314" t="s">
        <v>252</v>
      </c>
      <c r="M314" t="s">
        <v>769</v>
      </c>
      <c r="N314" s="4">
        <f>IF(L314="","",IF(OR(Registro2[[#This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314" t="str">
        <f t="shared" si="4"/>
        <v>fev/25</v>
      </c>
      <c r="P314" t="str">
        <f>IF(Registro2[[#This Row],[Data de Pagamento]]&gt;0,TEXT(A314,"mmm/aa"),"")</f>
        <v>fev/25</v>
      </c>
      <c r="T314" s="4">
        <f>IF(Registro2[[#This Row],[Data de Pagamento]]="",0,IF(Registro2[[#This Row],[Conta Financeira]]=base!$A$6,0,Registro2[[#This Row],[Valor Unitário]]))</f>
        <v>40</v>
      </c>
      <c r="U3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14" t="str">
        <f>VLOOKUP(Registro2[[#This Row],[Categoria]],'Plano de Contas'!$V$3:W355,2,0)</f>
        <v>Receitas Serviços</v>
      </c>
      <c r="X31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14" t="s">
        <v>1536</v>
      </c>
    </row>
    <row r="315" spans="1:25" hidden="1">
      <c r="A315" s="1">
        <v>45705.645833333336</v>
      </c>
      <c r="B315" s="1">
        <v>45705.645833333336</v>
      </c>
      <c r="D315" t="s">
        <v>1</v>
      </c>
      <c r="E315" t="s">
        <v>149</v>
      </c>
      <c r="F315" t="s">
        <v>147</v>
      </c>
      <c r="G315" t="s">
        <v>163</v>
      </c>
      <c r="I315" s="4">
        <v>35</v>
      </c>
      <c r="J315" s="4">
        <v>35</v>
      </c>
      <c r="L315" t="s">
        <v>264</v>
      </c>
      <c r="M315" t="s">
        <v>382</v>
      </c>
      <c r="N315" s="4">
        <f>IF(L315="","",IF(OR(Registro2[[#This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15" t="str">
        <f t="shared" si="4"/>
        <v>fev/25</v>
      </c>
      <c r="P315" t="str">
        <f>IF(Registro2[[#This Row],[Data de Pagamento]]&gt;0,TEXT(A315,"mmm/aa"),"")</f>
        <v>fev/25</v>
      </c>
      <c r="T315" s="4">
        <f>IF(Registro2[[#This Row],[Data de Pagamento]]="",0,IF(Registro2[[#This Row],[Conta Financeira]]=base!$A$6,0,Registro2[[#This Row],[Valor Unitário]]))</f>
        <v>35</v>
      </c>
      <c r="U3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15" t="str">
        <f>VLOOKUP(Registro2[[#This Row],[Categoria]],'Plano de Contas'!$V$3:W356,2,0)</f>
        <v>Receitas Serviços</v>
      </c>
      <c r="X31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15" t="s">
        <v>1536</v>
      </c>
    </row>
    <row r="316" spans="1:25" hidden="1">
      <c r="A316" s="1">
        <v>45705.815972222219</v>
      </c>
      <c r="B316" s="1">
        <v>45705.815972222219</v>
      </c>
      <c r="D316" t="s">
        <v>310</v>
      </c>
      <c r="E316" t="s">
        <v>149</v>
      </c>
      <c r="F316" t="s">
        <v>152</v>
      </c>
      <c r="G316" t="s">
        <v>159</v>
      </c>
      <c r="I316" s="4">
        <v>40</v>
      </c>
      <c r="J316" s="4">
        <v>40</v>
      </c>
      <c r="L316" t="s">
        <v>252</v>
      </c>
      <c r="M316" t="s">
        <v>772</v>
      </c>
      <c r="N316" s="4">
        <f>IF(L316="","",IF(OR(Registro2[[#This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316" t="str">
        <f t="shared" si="4"/>
        <v>fev/25</v>
      </c>
      <c r="P316" t="str">
        <f>IF(Registro2[[#This Row],[Data de Pagamento]]&gt;0,TEXT(A316,"mmm/aa"),"")</f>
        <v>fev/25</v>
      </c>
      <c r="T316" s="4">
        <f>IF(Registro2[[#This Row],[Data de Pagamento]]="",0,IF(Registro2[[#This Row],[Conta Financeira]]=base!$A$6,0,Registro2[[#This Row],[Valor Unitário]]))</f>
        <v>40</v>
      </c>
      <c r="U3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16" t="str">
        <f>VLOOKUP(Registro2[[#This Row],[Categoria]],'Plano de Contas'!$V$3:W357,2,0)</f>
        <v>Receitas Serviços</v>
      </c>
      <c r="X31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0.35599999999999998</v>
      </c>
      <c r="Y316" t="s">
        <v>1536</v>
      </c>
    </row>
    <row r="317" spans="1:25" hidden="1">
      <c r="A317" s="1">
        <v>45706.4375</v>
      </c>
      <c r="B317" s="1">
        <v>45706.4375</v>
      </c>
      <c r="D317" t="s">
        <v>1</v>
      </c>
      <c r="E317" t="s">
        <v>149</v>
      </c>
      <c r="F317" t="s">
        <v>147</v>
      </c>
      <c r="G317" t="s">
        <v>163</v>
      </c>
      <c r="I317" s="4">
        <v>35</v>
      </c>
      <c r="J317" s="4">
        <v>35</v>
      </c>
      <c r="L317" t="s">
        <v>252</v>
      </c>
      <c r="M317" t="s">
        <v>80</v>
      </c>
      <c r="N317" s="4">
        <f>IF(L317="","",IF(OR(Registro2[[#This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17" t="str">
        <f t="shared" si="4"/>
        <v>fev/25</v>
      </c>
      <c r="P317" t="str">
        <f>IF(Registro2[[#This Row],[Data de Pagamento]]&gt;0,TEXT(A317,"mmm/aa"),"")</f>
        <v>fev/25</v>
      </c>
      <c r="T317" s="4">
        <f>IF(Registro2[[#This Row],[Data de Pagamento]]="",0,IF(Registro2[[#This Row],[Conta Financeira]]=base!$A$6,0,Registro2[[#This Row],[Valor Unitário]]))</f>
        <v>35</v>
      </c>
      <c r="U3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17" t="str">
        <f>VLOOKUP(Registro2[[#This Row],[Categoria]],'Plano de Contas'!$V$3:W358,2,0)</f>
        <v>Receitas Serviços</v>
      </c>
      <c r="X31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17" t="s">
        <v>1536</v>
      </c>
    </row>
    <row r="318" spans="1:25" hidden="1">
      <c r="A318" s="1">
        <v>45706.46875</v>
      </c>
      <c r="B318" s="1">
        <v>45706.46875</v>
      </c>
      <c r="D318" t="s">
        <v>310</v>
      </c>
      <c r="E318" t="s">
        <v>149</v>
      </c>
      <c r="F318" t="s">
        <v>147</v>
      </c>
      <c r="G318" t="s">
        <v>162</v>
      </c>
      <c r="I318" s="4">
        <v>15</v>
      </c>
      <c r="J318" s="4">
        <v>15</v>
      </c>
      <c r="L318" t="s">
        <v>264</v>
      </c>
      <c r="M318" t="s">
        <v>120</v>
      </c>
      <c r="N318" s="4">
        <f>IF(L318="","",IF(OR(Registro2[[#This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318" t="str">
        <f t="shared" si="4"/>
        <v>fev/25</v>
      </c>
      <c r="P318" t="str">
        <f>IF(Registro2[[#This Row],[Data de Pagamento]]&gt;0,TEXT(A318,"mmm/aa"),"")</f>
        <v>fev/25</v>
      </c>
      <c r="T318" s="4">
        <f>IF(Registro2[[#This Row],[Data de Pagamento]]="",0,IF(Registro2[[#This Row],[Conta Financeira]]=base!$A$6,0,Registro2[[#This Row],[Valor Unitário]]))</f>
        <v>15</v>
      </c>
      <c r="U3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18" t="str">
        <f>VLOOKUP(Registro2[[#This Row],[Categoria]],'Plano de Contas'!$V$3:W359,2,0)</f>
        <v>Receitas Serviços</v>
      </c>
      <c r="X31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  <c r="Y318" t="s">
        <v>1536</v>
      </c>
    </row>
    <row r="319" spans="1:25" hidden="1">
      <c r="A319" s="1">
        <v>45706.53125</v>
      </c>
      <c r="B319" s="1">
        <v>45706.53125</v>
      </c>
      <c r="D319" t="s">
        <v>1</v>
      </c>
      <c r="E319" t="s">
        <v>149</v>
      </c>
      <c r="F319" t="s">
        <v>150</v>
      </c>
      <c r="G319" t="s">
        <v>508</v>
      </c>
      <c r="I319" s="4">
        <v>25</v>
      </c>
      <c r="J319" s="4">
        <v>25</v>
      </c>
      <c r="L319" t="s">
        <v>264</v>
      </c>
      <c r="M319" t="s">
        <v>776</v>
      </c>
      <c r="N319" s="4">
        <f>IF(L319="","",IF(OR(Registro2[[#This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319" t="str">
        <f t="shared" si="4"/>
        <v>fev/25</v>
      </c>
      <c r="P319" t="str">
        <f>IF(Registro2[[#This Row],[Data de Pagamento]]&gt;0,TEXT(A319,"mmm/aa"),"")</f>
        <v>fev/25</v>
      </c>
      <c r="T319" s="4">
        <f>IF(Registro2[[#This Row],[Data de Pagamento]]="",0,IF(Registro2[[#This Row],[Conta Financeira]]=base!$A$6,0,Registro2[[#This Row],[Valor Unitário]]))</f>
        <v>25</v>
      </c>
      <c r="U3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19" t="str">
        <f>VLOOKUP(Registro2[[#This Row],[Categoria]],'Plano de Contas'!$V$3:W360,2,0)</f>
        <v>Receitas Produtos</v>
      </c>
      <c r="X31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19" t="s">
        <v>1536</v>
      </c>
    </row>
    <row r="320" spans="1:25" hidden="1">
      <c r="A320" s="1">
        <v>45706.583333333336</v>
      </c>
      <c r="B320" s="1">
        <v>45706.583333333336</v>
      </c>
      <c r="D320" t="s">
        <v>310</v>
      </c>
      <c r="E320" t="s">
        <v>149</v>
      </c>
      <c r="F320" t="s">
        <v>147</v>
      </c>
      <c r="G320" t="s">
        <v>161</v>
      </c>
      <c r="I320" s="4">
        <v>20</v>
      </c>
      <c r="J320" s="4">
        <v>25</v>
      </c>
      <c r="L320" t="s">
        <v>252</v>
      </c>
      <c r="M320" t="s">
        <v>294</v>
      </c>
      <c r="N320" s="4">
        <f>IF(L320="","",IF(OR(Registro2[[#This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320" t="str">
        <f t="shared" si="4"/>
        <v>fev/25</v>
      </c>
      <c r="P320" t="str">
        <f>IF(Registro2[[#This Row],[Data de Pagamento]]&gt;0,TEXT(A320,"mmm/aa"),"")</f>
        <v>fev/25</v>
      </c>
      <c r="T320" s="4">
        <f>IF(Registro2[[#This Row],[Data de Pagamento]]="",0,IF(Registro2[[#This Row],[Conta Financeira]]=base!$A$6,0,Registro2[[#This Row],[Valor Unitário]]))</f>
        <v>20</v>
      </c>
      <c r="U3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20" t="str">
        <f>VLOOKUP(Registro2[[#This Row],[Categoria]],'Plano de Contas'!$V$3:W362,2,0)</f>
        <v>Receitas Serviços</v>
      </c>
      <c r="X32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  <c r="Y320" t="s">
        <v>1536</v>
      </c>
    </row>
    <row r="321" spans="1:25" hidden="1">
      <c r="A321" s="1">
        <v>45706.697916666664</v>
      </c>
      <c r="B321" s="1">
        <v>45706.697916666664</v>
      </c>
      <c r="D321" t="s">
        <v>2</v>
      </c>
      <c r="E321" t="s">
        <v>149</v>
      </c>
      <c r="F321" t="s">
        <v>147</v>
      </c>
      <c r="G321" t="s">
        <v>163</v>
      </c>
      <c r="I321" s="4">
        <v>35</v>
      </c>
      <c r="J321" s="4">
        <v>35</v>
      </c>
      <c r="L321" t="s">
        <v>264</v>
      </c>
      <c r="M321" t="s">
        <v>778</v>
      </c>
      <c r="N321" s="4">
        <f>IF(L321="","",IF(OR(Registro2[[#This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21" t="str">
        <f t="shared" si="4"/>
        <v>fev/25</v>
      </c>
      <c r="P321" t="str">
        <f>IF(Registro2[[#This Row],[Data de Pagamento]]&gt;0,TEXT(A321,"mmm/aa"),"")</f>
        <v>fev/25</v>
      </c>
      <c r="T321" s="4">
        <f>IF(Registro2[[#This Row],[Data de Pagamento]]="",0,IF(Registro2[[#This Row],[Conta Financeira]]=base!$A$6,0,Registro2[[#This Row],[Valor Unitário]]))</f>
        <v>35</v>
      </c>
      <c r="U3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21" t="str">
        <f>VLOOKUP(Registro2[[#This Row],[Categoria]],'Plano de Contas'!$V$3:W361,2,0)</f>
        <v>Receitas Serviços</v>
      </c>
      <c r="X32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21" t="s">
        <v>1536</v>
      </c>
    </row>
    <row r="322" spans="1:25" hidden="1">
      <c r="A322" s="1">
        <v>45706.760416666664</v>
      </c>
      <c r="B322" s="1">
        <v>45706.760416666664</v>
      </c>
      <c r="D322" t="s">
        <v>354</v>
      </c>
      <c r="E322" t="s">
        <v>149</v>
      </c>
      <c r="F322" t="s">
        <v>147</v>
      </c>
      <c r="G322" t="s">
        <v>163</v>
      </c>
      <c r="I322" s="4">
        <v>35</v>
      </c>
      <c r="J322" s="4">
        <v>35</v>
      </c>
      <c r="L322" t="s">
        <v>264</v>
      </c>
      <c r="M322" t="s">
        <v>781</v>
      </c>
      <c r="N322" s="4">
        <f>IF(L322="","",IF(OR(Registro2[[#This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22" t="str">
        <f t="shared" ref="O322:O385" si="5">TEXT(B322,"mmm/aa")</f>
        <v>fev/25</v>
      </c>
      <c r="P322" t="str">
        <f>IF(Registro2[[#This Row],[Data de Pagamento]]&gt;0,TEXT(A322,"mmm/aa"),"")</f>
        <v>fev/25</v>
      </c>
      <c r="T322" s="4">
        <f>IF(Registro2[[#This Row],[Data de Pagamento]]="",0,IF(Registro2[[#This Row],[Conta Financeira]]=base!$A$6,0,Registro2[[#This Row],[Valor Unitário]]))</f>
        <v>35</v>
      </c>
      <c r="U3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22" t="str">
        <f>VLOOKUP(Registro2[[#This Row],[Categoria]],'Plano de Contas'!$V$3:W363,2,0)</f>
        <v>Receitas Serviços</v>
      </c>
      <c r="X32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322" t="s">
        <v>1536</v>
      </c>
    </row>
    <row r="323" spans="1:25" hidden="1">
      <c r="A323" s="1">
        <v>45706.802083333336</v>
      </c>
      <c r="B323" s="1">
        <v>45706.802083333336</v>
      </c>
      <c r="D323" t="s">
        <v>310</v>
      </c>
      <c r="E323" t="s">
        <v>149</v>
      </c>
      <c r="F323" t="s">
        <v>147</v>
      </c>
      <c r="G323" t="s">
        <v>163</v>
      </c>
      <c r="I323" s="4">
        <v>35</v>
      </c>
      <c r="J323" s="4">
        <v>35</v>
      </c>
      <c r="L323" t="s">
        <v>252</v>
      </c>
      <c r="M323" t="s">
        <v>783</v>
      </c>
      <c r="N323" s="4">
        <f>IF(L323="","",IF(OR(Registro2[[#This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23" t="str">
        <f t="shared" si="5"/>
        <v>fev/25</v>
      </c>
      <c r="P323" t="str">
        <f>IF(Registro2[[#This Row],[Data de Pagamento]]&gt;0,TEXT(A323,"mmm/aa"),"")</f>
        <v>fev/25</v>
      </c>
      <c r="T323" s="4">
        <f>IF(Registro2[[#This Row],[Data de Pagamento]]="",0,IF(Registro2[[#This Row],[Conta Financeira]]=base!$A$6,0,Registro2[[#This Row],[Valor Unitário]]))</f>
        <v>35</v>
      </c>
      <c r="U3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23" t="str">
        <f>VLOOKUP(Registro2[[#This Row],[Categoria]],'Plano de Contas'!$V$3:W364,2,0)</f>
        <v>Receitas Serviços</v>
      </c>
      <c r="X32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323" t="s">
        <v>1536</v>
      </c>
    </row>
    <row r="324" spans="1:25" hidden="1">
      <c r="A324" s="1">
        <v>45706.861111111109</v>
      </c>
      <c r="B324" s="1">
        <v>45706.861111111109</v>
      </c>
      <c r="D324" t="s">
        <v>354</v>
      </c>
      <c r="E324" t="s">
        <v>149</v>
      </c>
      <c r="F324" t="s">
        <v>152</v>
      </c>
      <c r="G324" t="s">
        <v>159</v>
      </c>
      <c r="I324" s="4">
        <v>40</v>
      </c>
      <c r="J324" s="4">
        <v>40</v>
      </c>
      <c r="L324" t="s">
        <v>264</v>
      </c>
      <c r="M324" t="s">
        <v>286</v>
      </c>
      <c r="N324" s="4">
        <f>IF(L324="","",IF(OR(Registro2[[#This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324" t="str">
        <f t="shared" si="5"/>
        <v>fev/25</v>
      </c>
      <c r="P324" t="str">
        <f>IF(Registro2[[#This Row],[Data de Pagamento]]&gt;0,TEXT(A324,"mmm/aa"),"")</f>
        <v>fev/25</v>
      </c>
      <c r="T324" s="4">
        <f>IF(Registro2[[#This Row],[Data de Pagamento]]="",0,IF(Registro2[[#This Row],[Conta Financeira]]=base!$A$6,0,Registro2[[#This Row],[Valor Unitário]]))</f>
        <v>40</v>
      </c>
      <c r="U3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24" t="str">
        <f>VLOOKUP(Registro2[[#This Row],[Categoria]],'Plano de Contas'!$V$3:W365,2,0)</f>
        <v>Receitas Serviços</v>
      </c>
      <c r="X32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1.26</v>
      </c>
      <c r="Y324" t="s">
        <v>1536</v>
      </c>
    </row>
    <row r="325" spans="1:25" hidden="1">
      <c r="A325" s="1">
        <v>45707.416666666664</v>
      </c>
      <c r="B325" s="1">
        <v>45707.416666666664</v>
      </c>
      <c r="D325" t="s">
        <v>1</v>
      </c>
      <c r="E325" t="s">
        <v>149</v>
      </c>
      <c r="F325" t="s">
        <v>147</v>
      </c>
      <c r="G325" t="s">
        <v>163</v>
      </c>
      <c r="I325" s="4">
        <v>35</v>
      </c>
      <c r="J325" s="4">
        <v>35</v>
      </c>
      <c r="L325" t="s">
        <v>252</v>
      </c>
      <c r="M325" t="s">
        <v>58</v>
      </c>
      <c r="N325" s="4">
        <f>IF(L325="","",IF(OR(Registro2[[#This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25" t="str">
        <f t="shared" si="5"/>
        <v>fev/25</v>
      </c>
      <c r="P325" t="str">
        <f>IF(Registro2[[#This Row],[Data de Pagamento]]&gt;0,TEXT(A325,"mmm/aa"),"")</f>
        <v>fev/25</v>
      </c>
      <c r="T325" s="4">
        <f>IF(Registro2[[#This Row],[Data de Pagamento]]="",0,IF(Registro2[[#This Row],[Conta Financeira]]=base!$A$6,0,Registro2[[#This Row],[Valor Unitário]]))</f>
        <v>35</v>
      </c>
      <c r="U3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25" t="str">
        <f>VLOOKUP(Registro2[[#This Row],[Categoria]],'Plano de Contas'!$V$3:W367,2,0)</f>
        <v>Receitas Serviços</v>
      </c>
      <c r="X32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25" t="s">
        <v>1536</v>
      </c>
    </row>
    <row r="326" spans="1:25" hidden="1">
      <c r="A326" s="1">
        <v>45707.46875</v>
      </c>
      <c r="B326" s="1">
        <v>45707.46875</v>
      </c>
      <c r="D326" t="s">
        <v>1</v>
      </c>
      <c r="E326" t="s">
        <v>149</v>
      </c>
      <c r="F326" t="s">
        <v>147</v>
      </c>
      <c r="G326" t="s">
        <v>163</v>
      </c>
      <c r="I326" s="4">
        <v>35</v>
      </c>
      <c r="J326" s="4">
        <v>35</v>
      </c>
      <c r="L326" t="s">
        <v>264</v>
      </c>
      <c r="M326" t="s">
        <v>789</v>
      </c>
      <c r="N326" s="4">
        <f>IF(L326="","",IF(OR(Registro2[[#This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26" t="str">
        <f t="shared" si="5"/>
        <v>fev/25</v>
      </c>
      <c r="P326" t="str">
        <f>IF(Registro2[[#This Row],[Data de Pagamento]]&gt;0,TEXT(A326,"mmm/aa"),"")</f>
        <v>fev/25</v>
      </c>
      <c r="T326" s="4">
        <f>IF(Registro2[[#This Row],[Data de Pagamento]]="",0,IF(Registro2[[#This Row],[Conta Financeira]]=base!$A$6,0,Registro2[[#This Row],[Valor Unitário]]))</f>
        <v>35</v>
      </c>
      <c r="U3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26" t="str">
        <f>VLOOKUP(Registro2[[#This Row],[Categoria]],'Plano de Contas'!$V$3:W369,2,0)</f>
        <v>Receitas Serviços</v>
      </c>
      <c r="X32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26" t="s">
        <v>1536</v>
      </c>
    </row>
    <row r="327" spans="1:25" hidden="1">
      <c r="A327" s="1">
        <v>45707.479166666664</v>
      </c>
      <c r="B327" s="1">
        <v>45707.479166666664</v>
      </c>
      <c r="D327" t="s">
        <v>1</v>
      </c>
      <c r="E327" t="s">
        <v>149</v>
      </c>
      <c r="F327" t="s">
        <v>147</v>
      </c>
      <c r="G327" t="s">
        <v>163</v>
      </c>
      <c r="I327" s="4">
        <v>35</v>
      </c>
      <c r="J327" s="4">
        <v>35</v>
      </c>
      <c r="L327" t="s">
        <v>252</v>
      </c>
      <c r="M327" t="s">
        <v>403</v>
      </c>
      <c r="N327" s="4">
        <f>IF(L327="","",IF(OR(Registro2[[#This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27" t="str">
        <f t="shared" si="5"/>
        <v>fev/25</v>
      </c>
      <c r="P327" t="str">
        <f>IF(Registro2[[#This Row],[Data de Pagamento]]&gt;0,TEXT(A327,"mmm/aa"),"")</f>
        <v>fev/25</v>
      </c>
      <c r="T327" s="4">
        <f>IF(Registro2[[#This Row],[Data de Pagamento]]="",0,IF(Registro2[[#This Row],[Conta Financeira]]=base!$A$6,0,Registro2[[#This Row],[Valor Unitário]]))</f>
        <v>35</v>
      </c>
      <c r="U3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27" t="str">
        <f>VLOOKUP(Registro2[[#This Row],[Categoria]],'Plano de Contas'!$V$3:W370,2,0)</f>
        <v>Receitas Serviços</v>
      </c>
      <c r="X3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27" t="s">
        <v>1536</v>
      </c>
    </row>
    <row r="328" spans="1:25" hidden="1">
      <c r="A328" s="1">
        <v>45707.5</v>
      </c>
      <c r="B328" s="1">
        <v>45707.5</v>
      </c>
      <c r="D328" t="s">
        <v>354</v>
      </c>
      <c r="E328" t="s">
        <v>149</v>
      </c>
      <c r="F328" t="s">
        <v>147</v>
      </c>
      <c r="G328" t="s">
        <v>163</v>
      </c>
      <c r="I328" s="4">
        <v>30</v>
      </c>
      <c r="J328" s="4">
        <v>0</v>
      </c>
      <c r="L328" t="s">
        <v>252</v>
      </c>
      <c r="M328" t="s">
        <v>122</v>
      </c>
      <c r="N328" s="4">
        <f>IF(L328="","",IF(OR(Registro2[[#This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328" t="str">
        <f t="shared" si="5"/>
        <v>fev/25</v>
      </c>
      <c r="P328" t="str">
        <f>IF(Registro2[[#This Row],[Data de Pagamento]]&gt;0,TEXT(A328,"mmm/aa"),"")</f>
        <v>fev/25</v>
      </c>
      <c r="T328" s="4">
        <f>IF(Registro2[[#This Row],[Data de Pagamento]]="",0,IF(Registro2[[#This Row],[Conta Financeira]]=base!$A$6,0,Registro2[[#This Row],[Valor Unitário]]))</f>
        <v>30</v>
      </c>
      <c r="U3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328" t="str">
        <f>VLOOKUP(Registro2[[#This Row],[Categoria]],'Plano de Contas'!$V$3:W366,2,0)</f>
        <v>Receitas Serviços</v>
      </c>
      <c r="X32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0.94500000000000006</v>
      </c>
      <c r="Y328" t="s">
        <v>1536</v>
      </c>
    </row>
    <row r="329" spans="1:25" hidden="1">
      <c r="A329" s="1">
        <v>45707.604166666664</v>
      </c>
      <c r="B329" s="1">
        <v>45707.604166666664</v>
      </c>
      <c r="D329" t="s">
        <v>310</v>
      </c>
      <c r="E329" t="s">
        <v>149</v>
      </c>
      <c r="F329" t="s">
        <v>152</v>
      </c>
      <c r="G329" t="s">
        <v>353</v>
      </c>
      <c r="I329" s="4">
        <v>55</v>
      </c>
      <c r="J329" s="4">
        <v>55</v>
      </c>
      <c r="L329" t="s">
        <v>252</v>
      </c>
      <c r="M329" t="s">
        <v>192</v>
      </c>
      <c r="N329" s="4">
        <f>IF(L329="","",IF(OR(Registro2[[#This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329" t="str">
        <f t="shared" si="5"/>
        <v>fev/25</v>
      </c>
      <c r="P329" t="str">
        <f>IF(Registro2[[#This Row],[Data de Pagamento]]&gt;0,TEXT(A329,"mmm/aa"),"")</f>
        <v>fev/25</v>
      </c>
      <c r="T329" s="4">
        <f>IF(Registro2[[#This Row],[Data de Pagamento]]="",0,IF(Registro2[[#This Row],[Conta Financeira]]=base!$A$6,0,Registro2[[#This Row],[Valor Unitário]]))</f>
        <v>55</v>
      </c>
      <c r="U3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29" t="str">
        <f>VLOOKUP(Registro2[[#This Row],[Categoria]],'Plano de Contas'!$V$3:W372,2,0)</f>
        <v>Receitas Serviços</v>
      </c>
      <c r="X32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0.48949999999999999</v>
      </c>
      <c r="Y329" t="s">
        <v>1536</v>
      </c>
    </row>
    <row r="330" spans="1:25" hidden="1">
      <c r="A330" s="1">
        <v>45707.625</v>
      </c>
      <c r="B330" s="1">
        <v>45707.625</v>
      </c>
      <c r="D330" t="s">
        <v>354</v>
      </c>
      <c r="E330" t="s">
        <v>149</v>
      </c>
      <c r="F330" t="s">
        <v>147</v>
      </c>
      <c r="G330" t="s">
        <v>163</v>
      </c>
      <c r="I330" s="4">
        <v>35</v>
      </c>
      <c r="J330" s="4">
        <v>35</v>
      </c>
      <c r="L330" t="s">
        <v>252</v>
      </c>
      <c r="M330" t="s">
        <v>269</v>
      </c>
      <c r="N330" s="4">
        <f>IF(L330="","",IF(OR(Registro2[[#This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30" t="str">
        <f t="shared" si="5"/>
        <v>fev/25</v>
      </c>
      <c r="P330" t="str">
        <f>IF(Registro2[[#This Row],[Data de Pagamento]]&gt;0,TEXT(A330,"mmm/aa"),"")</f>
        <v>fev/25</v>
      </c>
      <c r="T330" s="4">
        <f>IF(Registro2[[#This Row],[Data de Pagamento]]="",0,IF(Registro2[[#This Row],[Conta Financeira]]=base!$A$6,0,Registro2[[#This Row],[Valor Unitário]]))</f>
        <v>35</v>
      </c>
      <c r="U3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30" t="str">
        <f>VLOOKUP(Registro2[[#This Row],[Categoria]],'Plano de Contas'!$V$3:W371,2,0)</f>
        <v>Receitas Serviços</v>
      </c>
      <c r="X33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330" t="s">
        <v>1536</v>
      </c>
    </row>
    <row r="331" spans="1:25" hidden="1">
      <c r="A331" s="1">
        <v>45707.791666666664</v>
      </c>
      <c r="B331" s="1">
        <v>45707.791666666664</v>
      </c>
      <c r="D331" t="s">
        <v>310</v>
      </c>
      <c r="E331" t="s">
        <v>149</v>
      </c>
      <c r="F331" t="s">
        <v>147</v>
      </c>
      <c r="G331" t="s">
        <v>163</v>
      </c>
      <c r="I331" s="4">
        <v>35</v>
      </c>
      <c r="J331" s="4">
        <v>35</v>
      </c>
      <c r="L331" t="s">
        <v>252</v>
      </c>
      <c r="M331" t="s">
        <v>794</v>
      </c>
      <c r="N331" s="4">
        <f>IF(L331="","",IF(OR(Registro2[[#This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31" t="str">
        <f t="shared" si="5"/>
        <v>fev/25</v>
      </c>
      <c r="P331" t="str">
        <f>IF(Registro2[[#This Row],[Data de Pagamento]]&gt;0,TEXT(A331,"mmm/aa"),"")</f>
        <v>fev/25</v>
      </c>
      <c r="T331" s="4">
        <f>IF(Registro2[[#This Row],[Data de Pagamento]]="",0,IF(Registro2[[#This Row],[Conta Financeira]]=base!$A$6,0,Registro2[[#This Row],[Valor Unitário]]))</f>
        <v>35</v>
      </c>
      <c r="U3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31" t="str">
        <f>VLOOKUP(Registro2[[#This Row],[Categoria]],'Plano de Contas'!$V$3:W373,2,0)</f>
        <v>Receitas Serviços</v>
      </c>
      <c r="X33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331" t="s">
        <v>1536</v>
      </c>
    </row>
    <row r="332" spans="1:25" hidden="1">
      <c r="A332" s="1">
        <v>45707.802083333336</v>
      </c>
      <c r="B332" s="1">
        <v>45707.802083333336</v>
      </c>
      <c r="D332" t="s">
        <v>1</v>
      </c>
      <c r="E332" t="s">
        <v>149</v>
      </c>
      <c r="F332" t="s">
        <v>147</v>
      </c>
      <c r="G332" t="s">
        <v>161</v>
      </c>
      <c r="I332" s="4">
        <v>20</v>
      </c>
      <c r="J332" s="4">
        <v>20</v>
      </c>
      <c r="L332" t="s">
        <v>264</v>
      </c>
      <c r="M332" t="s">
        <v>796</v>
      </c>
      <c r="N332" s="4">
        <f>IF(L332="","",IF(OR(Registro2[[#This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332" t="str">
        <f t="shared" si="5"/>
        <v>fev/25</v>
      </c>
      <c r="P332" t="str">
        <f>IF(Registro2[[#This Row],[Data de Pagamento]]&gt;0,TEXT(A332,"mmm/aa"),"")</f>
        <v>fev/25</v>
      </c>
      <c r="T332" s="4">
        <f>IF(Registro2[[#This Row],[Data de Pagamento]]="",0,IF(Registro2[[#This Row],[Conta Financeira]]=base!$A$6,0,Registro2[[#This Row],[Valor Unitário]]))</f>
        <v>20</v>
      </c>
      <c r="U3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32" t="str">
        <f>VLOOKUP(Registro2[[#This Row],[Categoria]],'Plano de Contas'!$V$3:W374,2,0)</f>
        <v>Receitas Serviços</v>
      </c>
      <c r="X33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32" t="s">
        <v>1536</v>
      </c>
    </row>
    <row r="333" spans="1:25" hidden="1">
      <c r="A333" s="1">
        <v>45708</v>
      </c>
      <c r="B333" s="1">
        <v>45708</v>
      </c>
      <c r="D333" t="s">
        <v>947</v>
      </c>
      <c r="E333" t="s">
        <v>137</v>
      </c>
      <c r="F333" t="s">
        <v>139</v>
      </c>
      <c r="G333" t="s">
        <v>332</v>
      </c>
      <c r="H333" t="s">
        <v>951</v>
      </c>
      <c r="I333" s="4">
        <v>28</v>
      </c>
      <c r="J333" s="4"/>
      <c r="N333" s="4" t="str">
        <f>IF(L333="","",IF(OR(Registro2[[#This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333" t="str">
        <f t="shared" si="5"/>
        <v>fev/25</v>
      </c>
      <c r="P333" t="str">
        <f>IF(Registro2[[#This Row],[Data de Pagamento]]&gt;0,TEXT(A333,"mmm/aa"),"")</f>
        <v>fev/25</v>
      </c>
      <c r="T333" s="4">
        <f>IF(Registro2[[#This Row],[Data de Pagamento]]="",0,IF(Registro2[[#This Row],[Conta Financeira]]=base!$A$6,0,Registro2[[#This Row],[Valor Unitário]]))</f>
        <v>28</v>
      </c>
      <c r="U3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33" t="str">
        <f>VLOOKUP(Registro2[[#This Row],[Categoria]],'Plano de Contas'!$V$3:W484,2,0)</f>
        <v>Custos Operacionais</v>
      </c>
      <c r="X33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33" t="s">
        <v>1536</v>
      </c>
    </row>
    <row r="334" spans="1:25" hidden="1">
      <c r="A334" s="1">
        <v>45708</v>
      </c>
      <c r="B334" s="1">
        <v>45708</v>
      </c>
      <c r="D334" t="s">
        <v>947</v>
      </c>
      <c r="E334" t="s">
        <v>137</v>
      </c>
      <c r="F334" t="s">
        <v>139</v>
      </c>
      <c r="G334" t="s">
        <v>332</v>
      </c>
      <c r="H334" t="s">
        <v>952</v>
      </c>
      <c r="I334" s="4">
        <v>28</v>
      </c>
      <c r="J334" s="4"/>
      <c r="N334" s="4" t="str">
        <f>IF(L334="","",IF(OR(Registro2[[#This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334" t="str">
        <f t="shared" si="5"/>
        <v>fev/25</v>
      </c>
      <c r="P334" t="str">
        <f>IF(Registro2[[#This Row],[Data de Pagamento]]&gt;0,TEXT(A334,"mmm/aa"),"")</f>
        <v>fev/25</v>
      </c>
      <c r="T334" s="4">
        <f>IF(Registro2[[#This Row],[Data de Pagamento]]="",0,IF(Registro2[[#This Row],[Conta Financeira]]=base!$A$6,0,Registro2[[#This Row],[Valor Unitário]]))</f>
        <v>28</v>
      </c>
      <c r="U3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34" t="str">
        <f>VLOOKUP(Registro2[[#This Row],[Categoria]],'Plano de Contas'!$V$3:W485,2,0)</f>
        <v>Custos Operacionais</v>
      </c>
      <c r="X33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34" t="s">
        <v>1536</v>
      </c>
    </row>
    <row r="335" spans="1:25" hidden="1">
      <c r="A335" s="1">
        <v>45708</v>
      </c>
      <c r="B335" s="1">
        <v>45708</v>
      </c>
      <c r="D335" t="s">
        <v>947</v>
      </c>
      <c r="E335" t="s">
        <v>137</v>
      </c>
      <c r="F335" t="s">
        <v>139</v>
      </c>
      <c r="G335" t="s">
        <v>332</v>
      </c>
      <c r="H335" t="s">
        <v>953</v>
      </c>
      <c r="I335" s="4">
        <v>50</v>
      </c>
      <c r="J335" s="4"/>
      <c r="N335" s="4" t="str">
        <f>IF(L335="","",IF(OR(Registro2[[#This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335" t="str">
        <f t="shared" si="5"/>
        <v>fev/25</v>
      </c>
      <c r="P335" t="str">
        <f>IF(Registro2[[#This Row],[Data de Pagamento]]&gt;0,TEXT(A335,"mmm/aa"),"")</f>
        <v>fev/25</v>
      </c>
      <c r="T335" s="4">
        <f>IF(Registro2[[#This Row],[Data de Pagamento]]="",0,IF(Registro2[[#This Row],[Conta Financeira]]=base!$A$6,0,Registro2[[#This Row],[Valor Unitário]]))</f>
        <v>50</v>
      </c>
      <c r="U3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35" t="str">
        <f>VLOOKUP(Registro2[[#This Row],[Categoria]],'Plano de Contas'!$V$3:W486,2,0)</f>
        <v>Custos Operacionais</v>
      </c>
      <c r="X33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35" t="s">
        <v>1536</v>
      </c>
    </row>
    <row r="336" spans="1:25" hidden="1">
      <c r="A336" s="1">
        <v>45708.46875</v>
      </c>
      <c r="B336" s="1">
        <v>45708.46875</v>
      </c>
      <c r="D336" t="s">
        <v>354</v>
      </c>
      <c r="E336" t="s">
        <v>149</v>
      </c>
      <c r="F336" t="s">
        <v>152</v>
      </c>
      <c r="G336" t="s">
        <v>353</v>
      </c>
      <c r="I336" s="4">
        <v>55</v>
      </c>
      <c r="J336" s="4">
        <v>55</v>
      </c>
      <c r="L336" t="s">
        <v>264</v>
      </c>
      <c r="M336" t="s">
        <v>385</v>
      </c>
      <c r="N336" s="4">
        <f>IF(L336="","",IF(OR(Registro2[[#This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336" t="str">
        <f t="shared" si="5"/>
        <v>fev/25</v>
      </c>
      <c r="P336" t="str">
        <f>IF(Registro2[[#This Row],[Data de Pagamento]]&gt;0,TEXT(A336,"mmm/aa"),"")</f>
        <v>fev/25</v>
      </c>
      <c r="T336" s="4">
        <f>IF(Registro2[[#This Row],[Data de Pagamento]]="",0,IF(Registro2[[#This Row],[Conta Financeira]]=base!$A$6,0,Registro2[[#This Row],[Valor Unitário]]))</f>
        <v>55</v>
      </c>
      <c r="U3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36" t="str">
        <f>VLOOKUP(Registro2[[#This Row],[Categoria]],'Plano de Contas'!$V$3:W376,2,0)</f>
        <v>Receitas Serviços</v>
      </c>
      <c r="X33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1.7324999999999999</v>
      </c>
      <c r="Y336" t="s">
        <v>1536</v>
      </c>
    </row>
    <row r="337" spans="1:25" hidden="1">
      <c r="A337" s="1">
        <v>45708.5</v>
      </c>
      <c r="B337" s="1">
        <v>45708.5</v>
      </c>
      <c r="D337" t="s">
        <v>1</v>
      </c>
      <c r="E337" t="s">
        <v>149</v>
      </c>
      <c r="F337" t="s">
        <v>152</v>
      </c>
      <c r="G337" t="s">
        <v>159</v>
      </c>
      <c r="I337" s="4">
        <v>40</v>
      </c>
      <c r="J337" s="4">
        <v>40</v>
      </c>
      <c r="L337" t="s">
        <v>264</v>
      </c>
      <c r="M337" t="s">
        <v>274</v>
      </c>
      <c r="N337" s="4">
        <f>IF(L337="","",IF(OR(Registro2[[#This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337" t="str">
        <f t="shared" si="5"/>
        <v>fev/25</v>
      </c>
      <c r="P337" t="str">
        <f>IF(Registro2[[#This Row],[Data de Pagamento]]&gt;0,TEXT(A337,"mmm/aa"),"")</f>
        <v>fev/25</v>
      </c>
      <c r="T337" s="4">
        <f>IF(Registro2[[#This Row],[Data de Pagamento]]="",0,IF(Registro2[[#This Row],[Conta Financeira]]=base!$A$6,0,Registro2[[#This Row],[Valor Unitário]]))</f>
        <v>40</v>
      </c>
      <c r="U3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37" t="str">
        <f>VLOOKUP(Registro2[[#This Row],[Categoria]],'Plano de Contas'!$V$3:W377,2,0)</f>
        <v>Receitas Serviços</v>
      </c>
      <c r="X33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37" t="s">
        <v>1536</v>
      </c>
    </row>
    <row r="338" spans="1:25" hidden="1">
      <c r="A338" s="1">
        <v>45708.527777777781</v>
      </c>
      <c r="B338" s="1">
        <v>45708.527777777781</v>
      </c>
      <c r="D338" t="s">
        <v>1</v>
      </c>
      <c r="E338" t="s">
        <v>149</v>
      </c>
      <c r="F338" t="s">
        <v>147</v>
      </c>
      <c r="G338" t="s">
        <v>163</v>
      </c>
      <c r="I338" s="4">
        <v>35</v>
      </c>
      <c r="J338" s="4">
        <v>40</v>
      </c>
      <c r="L338" t="s">
        <v>253</v>
      </c>
      <c r="M338" t="s">
        <v>802</v>
      </c>
      <c r="N338" s="4">
        <f>IF(L338="","",IF(OR(Registro2[[#This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38" t="str">
        <f t="shared" si="5"/>
        <v>fev/25</v>
      </c>
      <c r="P338" t="str">
        <f>IF(Registro2[[#This Row],[Data de Pagamento]]&gt;0,TEXT(A338,"mmm/aa"),"")</f>
        <v>fev/25</v>
      </c>
      <c r="T338" s="4">
        <f>IF(Registro2[[#This Row],[Data de Pagamento]]="",0,IF(Registro2[[#This Row],[Conta Financeira]]=base!$A$6,0,Registro2[[#This Row],[Valor Unitário]]))</f>
        <v>35</v>
      </c>
      <c r="U3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38" t="str">
        <f>VLOOKUP(Registro2[[#This Row],[Categoria]],'Plano de Contas'!$V$3:W378,2,0)</f>
        <v>Receitas Serviços</v>
      </c>
      <c r="X33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38" t="s">
        <v>1536</v>
      </c>
    </row>
    <row r="339" spans="1:25" hidden="1">
      <c r="A339" s="1">
        <v>45708.604166666664</v>
      </c>
      <c r="B339" s="1">
        <v>45708.604166666664</v>
      </c>
      <c r="D339" t="s">
        <v>1</v>
      </c>
      <c r="E339" t="s">
        <v>149</v>
      </c>
      <c r="F339" t="s">
        <v>147</v>
      </c>
      <c r="G339" t="s">
        <v>163</v>
      </c>
      <c r="I339" s="4">
        <v>35</v>
      </c>
      <c r="J339" s="4">
        <v>35</v>
      </c>
      <c r="L339" t="s">
        <v>252</v>
      </c>
      <c r="M339" t="s">
        <v>31</v>
      </c>
      <c r="N339" s="4">
        <f>IF(L339="","",IF(OR(Registro2[[#This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39" t="str">
        <f t="shared" si="5"/>
        <v>fev/25</v>
      </c>
      <c r="P339" t="str">
        <f>IF(Registro2[[#This Row],[Data de Pagamento]]&gt;0,TEXT(A339,"mmm/aa"),"")</f>
        <v>fev/25</v>
      </c>
      <c r="T339" s="4">
        <f>IF(Registro2[[#This Row],[Data de Pagamento]]="",0,IF(Registro2[[#This Row],[Conta Financeira]]=base!$A$6,0,Registro2[[#This Row],[Valor Unitário]]))</f>
        <v>35</v>
      </c>
      <c r="U3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39" t="str">
        <f>VLOOKUP(Registro2[[#This Row],[Categoria]],'Plano de Contas'!$V$3:W379,2,0)</f>
        <v>Receitas Serviços</v>
      </c>
      <c r="X33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39" t="s">
        <v>1536</v>
      </c>
    </row>
    <row r="340" spans="1:25" hidden="1">
      <c r="A340" s="1">
        <v>45708.611111111109</v>
      </c>
      <c r="B340" s="1">
        <v>45708.611111111109</v>
      </c>
      <c r="D340" t="s">
        <v>2</v>
      </c>
      <c r="E340" t="s">
        <v>149</v>
      </c>
      <c r="F340" t="s">
        <v>147</v>
      </c>
      <c r="G340" t="s">
        <v>163</v>
      </c>
      <c r="I340" s="4">
        <v>35</v>
      </c>
      <c r="J340" s="4">
        <v>35</v>
      </c>
      <c r="L340" t="s">
        <v>264</v>
      </c>
      <c r="M340" t="s">
        <v>280</v>
      </c>
      <c r="N340" s="4">
        <f>IF(L340="","",IF(OR(Registro2[[#This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40" t="str">
        <f t="shared" si="5"/>
        <v>fev/25</v>
      </c>
      <c r="P340" t="str">
        <f>IF(Registro2[[#This Row],[Data de Pagamento]]&gt;0,TEXT(A340,"mmm/aa"),"")</f>
        <v>fev/25</v>
      </c>
      <c r="T340" s="4">
        <f>IF(Registro2[[#This Row],[Data de Pagamento]]="",0,IF(Registro2[[#This Row],[Conta Financeira]]=base!$A$6,0,Registro2[[#This Row],[Valor Unitário]]))</f>
        <v>35</v>
      </c>
      <c r="U3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40" t="str">
        <f>VLOOKUP(Registro2[[#This Row],[Categoria]],'Plano de Contas'!$V$3:W381,2,0)</f>
        <v>Receitas Serviços</v>
      </c>
      <c r="X34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40" t="s">
        <v>1536</v>
      </c>
    </row>
    <row r="341" spans="1:25" hidden="1">
      <c r="A341" s="1">
        <v>45708.625</v>
      </c>
      <c r="B341" s="1">
        <v>45708.625</v>
      </c>
      <c r="D341" t="s">
        <v>2</v>
      </c>
      <c r="E341" t="s">
        <v>149</v>
      </c>
      <c r="F341" t="s">
        <v>147</v>
      </c>
      <c r="G341" t="s">
        <v>163</v>
      </c>
      <c r="I341" s="4">
        <v>35</v>
      </c>
      <c r="J341" s="4">
        <v>35</v>
      </c>
      <c r="L341" t="s">
        <v>252</v>
      </c>
      <c r="M341" t="s">
        <v>805</v>
      </c>
      <c r="N341" s="4">
        <f>IF(L341="","",IF(OR(Registro2[[#This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41" t="str">
        <f t="shared" si="5"/>
        <v>fev/25</v>
      </c>
      <c r="P341" t="str">
        <f>IF(Registro2[[#This Row],[Data de Pagamento]]&gt;0,TEXT(A341,"mmm/aa"),"")</f>
        <v>fev/25</v>
      </c>
      <c r="T341" s="4">
        <f>IF(Registro2[[#This Row],[Data de Pagamento]]="",0,IF(Registro2[[#This Row],[Conta Financeira]]=base!$A$6,0,Registro2[[#This Row],[Valor Unitário]]))</f>
        <v>35</v>
      </c>
      <c r="U3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41" t="str">
        <f>VLOOKUP(Registro2[[#This Row],[Categoria]],'Plano de Contas'!$V$3:W380,2,0)</f>
        <v>Receitas Serviços</v>
      </c>
      <c r="X34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41" t="s">
        <v>1536</v>
      </c>
    </row>
    <row r="342" spans="1:25" hidden="1">
      <c r="A342" s="1">
        <v>45708.645833333336</v>
      </c>
      <c r="B342" s="1">
        <v>45708.645833333336</v>
      </c>
      <c r="D342" t="s">
        <v>2</v>
      </c>
      <c r="E342" t="s">
        <v>149</v>
      </c>
      <c r="F342" t="s">
        <v>147</v>
      </c>
      <c r="G342" t="s">
        <v>163</v>
      </c>
      <c r="I342" s="4">
        <v>35</v>
      </c>
      <c r="J342" s="4">
        <v>25</v>
      </c>
      <c r="L342" t="s">
        <v>252</v>
      </c>
      <c r="M342" t="s">
        <v>10</v>
      </c>
      <c r="N342" s="4">
        <f>IF(L342="","",IF(OR(Registro2[[#This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42" t="str">
        <f t="shared" si="5"/>
        <v>fev/25</v>
      </c>
      <c r="P342" t="str">
        <f>IF(Registro2[[#This Row],[Data de Pagamento]]&gt;0,TEXT(A342,"mmm/aa"),"")</f>
        <v>fev/25</v>
      </c>
      <c r="T342" s="4">
        <f>IF(Registro2[[#This Row],[Data de Pagamento]]="",0,IF(Registro2[[#This Row],[Conta Financeira]]=base!$A$6,0,Registro2[[#This Row],[Valor Unitário]]))</f>
        <v>35</v>
      </c>
      <c r="U3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42" t="str">
        <f>VLOOKUP(Registro2[[#This Row],[Categoria]],'Plano de Contas'!$V$3:W382,2,0)</f>
        <v>Receitas Serviços</v>
      </c>
      <c r="X34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42" t="s">
        <v>1536</v>
      </c>
    </row>
    <row r="343" spans="1:25" hidden="1">
      <c r="A343" s="1">
        <v>45708.729166666664</v>
      </c>
      <c r="B343" s="1">
        <v>45708.729166666664</v>
      </c>
      <c r="D343" t="s">
        <v>1</v>
      </c>
      <c r="E343" t="s">
        <v>149</v>
      </c>
      <c r="F343" t="s">
        <v>147</v>
      </c>
      <c r="G343" t="s">
        <v>163</v>
      </c>
      <c r="I343" s="4">
        <v>35</v>
      </c>
      <c r="J343" s="4">
        <v>35</v>
      </c>
      <c r="L343" t="s">
        <v>252</v>
      </c>
      <c r="M343" t="s">
        <v>798</v>
      </c>
      <c r="N343" s="4">
        <f>IF(L343="","",IF(OR(Registro2[[#This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43" t="str">
        <f t="shared" si="5"/>
        <v>fev/25</v>
      </c>
      <c r="P343" t="str">
        <f>IF(Registro2[[#This Row],[Data de Pagamento]]&gt;0,TEXT(A343,"mmm/aa"),"")</f>
        <v>fev/25</v>
      </c>
      <c r="T343" s="4">
        <f>IF(Registro2[[#This Row],[Data de Pagamento]]="",0,IF(Registro2[[#This Row],[Conta Financeira]]=base!$A$6,0,Registro2[[#This Row],[Valor Unitário]]))</f>
        <v>35</v>
      </c>
      <c r="U3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43" t="str">
        <f>VLOOKUP(Registro2[[#This Row],[Categoria]],'Plano de Contas'!$V$3:W375,2,0)</f>
        <v>Receitas Serviços</v>
      </c>
      <c r="X34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43" t="s">
        <v>1536</v>
      </c>
    </row>
    <row r="344" spans="1:25" hidden="1">
      <c r="A344" s="1">
        <v>45708.75</v>
      </c>
      <c r="B344" s="1">
        <v>45708.75</v>
      </c>
      <c r="D344" t="s">
        <v>1</v>
      </c>
      <c r="E344" t="s">
        <v>149</v>
      </c>
      <c r="F344" t="s">
        <v>147</v>
      </c>
      <c r="G344" t="s">
        <v>163</v>
      </c>
      <c r="I344" s="4">
        <v>40</v>
      </c>
      <c r="J344" s="4">
        <v>40</v>
      </c>
      <c r="L344" t="s">
        <v>253</v>
      </c>
      <c r="M344" t="s">
        <v>15</v>
      </c>
      <c r="N344" s="4">
        <f>IF(L344="","",IF(OR(Registro2[[#This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344" t="str">
        <f t="shared" si="5"/>
        <v>fev/25</v>
      </c>
      <c r="P344" t="str">
        <f>IF(Registro2[[#This Row],[Data de Pagamento]]&gt;0,TEXT(A344,"mmm/aa"),"")</f>
        <v>fev/25</v>
      </c>
      <c r="T344" s="4">
        <f>IF(Registro2[[#This Row],[Data de Pagamento]]="",0,IF(Registro2[[#This Row],[Conta Financeira]]=base!$A$6,0,Registro2[[#This Row],[Valor Unitário]]))</f>
        <v>40</v>
      </c>
      <c r="U3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44" t="str">
        <f>VLOOKUP(Registro2[[#This Row],[Categoria]],'Plano de Contas'!$V$3:W368,2,0)</f>
        <v>Receitas Serviços</v>
      </c>
      <c r="X34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44" t="s">
        <v>1536</v>
      </c>
    </row>
    <row r="345" spans="1:25" hidden="1">
      <c r="A345" s="1">
        <v>45708.770833333336</v>
      </c>
      <c r="B345" s="1">
        <v>45708.770833333336</v>
      </c>
      <c r="D345" t="s">
        <v>1</v>
      </c>
      <c r="E345" t="s">
        <v>149</v>
      </c>
      <c r="F345" t="s">
        <v>152</v>
      </c>
      <c r="G345" t="s">
        <v>353</v>
      </c>
      <c r="I345" s="4">
        <v>55</v>
      </c>
      <c r="J345" s="4">
        <v>55</v>
      </c>
      <c r="L345" t="s">
        <v>253</v>
      </c>
      <c r="M345" t="s">
        <v>37</v>
      </c>
      <c r="N345" s="4">
        <f>IF(L345="","",IF(OR(Registro2[[#This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345" t="str">
        <f t="shared" si="5"/>
        <v>fev/25</v>
      </c>
      <c r="P345" t="str">
        <f>IF(Registro2[[#This Row],[Data de Pagamento]]&gt;0,TEXT(A345,"mmm/aa"),"")</f>
        <v>fev/25</v>
      </c>
      <c r="T345" s="4">
        <f>IF(Registro2[[#This Row],[Data de Pagamento]]="",0,IF(Registro2[[#This Row],[Conta Financeira]]=base!$A$6,0,Registro2[[#This Row],[Valor Unitário]]))</f>
        <v>55</v>
      </c>
      <c r="U3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45" t="str">
        <f>VLOOKUP(Registro2[[#This Row],[Categoria]],'Plano de Contas'!$V$3:W383,2,0)</f>
        <v>Receitas Serviços</v>
      </c>
      <c r="X3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45" t="s">
        <v>1536</v>
      </c>
    </row>
    <row r="346" spans="1:25" hidden="1">
      <c r="A346" s="1">
        <v>45708.770833333336</v>
      </c>
      <c r="B346" s="1">
        <v>45708.770833333336</v>
      </c>
      <c r="D346" t="s">
        <v>1</v>
      </c>
      <c r="E346" t="s">
        <v>149</v>
      </c>
      <c r="F346" t="s">
        <v>152</v>
      </c>
      <c r="G346" t="s">
        <v>159</v>
      </c>
      <c r="I346" s="4">
        <v>40</v>
      </c>
      <c r="J346" s="4">
        <v>40</v>
      </c>
      <c r="L346" t="s">
        <v>252</v>
      </c>
      <c r="M346" t="s">
        <v>18</v>
      </c>
      <c r="N346" s="4">
        <f>IF(L346="","",IF(OR(Registro2[[#This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346" t="str">
        <f t="shared" si="5"/>
        <v>fev/25</v>
      </c>
      <c r="P346" t="str">
        <f>IF(Registro2[[#This Row],[Data de Pagamento]]&gt;0,TEXT(A346,"mmm/aa"),"")</f>
        <v>fev/25</v>
      </c>
      <c r="T346" s="4">
        <f>IF(Registro2[[#This Row],[Data de Pagamento]]="",0,IF(Registro2[[#This Row],[Conta Financeira]]=base!$A$6,0,Registro2[[#This Row],[Valor Unitário]]))</f>
        <v>40</v>
      </c>
      <c r="U3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46" t="str">
        <f>VLOOKUP(Registro2[[#This Row],[Categoria]],'Plano de Contas'!$V$3:W384,2,0)</f>
        <v>Receitas Serviços</v>
      </c>
      <c r="X34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46" t="s">
        <v>1536</v>
      </c>
    </row>
    <row r="347" spans="1:25" hidden="1">
      <c r="A347" s="1">
        <v>45709</v>
      </c>
      <c r="B347" s="1">
        <v>45709</v>
      </c>
      <c r="D347" t="s">
        <v>947</v>
      </c>
      <c r="E347" t="s">
        <v>137</v>
      </c>
      <c r="F347" t="s">
        <v>139</v>
      </c>
      <c r="G347" t="s">
        <v>332</v>
      </c>
      <c r="H347" t="s">
        <v>958</v>
      </c>
      <c r="I347" s="4">
        <v>28</v>
      </c>
      <c r="J347" s="4"/>
      <c r="N347" s="4" t="str">
        <f>IF(L347="","",IF(OR(Registro2[[#This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347" t="str">
        <f t="shared" si="5"/>
        <v>fev/25</v>
      </c>
      <c r="P347" t="str">
        <f>IF(Registro2[[#This Row],[Data de Pagamento]]&gt;0,TEXT(A347,"mmm/aa"),"")</f>
        <v>fev/25</v>
      </c>
      <c r="T347" s="4">
        <f>IF(Registro2[[#This Row],[Data de Pagamento]]="",0,IF(Registro2[[#This Row],[Conta Financeira]]=base!$A$6,0,Registro2[[#This Row],[Valor Unitário]]))</f>
        <v>28</v>
      </c>
      <c r="U3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47" t="str">
        <f>VLOOKUP(Registro2[[#This Row],[Categoria]],'Plano de Contas'!$V$3:W487,2,0)</f>
        <v>Custos Operacionais</v>
      </c>
      <c r="X34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47" t="s">
        <v>1536</v>
      </c>
    </row>
    <row r="348" spans="1:25" hidden="1">
      <c r="A348" s="1">
        <v>45709.416666666664</v>
      </c>
      <c r="B348" s="1">
        <v>45709.416666666664</v>
      </c>
      <c r="D348" t="s">
        <v>1</v>
      </c>
      <c r="E348" t="s">
        <v>149</v>
      </c>
      <c r="F348" t="s">
        <v>147</v>
      </c>
      <c r="G348" t="s">
        <v>163</v>
      </c>
      <c r="I348" s="4">
        <v>35</v>
      </c>
      <c r="J348" s="4">
        <v>35</v>
      </c>
      <c r="L348" t="s">
        <v>252</v>
      </c>
      <c r="M348" t="s">
        <v>372</v>
      </c>
      <c r="N348" s="4">
        <f>IF(L348="","",IF(OR(Registro2[[#This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48" t="str">
        <f t="shared" si="5"/>
        <v>fev/25</v>
      </c>
      <c r="P348" t="str">
        <f>IF(Registro2[[#This Row],[Data de Pagamento]]&gt;0,TEXT(A348,"mmm/aa"),"")</f>
        <v>fev/25</v>
      </c>
      <c r="T348" s="4">
        <f>IF(Registro2[[#This Row],[Data de Pagamento]]="",0,IF(Registro2[[#This Row],[Conta Financeira]]=base!$A$6,0,Registro2[[#This Row],[Valor Unitário]]))</f>
        <v>35</v>
      </c>
      <c r="U3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48" t="str">
        <f>VLOOKUP(Registro2[[#This Row],[Categoria]],'Plano de Contas'!$V$3:W395,2,0)</f>
        <v>Receitas Serviços</v>
      </c>
      <c r="X34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48" t="s">
        <v>1536</v>
      </c>
    </row>
    <row r="349" spans="1:25" hidden="1">
      <c r="A349" s="1">
        <v>45709.416666666664</v>
      </c>
      <c r="B349" s="1">
        <v>45709.416666666664</v>
      </c>
      <c r="D349" t="s">
        <v>1</v>
      </c>
      <c r="E349" t="s">
        <v>149</v>
      </c>
      <c r="F349" t="s">
        <v>152</v>
      </c>
      <c r="G349" t="s">
        <v>159</v>
      </c>
      <c r="I349" s="4">
        <v>40</v>
      </c>
      <c r="J349" s="4">
        <v>40</v>
      </c>
      <c r="L349" t="s">
        <v>253</v>
      </c>
      <c r="M349" t="s">
        <v>12</v>
      </c>
      <c r="N349" s="4">
        <f>IF(L349="","",IF(OR(Registro2[[#This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349" t="str">
        <f t="shared" si="5"/>
        <v>fev/25</v>
      </c>
      <c r="P349" t="str">
        <f>IF(Registro2[[#This Row],[Data de Pagamento]]&gt;0,TEXT(A349,"mmm/aa"),"")</f>
        <v>fev/25</v>
      </c>
      <c r="T349" s="4">
        <f>IF(Registro2[[#This Row],[Data de Pagamento]]="",0,IF(Registro2[[#This Row],[Conta Financeira]]=base!$A$6,0,Registro2[[#This Row],[Valor Unitário]]))</f>
        <v>40</v>
      </c>
      <c r="U3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49" t="str">
        <f>VLOOKUP(Registro2[[#This Row],[Categoria]],'Plano de Contas'!$V$3:W399,2,0)</f>
        <v>Receitas Serviços</v>
      </c>
      <c r="X34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49" t="s">
        <v>1536</v>
      </c>
    </row>
    <row r="350" spans="1:25" hidden="1">
      <c r="A350" s="1">
        <v>45709.4375</v>
      </c>
      <c r="B350" s="1">
        <v>45709.4375</v>
      </c>
      <c r="D350" t="s">
        <v>1</v>
      </c>
      <c r="E350" t="s">
        <v>149</v>
      </c>
      <c r="F350" t="s">
        <v>147</v>
      </c>
      <c r="G350" t="s">
        <v>163</v>
      </c>
      <c r="I350" s="4">
        <v>20</v>
      </c>
      <c r="J350" s="4">
        <v>20</v>
      </c>
      <c r="L350" t="s">
        <v>264</v>
      </c>
      <c r="M350" t="s">
        <v>852</v>
      </c>
      <c r="N350" s="4">
        <f>IF(L350="","",IF(OR(Registro2[[#This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350" t="str">
        <f t="shared" si="5"/>
        <v>fev/25</v>
      </c>
      <c r="P350" t="str">
        <f>IF(Registro2[[#This Row],[Data de Pagamento]]&gt;0,TEXT(A350,"mmm/aa"),"")</f>
        <v>fev/25</v>
      </c>
      <c r="T350" s="4">
        <f>IF(Registro2[[#This Row],[Data de Pagamento]]="",0,IF(Registro2[[#This Row],[Conta Financeira]]=base!$A$6,0,Registro2[[#This Row],[Valor Unitário]]))</f>
        <v>20</v>
      </c>
      <c r="U3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50" t="str">
        <f>VLOOKUP(Registro2[[#This Row],[Categoria]],'Plano de Contas'!$V$3:W402,2,0)</f>
        <v>Receitas Serviços</v>
      </c>
      <c r="X35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50" t="s">
        <v>1536</v>
      </c>
    </row>
    <row r="351" spans="1:25" hidden="1">
      <c r="A351" s="1">
        <v>45709.4375</v>
      </c>
      <c r="B351" s="1">
        <v>45709.4375</v>
      </c>
      <c r="D351" t="s">
        <v>2</v>
      </c>
      <c r="E351" t="s">
        <v>149</v>
      </c>
      <c r="F351" t="s">
        <v>152</v>
      </c>
      <c r="G351" t="s">
        <v>353</v>
      </c>
      <c r="I351" s="4">
        <v>55</v>
      </c>
      <c r="J351" s="4">
        <v>55</v>
      </c>
      <c r="L351" t="s">
        <v>253</v>
      </c>
      <c r="M351" t="s">
        <v>854</v>
      </c>
      <c r="N351" s="4">
        <f>IF(L351="","",IF(OR(Registro2[[#This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351" t="str">
        <f t="shared" si="5"/>
        <v>fev/25</v>
      </c>
      <c r="P351" t="str">
        <f>IF(Registro2[[#This Row],[Data de Pagamento]]&gt;0,TEXT(A351,"mmm/aa"),"")</f>
        <v>fev/25</v>
      </c>
      <c r="T351" s="4">
        <f>IF(Registro2[[#This Row],[Data de Pagamento]]="",0,IF(Registro2[[#This Row],[Conta Financeira]]=base!$A$6,0,Registro2[[#This Row],[Valor Unitário]]))</f>
        <v>55</v>
      </c>
      <c r="U3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51" t="str">
        <f>VLOOKUP(Registro2[[#This Row],[Categoria]],'Plano de Contas'!$V$3:W403,2,0)</f>
        <v>Receitas Serviços</v>
      </c>
      <c r="X35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51" t="s">
        <v>1536</v>
      </c>
    </row>
    <row r="352" spans="1:25" hidden="1">
      <c r="A352" s="1">
        <v>45709.479166666664</v>
      </c>
      <c r="B352" s="1">
        <v>45709.479166666664</v>
      </c>
      <c r="D352" t="s">
        <v>2</v>
      </c>
      <c r="E352" t="s">
        <v>149</v>
      </c>
      <c r="F352" t="s">
        <v>147</v>
      </c>
      <c r="G352" t="s">
        <v>163</v>
      </c>
      <c r="I352" s="4">
        <v>35</v>
      </c>
      <c r="J352" s="4">
        <v>35</v>
      </c>
      <c r="L352" t="s">
        <v>253</v>
      </c>
      <c r="M352" t="s">
        <v>850</v>
      </c>
      <c r="N352" s="4">
        <f>IF(L352="","",IF(OR(Registro2[[#This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52" t="str">
        <f t="shared" si="5"/>
        <v>fev/25</v>
      </c>
      <c r="P352" t="str">
        <f>IF(Registro2[[#This Row],[Data de Pagamento]]&gt;0,TEXT(A352,"mmm/aa"),"")</f>
        <v>fev/25</v>
      </c>
      <c r="T352" s="4">
        <f>IF(Registro2[[#This Row],[Data de Pagamento]]="",0,IF(Registro2[[#This Row],[Conta Financeira]]=base!$A$6,0,Registro2[[#This Row],[Valor Unitário]]))</f>
        <v>35</v>
      </c>
      <c r="U3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52" t="str">
        <f>VLOOKUP(Registro2[[#This Row],[Categoria]],'Plano de Contas'!$V$3:W401,2,0)</f>
        <v>Receitas Serviços</v>
      </c>
      <c r="X35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52" t="s">
        <v>1536</v>
      </c>
    </row>
    <row r="353" spans="1:25" hidden="1">
      <c r="A353" s="1">
        <v>45709.5625</v>
      </c>
      <c r="B353" s="1">
        <v>45709.5625</v>
      </c>
      <c r="D353" t="s">
        <v>1</v>
      </c>
      <c r="E353" t="s">
        <v>149</v>
      </c>
      <c r="F353" t="s">
        <v>147</v>
      </c>
      <c r="G353" t="s">
        <v>163</v>
      </c>
      <c r="I353" s="4">
        <v>30</v>
      </c>
      <c r="J353" s="4">
        <v>0</v>
      </c>
      <c r="L353" t="s">
        <v>253</v>
      </c>
      <c r="M353" t="s">
        <v>405</v>
      </c>
      <c r="N353" s="4">
        <f>IF(L353="","",IF(OR(Registro2[[#This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353" t="str">
        <f t="shared" si="5"/>
        <v>fev/25</v>
      </c>
      <c r="P353" t="str">
        <f>IF(Registro2[[#This Row],[Data de Pagamento]]&gt;0,TEXT(A353,"mmm/aa"),"")</f>
        <v>fev/25</v>
      </c>
      <c r="T353" s="4">
        <f>IF(Registro2[[#This Row],[Data de Pagamento]]="",0,IF(Registro2[[#This Row],[Conta Financeira]]=base!$A$6,0,Registro2[[#This Row],[Valor Unitário]]))</f>
        <v>30</v>
      </c>
      <c r="U3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353" t="str">
        <f>VLOOKUP(Registro2[[#This Row],[Categoria]],'Plano de Contas'!$V$3:W407,2,0)</f>
        <v>Receitas Serviços</v>
      </c>
      <c r="X35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53" t="s">
        <v>1536</v>
      </c>
    </row>
    <row r="354" spans="1:25" hidden="1">
      <c r="A354" s="1">
        <v>45709.576388888891</v>
      </c>
      <c r="B354" s="1">
        <v>45709.576388888891</v>
      </c>
      <c r="D354" t="s">
        <v>310</v>
      </c>
      <c r="E354" t="s">
        <v>149</v>
      </c>
      <c r="F354" t="s">
        <v>147</v>
      </c>
      <c r="G354" t="s">
        <v>163</v>
      </c>
      <c r="I354" s="4">
        <v>20</v>
      </c>
      <c r="J354" s="4">
        <v>20</v>
      </c>
      <c r="L354" t="s">
        <v>264</v>
      </c>
      <c r="M354" t="s">
        <v>382</v>
      </c>
      <c r="N354" s="4">
        <f>IF(L354="","",IF(OR(Registro2[[#This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354" t="str">
        <f t="shared" si="5"/>
        <v>fev/25</v>
      </c>
      <c r="P354" t="str">
        <f>IF(Registro2[[#This Row],[Data de Pagamento]]&gt;0,TEXT(A354,"mmm/aa"),"")</f>
        <v>fev/25</v>
      </c>
      <c r="T354" s="4">
        <f>IF(Registro2[[#This Row],[Data de Pagamento]]="",0,IF(Registro2[[#This Row],[Conta Financeira]]=base!$A$6,0,Registro2[[#This Row],[Valor Unitário]]))</f>
        <v>20</v>
      </c>
      <c r="U3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54" t="str">
        <f>VLOOKUP(Registro2[[#This Row],[Categoria]],'Plano de Contas'!$V$3:W405,2,0)</f>
        <v>Receitas Serviços</v>
      </c>
      <c r="X35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  <c r="Y354" t="s">
        <v>1536</v>
      </c>
    </row>
    <row r="355" spans="1:25" hidden="1">
      <c r="A355" s="1">
        <v>45709.59375</v>
      </c>
      <c r="B355" s="1">
        <v>45709.59375</v>
      </c>
      <c r="D355" t="s">
        <v>1</v>
      </c>
      <c r="E355" t="s">
        <v>149</v>
      </c>
      <c r="F355" t="s">
        <v>147</v>
      </c>
      <c r="G355" t="s">
        <v>160</v>
      </c>
      <c r="I355" s="4">
        <v>12</v>
      </c>
      <c r="J355" s="4">
        <v>12</v>
      </c>
      <c r="L355" t="s">
        <v>253</v>
      </c>
      <c r="M355" t="s">
        <v>491</v>
      </c>
      <c r="N355" s="4">
        <f>IF(L355="","",IF(OR(Registro2[[#This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355" t="str">
        <f t="shared" si="5"/>
        <v>fev/25</v>
      </c>
      <c r="P355" t="str">
        <f>IF(Registro2[[#This Row],[Data de Pagamento]]&gt;0,TEXT(A355,"mmm/aa"),"")</f>
        <v>fev/25</v>
      </c>
      <c r="T355" s="4">
        <f>IF(Registro2[[#This Row],[Data de Pagamento]]="",0,IF(Registro2[[#This Row],[Conta Financeira]]=base!$A$6,0,Registro2[[#This Row],[Valor Unitário]]))</f>
        <v>12</v>
      </c>
      <c r="U3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55" t="str">
        <f>VLOOKUP(Registro2[[#This Row],[Categoria]],'Plano de Contas'!$V$3:W408,2,0)</f>
        <v>Receitas Serviços</v>
      </c>
      <c r="X3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55" t="s">
        <v>1536</v>
      </c>
    </row>
    <row r="356" spans="1:25" hidden="1">
      <c r="A356" s="1">
        <v>45709.604166666664</v>
      </c>
      <c r="B356" s="1">
        <v>45709.604166666664</v>
      </c>
      <c r="D356" t="s">
        <v>1</v>
      </c>
      <c r="E356" t="s">
        <v>149</v>
      </c>
      <c r="F356" t="s">
        <v>147</v>
      </c>
      <c r="G356" t="s">
        <v>163</v>
      </c>
      <c r="I356" s="4">
        <v>35</v>
      </c>
      <c r="J356" s="4">
        <v>35</v>
      </c>
      <c r="L356" t="s">
        <v>253</v>
      </c>
      <c r="M356" t="s">
        <v>50</v>
      </c>
      <c r="N356" s="4">
        <f>IF(L356="","",IF(OR(Registro2[[#This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56" t="str">
        <f t="shared" si="5"/>
        <v>fev/25</v>
      </c>
      <c r="P356" t="str">
        <f>IF(Registro2[[#This Row],[Data de Pagamento]]&gt;0,TEXT(A356,"mmm/aa"),"")</f>
        <v>fev/25</v>
      </c>
      <c r="T356" s="4">
        <f>IF(Registro2[[#This Row],[Data de Pagamento]]="",0,IF(Registro2[[#This Row],[Conta Financeira]]=base!$A$6,0,Registro2[[#This Row],[Valor Unitário]]))</f>
        <v>35</v>
      </c>
      <c r="U3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56" t="str">
        <f>VLOOKUP(Registro2[[#This Row],[Categoria]],'Plano de Contas'!$V$3:W422,2,0)</f>
        <v>Receitas Serviços</v>
      </c>
      <c r="X35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56" t="s">
        <v>1536</v>
      </c>
    </row>
    <row r="357" spans="1:25" hidden="1">
      <c r="A357" s="1">
        <v>45709.620833333334</v>
      </c>
      <c r="B357" s="1">
        <v>45709.620833333334</v>
      </c>
      <c r="D357" t="s">
        <v>136</v>
      </c>
      <c r="E357" t="s">
        <v>137</v>
      </c>
      <c r="F357" t="s">
        <v>967</v>
      </c>
      <c r="G357" t="s">
        <v>968</v>
      </c>
      <c r="H357" t="s">
        <v>965</v>
      </c>
      <c r="I357" s="4">
        <v>174</v>
      </c>
      <c r="J357" s="4"/>
      <c r="N357" s="4" t="str">
        <f>IF(L357="","",IF(OR(Registro2[[#This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357" t="str">
        <f t="shared" si="5"/>
        <v>fev/25</v>
      </c>
      <c r="P357" t="str">
        <f>IF(Registro2[[#This Row],[Data de Pagamento]]&gt;0,TEXT(A357,"mmm/aa"),"")</f>
        <v>fev/25</v>
      </c>
      <c r="T357" s="4">
        <f>IF(Registro2[[#This Row],[Data de Pagamento]]="",0,IF(Registro2[[#This Row],[Conta Financeira]]=base!$A$6,0,Registro2[[#This Row],[Valor Unitário]]))</f>
        <v>174</v>
      </c>
      <c r="U3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57" t="str">
        <f>VLOOKUP(Registro2[[#This Row],[Categoria]],'Plano de Contas'!$V$3:W488,2,0)</f>
        <v>Despesas Administrativas</v>
      </c>
      <c r="X3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57" t="s">
        <v>1536</v>
      </c>
    </row>
    <row r="358" spans="1:25" hidden="1">
      <c r="A358" s="1">
        <v>45709.62222222222</v>
      </c>
      <c r="B358" s="1">
        <v>45709.62222222222</v>
      </c>
      <c r="D358" t="s">
        <v>136</v>
      </c>
      <c r="E358" t="s">
        <v>137</v>
      </c>
      <c r="F358" t="s">
        <v>967</v>
      </c>
      <c r="G358" t="s">
        <v>968</v>
      </c>
      <c r="H358" t="s">
        <v>966</v>
      </c>
      <c r="I358" s="4">
        <v>82.95</v>
      </c>
      <c r="J358" s="4"/>
      <c r="N358" s="4" t="str">
        <f>IF(L358="","",IF(OR(Registro2[[#This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358" t="str">
        <f t="shared" si="5"/>
        <v>fev/25</v>
      </c>
      <c r="P358" t="str">
        <f>IF(Registro2[[#This Row],[Data de Pagamento]]&gt;0,TEXT(A358,"mmm/aa"),"")</f>
        <v>fev/25</v>
      </c>
      <c r="T358" s="4">
        <f>IF(Registro2[[#This Row],[Data de Pagamento]]="",0,IF(Registro2[[#This Row],[Conta Financeira]]=base!$A$6,0,Registro2[[#This Row],[Valor Unitário]]))</f>
        <v>82.95</v>
      </c>
      <c r="U3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58" t="str">
        <f>VLOOKUP(Registro2[[#This Row],[Categoria]],'Plano de Contas'!$V$3:W489,2,0)</f>
        <v>Despesas Administrativas</v>
      </c>
      <c r="X3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58" t="s">
        <v>1536</v>
      </c>
    </row>
    <row r="359" spans="1:25" hidden="1">
      <c r="A359" s="1">
        <v>45709.625</v>
      </c>
      <c r="B359" s="1">
        <v>45709.625</v>
      </c>
      <c r="D359" t="s">
        <v>354</v>
      </c>
      <c r="E359" t="s">
        <v>149</v>
      </c>
      <c r="F359" t="s">
        <v>152</v>
      </c>
      <c r="G359" t="s">
        <v>159</v>
      </c>
      <c r="I359" s="4">
        <v>40</v>
      </c>
      <c r="J359" s="4">
        <v>40</v>
      </c>
      <c r="L359" t="s">
        <v>253</v>
      </c>
      <c r="M359" t="s">
        <v>134</v>
      </c>
      <c r="N359" s="4">
        <f>IF(L359="","",IF(OR(Registro2[[#This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359" t="str">
        <f t="shared" si="5"/>
        <v>fev/25</v>
      </c>
      <c r="P359" t="str">
        <f>IF(Registro2[[#This Row],[Data de Pagamento]]&gt;0,TEXT(A359,"mmm/aa"),"")</f>
        <v>fev/25</v>
      </c>
      <c r="T359" s="4">
        <f>IF(Registro2[[#This Row],[Data de Pagamento]]="",0,IF(Registro2[[#This Row],[Conta Financeira]]=base!$A$6,0,Registro2[[#This Row],[Valor Unitário]]))</f>
        <v>40</v>
      </c>
      <c r="U3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59" t="str">
        <f>VLOOKUP(Registro2[[#This Row],[Categoria]],'Plano de Contas'!$V$3:W406,2,0)</f>
        <v>Receitas Serviços</v>
      </c>
      <c r="X35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1.26</v>
      </c>
      <c r="Y359" t="s">
        <v>1536</v>
      </c>
    </row>
    <row r="360" spans="1:25" hidden="1">
      <c r="A360" s="1">
        <v>45709.625</v>
      </c>
      <c r="B360" s="1">
        <v>45709.625</v>
      </c>
      <c r="D360" t="s">
        <v>1</v>
      </c>
      <c r="E360" t="s">
        <v>149</v>
      </c>
      <c r="F360" t="s">
        <v>152</v>
      </c>
      <c r="G360" t="s">
        <v>353</v>
      </c>
      <c r="I360" s="4">
        <v>55</v>
      </c>
      <c r="J360" s="4">
        <v>55</v>
      </c>
      <c r="L360" t="s">
        <v>264</v>
      </c>
      <c r="M360" t="s">
        <v>67</v>
      </c>
      <c r="N360" s="4">
        <f>IF(L360="","",IF(OR(Registro2[[#This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360" t="str">
        <f t="shared" si="5"/>
        <v>fev/25</v>
      </c>
      <c r="P360" t="str">
        <f>IF(Registro2[[#This Row],[Data de Pagamento]]&gt;0,TEXT(A360,"mmm/aa"),"")</f>
        <v>fev/25</v>
      </c>
      <c r="T360" s="4">
        <f>IF(Registro2[[#This Row],[Data de Pagamento]]="",0,IF(Registro2[[#This Row],[Conta Financeira]]=base!$A$6,0,Registro2[[#This Row],[Valor Unitário]]))</f>
        <v>55</v>
      </c>
      <c r="U3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60" t="str">
        <f>VLOOKUP(Registro2[[#This Row],[Categoria]],'Plano de Contas'!$V$3:W409,2,0)</f>
        <v>Receitas Serviços</v>
      </c>
      <c r="X3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60" t="s">
        <v>1536</v>
      </c>
    </row>
    <row r="361" spans="1:25" hidden="1">
      <c r="A361" s="1">
        <v>45709.645833333336</v>
      </c>
      <c r="B361" s="1">
        <v>45709.645833333336</v>
      </c>
      <c r="D361" t="s">
        <v>1</v>
      </c>
      <c r="E361" t="s">
        <v>149</v>
      </c>
      <c r="F361" t="s">
        <v>152</v>
      </c>
      <c r="G361" t="s">
        <v>159</v>
      </c>
      <c r="I361" s="4">
        <v>40</v>
      </c>
      <c r="J361" s="4">
        <v>40</v>
      </c>
      <c r="L361" t="s">
        <v>253</v>
      </c>
      <c r="M361" t="s">
        <v>382</v>
      </c>
      <c r="N361" s="4">
        <f>IF(L361="","",IF(OR(Registro2[[#This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361" t="str">
        <f t="shared" si="5"/>
        <v>fev/25</v>
      </c>
      <c r="P361" t="str">
        <f>IF(Registro2[[#This Row],[Data de Pagamento]]&gt;0,TEXT(A361,"mmm/aa"),"")</f>
        <v>fev/25</v>
      </c>
      <c r="T361" s="4">
        <f>IF(Registro2[[#This Row],[Data de Pagamento]]="",0,IF(Registro2[[#This Row],[Conta Financeira]]=base!$A$6,0,Registro2[[#This Row],[Valor Unitário]]))</f>
        <v>40</v>
      </c>
      <c r="U3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61" t="str">
        <f>VLOOKUP(Registro2[[#This Row],[Categoria]],'Plano de Contas'!$V$3:W419,2,0)</f>
        <v>Receitas Serviços</v>
      </c>
      <c r="X3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61" t="s">
        <v>1536</v>
      </c>
    </row>
    <row r="362" spans="1:25" hidden="1">
      <c r="A362" s="1">
        <v>45709.65625</v>
      </c>
      <c r="B362" s="1">
        <v>45709.65625</v>
      </c>
      <c r="D362" t="s">
        <v>1</v>
      </c>
      <c r="E362" t="s">
        <v>149</v>
      </c>
      <c r="F362" t="s">
        <v>147</v>
      </c>
      <c r="G362" t="s">
        <v>163</v>
      </c>
      <c r="I362" s="4">
        <v>35</v>
      </c>
      <c r="J362" s="4">
        <v>35</v>
      </c>
      <c r="L362" t="s">
        <v>252</v>
      </c>
      <c r="M362" t="s">
        <v>864</v>
      </c>
      <c r="N362" s="4">
        <f>IF(L362="","",IF(OR(Registro2[[#This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62" t="str">
        <f t="shared" si="5"/>
        <v>fev/25</v>
      </c>
      <c r="P362" t="str">
        <f>IF(Registro2[[#This Row],[Data de Pagamento]]&gt;0,TEXT(A362,"mmm/aa"),"")</f>
        <v>fev/25</v>
      </c>
      <c r="T362" s="4">
        <f>IF(Registro2[[#This Row],[Data de Pagamento]]="",0,IF(Registro2[[#This Row],[Conta Financeira]]=base!$A$6,0,Registro2[[#This Row],[Valor Unitário]]))</f>
        <v>35</v>
      </c>
      <c r="U3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62" t="str">
        <f>VLOOKUP(Registro2[[#This Row],[Categoria]],'Plano de Contas'!$V$3:W411,2,0)</f>
        <v>Receitas Serviços</v>
      </c>
      <c r="X36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62" t="s">
        <v>1536</v>
      </c>
    </row>
    <row r="363" spans="1:25" hidden="1">
      <c r="A363" s="1">
        <v>45709.65625</v>
      </c>
      <c r="B363" s="1">
        <v>45709.65625</v>
      </c>
      <c r="D363" t="s">
        <v>354</v>
      </c>
      <c r="E363" t="s">
        <v>149</v>
      </c>
      <c r="F363" t="s">
        <v>147</v>
      </c>
      <c r="G363" t="s">
        <v>163</v>
      </c>
      <c r="I363" s="4">
        <v>35</v>
      </c>
      <c r="J363" s="4">
        <v>35</v>
      </c>
      <c r="L363" t="s">
        <v>264</v>
      </c>
      <c r="M363" t="s">
        <v>470</v>
      </c>
      <c r="N363" s="4">
        <f>IF(L363="","",IF(OR(Registro2[[#This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63" t="str">
        <f t="shared" si="5"/>
        <v>fev/25</v>
      </c>
      <c r="P363" t="str">
        <f>IF(Registro2[[#This Row],[Data de Pagamento]]&gt;0,TEXT(A363,"mmm/aa"),"")</f>
        <v>fev/25</v>
      </c>
      <c r="T363" s="4">
        <f>IF(Registro2[[#This Row],[Data de Pagamento]]="",0,IF(Registro2[[#This Row],[Conta Financeira]]=base!$A$6,0,Registro2[[#This Row],[Valor Unitário]]))</f>
        <v>35</v>
      </c>
      <c r="U3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63" t="str">
        <f>VLOOKUP(Registro2[[#This Row],[Categoria]],'Plano de Contas'!$V$3:W412,2,0)</f>
        <v>Receitas Serviços</v>
      </c>
      <c r="X36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363" t="s">
        <v>1536</v>
      </c>
    </row>
    <row r="364" spans="1:25" hidden="1">
      <c r="A364" s="1">
        <v>45709.666666666664</v>
      </c>
      <c r="B364" s="1">
        <v>45709.666666666664</v>
      </c>
      <c r="D364" t="s">
        <v>1</v>
      </c>
      <c r="E364" t="s">
        <v>149</v>
      </c>
      <c r="F364" t="s">
        <v>150</v>
      </c>
      <c r="G364" t="s">
        <v>167</v>
      </c>
      <c r="I364" s="4">
        <v>10</v>
      </c>
      <c r="J364" s="4">
        <v>10</v>
      </c>
      <c r="L364" t="s">
        <v>253</v>
      </c>
      <c r="M364" t="s">
        <v>14</v>
      </c>
      <c r="N364" s="4">
        <f>IF(L364="","",IF(OR(Registro2[[#This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</v>
      </c>
      <c r="O364" t="str">
        <f t="shared" si="5"/>
        <v>fev/25</v>
      </c>
      <c r="P364" t="str">
        <f>IF(Registro2[[#This Row],[Data de Pagamento]]&gt;0,TEXT(A364,"mmm/aa"),"")</f>
        <v>fev/25</v>
      </c>
      <c r="T364" s="4">
        <f>IF(Registro2[[#This Row],[Data de Pagamento]]="",0,IF(Registro2[[#This Row],[Conta Financeira]]=base!$A$6,0,Registro2[[#This Row],[Valor Unitário]]))</f>
        <v>10</v>
      </c>
      <c r="U3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64" t="str">
        <f>VLOOKUP(Registro2[[#This Row],[Categoria]],'Plano de Contas'!$V$3:W400,2,0)</f>
        <v>Receitas Serviços</v>
      </c>
      <c r="X36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64" t="s">
        <v>1536</v>
      </c>
    </row>
    <row r="365" spans="1:25" hidden="1">
      <c r="A365" s="1">
        <v>45709.666666666664</v>
      </c>
      <c r="B365" s="1">
        <v>45709.666666666664</v>
      </c>
      <c r="D365" t="s">
        <v>1</v>
      </c>
      <c r="E365" t="s">
        <v>149</v>
      </c>
      <c r="F365" t="s">
        <v>147</v>
      </c>
      <c r="G365" t="s">
        <v>163</v>
      </c>
      <c r="I365" s="4">
        <v>35</v>
      </c>
      <c r="J365" s="4">
        <v>35</v>
      </c>
      <c r="L365" t="s">
        <v>252</v>
      </c>
      <c r="M365" t="s">
        <v>869</v>
      </c>
      <c r="N365" s="4">
        <f>IF(L365="","",IF(OR(Registro2[[#This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65" t="str">
        <f t="shared" si="5"/>
        <v>fev/25</v>
      </c>
      <c r="P365" t="str">
        <f>IF(Registro2[[#This Row],[Data de Pagamento]]&gt;0,TEXT(A365,"mmm/aa"),"")</f>
        <v>fev/25</v>
      </c>
      <c r="T365" s="4">
        <f>IF(Registro2[[#This Row],[Data de Pagamento]]="",0,IF(Registro2[[#This Row],[Conta Financeira]]=base!$A$6,0,Registro2[[#This Row],[Valor Unitário]]))</f>
        <v>35</v>
      </c>
      <c r="U3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65" t="str">
        <f>VLOOKUP(Registro2[[#This Row],[Categoria]],'Plano de Contas'!$V$3:W415,2,0)</f>
        <v>Receitas Serviços</v>
      </c>
      <c r="X36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65" t="s">
        <v>1536</v>
      </c>
    </row>
    <row r="366" spans="1:25" hidden="1">
      <c r="A366" s="1">
        <v>45709.697916666664</v>
      </c>
      <c r="B366" s="1">
        <v>45709.697916666664</v>
      </c>
      <c r="D366" t="s">
        <v>2</v>
      </c>
      <c r="E366" t="s">
        <v>149</v>
      </c>
      <c r="F366" t="s">
        <v>147</v>
      </c>
      <c r="G366" t="s">
        <v>163</v>
      </c>
      <c r="I366" s="4">
        <v>35</v>
      </c>
      <c r="J366" s="4">
        <v>35</v>
      </c>
      <c r="L366" t="s">
        <v>253</v>
      </c>
      <c r="M366" t="s">
        <v>89</v>
      </c>
      <c r="N366" s="4">
        <f>IF(L366="","",IF(OR(Registro2[[#This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66" t="str">
        <f t="shared" si="5"/>
        <v>fev/25</v>
      </c>
      <c r="P366" t="str">
        <f>IF(Registro2[[#This Row],[Data de Pagamento]]&gt;0,TEXT(A366,"mmm/aa"),"")</f>
        <v>fev/25</v>
      </c>
      <c r="T366" s="4">
        <f>IF(Registro2[[#This Row],[Data de Pagamento]]="",0,IF(Registro2[[#This Row],[Conta Financeira]]=base!$A$6,0,Registro2[[#This Row],[Valor Unitário]]))</f>
        <v>35</v>
      </c>
      <c r="U3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66" t="str">
        <f>VLOOKUP(Registro2[[#This Row],[Categoria]],'Plano de Contas'!$V$3:W410,2,0)</f>
        <v>Receitas Serviços</v>
      </c>
      <c r="X3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66" t="s">
        <v>1536</v>
      </c>
    </row>
    <row r="367" spans="1:25" hidden="1">
      <c r="A367" s="1">
        <v>45709.71875</v>
      </c>
      <c r="B367" s="1">
        <v>45709.71875</v>
      </c>
      <c r="D367" t="s">
        <v>310</v>
      </c>
      <c r="E367" t="s">
        <v>149</v>
      </c>
      <c r="F367" t="s">
        <v>147</v>
      </c>
      <c r="G367" t="s">
        <v>163</v>
      </c>
      <c r="I367" s="4">
        <v>35</v>
      </c>
      <c r="J367" s="4">
        <v>35</v>
      </c>
      <c r="L367" t="s">
        <v>253</v>
      </c>
      <c r="M367" t="s">
        <v>842</v>
      </c>
      <c r="N367" s="4">
        <f>IF(L367="","",IF(OR(Registro2[[#This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67" t="str">
        <f t="shared" si="5"/>
        <v>fev/25</v>
      </c>
      <c r="P367" t="str">
        <f>IF(Registro2[[#This Row],[Data de Pagamento]]&gt;0,TEXT(A367,"mmm/aa"),"")</f>
        <v>fev/25</v>
      </c>
      <c r="T367" s="4">
        <f>IF(Registro2[[#This Row],[Data de Pagamento]]="",0,IF(Registro2[[#This Row],[Conta Financeira]]=base!$A$6,0,Registro2[[#This Row],[Valor Unitário]]))</f>
        <v>35</v>
      </c>
      <c r="U3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67" t="str">
        <f>VLOOKUP(Registro2[[#This Row],[Categoria]],'Plano de Contas'!$V$3:W394,2,0)</f>
        <v>Receitas Serviços</v>
      </c>
      <c r="X36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367" t="s">
        <v>1536</v>
      </c>
    </row>
    <row r="368" spans="1:25" hidden="1">
      <c r="A368" s="1">
        <v>45709.71875</v>
      </c>
      <c r="B368" s="1">
        <v>45709.71875</v>
      </c>
      <c r="D368" t="s">
        <v>310</v>
      </c>
      <c r="E368" t="s">
        <v>149</v>
      </c>
      <c r="F368" t="s">
        <v>147</v>
      </c>
      <c r="G368" t="s">
        <v>163</v>
      </c>
      <c r="I368" s="4">
        <v>35</v>
      </c>
      <c r="J368" s="4">
        <v>35</v>
      </c>
      <c r="L368" t="s">
        <v>264</v>
      </c>
      <c r="M368" t="s">
        <v>845</v>
      </c>
      <c r="N368" s="4">
        <f>IF(L368="","",IF(OR(Registro2[[#This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68" t="str">
        <f t="shared" si="5"/>
        <v>fev/25</v>
      </c>
      <c r="P368" t="str">
        <f>IF(Registro2[[#This Row],[Data de Pagamento]]&gt;0,TEXT(A368,"mmm/aa"),"")</f>
        <v>fev/25</v>
      </c>
      <c r="T368" s="4">
        <f>IF(Registro2[[#This Row],[Data de Pagamento]]="",0,IF(Registro2[[#This Row],[Conta Financeira]]=base!$A$6,0,Registro2[[#This Row],[Valor Unitário]]))</f>
        <v>35</v>
      </c>
      <c r="U3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68" t="str">
        <f>VLOOKUP(Registro2[[#This Row],[Categoria]],'Plano de Contas'!$V$3:W396,2,0)</f>
        <v>Receitas Serviços</v>
      </c>
      <c r="X36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368" t="s">
        <v>1536</v>
      </c>
    </row>
    <row r="369" spans="1:25" hidden="1">
      <c r="A369" s="1">
        <v>45709.739583333336</v>
      </c>
      <c r="B369" s="1">
        <v>45709.739583333336</v>
      </c>
      <c r="D369" t="s">
        <v>310</v>
      </c>
      <c r="E369" t="s">
        <v>149</v>
      </c>
      <c r="F369" t="s">
        <v>152</v>
      </c>
      <c r="G369" t="s">
        <v>353</v>
      </c>
      <c r="I369" s="4">
        <v>55</v>
      </c>
      <c r="J369" s="4">
        <v>55</v>
      </c>
      <c r="L369" t="s">
        <v>253</v>
      </c>
      <c r="M369" t="s">
        <v>34</v>
      </c>
      <c r="N369" s="4">
        <f>IF(L369="","",IF(OR(Registro2[[#This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369" t="str">
        <f t="shared" si="5"/>
        <v>fev/25</v>
      </c>
      <c r="P369" t="str">
        <f>IF(Registro2[[#This Row],[Data de Pagamento]]&gt;0,TEXT(A369,"mmm/aa"),"")</f>
        <v>fev/25</v>
      </c>
      <c r="T369" s="4">
        <f>IF(Registro2[[#This Row],[Data de Pagamento]]="",0,IF(Registro2[[#This Row],[Conta Financeira]]=base!$A$6,0,Registro2[[#This Row],[Valor Unitário]]))</f>
        <v>55</v>
      </c>
      <c r="U3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69" t="str">
        <f>VLOOKUP(Registro2[[#This Row],[Categoria]],'Plano de Contas'!$V$3:W414,2,0)</f>
        <v>Receitas Serviços</v>
      </c>
      <c r="X36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0.48949999999999999</v>
      </c>
      <c r="Y369" t="s">
        <v>1536</v>
      </c>
    </row>
    <row r="370" spans="1:25" hidden="1">
      <c r="A370" s="1">
        <v>45709.75</v>
      </c>
      <c r="B370" s="1">
        <v>45709.75</v>
      </c>
      <c r="D370" t="s">
        <v>1</v>
      </c>
      <c r="E370" t="s">
        <v>149</v>
      </c>
      <c r="F370" t="s">
        <v>147</v>
      </c>
      <c r="G370" t="s">
        <v>163</v>
      </c>
      <c r="I370" s="4">
        <v>30</v>
      </c>
      <c r="J370" s="4">
        <v>0</v>
      </c>
      <c r="L370" t="s">
        <v>252</v>
      </c>
      <c r="M370" t="s">
        <v>83</v>
      </c>
      <c r="N370" s="4">
        <f>IF(L370="","",IF(OR(Registro2[[#This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370" t="str">
        <f t="shared" si="5"/>
        <v>fev/25</v>
      </c>
      <c r="P370" t="str">
        <f>IF(Registro2[[#This Row],[Data de Pagamento]]&gt;0,TEXT(A370,"mmm/aa"),"")</f>
        <v>fev/25</v>
      </c>
      <c r="T370" s="4">
        <f>IF(Registro2[[#This Row],[Data de Pagamento]]="",0,IF(Registro2[[#This Row],[Conta Financeira]]=base!$A$6,0,Registro2[[#This Row],[Valor Unitário]]))</f>
        <v>30</v>
      </c>
      <c r="U3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370" t="str">
        <f>VLOOKUP(Registro2[[#This Row],[Categoria]],'Plano de Contas'!$V$3:W413,2,0)</f>
        <v>Receitas Serviços</v>
      </c>
      <c r="X37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70" t="s">
        <v>1536</v>
      </c>
    </row>
    <row r="371" spans="1:25" hidden="1">
      <c r="A371" s="1">
        <v>45709.75</v>
      </c>
      <c r="B371" s="1">
        <v>45709.75</v>
      </c>
      <c r="D371" t="s">
        <v>1</v>
      </c>
      <c r="E371" t="s">
        <v>149</v>
      </c>
      <c r="F371" t="s">
        <v>147</v>
      </c>
      <c r="G371" t="s">
        <v>161</v>
      </c>
      <c r="I371" s="4">
        <v>20</v>
      </c>
      <c r="J371" s="4">
        <v>20</v>
      </c>
      <c r="L371" t="s">
        <v>264</v>
      </c>
      <c r="M371" t="s">
        <v>423</v>
      </c>
      <c r="N371" s="4">
        <f>IF(L371="","",IF(OR(Registro2[[#This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371" t="str">
        <f t="shared" si="5"/>
        <v>fev/25</v>
      </c>
      <c r="P371" t="str">
        <f>IF(Registro2[[#This Row],[Data de Pagamento]]&gt;0,TEXT(A371,"mmm/aa"),"")</f>
        <v>fev/25</v>
      </c>
      <c r="T371" s="4">
        <f>IF(Registro2[[#This Row],[Data de Pagamento]]="",0,IF(Registro2[[#This Row],[Conta Financeira]]=base!$A$6,0,Registro2[[#This Row],[Valor Unitário]]))</f>
        <v>20</v>
      </c>
      <c r="U3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71" t="str">
        <f>VLOOKUP(Registro2[[#This Row],[Categoria]],'Plano de Contas'!$V$3:W416,2,0)</f>
        <v>Receitas Serviços</v>
      </c>
      <c r="X37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71" t="s">
        <v>1536</v>
      </c>
    </row>
    <row r="372" spans="1:25" hidden="1">
      <c r="A372" s="1">
        <v>45709.770833333336</v>
      </c>
      <c r="B372" s="1">
        <v>45709.770833333336</v>
      </c>
      <c r="D372" t="s">
        <v>1</v>
      </c>
      <c r="E372" t="s">
        <v>149</v>
      </c>
      <c r="F372" t="s">
        <v>147</v>
      </c>
      <c r="G372" t="s">
        <v>163</v>
      </c>
      <c r="I372" s="4">
        <v>35</v>
      </c>
      <c r="J372" s="4">
        <v>35</v>
      </c>
      <c r="L372" t="s">
        <v>264</v>
      </c>
      <c r="M372" t="s">
        <v>202</v>
      </c>
      <c r="N372" s="4">
        <f>IF(L372="","",IF(OR(Registro2[[#This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72" t="str">
        <f t="shared" si="5"/>
        <v>fev/25</v>
      </c>
      <c r="P372" t="str">
        <f>IF(Registro2[[#This Row],[Data de Pagamento]]&gt;0,TEXT(A372,"mmm/aa"),"")</f>
        <v>fev/25</v>
      </c>
      <c r="T372" s="4">
        <f>IF(Registro2[[#This Row],[Data de Pagamento]]="",0,IF(Registro2[[#This Row],[Conta Financeira]]=base!$A$6,0,Registro2[[#This Row],[Valor Unitário]]))</f>
        <v>35</v>
      </c>
      <c r="U3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72" t="str">
        <f>VLOOKUP(Registro2[[#This Row],[Categoria]],'Plano de Contas'!$V$3:W417,2,0)</f>
        <v>Receitas Serviços</v>
      </c>
      <c r="X37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72" t="s">
        <v>1536</v>
      </c>
    </row>
    <row r="373" spans="1:25" hidden="1">
      <c r="A373" s="1">
        <v>45709.78125</v>
      </c>
      <c r="B373" s="1">
        <v>45709.78125</v>
      </c>
      <c r="D373" t="s">
        <v>310</v>
      </c>
      <c r="E373" t="s">
        <v>149</v>
      </c>
      <c r="F373" t="s">
        <v>147</v>
      </c>
      <c r="G373" t="s">
        <v>163</v>
      </c>
      <c r="I373" s="4">
        <v>35</v>
      </c>
      <c r="J373" s="4">
        <v>35</v>
      </c>
      <c r="L373" t="s">
        <v>252</v>
      </c>
      <c r="M373" t="s">
        <v>856</v>
      </c>
      <c r="N373" s="4">
        <f>IF(L373="","",IF(OR(Registro2[[#This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73" t="str">
        <f t="shared" si="5"/>
        <v>fev/25</v>
      </c>
      <c r="P373" t="str">
        <f>IF(Registro2[[#This Row],[Data de Pagamento]]&gt;0,TEXT(A373,"mmm/aa"),"")</f>
        <v>fev/25</v>
      </c>
      <c r="T373" s="4">
        <f>IF(Registro2[[#This Row],[Data de Pagamento]]="",0,IF(Registro2[[#This Row],[Conta Financeira]]=base!$A$6,0,Registro2[[#This Row],[Valor Unitário]]))</f>
        <v>35</v>
      </c>
      <c r="U3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73" t="str">
        <f>VLOOKUP(Registro2[[#This Row],[Categoria]],'Plano de Contas'!$V$3:W404,2,0)</f>
        <v>Receitas Serviços</v>
      </c>
      <c r="X37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373" t="s">
        <v>1536</v>
      </c>
    </row>
    <row r="374" spans="1:25" hidden="1">
      <c r="A374" s="1">
        <v>45709.802083333336</v>
      </c>
      <c r="B374" s="1">
        <v>45709.802083333336</v>
      </c>
      <c r="D374" t="s">
        <v>1</v>
      </c>
      <c r="E374" t="s">
        <v>149</v>
      </c>
      <c r="F374" t="s">
        <v>152</v>
      </c>
      <c r="G374" t="s">
        <v>353</v>
      </c>
      <c r="I374" s="4">
        <v>55</v>
      </c>
      <c r="J374" s="4">
        <v>90</v>
      </c>
      <c r="L374" t="s">
        <v>253</v>
      </c>
      <c r="M374" t="s">
        <v>11</v>
      </c>
      <c r="N374" s="4">
        <f>IF(L374="","",IF(OR(Registro2[[#This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374" t="str">
        <f t="shared" si="5"/>
        <v>fev/25</v>
      </c>
      <c r="P374" t="str">
        <f>IF(Registro2[[#This Row],[Data de Pagamento]]&gt;0,TEXT(A374,"mmm/aa"),"")</f>
        <v>fev/25</v>
      </c>
      <c r="T374" s="4">
        <f>IF(Registro2[[#This Row],[Data de Pagamento]]="",0,IF(Registro2[[#This Row],[Conta Financeira]]=base!$A$6,0,Registro2[[#This Row],[Valor Unitário]]))</f>
        <v>55</v>
      </c>
      <c r="U3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74" t="str">
        <f>VLOOKUP(Registro2[[#This Row],[Categoria]],'Plano de Contas'!$V$3:W397,2,0)</f>
        <v>Receitas Serviços</v>
      </c>
      <c r="X37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74" t="s">
        <v>1536</v>
      </c>
    </row>
    <row r="375" spans="1:25" hidden="1">
      <c r="A375" s="1">
        <v>45709.802083333336</v>
      </c>
      <c r="B375" s="1">
        <v>45709.802083333336</v>
      </c>
      <c r="D375" t="s">
        <v>1</v>
      </c>
      <c r="E375" t="s">
        <v>149</v>
      </c>
      <c r="F375" t="s">
        <v>147</v>
      </c>
      <c r="G375" t="s">
        <v>163</v>
      </c>
      <c r="I375" s="4">
        <v>35</v>
      </c>
      <c r="J375" s="4"/>
      <c r="L375" t="s">
        <v>253</v>
      </c>
      <c r="M375" t="s">
        <v>11</v>
      </c>
      <c r="N375" s="4">
        <f>IF(L375="","",IF(OR(Registro2[[#This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75" t="str">
        <f t="shared" si="5"/>
        <v>fev/25</v>
      </c>
      <c r="P375" t="str">
        <f>IF(Registro2[[#This Row],[Data de Pagamento]]&gt;0,TEXT(A375,"mmm/aa"),"")</f>
        <v>fev/25</v>
      </c>
      <c r="T375" s="4">
        <f>IF(Registro2[[#This Row],[Data de Pagamento]]="",0,IF(Registro2[[#This Row],[Conta Financeira]]=base!$A$6,0,Registro2[[#This Row],[Valor Unitário]]))</f>
        <v>35</v>
      </c>
      <c r="U3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75" t="str">
        <f>VLOOKUP(Registro2[[#This Row],[Categoria]],'Plano de Contas'!$V$3:W398,2,0)</f>
        <v>Receitas Serviços</v>
      </c>
      <c r="X37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75" t="s">
        <v>1536</v>
      </c>
    </row>
    <row r="376" spans="1:25" hidden="1">
      <c r="A376" s="1">
        <v>45709.802083333336</v>
      </c>
      <c r="B376" s="1">
        <v>45709.802083333336</v>
      </c>
      <c r="D376" t="s">
        <v>2</v>
      </c>
      <c r="E376" t="s">
        <v>149</v>
      </c>
      <c r="F376" t="s">
        <v>147</v>
      </c>
      <c r="G376" t="s">
        <v>163</v>
      </c>
      <c r="I376" s="4">
        <v>35</v>
      </c>
      <c r="J376" s="4">
        <v>35</v>
      </c>
      <c r="L376" t="s">
        <v>264</v>
      </c>
      <c r="M376" t="s">
        <v>495</v>
      </c>
      <c r="N376" s="4">
        <f>IF(L376="","",IF(OR(Registro2[[#This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76" t="str">
        <f t="shared" si="5"/>
        <v>fev/25</v>
      </c>
      <c r="P376" t="str">
        <f>IF(Registro2[[#This Row],[Data de Pagamento]]&gt;0,TEXT(A376,"mmm/aa"),"")</f>
        <v>fev/25</v>
      </c>
      <c r="T376" s="4">
        <f>IF(Registro2[[#This Row],[Data de Pagamento]]="",0,IF(Registro2[[#This Row],[Conta Financeira]]=base!$A$6,0,Registro2[[#This Row],[Valor Unitário]]))</f>
        <v>35</v>
      </c>
      <c r="U3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76" t="str">
        <f>VLOOKUP(Registro2[[#This Row],[Categoria]],'Plano de Contas'!$V$3:W420,2,0)</f>
        <v>Receitas Serviços</v>
      </c>
      <c r="X37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76" t="s">
        <v>1536</v>
      </c>
    </row>
    <row r="377" spans="1:25" hidden="1">
      <c r="A377" s="1">
        <v>45709.868055555555</v>
      </c>
      <c r="B377" s="1">
        <v>45709.868055555555</v>
      </c>
      <c r="D377" t="s">
        <v>1</v>
      </c>
      <c r="E377" t="s">
        <v>149</v>
      </c>
      <c r="F377" t="s">
        <v>152</v>
      </c>
      <c r="G377" t="s">
        <v>159</v>
      </c>
      <c r="I377" s="4">
        <v>40</v>
      </c>
      <c r="J377" s="4">
        <v>40</v>
      </c>
      <c r="L377" t="s">
        <v>253</v>
      </c>
      <c r="M377" t="s">
        <v>52</v>
      </c>
      <c r="N377" s="4">
        <f>IF(L377="","",IF(OR(Registro2[[#This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377" t="str">
        <f t="shared" si="5"/>
        <v>fev/25</v>
      </c>
      <c r="P377" t="str">
        <f>IF(Registro2[[#This Row],[Data de Pagamento]]&gt;0,TEXT(A377,"mmm/aa"),"")</f>
        <v>fev/25</v>
      </c>
      <c r="T377" s="4">
        <f>IF(Registro2[[#This Row],[Data de Pagamento]]="",0,IF(Registro2[[#This Row],[Conta Financeira]]=base!$A$6,0,Registro2[[#This Row],[Valor Unitário]]))</f>
        <v>40</v>
      </c>
      <c r="U3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77" t="str">
        <f>VLOOKUP(Registro2[[#This Row],[Categoria]],'Plano de Contas'!$V$3:W418,2,0)</f>
        <v>Receitas Serviços</v>
      </c>
      <c r="X37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77" t="s">
        <v>1536</v>
      </c>
    </row>
    <row r="378" spans="1:25" hidden="1">
      <c r="A378" s="1">
        <v>45710.375</v>
      </c>
      <c r="B378" s="1">
        <v>45710.375</v>
      </c>
      <c r="D378" t="s">
        <v>882</v>
      </c>
      <c r="E378" t="s">
        <v>149</v>
      </c>
      <c r="F378" t="s">
        <v>152</v>
      </c>
      <c r="G378" t="s">
        <v>159</v>
      </c>
      <c r="I378" s="4">
        <v>40</v>
      </c>
      <c r="J378" s="4">
        <v>40</v>
      </c>
      <c r="L378" t="s">
        <v>252</v>
      </c>
      <c r="M378" t="s">
        <v>44</v>
      </c>
      <c r="N378" s="4">
        <f>IF(L378="","",IF(OR(Registro2[[#This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378" t="str">
        <f t="shared" si="5"/>
        <v>fev/25</v>
      </c>
      <c r="P378" t="str">
        <f>IF(Registro2[[#This Row],[Data de Pagamento]]&gt;0,TEXT(A378,"mmm/aa"),"")</f>
        <v>fev/25</v>
      </c>
      <c r="T378" s="4">
        <f>IF(Registro2[[#This Row],[Data de Pagamento]]="",0,IF(Registro2[[#This Row],[Conta Financeira]]=base!$A$6,0,Registro2[[#This Row],[Valor Unitário]]))</f>
        <v>40</v>
      </c>
      <c r="U3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78" t="str">
        <f>VLOOKUP(Registro2[[#This Row],[Categoria]],'Plano de Contas'!$V$3:W426,2,0)</f>
        <v>Receitas Serviços</v>
      </c>
      <c r="X3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78" t="s">
        <v>1536</v>
      </c>
    </row>
    <row r="379" spans="1:25" hidden="1">
      <c r="A379" s="1">
        <v>45710.40625</v>
      </c>
      <c r="B379" s="1">
        <v>45710.40625</v>
      </c>
      <c r="D379" t="s">
        <v>2</v>
      </c>
      <c r="E379" t="s">
        <v>149</v>
      </c>
      <c r="F379" t="s">
        <v>147</v>
      </c>
      <c r="G379" t="s">
        <v>160</v>
      </c>
      <c r="I379" s="4">
        <v>12</v>
      </c>
      <c r="J379" s="4">
        <v>10</v>
      </c>
      <c r="L379" t="s">
        <v>252</v>
      </c>
      <c r="M379" t="s">
        <v>885</v>
      </c>
      <c r="N379" s="4">
        <f>IF(L379="","",IF(OR(Registro2[[#This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379" t="str">
        <f t="shared" si="5"/>
        <v>fev/25</v>
      </c>
      <c r="P379" t="str">
        <f>IF(Registro2[[#This Row],[Data de Pagamento]]&gt;0,TEXT(A379,"mmm/aa"),"")</f>
        <v>fev/25</v>
      </c>
      <c r="T379" s="4">
        <f>IF(Registro2[[#This Row],[Data de Pagamento]]="",0,IF(Registro2[[#This Row],[Conta Financeira]]=base!$A$6,0,Registro2[[#This Row],[Valor Unitário]]))</f>
        <v>12</v>
      </c>
      <c r="U3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79" t="str">
        <f>VLOOKUP(Registro2[[#This Row],[Categoria]],'Plano de Contas'!$V$3:W428,2,0)</f>
        <v>Receitas Serviços</v>
      </c>
      <c r="X37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79" t="s">
        <v>1536</v>
      </c>
    </row>
    <row r="380" spans="1:25" hidden="1">
      <c r="A380" s="1">
        <v>45710.427083333336</v>
      </c>
      <c r="B380" s="1">
        <v>45710.427083333336</v>
      </c>
      <c r="D380" t="s">
        <v>2</v>
      </c>
      <c r="E380" t="s">
        <v>149</v>
      </c>
      <c r="F380" t="s">
        <v>152</v>
      </c>
      <c r="G380" t="s">
        <v>159</v>
      </c>
      <c r="I380" s="4">
        <v>40</v>
      </c>
      <c r="J380" s="4">
        <v>40</v>
      </c>
      <c r="L380" t="s">
        <v>253</v>
      </c>
      <c r="M380" t="s">
        <v>278</v>
      </c>
      <c r="N380" s="4">
        <f>IF(L380="","",IF(OR(Registro2[[#This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380" t="str">
        <f t="shared" si="5"/>
        <v>fev/25</v>
      </c>
      <c r="P380" t="str">
        <f>IF(Registro2[[#This Row],[Data de Pagamento]]&gt;0,TEXT(A380,"mmm/aa"),"")</f>
        <v>fev/25</v>
      </c>
      <c r="T380" s="4">
        <f>IF(Registro2[[#This Row],[Data de Pagamento]]="",0,IF(Registro2[[#This Row],[Conta Financeira]]=base!$A$6,0,Registro2[[#This Row],[Valor Unitário]]))</f>
        <v>40</v>
      </c>
      <c r="U3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80" t="str">
        <f>VLOOKUP(Registro2[[#This Row],[Categoria]],'Plano de Contas'!$V$3:W427,2,0)</f>
        <v>Receitas Serviços</v>
      </c>
      <c r="X38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80" t="s">
        <v>1536</v>
      </c>
    </row>
    <row r="381" spans="1:25" hidden="1">
      <c r="A381" s="1">
        <v>45710.447916666664</v>
      </c>
      <c r="B381" s="1">
        <v>45710.447916666664</v>
      </c>
      <c r="D381" t="s">
        <v>2</v>
      </c>
      <c r="E381" t="s">
        <v>149</v>
      </c>
      <c r="F381" t="s">
        <v>147</v>
      </c>
      <c r="G381" t="s">
        <v>163</v>
      </c>
      <c r="I381" s="4">
        <v>35</v>
      </c>
      <c r="J381" s="4">
        <v>35</v>
      </c>
      <c r="L381" t="s">
        <v>253</v>
      </c>
      <c r="M381" t="s">
        <v>115</v>
      </c>
      <c r="N381" s="4">
        <f>IF(L381="","",IF(OR(Registro2[[#This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81" t="str">
        <f t="shared" si="5"/>
        <v>fev/25</v>
      </c>
      <c r="P381" t="str">
        <f>IF(Registro2[[#This Row],[Data de Pagamento]]&gt;0,TEXT(A381,"mmm/aa"),"")</f>
        <v>fev/25</v>
      </c>
      <c r="T381" s="4">
        <f>IF(Registro2[[#This Row],[Data de Pagamento]]="",0,IF(Registro2[[#This Row],[Conta Financeira]]=base!$A$6,0,Registro2[[#This Row],[Valor Unitário]]))</f>
        <v>35</v>
      </c>
      <c r="U3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81" t="str">
        <f>VLOOKUP(Registro2[[#This Row],[Categoria]],'Plano de Contas'!$V$3:W423,2,0)</f>
        <v>Receitas Serviços</v>
      </c>
      <c r="X38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81" t="s">
        <v>1536</v>
      </c>
    </row>
    <row r="382" spans="1:25" hidden="1">
      <c r="A382" s="1">
        <v>45710.447916666664</v>
      </c>
      <c r="B382" s="1">
        <v>45710.447916666664</v>
      </c>
      <c r="D382" t="s">
        <v>2</v>
      </c>
      <c r="E382" t="s">
        <v>149</v>
      </c>
      <c r="F382" t="s">
        <v>147</v>
      </c>
      <c r="G382" t="s">
        <v>163</v>
      </c>
      <c r="I382" s="4">
        <v>35</v>
      </c>
      <c r="J382" s="4">
        <v>35</v>
      </c>
      <c r="L382" t="s">
        <v>264</v>
      </c>
      <c r="M382" t="s">
        <v>888</v>
      </c>
      <c r="N382" s="4">
        <f>IF(L382="","",IF(OR(Registro2[[#This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82" t="str">
        <f t="shared" si="5"/>
        <v>fev/25</v>
      </c>
      <c r="P382" t="str">
        <f>IF(Registro2[[#This Row],[Data de Pagamento]]&gt;0,TEXT(A382,"mmm/aa"),"")</f>
        <v>fev/25</v>
      </c>
      <c r="T382" s="4">
        <f>IF(Registro2[[#This Row],[Data de Pagamento]]="",0,IF(Registro2[[#This Row],[Conta Financeira]]=base!$A$6,0,Registro2[[#This Row],[Valor Unitário]]))</f>
        <v>35</v>
      </c>
      <c r="U3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82" t="str">
        <f>VLOOKUP(Registro2[[#This Row],[Categoria]],'Plano de Contas'!$V$3:W430,2,0)</f>
        <v>Receitas Serviços</v>
      </c>
      <c r="X3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82" t="s">
        <v>1536</v>
      </c>
    </row>
    <row r="383" spans="1:25" hidden="1">
      <c r="A383" s="1">
        <v>45710.46875</v>
      </c>
      <c r="B383" s="1">
        <v>45710.46875</v>
      </c>
      <c r="D383" t="s">
        <v>2</v>
      </c>
      <c r="E383" t="s">
        <v>149</v>
      </c>
      <c r="F383" t="s">
        <v>147</v>
      </c>
      <c r="G383" t="s">
        <v>161</v>
      </c>
      <c r="I383" s="4">
        <v>20</v>
      </c>
      <c r="J383" s="4">
        <v>20</v>
      </c>
      <c r="L383" t="s">
        <v>252</v>
      </c>
      <c r="M383" t="s">
        <v>298</v>
      </c>
      <c r="N383" s="4">
        <f>IF(L383="","",IF(OR(Registro2[[#This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383" t="str">
        <f t="shared" si="5"/>
        <v>fev/25</v>
      </c>
      <c r="P383" t="str">
        <f>IF(Registro2[[#This Row],[Data de Pagamento]]&gt;0,TEXT(A383,"mmm/aa"),"")</f>
        <v>fev/25</v>
      </c>
      <c r="T383" s="4">
        <f>IF(Registro2[[#This Row],[Data de Pagamento]]="",0,IF(Registro2[[#This Row],[Conta Financeira]]=base!$A$6,0,Registro2[[#This Row],[Valor Unitário]]))</f>
        <v>20</v>
      </c>
      <c r="U3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83" t="str">
        <f>VLOOKUP(Registro2[[#This Row],[Categoria]],'Plano de Contas'!$V$3:W424,2,0)</f>
        <v>Receitas Serviços</v>
      </c>
      <c r="X3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83" t="s">
        <v>1536</v>
      </c>
    </row>
    <row r="384" spans="1:25" hidden="1">
      <c r="A384" s="1">
        <v>45710.479166666664</v>
      </c>
      <c r="B384" s="1">
        <v>45710.479166666664</v>
      </c>
      <c r="D384" t="s">
        <v>310</v>
      </c>
      <c r="E384" t="s">
        <v>149</v>
      </c>
      <c r="F384" t="s">
        <v>147</v>
      </c>
      <c r="G384" t="s">
        <v>163</v>
      </c>
      <c r="I384" s="4">
        <v>45</v>
      </c>
      <c r="J384" s="4">
        <v>45</v>
      </c>
      <c r="L384" t="s">
        <v>253</v>
      </c>
      <c r="M384" t="s">
        <v>880</v>
      </c>
      <c r="N384" s="4">
        <f>IF(L384="","",IF(OR(Registro2[[#This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20.25</v>
      </c>
      <c r="O384" t="str">
        <f t="shared" si="5"/>
        <v>fev/25</v>
      </c>
      <c r="P384" t="str">
        <f>IF(Registro2[[#This Row],[Data de Pagamento]]&gt;0,TEXT(A384,"mmm/aa"),"")</f>
        <v>fev/25</v>
      </c>
      <c r="T384" s="4">
        <f>IF(Registro2[[#This Row],[Data de Pagamento]]="",0,IF(Registro2[[#This Row],[Conta Financeira]]=base!$A$6,0,Registro2[[#This Row],[Valor Unitário]]))</f>
        <v>45</v>
      </c>
      <c r="U3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84" t="str">
        <f>VLOOKUP(Registro2[[#This Row],[Categoria]],'Plano de Contas'!$V$3:W425,2,0)</f>
        <v>Receitas Serviços</v>
      </c>
      <c r="X38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0.40050000000000002</v>
      </c>
      <c r="Y384" t="s">
        <v>1536</v>
      </c>
    </row>
    <row r="385" spans="1:25" hidden="1">
      <c r="A385" s="1">
        <v>45710.510416666664</v>
      </c>
      <c r="B385" s="1">
        <v>45710.510416666664</v>
      </c>
      <c r="D385" t="s">
        <v>2</v>
      </c>
      <c r="E385" t="s">
        <v>149</v>
      </c>
      <c r="F385" t="s">
        <v>147</v>
      </c>
      <c r="G385" t="s">
        <v>163</v>
      </c>
      <c r="I385" s="4">
        <v>35</v>
      </c>
      <c r="J385" s="4">
        <v>35</v>
      </c>
      <c r="L385" t="s">
        <v>252</v>
      </c>
      <c r="M385" t="s">
        <v>207</v>
      </c>
      <c r="N385" s="4">
        <f>IF(L385="","",IF(OR(Registro2[[#This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85" t="str">
        <f t="shared" si="5"/>
        <v>fev/25</v>
      </c>
      <c r="P385" t="str">
        <f>IF(Registro2[[#This Row],[Data de Pagamento]]&gt;0,TEXT(A385,"mmm/aa"),"")</f>
        <v>fev/25</v>
      </c>
      <c r="T385" s="4">
        <f>IF(Registro2[[#This Row],[Data de Pagamento]]="",0,IF(Registro2[[#This Row],[Conta Financeira]]=base!$A$6,0,Registro2[[#This Row],[Valor Unitário]]))</f>
        <v>35</v>
      </c>
      <c r="U3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85" t="str">
        <f>VLOOKUP(Registro2[[#This Row],[Categoria]],'Plano de Contas'!$V$3:W433,2,0)</f>
        <v>Receitas Serviços</v>
      </c>
      <c r="X38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85" t="s">
        <v>1536</v>
      </c>
    </row>
    <row r="386" spans="1:25" hidden="1">
      <c r="A386" s="1">
        <v>45710.520833333336</v>
      </c>
      <c r="B386" s="1">
        <v>45710.520833333336</v>
      </c>
      <c r="D386" t="s">
        <v>354</v>
      </c>
      <c r="E386" t="s">
        <v>149</v>
      </c>
      <c r="F386" t="s">
        <v>147</v>
      </c>
      <c r="G386" t="s">
        <v>163</v>
      </c>
      <c r="I386" s="4">
        <v>35</v>
      </c>
      <c r="J386" s="4">
        <v>35</v>
      </c>
      <c r="L386" t="s">
        <v>264</v>
      </c>
      <c r="M386" t="s">
        <v>117</v>
      </c>
      <c r="N386" s="4">
        <f>IF(L386="","",IF(OR(Registro2[[#This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86" t="str">
        <f t="shared" ref="O386:O449" si="6">TEXT(B386,"mmm/aa")</f>
        <v>fev/25</v>
      </c>
      <c r="P386" t="str">
        <f>IF(Registro2[[#This Row],[Data de Pagamento]]&gt;0,TEXT(A386,"mmm/aa"),"")</f>
        <v>fev/25</v>
      </c>
      <c r="T386" s="4">
        <f>IF(Registro2[[#This Row],[Data de Pagamento]]="",0,IF(Registro2[[#This Row],[Conta Financeira]]=base!$A$6,0,Registro2[[#This Row],[Valor Unitário]]))</f>
        <v>35</v>
      </c>
      <c r="U3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86" t="str">
        <f>VLOOKUP(Registro2[[#This Row],[Categoria]],'Plano de Contas'!$V$3:W434,2,0)</f>
        <v>Receitas Serviços</v>
      </c>
      <c r="X38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386" t="s">
        <v>1536</v>
      </c>
    </row>
    <row r="387" spans="1:25" hidden="1">
      <c r="A387" s="1">
        <v>45710.545138888891</v>
      </c>
      <c r="B387" s="1">
        <v>45710.545138888891</v>
      </c>
      <c r="D387" t="s">
        <v>2</v>
      </c>
      <c r="E387" t="s">
        <v>149</v>
      </c>
      <c r="F387" t="s">
        <v>152</v>
      </c>
      <c r="G387" t="s">
        <v>353</v>
      </c>
      <c r="I387" s="4">
        <v>50</v>
      </c>
      <c r="J387" s="4">
        <v>50</v>
      </c>
      <c r="L387" t="s">
        <v>253</v>
      </c>
      <c r="M387" t="s">
        <v>207</v>
      </c>
      <c r="N387" s="4">
        <f>IF(L387="","",IF(OR(Registro2[[#This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387" t="str">
        <f t="shared" si="6"/>
        <v>fev/25</v>
      </c>
      <c r="P387" t="str">
        <f>IF(Registro2[[#This Row],[Data de Pagamento]]&gt;0,TEXT(A387,"mmm/aa"),"")</f>
        <v>fev/25</v>
      </c>
      <c r="T387" s="4">
        <f>IF(Registro2[[#This Row],[Data de Pagamento]]="",0,IF(Registro2[[#This Row],[Conta Financeira]]=base!$A$6,0,Registro2[[#This Row],[Valor Unitário]]))</f>
        <v>50</v>
      </c>
      <c r="U3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87" t="str">
        <f>VLOOKUP(Registro2[[#This Row],[Categoria]],'Plano de Contas'!$V$3:W435,2,0)</f>
        <v>Receitas Serviços</v>
      </c>
      <c r="X38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87" t="s">
        <v>1536</v>
      </c>
    </row>
    <row r="388" spans="1:25" hidden="1">
      <c r="A388" s="1">
        <v>45710.5625</v>
      </c>
      <c r="B388" s="1">
        <v>45710.5625</v>
      </c>
      <c r="D388" t="s">
        <v>1</v>
      </c>
      <c r="E388" t="s">
        <v>149</v>
      </c>
      <c r="F388" t="s">
        <v>147</v>
      </c>
      <c r="G388" t="s">
        <v>163</v>
      </c>
      <c r="I388" s="4">
        <v>35</v>
      </c>
      <c r="J388" s="4">
        <v>35</v>
      </c>
      <c r="L388" t="s">
        <v>253</v>
      </c>
      <c r="M388" t="s">
        <v>384</v>
      </c>
      <c r="N388" s="4">
        <f>IF(L388="","",IF(OR(Registro2[[#This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88" t="str">
        <f t="shared" si="6"/>
        <v>fev/25</v>
      </c>
      <c r="P388" t="str">
        <f>IF(Registro2[[#This Row],[Data de Pagamento]]&gt;0,TEXT(A388,"mmm/aa"),"")</f>
        <v>fev/25</v>
      </c>
      <c r="T388" s="4">
        <f>IF(Registro2[[#This Row],[Data de Pagamento]]="",0,IF(Registro2[[#This Row],[Conta Financeira]]=base!$A$6,0,Registro2[[#This Row],[Valor Unitário]]))</f>
        <v>35</v>
      </c>
      <c r="U3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88" t="str">
        <f>VLOOKUP(Registro2[[#This Row],[Categoria]],'Plano de Contas'!$V$3:W431,2,0)</f>
        <v>Receitas Serviços</v>
      </c>
      <c r="X38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88" t="s">
        <v>1536</v>
      </c>
    </row>
    <row r="389" spans="1:25" hidden="1">
      <c r="A389" s="1">
        <v>45710.604166666664</v>
      </c>
      <c r="B389" s="1">
        <v>45710.604166666664</v>
      </c>
      <c r="D389" t="s">
        <v>1</v>
      </c>
      <c r="E389" t="s">
        <v>149</v>
      </c>
      <c r="F389" t="s">
        <v>147</v>
      </c>
      <c r="G389" t="s">
        <v>163</v>
      </c>
      <c r="I389" s="4">
        <v>35</v>
      </c>
      <c r="J389" s="4">
        <v>35</v>
      </c>
      <c r="L389" t="s">
        <v>252</v>
      </c>
      <c r="M389" t="s">
        <v>403</v>
      </c>
      <c r="N389" s="4">
        <f>IF(L389="","",IF(OR(Registro2[[#This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89" t="str">
        <f t="shared" si="6"/>
        <v>fev/25</v>
      </c>
      <c r="P389" t="str">
        <f>IF(Registro2[[#This Row],[Data de Pagamento]]&gt;0,TEXT(A389,"mmm/aa"),"")</f>
        <v>fev/25</v>
      </c>
      <c r="T389" s="4">
        <f>IF(Registro2[[#This Row],[Data de Pagamento]]="",0,IF(Registro2[[#This Row],[Conta Financeira]]=base!$A$6,0,Registro2[[#This Row],[Valor Unitário]]))</f>
        <v>35</v>
      </c>
      <c r="U3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89" t="str">
        <f>VLOOKUP(Registro2[[#This Row],[Categoria]],'Plano de Contas'!$V$3:W441,2,0)</f>
        <v>Receitas Serviços</v>
      </c>
      <c r="X38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89" t="s">
        <v>1536</v>
      </c>
    </row>
    <row r="390" spans="1:25" hidden="1">
      <c r="A390" s="1">
        <v>45710.625</v>
      </c>
      <c r="B390" s="1">
        <v>45710.625</v>
      </c>
      <c r="D390" t="s">
        <v>354</v>
      </c>
      <c r="E390" t="s">
        <v>149</v>
      </c>
      <c r="F390" t="s">
        <v>147</v>
      </c>
      <c r="G390" t="s">
        <v>163</v>
      </c>
      <c r="I390" s="4">
        <v>35</v>
      </c>
      <c r="J390" s="4">
        <v>35</v>
      </c>
      <c r="L390" t="s">
        <v>252</v>
      </c>
      <c r="M390" t="s">
        <v>96</v>
      </c>
      <c r="N390" s="4">
        <f>IF(L390="","",IF(OR(Registro2[[#This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90" t="str">
        <f t="shared" si="6"/>
        <v>fev/25</v>
      </c>
      <c r="P390" t="str">
        <f>IF(Registro2[[#This Row],[Data de Pagamento]]&gt;0,TEXT(A390,"mmm/aa"),"")</f>
        <v>fev/25</v>
      </c>
      <c r="T390" s="4">
        <f>IF(Registro2[[#This Row],[Data de Pagamento]]="",0,IF(Registro2[[#This Row],[Conta Financeira]]=base!$A$6,0,Registro2[[#This Row],[Valor Unitário]]))</f>
        <v>35</v>
      </c>
      <c r="U3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90" t="str">
        <f>VLOOKUP(Registro2[[#This Row],[Categoria]],'Plano de Contas'!$V$3:W421,2,0)</f>
        <v>Receitas Serviços</v>
      </c>
      <c r="X39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390" t="s">
        <v>1536</v>
      </c>
    </row>
    <row r="391" spans="1:25" hidden="1">
      <c r="A391" s="1">
        <v>45710.625</v>
      </c>
      <c r="B391" s="1">
        <v>45710.625</v>
      </c>
      <c r="D391" t="s">
        <v>310</v>
      </c>
      <c r="E391" t="s">
        <v>149</v>
      </c>
      <c r="F391" t="s">
        <v>147</v>
      </c>
      <c r="G391" t="s">
        <v>163</v>
      </c>
      <c r="I391" s="4">
        <v>35</v>
      </c>
      <c r="J391" s="4">
        <v>60</v>
      </c>
      <c r="L391" t="s">
        <v>264</v>
      </c>
      <c r="M391" t="s">
        <v>895</v>
      </c>
      <c r="N391" s="4">
        <f>IF(L391="","",IF(OR(Registro2[[#This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91" t="str">
        <f t="shared" si="6"/>
        <v>fev/25</v>
      </c>
      <c r="P391" t="str">
        <f>IF(Registro2[[#This Row],[Data de Pagamento]]&gt;0,TEXT(A391,"mmm/aa"),"")</f>
        <v>fev/25</v>
      </c>
      <c r="T391" s="4">
        <f>IF(Registro2[[#This Row],[Data de Pagamento]]="",0,IF(Registro2[[#This Row],[Conta Financeira]]=base!$A$6,0,Registro2[[#This Row],[Valor Unitário]]))</f>
        <v>35</v>
      </c>
      <c r="U3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91" t="str">
        <f>VLOOKUP(Registro2[[#This Row],[Categoria]],'Plano de Contas'!$V$3:W436,2,0)</f>
        <v>Receitas Serviços</v>
      </c>
      <c r="X39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391" t="s">
        <v>1536</v>
      </c>
    </row>
    <row r="392" spans="1:25" hidden="1">
      <c r="A392" s="1">
        <v>45710.625</v>
      </c>
      <c r="B392" s="1">
        <v>45710.625</v>
      </c>
      <c r="D392" t="s">
        <v>310</v>
      </c>
      <c r="E392" t="s">
        <v>149</v>
      </c>
      <c r="F392" t="s">
        <v>150</v>
      </c>
      <c r="G392" t="s">
        <v>508</v>
      </c>
      <c r="I392" s="4">
        <v>25</v>
      </c>
      <c r="J392" s="4"/>
      <c r="L392" t="s">
        <v>264</v>
      </c>
      <c r="M392" t="s">
        <v>895</v>
      </c>
      <c r="N392" s="4">
        <f>IF(L392="","",IF(OR(Registro2[[#This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392" t="str">
        <f t="shared" si="6"/>
        <v>fev/25</v>
      </c>
      <c r="P392" t="str">
        <f>IF(Registro2[[#This Row],[Data de Pagamento]]&gt;0,TEXT(A392,"mmm/aa"),"")</f>
        <v>fev/25</v>
      </c>
      <c r="T392" s="4">
        <f>IF(Registro2[[#This Row],[Data de Pagamento]]="",0,IF(Registro2[[#This Row],[Conta Financeira]]=base!$A$6,0,Registro2[[#This Row],[Valor Unitário]]))</f>
        <v>25</v>
      </c>
      <c r="U3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92" t="str">
        <f>VLOOKUP(Registro2[[#This Row],[Categoria]],'Plano de Contas'!$V$3:W437,2,0)</f>
        <v>Receitas Produtos</v>
      </c>
      <c r="X39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0.2225</v>
      </c>
      <c r="Y392" t="s">
        <v>1536</v>
      </c>
    </row>
    <row r="393" spans="1:25" hidden="1">
      <c r="A393" s="1">
        <v>45710.645833333336</v>
      </c>
      <c r="B393" s="1">
        <v>45710.645833333336</v>
      </c>
      <c r="D393" t="s">
        <v>354</v>
      </c>
      <c r="E393" t="s">
        <v>149</v>
      </c>
      <c r="F393" t="s">
        <v>147</v>
      </c>
      <c r="G393" t="s">
        <v>163</v>
      </c>
      <c r="I393" s="4">
        <v>35</v>
      </c>
      <c r="J393" s="4">
        <v>35</v>
      </c>
      <c r="L393" t="s">
        <v>252</v>
      </c>
      <c r="M393" t="s">
        <v>296</v>
      </c>
      <c r="N393" s="4">
        <f>IF(L393="","",IF(OR(Registro2[[#This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93" t="str">
        <f t="shared" si="6"/>
        <v>fev/25</v>
      </c>
      <c r="P393" t="str">
        <f>IF(Registro2[[#This Row],[Data de Pagamento]]&gt;0,TEXT(A393,"mmm/aa"),"")</f>
        <v>fev/25</v>
      </c>
      <c r="T393" s="4">
        <f>IF(Registro2[[#This Row],[Data de Pagamento]]="",0,IF(Registro2[[#This Row],[Conta Financeira]]=base!$A$6,0,Registro2[[#This Row],[Valor Unitário]]))</f>
        <v>35</v>
      </c>
      <c r="U3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93" t="str">
        <f>VLOOKUP(Registro2[[#This Row],[Categoria]],'Plano de Contas'!$V$3:W432,2,0)</f>
        <v>Receitas Serviços</v>
      </c>
      <c r="X39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393" t="s">
        <v>1536</v>
      </c>
    </row>
    <row r="394" spans="1:25" hidden="1">
      <c r="A394" s="1">
        <v>45710.666666666664</v>
      </c>
      <c r="B394" s="1">
        <v>45710.666666666664</v>
      </c>
      <c r="D394" t="s">
        <v>1</v>
      </c>
      <c r="E394" t="s">
        <v>149</v>
      </c>
      <c r="F394" t="s">
        <v>147</v>
      </c>
      <c r="G394" t="s">
        <v>163</v>
      </c>
      <c r="I394" s="4">
        <v>35</v>
      </c>
      <c r="J394" s="4">
        <v>35</v>
      </c>
      <c r="L394" t="s">
        <v>253</v>
      </c>
      <c r="M394" t="s">
        <v>390</v>
      </c>
      <c r="N394" s="4">
        <f>IF(L394="","",IF(OR(Registro2[[#This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94" t="str">
        <f t="shared" si="6"/>
        <v>fev/25</v>
      </c>
      <c r="P394" t="str">
        <f>IF(Registro2[[#This Row],[Data de Pagamento]]&gt;0,TEXT(A394,"mmm/aa"),"")</f>
        <v>fev/25</v>
      </c>
      <c r="T394" s="4">
        <f>IF(Registro2[[#This Row],[Data de Pagamento]]="",0,IF(Registro2[[#This Row],[Conta Financeira]]=base!$A$6,0,Registro2[[#This Row],[Valor Unitário]]))</f>
        <v>35</v>
      </c>
      <c r="U3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94" t="str">
        <f>VLOOKUP(Registro2[[#This Row],[Categoria]],'Plano de Contas'!$V$3:W429,2,0)</f>
        <v>Receitas Serviços</v>
      </c>
      <c r="X39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94" t="s">
        <v>1536</v>
      </c>
    </row>
    <row r="395" spans="1:25" hidden="1">
      <c r="A395" s="1">
        <v>45710.697916666664</v>
      </c>
      <c r="B395" s="1">
        <v>45710.697916666664</v>
      </c>
      <c r="D395" t="s">
        <v>354</v>
      </c>
      <c r="E395" t="s">
        <v>149</v>
      </c>
      <c r="F395" t="s">
        <v>147</v>
      </c>
      <c r="G395" t="s">
        <v>163</v>
      </c>
      <c r="I395" s="4">
        <v>35</v>
      </c>
      <c r="J395" s="4">
        <v>35</v>
      </c>
      <c r="L395" t="s">
        <v>252</v>
      </c>
      <c r="M395" t="s">
        <v>901</v>
      </c>
      <c r="N395" s="4">
        <f>IF(L395="","",IF(OR(Registro2[[#This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395" t="str">
        <f t="shared" si="6"/>
        <v>fev/25</v>
      </c>
      <c r="P395" t="str">
        <f>IF(Registro2[[#This Row],[Data de Pagamento]]&gt;0,TEXT(A395,"mmm/aa"),"")</f>
        <v>fev/25</v>
      </c>
      <c r="T395" s="4">
        <f>IF(Registro2[[#This Row],[Data de Pagamento]]="",0,IF(Registro2[[#This Row],[Conta Financeira]]=base!$A$6,0,Registro2[[#This Row],[Valor Unitário]]))</f>
        <v>35</v>
      </c>
      <c r="U3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95" t="str">
        <f>VLOOKUP(Registro2[[#This Row],[Categoria]],'Plano de Contas'!$V$3:W444,2,0)</f>
        <v>Receitas Serviços</v>
      </c>
      <c r="X39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395" t="s">
        <v>1536</v>
      </c>
    </row>
    <row r="396" spans="1:25" hidden="1">
      <c r="A396" s="1">
        <v>45710.697916666664</v>
      </c>
      <c r="B396" s="1">
        <v>45710.697916666664</v>
      </c>
      <c r="D396" t="s">
        <v>310</v>
      </c>
      <c r="E396" t="s">
        <v>149</v>
      </c>
      <c r="F396" t="s">
        <v>147</v>
      </c>
      <c r="G396" t="s">
        <v>161</v>
      </c>
      <c r="I396" s="4">
        <v>25</v>
      </c>
      <c r="J396" s="4">
        <v>40</v>
      </c>
      <c r="L396" t="s">
        <v>253</v>
      </c>
      <c r="M396" t="s">
        <v>376</v>
      </c>
      <c r="N396" s="4">
        <f>IF(L396="","",IF(OR(Registro2[[#This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396" t="str">
        <f t="shared" si="6"/>
        <v>fev/25</v>
      </c>
      <c r="P396" t="str">
        <f>IF(Registro2[[#This Row],[Data de Pagamento]]&gt;0,TEXT(A396,"mmm/aa"),"")</f>
        <v>fev/25</v>
      </c>
      <c r="T396" s="4">
        <f>IF(Registro2[[#This Row],[Data de Pagamento]]="",0,IF(Registro2[[#This Row],[Conta Financeira]]=base!$A$6,0,Registro2[[#This Row],[Valor Unitário]]))</f>
        <v>25</v>
      </c>
      <c r="U3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96" t="str">
        <f>VLOOKUP(Registro2[[#This Row],[Categoria]],'Plano de Contas'!$V$3:W445,2,0)</f>
        <v>Receitas Serviços</v>
      </c>
      <c r="X39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0.2225</v>
      </c>
      <c r="Y396" t="s">
        <v>1536</v>
      </c>
    </row>
    <row r="397" spans="1:25" hidden="1">
      <c r="A397" s="1">
        <v>45710.697916666664</v>
      </c>
      <c r="B397" s="1">
        <v>45710.697916666664</v>
      </c>
      <c r="D397" t="s">
        <v>310</v>
      </c>
      <c r="E397" t="s">
        <v>149</v>
      </c>
      <c r="F397" t="s">
        <v>152</v>
      </c>
      <c r="G397" t="s">
        <v>352</v>
      </c>
      <c r="I397" s="4">
        <v>15</v>
      </c>
      <c r="J397" s="4"/>
      <c r="L397" t="s">
        <v>253</v>
      </c>
      <c r="M397" t="s">
        <v>376</v>
      </c>
      <c r="N397" s="4">
        <f>IF(L397="","",IF(OR(Registro2[[#This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397" t="str">
        <f t="shared" si="6"/>
        <v>fev/25</v>
      </c>
      <c r="P397" t="str">
        <f>IF(Registro2[[#This Row],[Data de Pagamento]]&gt;0,TEXT(A397,"mmm/aa"),"")</f>
        <v>fev/25</v>
      </c>
      <c r="T397" s="4">
        <f>IF(Registro2[[#This Row],[Data de Pagamento]]="",0,IF(Registro2[[#This Row],[Conta Financeira]]=base!$A$6,0,Registro2[[#This Row],[Valor Unitário]]))</f>
        <v>15</v>
      </c>
      <c r="U3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97" t="str">
        <f>VLOOKUP(Registro2[[#This Row],[Categoria]],'Plano de Contas'!$V$3:W446,2,0)</f>
        <v>Receitas Serviços</v>
      </c>
      <c r="X39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  <c r="Y397" t="s">
        <v>1536</v>
      </c>
    </row>
    <row r="398" spans="1:25" hidden="1">
      <c r="A398" s="1">
        <v>45710.708333333336</v>
      </c>
      <c r="B398" s="1">
        <v>45710.708333333336</v>
      </c>
      <c r="D398" t="s">
        <v>1</v>
      </c>
      <c r="E398" t="s">
        <v>149</v>
      </c>
      <c r="F398" t="s">
        <v>152</v>
      </c>
      <c r="G398" t="s">
        <v>353</v>
      </c>
      <c r="I398" s="4">
        <v>48.33</v>
      </c>
      <c r="J398" s="4">
        <v>62</v>
      </c>
      <c r="L398" t="s">
        <v>253</v>
      </c>
      <c r="M398" t="s">
        <v>182</v>
      </c>
      <c r="N398" s="4">
        <f>IF(L398="","",IF(OR(Registro2[[#This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21.7485</v>
      </c>
      <c r="O398" t="str">
        <f t="shared" si="6"/>
        <v>fev/25</v>
      </c>
      <c r="P398" t="str">
        <f>IF(Registro2[[#This Row],[Data de Pagamento]]&gt;0,TEXT(A398,"mmm/aa"),"")</f>
        <v>fev/25</v>
      </c>
      <c r="T398" s="4">
        <f>IF(Registro2[[#This Row],[Data de Pagamento]]="",0,IF(Registro2[[#This Row],[Conta Financeira]]=base!$A$6,0,Registro2[[#This Row],[Valor Unitário]]))</f>
        <v>48.33</v>
      </c>
      <c r="U3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98" t="str">
        <f>VLOOKUP(Registro2[[#This Row],[Categoria]],'Plano de Contas'!$V$3:W438,2,0)</f>
        <v>Receitas Serviços</v>
      </c>
      <c r="X39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98" t="s">
        <v>1536</v>
      </c>
    </row>
    <row r="399" spans="1:25" hidden="1">
      <c r="A399" s="1">
        <v>45710.708333333336</v>
      </c>
      <c r="B399" s="1">
        <v>45710.708333333336</v>
      </c>
      <c r="D399" t="s">
        <v>1</v>
      </c>
      <c r="E399" t="s">
        <v>149</v>
      </c>
      <c r="F399" t="s">
        <v>150</v>
      </c>
      <c r="G399" t="s">
        <v>512</v>
      </c>
      <c r="I399" s="4">
        <v>40</v>
      </c>
      <c r="J399" s="4"/>
      <c r="L399" t="s">
        <v>253</v>
      </c>
      <c r="M399" t="s">
        <v>182</v>
      </c>
      <c r="N399" s="4">
        <f>IF(L399="","",IF(OR(Registro2[[#This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399" t="str">
        <f t="shared" si="6"/>
        <v>fev/25</v>
      </c>
      <c r="P399" t="str">
        <f>IF(Registro2[[#This Row],[Data de Pagamento]]&gt;0,TEXT(A399,"mmm/aa"),"")</f>
        <v>fev/25</v>
      </c>
      <c r="T399" s="4">
        <f>IF(Registro2[[#This Row],[Data de Pagamento]]="",0,IF(Registro2[[#This Row],[Conta Financeira]]=base!$A$6,0,Registro2[[#This Row],[Valor Unitário]]))</f>
        <v>40</v>
      </c>
      <c r="U3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399" t="str">
        <f>VLOOKUP(Registro2[[#This Row],[Categoria]],'Plano de Contas'!$V$3:W439,2,0)</f>
        <v>Receitas Produtos</v>
      </c>
      <c r="X39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399" t="s">
        <v>1536</v>
      </c>
    </row>
    <row r="400" spans="1:25" hidden="1">
      <c r="A400" s="1">
        <v>45710.708333333336</v>
      </c>
      <c r="B400" s="1">
        <v>45710.708333333336</v>
      </c>
      <c r="D400" t="s">
        <v>1</v>
      </c>
      <c r="E400" t="s">
        <v>149</v>
      </c>
      <c r="F400" t="s">
        <v>150</v>
      </c>
      <c r="G400" t="s">
        <v>507</v>
      </c>
      <c r="I400" s="4">
        <v>22</v>
      </c>
      <c r="J400" s="4"/>
      <c r="L400" t="s">
        <v>253</v>
      </c>
      <c r="M400" t="s">
        <v>182</v>
      </c>
      <c r="N400" s="4">
        <f>IF(L400="","",IF(OR(Registro2[[#This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8.8000000000000007</v>
      </c>
      <c r="O400" t="str">
        <f t="shared" si="6"/>
        <v>fev/25</v>
      </c>
      <c r="P400" t="str">
        <f>IF(Registro2[[#This Row],[Data de Pagamento]]&gt;0,TEXT(A400,"mmm/aa"),"")</f>
        <v>fev/25</v>
      </c>
      <c r="T400" s="4">
        <f>IF(Registro2[[#This Row],[Data de Pagamento]]="",0,IF(Registro2[[#This Row],[Conta Financeira]]=base!$A$6,0,Registro2[[#This Row],[Valor Unitário]]))</f>
        <v>22</v>
      </c>
      <c r="U4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00" t="str">
        <f>VLOOKUP(Registro2[[#This Row],[Categoria]],'Plano de Contas'!$V$3:W440,2,0)</f>
        <v>Receitas Produtos</v>
      </c>
      <c r="X40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00" t="s">
        <v>1536</v>
      </c>
    </row>
    <row r="401" spans="1:25" hidden="1">
      <c r="A401" s="1">
        <v>45710.729166666664</v>
      </c>
      <c r="B401" s="1">
        <v>45710.729166666664</v>
      </c>
      <c r="D401" t="s">
        <v>1</v>
      </c>
      <c r="E401" t="s">
        <v>149</v>
      </c>
      <c r="F401" t="s">
        <v>152</v>
      </c>
      <c r="G401" t="s">
        <v>353</v>
      </c>
      <c r="I401" s="4">
        <v>55</v>
      </c>
      <c r="J401" s="4">
        <v>55</v>
      </c>
      <c r="L401" t="s">
        <v>253</v>
      </c>
      <c r="M401" t="s">
        <v>906</v>
      </c>
      <c r="N401" s="4">
        <f>IF(L401="","",IF(OR(Registro2[[#This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401" t="str">
        <f t="shared" si="6"/>
        <v>fev/25</v>
      </c>
      <c r="P401" t="str">
        <f>IF(Registro2[[#This Row],[Data de Pagamento]]&gt;0,TEXT(A401,"mmm/aa"),"")</f>
        <v>fev/25</v>
      </c>
      <c r="T401" s="4">
        <f>IF(Registro2[[#This Row],[Data de Pagamento]]="",0,IF(Registro2[[#This Row],[Conta Financeira]]=base!$A$6,0,Registro2[[#This Row],[Valor Unitário]]))</f>
        <v>55</v>
      </c>
      <c r="U4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01" t="str">
        <f>VLOOKUP(Registro2[[#This Row],[Categoria]],'Plano de Contas'!$V$3:W448,2,0)</f>
        <v>Receitas Serviços</v>
      </c>
      <c r="X40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01" t="s">
        <v>1536</v>
      </c>
    </row>
    <row r="402" spans="1:25" hidden="1">
      <c r="A402" s="1">
        <v>45710.739583333336</v>
      </c>
      <c r="B402" s="1">
        <v>45710.739583333336</v>
      </c>
      <c r="D402" t="s">
        <v>1</v>
      </c>
      <c r="E402" t="s">
        <v>149</v>
      </c>
      <c r="F402" t="s">
        <v>147</v>
      </c>
      <c r="G402" t="s">
        <v>163</v>
      </c>
      <c r="I402" s="4">
        <v>35</v>
      </c>
      <c r="J402" s="4">
        <v>35</v>
      </c>
      <c r="L402" t="s">
        <v>253</v>
      </c>
      <c r="M402" t="s">
        <v>53</v>
      </c>
      <c r="N402" s="4">
        <f>IF(L402="","",IF(OR(Registro2[[#This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02" t="str">
        <f t="shared" si="6"/>
        <v>fev/25</v>
      </c>
      <c r="P402" t="str">
        <f>IF(Registro2[[#This Row],[Data de Pagamento]]&gt;0,TEXT(A402,"mmm/aa"),"")</f>
        <v>fev/25</v>
      </c>
      <c r="T402" s="4">
        <f>IF(Registro2[[#This Row],[Data de Pagamento]]="",0,IF(Registro2[[#This Row],[Conta Financeira]]=base!$A$6,0,Registro2[[#This Row],[Valor Unitário]]))</f>
        <v>35</v>
      </c>
      <c r="U4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02" t="str">
        <f>VLOOKUP(Registro2[[#This Row],[Categoria]],'Plano de Contas'!$V$3:W442,2,0)</f>
        <v>Receitas Serviços</v>
      </c>
      <c r="X40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02" t="s">
        <v>1536</v>
      </c>
    </row>
    <row r="403" spans="1:25" hidden="1">
      <c r="A403" s="1">
        <v>45710.739583333336</v>
      </c>
      <c r="B403" s="1">
        <v>45710.739583333336</v>
      </c>
      <c r="D403" t="s">
        <v>354</v>
      </c>
      <c r="E403" t="s">
        <v>149</v>
      </c>
      <c r="F403" t="s">
        <v>152</v>
      </c>
      <c r="G403" t="s">
        <v>353</v>
      </c>
      <c r="I403" s="4">
        <v>55</v>
      </c>
      <c r="J403" s="4">
        <v>55</v>
      </c>
      <c r="L403" t="s">
        <v>252</v>
      </c>
      <c r="M403" t="s">
        <v>904</v>
      </c>
      <c r="N403" s="4">
        <f>IF(L403="","",IF(OR(Registro2[[#This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403" t="str">
        <f t="shared" si="6"/>
        <v>fev/25</v>
      </c>
      <c r="P403" t="str">
        <f>IF(Registro2[[#This Row],[Data de Pagamento]]&gt;0,TEXT(A403,"mmm/aa"),"")</f>
        <v>fev/25</v>
      </c>
      <c r="T403" s="4">
        <f>IF(Registro2[[#This Row],[Data de Pagamento]]="",0,IF(Registro2[[#This Row],[Conta Financeira]]=base!$A$6,0,Registro2[[#This Row],[Valor Unitário]]))</f>
        <v>55</v>
      </c>
      <c r="U4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03" t="str">
        <f>VLOOKUP(Registro2[[#This Row],[Categoria]],'Plano de Contas'!$V$3:W447,2,0)</f>
        <v>Receitas Serviços</v>
      </c>
      <c r="X40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1.7324999999999999</v>
      </c>
      <c r="Y403" t="s">
        <v>1536</v>
      </c>
    </row>
    <row r="404" spans="1:25" hidden="1">
      <c r="A404" s="1">
        <v>45710.760416666664</v>
      </c>
      <c r="B404" s="1">
        <v>45710.760416666664</v>
      </c>
      <c r="D404" t="s">
        <v>1</v>
      </c>
      <c r="E404" t="s">
        <v>149</v>
      </c>
      <c r="F404" t="s">
        <v>152</v>
      </c>
      <c r="G404" t="s">
        <v>159</v>
      </c>
      <c r="I404" s="4">
        <v>40</v>
      </c>
      <c r="J404" s="4">
        <v>40</v>
      </c>
      <c r="L404" t="s">
        <v>253</v>
      </c>
      <c r="M404" t="s">
        <v>28</v>
      </c>
      <c r="N404" s="4">
        <f>IF(L404="","",IF(OR(Registro2[[#This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404" t="str">
        <f t="shared" si="6"/>
        <v>fev/25</v>
      </c>
      <c r="P404" t="str">
        <f>IF(Registro2[[#This Row],[Data de Pagamento]]&gt;0,TEXT(A404,"mmm/aa"),"")</f>
        <v>fev/25</v>
      </c>
      <c r="T404" s="4">
        <f>IF(Registro2[[#This Row],[Data de Pagamento]]="",0,IF(Registro2[[#This Row],[Conta Financeira]]=base!$A$6,0,Registro2[[#This Row],[Valor Unitário]]))</f>
        <v>40</v>
      </c>
      <c r="U4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04" t="str">
        <f>VLOOKUP(Registro2[[#This Row],[Categoria]],'Plano de Contas'!$V$3:W443,2,0)</f>
        <v>Receitas Serviços</v>
      </c>
      <c r="X4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04" t="s">
        <v>1536</v>
      </c>
    </row>
    <row r="405" spans="1:25" hidden="1">
      <c r="A405" s="1">
        <v>45710.78125</v>
      </c>
      <c r="B405" s="1">
        <v>45710.78125</v>
      </c>
      <c r="D405" t="s">
        <v>354</v>
      </c>
      <c r="E405" t="s">
        <v>149</v>
      </c>
      <c r="F405" t="s">
        <v>152</v>
      </c>
      <c r="G405" t="s">
        <v>353</v>
      </c>
      <c r="I405" s="4">
        <v>55</v>
      </c>
      <c r="J405" s="4">
        <v>55</v>
      </c>
      <c r="L405" t="s">
        <v>252</v>
      </c>
      <c r="M405" t="s">
        <v>908</v>
      </c>
      <c r="N405" s="4">
        <f>IF(L405="","",IF(OR(Registro2[[#This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405" t="str">
        <f t="shared" si="6"/>
        <v>fev/25</v>
      </c>
      <c r="P405" t="str">
        <f>IF(Registro2[[#This Row],[Data de Pagamento]]&gt;0,TEXT(A405,"mmm/aa"),"")</f>
        <v>fev/25</v>
      </c>
      <c r="T405" s="4">
        <f>IF(Registro2[[#This Row],[Data de Pagamento]]="",0,IF(Registro2[[#This Row],[Conta Financeira]]=base!$A$6,0,Registro2[[#This Row],[Valor Unitário]]))</f>
        <v>55</v>
      </c>
      <c r="U4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05" t="str">
        <f>VLOOKUP(Registro2[[#This Row],[Categoria]],'Plano de Contas'!$V$3:W449,2,0)</f>
        <v>Receitas Serviços</v>
      </c>
      <c r="X40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1.7324999999999999</v>
      </c>
      <c r="Y405" t="s">
        <v>1536</v>
      </c>
    </row>
    <row r="406" spans="1:25" hidden="1">
      <c r="A406" s="1">
        <v>45710.864583333336</v>
      </c>
      <c r="B406" s="1">
        <v>45710.864583333336</v>
      </c>
      <c r="D406" t="s">
        <v>1</v>
      </c>
      <c r="E406" t="s">
        <v>149</v>
      </c>
      <c r="F406" t="s">
        <v>147</v>
      </c>
      <c r="G406" t="s">
        <v>161</v>
      </c>
      <c r="I406" s="4">
        <v>20</v>
      </c>
      <c r="J406" s="4">
        <v>25</v>
      </c>
      <c r="L406" t="s">
        <v>252</v>
      </c>
      <c r="M406" t="s">
        <v>489</v>
      </c>
      <c r="N406" s="4">
        <f>IF(L406="","",IF(OR(Registro2[[#This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406" t="str">
        <f t="shared" si="6"/>
        <v>fev/25</v>
      </c>
      <c r="P406" t="str">
        <f>IF(Registro2[[#This Row],[Data de Pagamento]]&gt;0,TEXT(A406,"mmm/aa"),"")</f>
        <v>fev/25</v>
      </c>
      <c r="T406" s="4">
        <f>IF(Registro2[[#This Row],[Data de Pagamento]]="",0,IF(Registro2[[#This Row],[Conta Financeira]]=base!$A$6,0,Registro2[[#This Row],[Valor Unitário]]))</f>
        <v>20</v>
      </c>
      <c r="U4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06" t="str">
        <f>VLOOKUP(Registro2[[#This Row],[Categoria]],'Plano de Contas'!$V$3:W450,2,0)</f>
        <v>Receitas Serviços</v>
      </c>
      <c r="X40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06" t="s">
        <v>1536</v>
      </c>
    </row>
    <row r="407" spans="1:25" hidden="1">
      <c r="A407" s="1">
        <v>45710.864583333336</v>
      </c>
      <c r="B407" s="1">
        <v>45710.864583333336</v>
      </c>
      <c r="D407" t="s">
        <v>1</v>
      </c>
      <c r="E407" t="s">
        <v>149</v>
      </c>
      <c r="F407" t="s">
        <v>910</v>
      </c>
      <c r="G407" t="s">
        <v>910</v>
      </c>
      <c r="I407" s="4">
        <v>5</v>
      </c>
      <c r="J407" s="4"/>
      <c r="L407" t="s">
        <v>252</v>
      </c>
      <c r="M407" t="s">
        <v>489</v>
      </c>
      <c r="N407" s="4" t="str">
        <f>IF(L407="","",IF(OR(Registro2[[#This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407" t="str">
        <f t="shared" si="6"/>
        <v>fev/25</v>
      </c>
      <c r="P407" t="str">
        <f>IF(Registro2[[#This Row],[Data de Pagamento]]&gt;0,TEXT(A407,"mmm/aa"),"")</f>
        <v>fev/25</v>
      </c>
      <c r="T407" s="4">
        <f>IF(Registro2[[#This Row],[Data de Pagamento]]="",0,IF(Registro2[[#This Row],[Conta Financeira]]=base!$A$6,0,Registro2[[#This Row],[Valor Unitário]]))</f>
        <v>5</v>
      </c>
      <c r="U4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07" t="str">
        <f>VLOOKUP(Registro2[[#This Row],[Categoria]],'Plano de Contas'!$V$3:W451,2,0)</f>
        <v>Outras Receitas</v>
      </c>
      <c r="X40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07" t="s">
        <v>1536</v>
      </c>
    </row>
    <row r="408" spans="1:25" hidden="1">
      <c r="A408" s="1">
        <v>45710.864583333336</v>
      </c>
      <c r="B408" s="1">
        <v>45710.864583333336</v>
      </c>
      <c r="D408" t="s">
        <v>1</v>
      </c>
      <c r="E408" t="s">
        <v>149</v>
      </c>
      <c r="F408" t="s">
        <v>152</v>
      </c>
      <c r="G408" t="s">
        <v>159</v>
      </c>
      <c r="I408" s="4">
        <v>40</v>
      </c>
      <c r="J408" s="4">
        <v>40</v>
      </c>
      <c r="L408" t="s">
        <v>253</v>
      </c>
      <c r="M408" t="s">
        <v>912</v>
      </c>
      <c r="N408" s="4">
        <f>IF(L408="","",IF(OR(Registro2[[#This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408" t="str">
        <f t="shared" si="6"/>
        <v>fev/25</v>
      </c>
      <c r="P408" t="str">
        <f>IF(Registro2[[#This Row],[Data de Pagamento]]&gt;0,TEXT(A408,"mmm/aa"),"")</f>
        <v>fev/25</v>
      </c>
      <c r="T408" s="4">
        <f>IF(Registro2[[#This Row],[Data de Pagamento]]="",0,IF(Registro2[[#This Row],[Conta Financeira]]=base!$A$6,0,Registro2[[#This Row],[Valor Unitário]]))</f>
        <v>40</v>
      </c>
      <c r="U4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08" t="str">
        <f>VLOOKUP(Registro2[[#This Row],[Categoria]],'Plano de Contas'!$V$3:W452,2,0)</f>
        <v>Receitas Serviços</v>
      </c>
      <c r="X40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08" t="s">
        <v>1536</v>
      </c>
    </row>
    <row r="409" spans="1:25" hidden="1">
      <c r="A409" s="1">
        <v>45710.875</v>
      </c>
      <c r="B409" s="1">
        <v>45710.875</v>
      </c>
      <c r="D409" t="s">
        <v>2</v>
      </c>
      <c r="E409" t="s">
        <v>149</v>
      </c>
      <c r="F409" t="s">
        <v>147</v>
      </c>
      <c r="G409" t="s">
        <v>163</v>
      </c>
      <c r="I409" s="4">
        <v>35</v>
      </c>
      <c r="J409" s="4">
        <v>20</v>
      </c>
      <c r="L409" t="s">
        <v>252</v>
      </c>
      <c r="M409" t="s">
        <v>914</v>
      </c>
      <c r="N409" s="4">
        <f>IF(L409="","",IF(OR(Registro2[[#This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09" t="str">
        <f t="shared" si="6"/>
        <v>fev/25</v>
      </c>
      <c r="P409" t="str">
        <f>IF(Registro2[[#This Row],[Data de Pagamento]]&gt;0,TEXT(A409,"mmm/aa"),"")</f>
        <v>fev/25</v>
      </c>
      <c r="T409" s="4">
        <f>IF(Registro2[[#This Row],[Data de Pagamento]]="",0,IF(Registro2[[#This Row],[Conta Financeira]]=base!$A$6,0,Registro2[[#This Row],[Valor Unitário]]))</f>
        <v>35</v>
      </c>
      <c r="U4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09" t="str">
        <f>VLOOKUP(Registro2[[#This Row],[Categoria]],'Plano de Contas'!$V$3:W453,2,0)</f>
        <v>Receitas Serviços</v>
      </c>
      <c r="X40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09" t="s">
        <v>1536</v>
      </c>
    </row>
    <row r="410" spans="1:25" hidden="1">
      <c r="A410" s="1">
        <v>45710.875</v>
      </c>
      <c r="B410" s="1">
        <v>45710.875</v>
      </c>
      <c r="D410" t="s">
        <v>1</v>
      </c>
      <c r="E410" t="s">
        <v>149</v>
      </c>
      <c r="F410" t="s">
        <v>147</v>
      </c>
      <c r="G410" t="s">
        <v>161</v>
      </c>
      <c r="I410" s="4">
        <v>20</v>
      </c>
      <c r="J410" s="4">
        <v>30</v>
      </c>
      <c r="L410" t="s">
        <v>252</v>
      </c>
      <c r="M410" t="s">
        <v>211</v>
      </c>
      <c r="N410" s="4">
        <f>IF(L410="","",IF(OR(Registro2[[#This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410" t="str">
        <f t="shared" si="6"/>
        <v>fev/25</v>
      </c>
      <c r="P410" t="str">
        <f>IF(Registro2[[#This Row],[Data de Pagamento]]&gt;0,TEXT(A410,"mmm/aa"),"")</f>
        <v>fev/25</v>
      </c>
      <c r="T410" s="4">
        <f>IF(Registro2[[#This Row],[Data de Pagamento]]="",0,IF(Registro2[[#This Row],[Conta Financeira]]=base!$A$6,0,Registro2[[#This Row],[Valor Unitário]]))</f>
        <v>20</v>
      </c>
      <c r="U4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10" t="str">
        <f>VLOOKUP(Registro2[[#This Row],[Categoria]],'Plano de Contas'!$V$3:W454,2,0)</f>
        <v>Receitas Serviços</v>
      </c>
      <c r="X41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10" t="s">
        <v>1536</v>
      </c>
    </row>
    <row r="411" spans="1:25" hidden="1">
      <c r="A411" s="1">
        <v>45710.899305555555</v>
      </c>
      <c r="B411" s="1">
        <v>45710.899305555555</v>
      </c>
      <c r="D411" t="s">
        <v>1</v>
      </c>
      <c r="E411" t="s">
        <v>149</v>
      </c>
      <c r="F411" t="s">
        <v>147</v>
      </c>
      <c r="G411" t="s">
        <v>163</v>
      </c>
      <c r="I411" s="4">
        <v>30</v>
      </c>
      <c r="J411" s="4">
        <v>0</v>
      </c>
      <c r="L411" t="s">
        <v>253</v>
      </c>
      <c r="M411" t="s">
        <v>95</v>
      </c>
      <c r="N411" s="4">
        <f>IF(L411="","",IF(OR(Registro2[[#This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411" t="str">
        <f t="shared" si="6"/>
        <v>fev/25</v>
      </c>
      <c r="P411" t="str">
        <f>IF(Registro2[[#This Row],[Data de Pagamento]]&gt;0,TEXT(A411,"mmm/aa"),"")</f>
        <v>fev/25</v>
      </c>
      <c r="T411" s="4">
        <f>IF(Registro2[[#This Row],[Data de Pagamento]]="",0,IF(Registro2[[#This Row],[Conta Financeira]]=base!$A$6,0,Registro2[[#This Row],[Valor Unitário]]))</f>
        <v>30</v>
      </c>
      <c r="U4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411" t="str">
        <f>VLOOKUP(Registro2[[#This Row],[Categoria]],'Plano de Contas'!$V$3:W455,2,0)</f>
        <v>Receitas Serviços</v>
      </c>
      <c r="X4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11" t="s">
        <v>1536</v>
      </c>
    </row>
    <row r="412" spans="1:25" hidden="1">
      <c r="A412" s="1">
        <v>45710.913194444445</v>
      </c>
      <c r="B412" s="1">
        <v>45710.913194444445</v>
      </c>
      <c r="D412" t="s">
        <v>1</v>
      </c>
      <c r="E412" t="s">
        <v>149</v>
      </c>
      <c r="F412" t="s">
        <v>147</v>
      </c>
      <c r="G412" t="s">
        <v>163</v>
      </c>
      <c r="I412" s="4">
        <v>35</v>
      </c>
      <c r="J412" s="4">
        <v>35</v>
      </c>
      <c r="L412" t="s">
        <v>253</v>
      </c>
      <c r="M412" t="s">
        <v>918</v>
      </c>
      <c r="N412" s="4">
        <f>IF(L412="","",IF(OR(Registro2[[#This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12" t="str">
        <f t="shared" si="6"/>
        <v>fev/25</v>
      </c>
      <c r="P412" t="str">
        <f>IF(Registro2[[#This Row],[Data de Pagamento]]&gt;0,TEXT(A412,"mmm/aa"),"")</f>
        <v>fev/25</v>
      </c>
      <c r="T412" s="4">
        <f>IF(Registro2[[#This Row],[Data de Pagamento]]="",0,IF(Registro2[[#This Row],[Conta Financeira]]=base!$A$6,0,Registro2[[#This Row],[Valor Unitário]]))</f>
        <v>35</v>
      </c>
      <c r="U4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12" t="str">
        <f>VLOOKUP(Registro2[[#This Row],[Categoria]],'Plano de Contas'!$V$3:W456,2,0)</f>
        <v>Receitas Serviços</v>
      </c>
      <c r="X41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12" t="s">
        <v>1536</v>
      </c>
    </row>
    <row r="413" spans="1:25" hidden="1">
      <c r="A413" s="1">
        <v>45710.923611111109</v>
      </c>
      <c r="B413" s="1">
        <v>45710.923611111109</v>
      </c>
      <c r="D413" t="s">
        <v>1</v>
      </c>
      <c r="E413" t="s">
        <v>149</v>
      </c>
      <c r="F413" t="s">
        <v>152</v>
      </c>
      <c r="G413" t="s">
        <v>159</v>
      </c>
      <c r="I413" s="4">
        <v>40</v>
      </c>
      <c r="J413" s="4">
        <v>40</v>
      </c>
      <c r="L413" t="s">
        <v>253</v>
      </c>
      <c r="M413" t="s">
        <v>920</v>
      </c>
      <c r="N413" s="4">
        <f>IF(L413="","",IF(OR(Registro2[[#This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413" t="str">
        <f t="shared" si="6"/>
        <v>fev/25</v>
      </c>
      <c r="P413" t="str">
        <f>IF(Registro2[[#This Row],[Data de Pagamento]]&gt;0,TEXT(A413,"mmm/aa"),"")</f>
        <v>fev/25</v>
      </c>
      <c r="T413" s="4">
        <f>IF(Registro2[[#This Row],[Data de Pagamento]]="",0,IF(Registro2[[#This Row],[Conta Financeira]]=base!$A$6,0,Registro2[[#This Row],[Valor Unitário]]))</f>
        <v>40</v>
      </c>
      <c r="U4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13" t="str">
        <f>VLOOKUP(Registro2[[#This Row],[Categoria]],'Plano de Contas'!$V$3:W457,2,0)</f>
        <v>Receitas Serviços</v>
      </c>
      <c r="X41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13" t="s">
        <v>1536</v>
      </c>
    </row>
    <row r="414" spans="1:25" hidden="1">
      <c r="A414" s="1">
        <v>45712.416666666664</v>
      </c>
      <c r="B414" s="1">
        <v>45712.416666666664</v>
      </c>
      <c r="D414" t="s">
        <v>2</v>
      </c>
      <c r="E414" t="s">
        <v>149</v>
      </c>
      <c r="F414" t="s">
        <v>147</v>
      </c>
      <c r="G414" t="s">
        <v>163</v>
      </c>
      <c r="I414" s="4">
        <v>35</v>
      </c>
      <c r="J414" s="4">
        <v>35</v>
      </c>
      <c r="L414" t="s">
        <v>253</v>
      </c>
      <c r="M414" t="s">
        <v>288</v>
      </c>
      <c r="N414" s="4">
        <f>IF(L414="","",IF(OR(Registro2[[#This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14" t="str">
        <f t="shared" si="6"/>
        <v>fev/25</v>
      </c>
      <c r="P414" t="str">
        <f>IF(Registro2[[#This Row],[Data de Pagamento]]&gt;0,TEXT(A414,"mmm/aa"),"")</f>
        <v>fev/25</v>
      </c>
      <c r="T414" s="4">
        <f>IF(Registro2[[#This Row],[Data de Pagamento]]="",0,IF(Registro2[[#This Row],[Conta Financeira]]=base!$A$6,0,Registro2[[#This Row],[Valor Unitário]]))</f>
        <v>35</v>
      </c>
      <c r="U4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14" t="str">
        <f>VLOOKUP(Registro2[[#This Row],[Categoria]],'Plano de Contas'!$V$3:W458,2,0)</f>
        <v>Receitas Serviços</v>
      </c>
      <c r="X41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14" t="s">
        <v>1536</v>
      </c>
    </row>
    <row r="415" spans="1:25" hidden="1">
      <c r="A415" s="1">
        <v>45712.416666666664</v>
      </c>
      <c r="B415" s="1">
        <v>45712.416666666664</v>
      </c>
      <c r="D415" t="s">
        <v>1</v>
      </c>
      <c r="E415" t="s">
        <v>149</v>
      </c>
      <c r="F415" t="s">
        <v>147</v>
      </c>
      <c r="G415" t="s">
        <v>163</v>
      </c>
      <c r="I415" s="4">
        <v>35</v>
      </c>
      <c r="J415" s="4">
        <v>35</v>
      </c>
      <c r="L415" t="s">
        <v>252</v>
      </c>
      <c r="M415" t="s">
        <v>189</v>
      </c>
      <c r="N415" s="4">
        <f>IF(L415="","",IF(OR(Registro2[[#This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15" t="str">
        <f t="shared" si="6"/>
        <v>fev/25</v>
      </c>
      <c r="P415" t="str">
        <f>IF(Registro2[[#This Row],[Data de Pagamento]]&gt;0,TEXT(A415,"mmm/aa"),"")</f>
        <v>fev/25</v>
      </c>
      <c r="T415" s="4">
        <f>IF(Registro2[[#This Row],[Data de Pagamento]]="",0,IF(Registro2[[#This Row],[Conta Financeira]]=base!$A$6,0,Registro2[[#This Row],[Valor Unitário]]))</f>
        <v>35</v>
      </c>
      <c r="U4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15" t="str">
        <f>VLOOKUP(Registro2[[#This Row],[Categoria]],'Plano de Contas'!$V$3:W461,2,0)</f>
        <v>Receitas Serviços</v>
      </c>
      <c r="X41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15" t="s">
        <v>1536</v>
      </c>
    </row>
    <row r="416" spans="1:25" hidden="1">
      <c r="A416" s="1">
        <v>45712.427083333336</v>
      </c>
      <c r="B416" s="1">
        <v>45712.427083333336</v>
      </c>
      <c r="D416" t="s">
        <v>354</v>
      </c>
      <c r="E416" t="s">
        <v>149</v>
      </c>
      <c r="F416" t="s">
        <v>147</v>
      </c>
      <c r="G416" t="s">
        <v>163</v>
      </c>
      <c r="I416" s="4">
        <v>35</v>
      </c>
      <c r="J416" s="4">
        <v>35</v>
      </c>
      <c r="L416" t="s">
        <v>264</v>
      </c>
      <c r="M416" t="s">
        <v>928</v>
      </c>
      <c r="N416" s="4">
        <f>IF(L416="","",IF(OR(Registro2[[#This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16" t="str">
        <f t="shared" si="6"/>
        <v>fev/25</v>
      </c>
      <c r="P416" t="str">
        <f>IF(Registro2[[#This Row],[Data de Pagamento]]&gt;0,TEXT(A416,"mmm/aa"),"")</f>
        <v>fev/25</v>
      </c>
      <c r="T416" s="4">
        <f>IF(Registro2[[#This Row],[Data de Pagamento]]="",0,IF(Registro2[[#This Row],[Conta Financeira]]=base!$A$6,0,Registro2[[#This Row],[Valor Unitário]]))</f>
        <v>35</v>
      </c>
      <c r="U4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16" t="str">
        <f>VLOOKUP(Registro2[[#This Row],[Categoria]],'Plano de Contas'!$V$3:W465,2,0)</f>
        <v>Receitas Serviços</v>
      </c>
      <c r="X41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416" t="s">
        <v>1536</v>
      </c>
    </row>
    <row r="417" spans="1:25" hidden="1">
      <c r="A417" s="1">
        <v>45712.4375</v>
      </c>
      <c r="B417" s="1">
        <v>45712.4375</v>
      </c>
      <c r="D417" t="s">
        <v>1</v>
      </c>
      <c r="E417" t="s">
        <v>149</v>
      </c>
      <c r="F417" t="s">
        <v>152</v>
      </c>
      <c r="G417" t="s">
        <v>353</v>
      </c>
      <c r="I417" s="4">
        <v>55</v>
      </c>
      <c r="J417" s="4">
        <v>70</v>
      </c>
      <c r="L417" t="s">
        <v>253</v>
      </c>
      <c r="M417" t="s">
        <v>190</v>
      </c>
      <c r="N417" s="4">
        <f>IF(L417="","",IF(OR(Registro2[[#This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417" t="str">
        <f t="shared" si="6"/>
        <v>fev/25</v>
      </c>
      <c r="P417" t="str">
        <f>IF(Registro2[[#This Row],[Data de Pagamento]]&gt;0,TEXT(A417,"mmm/aa"),"")</f>
        <v>fev/25</v>
      </c>
      <c r="T417" s="4">
        <f>IF(Registro2[[#This Row],[Data de Pagamento]]="",0,IF(Registro2[[#This Row],[Conta Financeira]]=base!$A$6,0,Registro2[[#This Row],[Valor Unitário]]))</f>
        <v>55</v>
      </c>
      <c r="U4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17" t="str">
        <f>VLOOKUP(Registro2[[#This Row],[Categoria]],'Plano de Contas'!$V$3:W462,2,0)</f>
        <v>Receitas Serviços</v>
      </c>
      <c r="X41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17" t="s">
        <v>1536</v>
      </c>
    </row>
    <row r="418" spans="1:25" hidden="1">
      <c r="A418" s="1">
        <v>45712.4375</v>
      </c>
      <c r="B418" s="1">
        <v>45712.4375</v>
      </c>
      <c r="D418" t="s">
        <v>1</v>
      </c>
      <c r="E418" t="s">
        <v>149</v>
      </c>
      <c r="F418" t="s">
        <v>152</v>
      </c>
      <c r="G418" t="s">
        <v>352</v>
      </c>
      <c r="I418" s="4">
        <v>15</v>
      </c>
      <c r="J418" s="4"/>
      <c r="L418" t="s">
        <v>253</v>
      </c>
      <c r="M418" t="s">
        <v>190</v>
      </c>
      <c r="N418" s="4">
        <f>IF(L418="","",IF(OR(Registro2[[#This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418" t="str">
        <f t="shared" si="6"/>
        <v>fev/25</v>
      </c>
      <c r="P418" t="str">
        <f>IF(Registro2[[#This Row],[Data de Pagamento]]&gt;0,TEXT(A418,"mmm/aa"),"")</f>
        <v>fev/25</v>
      </c>
      <c r="T418" s="4">
        <f>IF(Registro2[[#This Row],[Data de Pagamento]]="",0,IF(Registro2[[#This Row],[Conta Financeira]]=base!$A$6,0,Registro2[[#This Row],[Valor Unitário]]))</f>
        <v>15</v>
      </c>
      <c r="U4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18" t="str">
        <f>VLOOKUP(Registro2[[#This Row],[Categoria]],'Plano de Contas'!$V$3:W463,2,0)</f>
        <v>Receitas Serviços</v>
      </c>
      <c r="X4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18" t="s">
        <v>1536</v>
      </c>
    </row>
    <row r="419" spans="1:25" hidden="1">
      <c r="A419" s="1">
        <v>45712.447916666664</v>
      </c>
      <c r="B419" s="1">
        <v>45712.447916666664</v>
      </c>
      <c r="D419" t="s">
        <v>354</v>
      </c>
      <c r="E419" t="s">
        <v>149</v>
      </c>
      <c r="F419" t="s">
        <v>147</v>
      </c>
      <c r="G419" t="s">
        <v>163</v>
      </c>
      <c r="I419" s="4">
        <v>35</v>
      </c>
      <c r="J419" s="4">
        <v>35</v>
      </c>
      <c r="L419" t="s">
        <v>252</v>
      </c>
      <c r="M419" t="s">
        <v>926</v>
      </c>
      <c r="N419" s="4">
        <f>IF(L419="","",IF(OR(Registro2[[#This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19" t="str">
        <f t="shared" si="6"/>
        <v>fev/25</v>
      </c>
      <c r="P419" t="str">
        <f>IF(Registro2[[#This Row],[Data de Pagamento]]&gt;0,TEXT(A419,"mmm/aa"),"")</f>
        <v>fev/25</v>
      </c>
      <c r="T419" s="4">
        <f>IF(Registro2[[#This Row],[Data de Pagamento]]="",0,IF(Registro2[[#This Row],[Conta Financeira]]=base!$A$6,0,Registro2[[#This Row],[Valor Unitário]]))</f>
        <v>35</v>
      </c>
      <c r="U4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19" t="str">
        <f>VLOOKUP(Registro2[[#This Row],[Categoria]],'Plano de Contas'!$V$3:W464,2,0)</f>
        <v>Receitas Serviços</v>
      </c>
      <c r="X41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419" t="s">
        <v>1536</v>
      </c>
    </row>
    <row r="420" spans="1:25" hidden="1">
      <c r="A420" s="1">
        <v>45712.479166666664</v>
      </c>
      <c r="B420" s="1">
        <v>45712.479166666664</v>
      </c>
      <c r="D420" t="s">
        <v>932</v>
      </c>
      <c r="E420" t="s">
        <v>149</v>
      </c>
      <c r="F420" t="s">
        <v>147</v>
      </c>
      <c r="G420" t="s">
        <v>163</v>
      </c>
      <c r="I420" s="4">
        <v>35</v>
      </c>
      <c r="J420" s="4">
        <v>35</v>
      </c>
      <c r="L420" t="s">
        <v>252</v>
      </c>
      <c r="M420" t="s">
        <v>933</v>
      </c>
      <c r="N420" s="4">
        <f>IF(L420="","",IF(OR(Registro2[[#This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20" t="str">
        <f t="shared" si="6"/>
        <v>fev/25</v>
      </c>
      <c r="P420" t="str">
        <f>IF(Registro2[[#This Row],[Data de Pagamento]]&gt;0,TEXT(A420,"mmm/aa"),"")</f>
        <v>fev/25</v>
      </c>
      <c r="T420" s="4">
        <f>IF(Registro2[[#This Row],[Data de Pagamento]]="",0,IF(Registro2[[#This Row],[Conta Financeira]]=base!$A$6,0,Registro2[[#This Row],[Valor Unitário]]))</f>
        <v>35</v>
      </c>
      <c r="U4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20" t="str">
        <f>VLOOKUP(Registro2[[#This Row],[Categoria]],'Plano de Contas'!$V$3:W467,2,0)</f>
        <v>Receitas Serviços</v>
      </c>
      <c r="X42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20" t="s">
        <v>1536</v>
      </c>
    </row>
    <row r="421" spans="1:25" hidden="1">
      <c r="A421" s="1">
        <v>45712.479166666664</v>
      </c>
      <c r="B421" s="1">
        <v>45712.479166666664</v>
      </c>
      <c r="D421" t="s">
        <v>2</v>
      </c>
      <c r="E421" t="s">
        <v>149</v>
      </c>
      <c r="F421" t="s">
        <v>152</v>
      </c>
      <c r="G421" t="s">
        <v>353</v>
      </c>
      <c r="I421" s="4">
        <v>45</v>
      </c>
      <c r="J421" s="4">
        <v>45</v>
      </c>
      <c r="L421" t="s">
        <v>253</v>
      </c>
      <c r="M421" t="s">
        <v>940</v>
      </c>
      <c r="N421" s="4">
        <f>IF(L421="","",IF(OR(Registro2[[#This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20.25</v>
      </c>
      <c r="O421" t="str">
        <f t="shared" si="6"/>
        <v>fev/25</v>
      </c>
      <c r="P421" t="str">
        <f>IF(Registro2[[#This Row],[Data de Pagamento]]&gt;0,TEXT(A421,"mmm/aa"),"")</f>
        <v>fev/25</v>
      </c>
      <c r="T421" s="4">
        <f>IF(Registro2[[#This Row],[Data de Pagamento]]="",0,IF(Registro2[[#This Row],[Conta Financeira]]=base!$A$6,0,Registro2[[#This Row],[Valor Unitário]]))</f>
        <v>45</v>
      </c>
      <c r="U4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21" t="str">
        <f>VLOOKUP(Registro2[[#This Row],[Categoria]],'Plano de Contas'!$V$3:W471,2,0)</f>
        <v>Receitas Serviços</v>
      </c>
      <c r="X42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21" t="s">
        <v>1536</v>
      </c>
    </row>
    <row r="422" spans="1:25" hidden="1">
      <c r="A422" s="1">
        <v>45712.489583333336</v>
      </c>
      <c r="B422" s="1">
        <v>45712.489583333336</v>
      </c>
      <c r="D422" t="s">
        <v>354</v>
      </c>
      <c r="E422" t="s">
        <v>149</v>
      </c>
      <c r="F422" t="s">
        <v>152</v>
      </c>
      <c r="G422" t="s">
        <v>353</v>
      </c>
      <c r="I422" s="4">
        <v>45</v>
      </c>
      <c r="J422" s="4">
        <v>45</v>
      </c>
      <c r="L422" t="s">
        <v>253</v>
      </c>
      <c r="M422" t="s">
        <v>272</v>
      </c>
      <c r="N422" s="4">
        <f>IF(L422="","",IF(OR(Registro2[[#This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20.25</v>
      </c>
      <c r="O422" t="str">
        <f t="shared" si="6"/>
        <v>fev/25</v>
      </c>
      <c r="P422" t="str">
        <f>IF(Registro2[[#This Row],[Data de Pagamento]]&gt;0,TEXT(A422,"mmm/aa"),"")</f>
        <v>fev/25</v>
      </c>
      <c r="T422" s="4">
        <f>IF(Registro2[[#This Row],[Data de Pagamento]]="",0,IF(Registro2[[#This Row],[Conta Financeira]]=base!$A$6,0,Registro2[[#This Row],[Valor Unitário]]))</f>
        <v>45</v>
      </c>
      <c r="U4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22" t="str">
        <f>VLOOKUP(Registro2[[#This Row],[Categoria]],'Plano de Contas'!$V$3:W472,2,0)</f>
        <v>Receitas Serviços</v>
      </c>
      <c r="X42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1.4175</v>
      </c>
      <c r="Y422" t="s">
        <v>1536</v>
      </c>
    </row>
    <row r="423" spans="1:25" hidden="1">
      <c r="A423" s="1">
        <v>45712.5</v>
      </c>
      <c r="B423" s="1">
        <v>45712.5</v>
      </c>
      <c r="D423" t="s">
        <v>2</v>
      </c>
      <c r="E423" t="s">
        <v>149</v>
      </c>
      <c r="F423" t="s">
        <v>147</v>
      </c>
      <c r="G423" t="s">
        <v>163</v>
      </c>
      <c r="I423" s="4">
        <v>35</v>
      </c>
      <c r="J423" s="4">
        <v>35</v>
      </c>
      <c r="L423" t="s">
        <v>264</v>
      </c>
      <c r="M423" t="s">
        <v>930</v>
      </c>
      <c r="N423" s="4">
        <f>IF(L423="","",IF(OR(Registro2[[#This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23" t="str">
        <f t="shared" si="6"/>
        <v>fev/25</v>
      </c>
      <c r="P423" t="str">
        <f>IF(Registro2[[#This Row],[Data de Pagamento]]&gt;0,TEXT(A423,"mmm/aa"),"")</f>
        <v>fev/25</v>
      </c>
      <c r="T423" s="4">
        <f>IF(Registro2[[#This Row],[Data de Pagamento]]="",0,IF(Registro2[[#This Row],[Conta Financeira]]=base!$A$6,0,Registro2[[#This Row],[Valor Unitário]]))</f>
        <v>35</v>
      </c>
      <c r="U4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23" t="str">
        <f>VLOOKUP(Registro2[[#This Row],[Categoria]],'Plano de Contas'!$V$3:W466,2,0)</f>
        <v>Receitas Serviços</v>
      </c>
      <c r="X42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23" t="s">
        <v>1536</v>
      </c>
    </row>
    <row r="424" spans="1:25" hidden="1">
      <c r="A424" s="1">
        <v>45712.5625</v>
      </c>
      <c r="B424" s="1">
        <v>45712.5625</v>
      </c>
      <c r="D424" t="s">
        <v>310</v>
      </c>
      <c r="E424" t="s">
        <v>149</v>
      </c>
      <c r="F424" t="s">
        <v>147</v>
      </c>
      <c r="G424" t="s">
        <v>163</v>
      </c>
      <c r="I424" s="4">
        <v>35</v>
      </c>
      <c r="J424" s="4">
        <v>35</v>
      </c>
      <c r="L424" t="s">
        <v>253</v>
      </c>
      <c r="M424" t="s">
        <v>107</v>
      </c>
      <c r="N424" s="4">
        <f>IF(L424="","",IF(OR(Registro2[[#This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24" t="str">
        <f t="shared" si="6"/>
        <v>fev/25</v>
      </c>
      <c r="P424" t="str">
        <f>IF(Registro2[[#This Row],[Data de Pagamento]]&gt;0,TEXT(A424,"mmm/aa"),"")</f>
        <v>fev/25</v>
      </c>
      <c r="T424" s="4">
        <f>IF(Registro2[[#This Row],[Data de Pagamento]]="",0,IF(Registro2[[#This Row],[Conta Financeira]]=base!$A$6,0,Registro2[[#This Row],[Valor Unitário]]))</f>
        <v>35</v>
      </c>
      <c r="U4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24" t="str">
        <f>VLOOKUP(Registro2[[#This Row],[Categoria]],'Plano de Contas'!$V$3:W468,2,0)</f>
        <v>Receitas Serviços</v>
      </c>
      <c r="X42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424" t="s">
        <v>1536</v>
      </c>
    </row>
    <row r="425" spans="1:25" hidden="1">
      <c r="A425" s="1">
        <v>45712.590277777781</v>
      </c>
      <c r="B425" s="1">
        <v>45712.590277777781</v>
      </c>
      <c r="D425" t="s">
        <v>310</v>
      </c>
      <c r="E425" t="s">
        <v>149</v>
      </c>
      <c r="F425" t="s">
        <v>147</v>
      </c>
      <c r="G425" t="s">
        <v>163</v>
      </c>
      <c r="I425" s="4">
        <v>35</v>
      </c>
      <c r="J425" s="4">
        <v>35</v>
      </c>
      <c r="L425" t="s">
        <v>264</v>
      </c>
      <c r="M425" t="s">
        <v>938</v>
      </c>
      <c r="N425" s="4">
        <f>IF(L425="","",IF(OR(Registro2[[#This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25" t="str">
        <f t="shared" si="6"/>
        <v>fev/25</v>
      </c>
      <c r="P425" t="str">
        <f>IF(Registro2[[#This Row],[Data de Pagamento]]&gt;0,TEXT(A425,"mmm/aa"),"")</f>
        <v>fev/25</v>
      </c>
      <c r="T425" s="4">
        <f>IF(Registro2[[#This Row],[Data de Pagamento]]="",0,IF(Registro2[[#This Row],[Conta Financeira]]=base!$A$6,0,Registro2[[#This Row],[Valor Unitário]]))</f>
        <v>35</v>
      </c>
      <c r="U4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25" t="str">
        <f>VLOOKUP(Registro2[[#This Row],[Categoria]],'Plano de Contas'!$V$3:W470,2,0)</f>
        <v>Receitas Serviços</v>
      </c>
      <c r="X42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425" t="s">
        <v>1536</v>
      </c>
    </row>
    <row r="426" spans="1:25" hidden="1">
      <c r="A426" s="1">
        <v>45712.604166666664</v>
      </c>
      <c r="B426" s="1">
        <v>45712.604166666664</v>
      </c>
      <c r="D426" t="s">
        <v>529</v>
      </c>
      <c r="E426" t="s">
        <v>149</v>
      </c>
      <c r="F426" t="s">
        <v>147</v>
      </c>
      <c r="G426" t="s">
        <v>163</v>
      </c>
      <c r="I426" s="4">
        <v>35</v>
      </c>
      <c r="J426" s="4">
        <v>35</v>
      </c>
      <c r="L426" t="s">
        <v>252</v>
      </c>
      <c r="M426" t="s">
        <v>936</v>
      </c>
      <c r="N426" s="4">
        <f>IF(L426="","",IF(OR(Registro2[[#This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26" t="str">
        <f t="shared" si="6"/>
        <v>fev/25</v>
      </c>
      <c r="P426" t="str">
        <f>IF(Registro2[[#This Row],[Data de Pagamento]]&gt;0,TEXT(A426,"mmm/aa"),"")</f>
        <v>fev/25</v>
      </c>
      <c r="T426" s="4">
        <f>IF(Registro2[[#This Row],[Data de Pagamento]]="",0,IF(Registro2[[#This Row],[Conta Financeira]]=base!$A$6,0,Registro2[[#This Row],[Valor Unitário]]))</f>
        <v>35</v>
      </c>
      <c r="U4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26" t="str">
        <f>VLOOKUP(Registro2[[#This Row],[Categoria]],'Plano de Contas'!$V$3:W469,2,0)</f>
        <v>Receitas Serviços</v>
      </c>
      <c r="X42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26" t="s">
        <v>1536</v>
      </c>
    </row>
    <row r="427" spans="1:25" hidden="1">
      <c r="A427" s="1">
        <v>45712.71875</v>
      </c>
      <c r="B427" s="1">
        <v>45712.71875</v>
      </c>
      <c r="D427" t="s">
        <v>1</v>
      </c>
      <c r="E427" t="s">
        <v>149</v>
      </c>
      <c r="F427" t="s">
        <v>152</v>
      </c>
      <c r="G427" t="s">
        <v>306</v>
      </c>
      <c r="I427" s="4">
        <v>50</v>
      </c>
      <c r="J427" s="4">
        <v>50</v>
      </c>
      <c r="L427" t="s">
        <v>252</v>
      </c>
      <c r="M427" t="s">
        <v>79</v>
      </c>
      <c r="N427" s="4">
        <f>IF(L427="","",IF(OR(Registro2[[#This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427" t="str">
        <f t="shared" si="6"/>
        <v>fev/25</v>
      </c>
      <c r="P427" t="str">
        <f>IF(Registro2[[#This Row],[Data de Pagamento]]&gt;0,TEXT(A427,"mmm/aa"),"")</f>
        <v>fev/25</v>
      </c>
      <c r="T427" s="4">
        <f>IF(Registro2[[#This Row],[Data de Pagamento]]="",0,IF(Registro2[[#This Row],[Conta Financeira]]=base!$A$6,0,Registro2[[#This Row],[Valor Unitário]]))</f>
        <v>50</v>
      </c>
      <c r="U4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27" t="str">
        <f>VLOOKUP(Registro2[[#This Row],[Categoria]],'Plano de Contas'!$V$3:W473,2,0)</f>
        <v>Receitas Serviços</v>
      </c>
      <c r="X4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27" t="s">
        <v>1536</v>
      </c>
    </row>
    <row r="428" spans="1:25" hidden="1">
      <c r="A428" s="1">
        <v>45712.729166666664</v>
      </c>
      <c r="B428" s="1">
        <v>45712.729166666664</v>
      </c>
      <c r="D428" t="s">
        <v>1</v>
      </c>
      <c r="E428" t="s">
        <v>149</v>
      </c>
      <c r="F428" t="s">
        <v>147</v>
      </c>
      <c r="G428" t="s">
        <v>163</v>
      </c>
      <c r="I428" s="4">
        <v>30</v>
      </c>
      <c r="J428" s="4">
        <v>60</v>
      </c>
      <c r="L428" t="s">
        <v>253</v>
      </c>
      <c r="M428" t="s">
        <v>16</v>
      </c>
      <c r="N428" s="4">
        <f>IF(L428="","",IF(OR(Registro2[[#This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428" t="str">
        <f t="shared" si="6"/>
        <v>fev/25</v>
      </c>
      <c r="P428" t="str">
        <f>IF(Registro2[[#This Row],[Data de Pagamento]]&gt;0,TEXT(A428,"mmm/aa"),"")</f>
        <v>fev/25</v>
      </c>
      <c r="T428" s="4">
        <f>IF(Registro2[[#This Row],[Data de Pagamento]]="",0,IF(Registro2[[#This Row],[Conta Financeira]]=base!$A$6,0,Registro2[[#This Row],[Valor Unitário]]))</f>
        <v>30</v>
      </c>
      <c r="U4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28" t="str">
        <f>VLOOKUP(Registro2[[#This Row],[Categoria]],'Plano de Contas'!$V$3:W459,2,0)</f>
        <v>Receitas Serviços</v>
      </c>
      <c r="X42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28" t="s">
        <v>1536</v>
      </c>
    </row>
    <row r="429" spans="1:25" hidden="1">
      <c r="A429" s="1">
        <v>45712.729166666664</v>
      </c>
      <c r="B429" s="1">
        <v>45712.729166666664</v>
      </c>
      <c r="D429" t="s">
        <v>1</v>
      </c>
      <c r="E429" t="s">
        <v>149</v>
      </c>
      <c r="F429" t="s">
        <v>147</v>
      </c>
      <c r="G429" t="s">
        <v>163</v>
      </c>
      <c r="I429" s="4">
        <v>30</v>
      </c>
      <c r="J429" s="4"/>
      <c r="L429" t="s">
        <v>252</v>
      </c>
      <c r="M429" t="s">
        <v>16</v>
      </c>
      <c r="N429" s="4">
        <f>IF(L429="","",IF(OR(Registro2[[#This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429" t="str">
        <f t="shared" si="6"/>
        <v>fev/25</v>
      </c>
      <c r="P429" t="str">
        <f>IF(Registro2[[#This Row],[Data de Pagamento]]&gt;0,TEXT(A429,"mmm/aa"),"")</f>
        <v>fev/25</v>
      </c>
      <c r="T429" s="4">
        <f>IF(Registro2[[#This Row],[Data de Pagamento]]="",0,IF(Registro2[[#This Row],[Conta Financeira]]=base!$A$6,0,Registro2[[#This Row],[Valor Unitário]]))</f>
        <v>30</v>
      </c>
      <c r="U4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29" t="str">
        <f>VLOOKUP(Registro2[[#This Row],[Categoria]],'Plano de Contas'!$V$3:W460,2,0)</f>
        <v>Receitas Serviços</v>
      </c>
      <c r="X4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29" t="s">
        <v>1536</v>
      </c>
    </row>
    <row r="430" spans="1:25" hidden="1">
      <c r="A430" s="1">
        <v>45712.784722222219</v>
      </c>
      <c r="B430" s="1">
        <v>45712.784722222219</v>
      </c>
      <c r="D430" t="s">
        <v>1</v>
      </c>
      <c r="E430" t="s">
        <v>149</v>
      </c>
      <c r="F430" t="s">
        <v>147</v>
      </c>
      <c r="G430" t="s">
        <v>160</v>
      </c>
      <c r="I430" s="4">
        <v>12</v>
      </c>
      <c r="J430" s="4">
        <v>12</v>
      </c>
      <c r="L430" t="s">
        <v>253</v>
      </c>
      <c r="M430" t="s">
        <v>282</v>
      </c>
      <c r="N430" s="4">
        <f>IF(L430="","",IF(OR(Registro2[[#This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430" t="str">
        <f t="shared" si="6"/>
        <v>fev/25</v>
      </c>
      <c r="P430" t="str">
        <f>IF(Registro2[[#This Row],[Data de Pagamento]]&gt;0,TEXT(A430,"mmm/aa"),"")</f>
        <v>fev/25</v>
      </c>
      <c r="T430" s="4">
        <f>IF(Registro2[[#This Row],[Data de Pagamento]]="",0,IF(Registro2[[#This Row],[Conta Financeira]]=base!$A$6,0,Registro2[[#This Row],[Valor Unitário]]))</f>
        <v>12</v>
      </c>
      <c r="U4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30" t="str">
        <f>VLOOKUP(Registro2[[#This Row],[Categoria]],'Plano de Contas'!$V$3:W474,2,0)</f>
        <v>Receitas Serviços</v>
      </c>
      <c r="X43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30" t="s">
        <v>1536</v>
      </c>
    </row>
    <row r="431" spans="1:25" hidden="1">
      <c r="A431" s="1">
        <v>45713</v>
      </c>
      <c r="B431" s="1">
        <v>45713</v>
      </c>
      <c r="E431" t="s">
        <v>137</v>
      </c>
      <c r="F431" t="s">
        <v>146</v>
      </c>
      <c r="G431" t="s">
        <v>315</v>
      </c>
      <c r="H431" t="s">
        <v>446</v>
      </c>
      <c r="I431" s="4">
        <v>432</v>
      </c>
      <c r="J431" s="4"/>
      <c r="N431" s="4" t="str">
        <f>IF(L431="","",IF(OR(Registro2[[#This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431" t="str">
        <f t="shared" si="6"/>
        <v>fev/25</v>
      </c>
      <c r="P431" t="str">
        <f>IF(Registro2[[#This Row],[Data de Pagamento]]&gt;0,TEXT(A431,"mmm/aa"),"")</f>
        <v>fev/25</v>
      </c>
      <c r="T431" s="4">
        <f>IF(Registro2[[#This Row],[Data de Pagamento]]="",0,IF(Registro2[[#This Row],[Conta Financeira]]=base!$A$6,0,Registro2[[#This Row],[Valor Unitário]]))</f>
        <v>432</v>
      </c>
      <c r="U4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31" t="str">
        <f>VLOOKUP(Registro2[[#This Row],[Categoria]],'Plano de Contas'!$V$3:W74,2,0)</f>
        <v>Despesas Operacionais</v>
      </c>
      <c r="X43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31" t="s">
        <v>1536</v>
      </c>
    </row>
    <row r="432" spans="1:25" hidden="1">
      <c r="A432" s="1">
        <v>45713.479166666664</v>
      </c>
      <c r="B432" s="1">
        <v>45713.479166666664</v>
      </c>
      <c r="D432" t="s">
        <v>1</v>
      </c>
      <c r="E432" t="s">
        <v>149</v>
      </c>
      <c r="F432" t="s">
        <v>147</v>
      </c>
      <c r="G432" t="s">
        <v>163</v>
      </c>
      <c r="I432" s="4">
        <v>30</v>
      </c>
      <c r="J432" s="4">
        <v>0</v>
      </c>
      <c r="L432" t="s">
        <v>252</v>
      </c>
      <c r="M432" t="s">
        <v>122</v>
      </c>
      <c r="N432" s="4">
        <f>IF(L432="","",IF(OR(Registro2[[#This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432" t="str">
        <f t="shared" si="6"/>
        <v>fev/25</v>
      </c>
      <c r="P432" t="str">
        <f>IF(Registro2[[#This Row],[Data de Pagamento]]&gt;0,TEXT(A432,"mmm/aa"),"")</f>
        <v>fev/25</v>
      </c>
      <c r="T432" s="4">
        <f>IF(Registro2[[#This Row],[Data de Pagamento]]="",0,IF(Registro2[[#This Row],[Conta Financeira]]=base!$A$6,0,Registro2[[#This Row],[Valor Unitário]]))</f>
        <v>30</v>
      </c>
      <c r="U4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432" t="str">
        <f>VLOOKUP(Registro2[[#This Row],[Categoria]],'Plano de Contas'!$V$3:W491,2,0)</f>
        <v>Receitas Serviços</v>
      </c>
      <c r="X43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32" t="s">
        <v>1536</v>
      </c>
    </row>
    <row r="433" spans="1:25" hidden="1">
      <c r="A433" s="1">
        <v>45713.583333333336</v>
      </c>
      <c r="B433" s="1">
        <v>45713.583333333336</v>
      </c>
      <c r="D433" t="s">
        <v>2</v>
      </c>
      <c r="E433" t="s">
        <v>149</v>
      </c>
      <c r="F433" t="s">
        <v>147</v>
      </c>
      <c r="G433" t="s">
        <v>163</v>
      </c>
      <c r="I433" s="4">
        <v>35</v>
      </c>
      <c r="J433" s="4">
        <v>35</v>
      </c>
      <c r="L433" t="s">
        <v>253</v>
      </c>
      <c r="M433" t="s">
        <v>994</v>
      </c>
      <c r="N433" s="4">
        <f>IF(L433="","",IF(OR(Registro2[[#This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33" t="str">
        <f t="shared" si="6"/>
        <v>fev/25</v>
      </c>
      <c r="P433" t="str">
        <f>IF(Registro2[[#This Row],[Data de Pagamento]]&gt;0,TEXT(A433,"mmm/aa"),"")</f>
        <v>fev/25</v>
      </c>
      <c r="T433" s="4">
        <f>IF(Registro2[[#This Row],[Data de Pagamento]]="",0,IF(Registro2[[#This Row],[Conta Financeira]]=base!$A$6,0,Registro2[[#This Row],[Valor Unitário]]))</f>
        <v>35</v>
      </c>
      <c r="U4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33" t="str">
        <f>VLOOKUP(Registro2[[#This Row],[Categoria]],'Plano de Contas'!$V$3:W495,2,0)</f>
        <v>Receitas Serviços</v>
      </c>
      <c r="X43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33" t="s">
        <v>1536</v>
      </c>
    </row>
    <row r="434" spans="1:25" hidden="1">
      <c r="A434" s="1">
        <v>45713.590277777781</v>
      </c>
      <c r="B434" s="1">
        <v>45713.590277777781</v>
      </c>
      <c r="D434" t="s">
        <v>1</v>
      </c>
      <c r="E434" t="s">
        <v>149</v>
      </c>
      <c r="F434" t="s">
        <v>147</v>
      </c>
      <c r="G434" t="s">
        <v>163</v>
      </c>
      <c r="I434" s="4">
        <v>35</v>
      </c>
      <c r="J434" s="4">
        <v>35</v>
      </c>
      <c r="L434" t="s">
        <v>264</v>
      </c>
      <c r="M434" t="s">
        <v>996</v>
      </c>
      <c r="N434" s="4">
        <f>IF(L434="","",IF(OR(Registro2[[#This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34" t="str">
        <f t="shared" si="6"/>
        <v>fev/25</v>
      </c>
      <c r="P434" t="str">
        <f>IF(Registro2[[#This Row],[Data de Pagamento]]&gt;0,TEXT(A434,"mmm/aa"),"")</f>
        <v>fev/25</v>
      </c>
      <c r="T434" s="4">
        <f>IF(Registro2[[#This Row],[Data de Pagamento]]="",0,IF(Registro2[[#This Row],[Conta Financeira]]=base!$A$6,0,Registro2[[#This Row],[Valor Unitário]]))</f>
        <v>35</v>
      </c>
      <c r="U4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34" t="str">
        <f>VLOOKUP(Registro2[[#This Row],[Categoria]],'Plano de Contas'!$V$3:W496,2,0)</f>
        <v>Receitas Serviços</v>
      </c>
      <c r="X43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34" t="s">
        <v>1536</v>
      </c>
    </row>
    <row r="435" spans="1:25" hidden="1">
      <c r="A435" s="1">
        <v>45713.65625</v>
      </c>
      <c r="B435" s="1">
        <v>45713.65625</v>
      </c>
      <c r="D435" t="s">
        <v>1</v>
      </c>
      <c r="E435" t="s">
        <v>149</v>
      </c>
      <c r="F435" t="s">
        <v>147</v>
      </c>
      <c r="G435" t="s">
        <v>163</v>
      </c>
      <c r="I435" s="4">
        <v>35</v>
      </c>
      <c r="J435" s="4">
        <v>35</v>
      </c>
      <c r="L435" t="s">
        <v>253</v>
      </c>
      <c r="M435" t="s">
        <v>474</v>
      </c>
      <c r="N435" s="4">
        <f>IF(L435="","",IF(OR(Registro2[[#This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35" t="str">
        <f t="shared" si="6"/>
        <v>fev/25</v>
      </c>
      <c r="P435" t="str">
        <f>IF(Registro2[[#This Row],[Data de Pagamento]]&gt;0,TEXT(A435,"mmm/aa"),"")</f>
        <v>fev/25</v>
      </c>
      <c r="T435" s="4">
        <f>IF(Registro2[[#This Row],[Data de Pagamento]]="",0,IF(Registro2[[#This Row],[Conta Financeira]]=base!$A$6,0,Registro2[[#This Row],[Valor Unitário]]))</f>
        <v>35</v>
      </c>
      <c r="U4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35" t="str">
        <f>VLOOKUP(Registro2[[#This Row],[Categoria]],'Plano de Contas'!$V$3:W499,2,0)</f>
        <v>Receitas Serviços</v>
      </c>
      <c r="X43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35" t="s">
        <v>1536</v>
      </c>
    </row>
    <row r="436" spans="1:25" hidden="1">
      <c r="A436" s="1">
        <v>45713.6875</v>
      </c>
      <c r="B436" s="1">
        <v>45713.6875</v>
      </c>
      <c r="D436" t="s">
        <v>354</v>
      </c>
      <c r="E436" t="s">
        <v>149</v>
      </c>
      <c r="F436" t="s">
        <v>147</v>
      </c>
      <c r="G436" t="s">
        <v>163</v>
      </c>
      <c r="I436" s="4">
        <v>35</v>
      </c>
      <c r="J436" s="4">
        <v>20</v>
      </c>
      <c r="L436" t="s">
        <v>253</v>
      </c>
      <c r="M436" t="s">
        <v>1001</v>
      </c>
      <c r="N436" s="4">
        <f>IF(L436="","",IF(OR(Registro2[[#This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36" t="str">
        <f t="shared" si="6"/>
        <v>fev/25</v>
      </c>
      <c r="P436" t="str">
        <f>IF(Registro2[[#This Row],[Data de Pagamento]]&gt;0,TEXT(A436,"mmm/aa"),"")</f>
        <v>fev/25</v>
      </c>
      <c r="T436" s="4">
        <f>IF(Registro2[[#This Row],[Data de Pagamento]]="",0,IF(Registro2[[#This Row],[Conta Financeira]]=base!$A$6,0,Registro2[[#This Row],[Valor Unitário]]))</f>
        <v>35</v>
      </c>
      <c r="U4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36" t="str">
        <f>VLOOKUP(Registro2[[#This Row],[Categoria]],'Plano de Contas'!$V$3:W500,2,0)</f>
        <v>Receitas Serviços</v>
      </c>
      <c r="X43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436" t="s">
        <v>1536</v>
      </c>
    </row>
    <row r="437" spans="1:25" hidden="1">
      <c r="A437" s="1">
        <v>45713.6875</v>
      </c>
      <c r="B437" s="1">
        <v>45713.6875</v>
      </c>
      <c r="D437" t="s">
        <v>310</v>
      </c>
      <c r="E437" t="s">
        <v>149</v>
      </c>
      <c r="F437" t="s">
        <v>147</v>
      </c>
      <c r="G437" t="s">
        <v>163</v>
      </c>
      <c r="I437" s="4">
        <v>35</v>
      </c>
      <c r="J437" s="4">
        <v>35</v>
      </c>
      <c r="L437" t="s">
        <v>264</v>
      </c>
      <c r="M437" t="s">
        <v>1003</v>
      </c>
      <c r="N437" s="4">
        <f>IF(L437="","",IF(OR(Registro2[[#This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37" t="str">
        <f t="shared" si="6"/>
        <v>fev/25</v>
      </c>
      <c r="P437" t="str">
        <f>IF(Registro2[[#This Row],[Data de Pagamento]]&gt;0,TEXT(A437,"mmm/aa"),"")</f>
        <v>fev/25</v>
      </c>
      <c r="T437" s="4">
        <f>IF(Registro2[[#This Row],[Data de Pagamento]]="",0,IF(Registro2[[#This Row],[Conta Financeira]]=base!$A$6,0,Registro2[[#This Row],[Valor Unitário]]))</f>
        <v>35</v>
      </c>
      <c r="U4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37" t="str">
        <f>VLOOKUP(Registro2[[#This Row],[Categoria]],'Plano de Contas'!$V$3:W501,2,0)</f>
        <v>Receitas Serviços</v>
      </c>
      <c r="X43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437" t="s">
        <v>1536</v>
      </c>
    </row>
    <row r="438" spans="1:25" hidden="1">
      <c r="A438" s="1">
        <v>45713.705555555556</v>
      </c>
      <c r="B438" s="1">
        <v>45713.705555555556</v>
      </c>
      <c r="D438" t="s">
        <v>136</v>
      </c>
      <c r="E438" t="s">
        <v>137</v>
      </c>
      <c r="F438" t="s">
        <v>138</v>
      </c>
      <c r="G438" t="s">
        <v>339</v>
      </c>
      <c r="H438" t="s">
        <v>1241</v>
      </c>
      <c r="I438" s="4">
        <v>20</v>
      </c>
      <c r="J438" s="4"/>
      <c r="N438" s="4" t="str">
        <f>IF(L438="","",IF(OR(Registro2[[#This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438" t="str">
        <f t="shared" si="6"/>
        <v>fev/25</v>
      </c>
      <c r="P438" t="str">
        <f>IF(Registro2[[#This Row],[Data de Pagamento]]&gt;0,TEXT(A438,"mmm/aa"),"")</f>
        <v>fev/25</v>
      </c>
      <c r="T438" s="4">
        <f>IF(Registro2[[#This Row],[Data de Pagamento]]="",0,IF(Registro2[[#This Row],[Conta Financeira]]=base!$A$6,0,Registro2[[#This Row],[Valor Unitário]]))</f>
        <v>20</v>
      </c>
      <c r="U4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38" t="str">
        <f>VLOOKUP(Registro2[[#This Row],[Categoria]],'Plano de Contas'!$V$3:W710,2,0)</f>
        <v>Despesas Gerias &amp; Vendas</v>
      </c>
      <c r="X43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38" t="s">
        <v>1536</v>
      </c>
    </row>
    <row r="439" spans="1:25" hidden="1">
      <c r="A439" s="1">
        <v>45713.706250000003</v>
      </c>
      <c r="B439" s="1">
        <v>45713.706250000003</v>
      </c>
      <c r="D439" t="s">
        <v>136</v>
      </c>
      <c r="E439" t="s">
        <v>137</v>
      </c>
      <c r="F439" t="s">
        <v>139</v>
      </c>
      <c r="G439" t="s">
        <v>332</v>
      </c>
      <c r="H439" t="s">
        <v>1242</v>
      </c>
      <c r="I439" s="4">
        <v>24.9</v>
      </c>
      <c r="J439" s="4"/>
      <c r="N439" s="4" t="str">
        <f>IF(L439="","",IF(OR(Registro2[[#This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439" t="str">
        <f t="shared" si="6"/>
        <v>fev/25</v>
      </c>
      <c r="P439" t="str">
        <f>IF(Registro2[[#This Row],[Data de Pagamento]]&gt;0,TEXT(A439,"mmm/aa"),"")</f>
        <v>fev/25</v>
      </c>
      <c r="T439" s="4">
        <f>IF(Registro2[[#This Row],[Data de Pagamento]]="",0,IF(Registro2[[#This Row],[Conta Financeira]]=base!$A$6,0,Registro2[[#This Row],[Valor Unitário]]))</f>
        <v>24.9</v>
      </c>
      <c r="U4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39" t="str">
        <f>VLOOKUP(Registro2[[#This Row],[Categoria]],'Plano de Contas'!$V$3:W711,2,0)</f>
        <v>Custos Operacionais</v>
      </c>
      <c r="X43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39" t="s">
        <v>1536</v>
      </c>
    </row>
    <row r="440" spans="1:25" hidden="1">
      <c r="A440" s="1">
        <v>45713.707638888889</v>
      </c>
      <c r="B440" s="1">
        <v>45713.707638888889</v>
      </c>
      <c r="D440" t="s">
        <v>136</v>
      </c>
      <c r="E440" t="s">
        <v>137</v>
      </c>
      <c r="F440" t="s">
        <v>146</v>
      </c>
      <c r="G440" t="s">
        <v>314</v>
      </c>
      <c r="H440" t="s">
        <v>1243</v>
      </c>
      <c r="I440" s="4">
        <v>120</v>
      </c>
      <c r="J440" s="4"/>
      <c r="N440" s="4" t="str">
        <f>IF(L440="","",IF(OR(Registro2[[#This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440" t="str">
        <f t="shared" si="6"/>
        <v>fev/25</v>
      </c>
      <c r="P440" t="str">
        <f>IF(Registro2[[#This Row],[Data de Pagamento]]&gt;0,TEXT(A440,"mmm/aa"),"")</f>
        <v>fev/25</v>
      </c>
      <c r="T440" s="4">
        <f>IF(Registro2[[#This Row],[Data de Pagamento]]="",0,IF(Registro2[[#This Row],[Conta Financeira]]=base!$A$6,0,Registro2[[#This Row],[Valor Unitário]]))</f>
        <v>120</v>
      </c>
      <c r="U4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40" t="str">
        <f>VLOOKUP(Registro2[[#This Row],[Categoria]],'Plano de Contas'!$V$3:W712,2,0)</f>
        <v>Despesas Operacionais</v>
      </c>
      <c r="X44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40" t="s">
        <v>1536</v>
      </c>
    </row>
    <row r="441" spans="1:25" hidden="1">
      <c r="A441" s="1">
        <v>45713.708333333336</v>
      </c>
      <c r="B441" s="1">
        <v>45713.708333333336</v>
      </c>
      <c r="D441" t="s">
        <v>310</v>
      </c>
      <c r="E441" t="s">
        <v>149</v>
      </c>
      <c r="F441" t="s">
        <v>152</v>
      </c>
      <c r="G441" t="s">
        <v>159</v>
      </c>
      <c r="I441" s="4">
        <v>40</v>
      </c>
      <c r="J441" s="4">
        <v>40</v>
      </c>
      <c r="L441" t="s">
        <v>253</v>
      </c>
      <c r="M441" t="s">
        <v>492</v>
      </c>
      <c r="N441" s="4">
        <f>IF(L441="","",IF(OR(Registro2[[#This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441" t="str">
        <f t="shared" si="6"/>
        <v>fev/25</v>
      </c>
      <c r="P441" t="str">
        <f>IF(Registro2[[#This Row],[Data de Pagamento]]&gt;0,TEXT(A441,"mmm/aa"),"")</f>
        <v>fev/25</v>
      </c>
      <c r="T441" s="4">
        <f>IF(Registro2[[#This Row],[Data de Pagamento]]="",0,IF(Registro2[[#This Row],[Conta Financeira]]=base!$A$6,0,Registro2[[#This Row],[Valor Unitário]]))</f>
        <v>40</v>
      </c>
      <c r="U4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41" t="str">
        <f>VLOOKUP(Registro2[[#This Row],[Categoria]],'Plano de Contas'!$V$3:W498,2,0)</f>
        <v>Receitas Serviços</v>
      </c>
      <c r="X44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0.35599999999999998</v>
      </c>
      <c r="Y441" t="s">
        <v>1536</v>
      </c>
    </row>
    <row r="442" spans="1:25" hidden="1">
      <c r="A442" s="1">
        <v>45713.715277777781</v>
      </c>
      <c r="B442" s="1">
        <v>45713.715277777781</v>
      </c>
      <c r="D442" t="s">
        <v>1</v>
      </c>
      <c r="E442" t="s">
        <v>149</v>
      </c>
      <c r="F442" t="s">
        <v>147</v>
      </c>
      <c r="G442" t="s">
        <v>163</v>
      </c>
      <c r="I442" s="4">
        <v>20</v>
      </c>
      <c r="J442" s="4">
        <v>20</v>
      </c>
      <c r="L442" t="s">
        <v>264</v>
      </c>
      <c r="M442" t="s">
        <v>1006</v>
      </c>
      <c r="N442" s="4">
        <f>IF(L442="","",IF(OR(Registro2[[#This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442" t="str">
        <f t="shared" si="6"/>
        <v>fev/25</v>
      </c>
      <c r="P442" t="str">
        <f>IF(Registro2[[#This Row],[Data de Pagamento]]&gt;0,TEXT(A442,"mmm/aa"),"")</f>
        <v>fev/25</v>
      </c>
      <c r="T442" s="4">
        <f>IF(Registro2[[#This Row],[Data de Pagamento]]="",0,IF(Registro2[[#This Row],[Conta Financeira]]=base!$A$6,0,Registro2[[#This Row],[Valor Unitário]]))</f>
        <v>20</v>
      </c>
      <c r="U4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42" t="str">
        <f>VLOOKUP(Registro2[[#This Row],[Categoria]],'Plano de Contas'!$V$3:W504,2,0)</f>
        <v>Receitas Serviços</v>
      </c>
      <c r="X44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42" t="s">
        <v>1536</v>
      </c>
    </row>
    <row r="443" spans="1:25" hidden="1">
      <c r="A443" s="1">
        <v>45713.71875</v>
      </c>
      <c r="B443" s="1">
        <v>45713.71875</v>
      </c>
      <c r="D443" t="s">
        <v>354</v>
      </c>
      <c r="E443" t="s">
        <v>149</v>
      </c>
      <c r="F443" t="s">
        <v>147</v>
      </c>
      <c r="G443" t="s">
        <v>163</v>
      </c>
      <c r="I443" s="4">
        <v>35</v>
      </c>
      <c r="J443" s="4">
        <v>35</v>
      </c>
      <c r="L443" t="s">
        <v>252</v>
      </c>
      <c r="M443" t="s">
        <v>1008</v>
      </c>
      <c r="N443" s="4">
        <f>IF(L443="","",IF(OR(Registro2[[#This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43" t="str">
        <f t="shared" si="6"/>
        <v>fev/25</v>
      </c>
      <c r="P443" t="str">
        <f>IF(Registro2[[#This Row],[Data de Pagamento]]&gt;0,TEXT(A443,"mmm/aa"),"")</f>
        <v>fev/25</v>
      </c>
      <c r="T443" s="4">
        <f>IF(Registro2[[#This Row],[Data de Pagamento]]="",0,IF(Registro2[[#This Row],[Conta Financeira]]=base!$A$6,0,Registro2[[#This Row],[Valor Unitário]]))</f>
        <v>35</v>
      </c>
      <c r="U4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43" t="str">
        <f>VLOOKUP(Registro2[[#This Row],[Categoria]],'Plano de Contas'!$V$3:W505,2,0)</f>
        <v>Receitas Serviços</v>
      </c>
      <c r="X44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443" t="s">
        <v>1536</v>
      </c>
    </row>
    <row r="444" spans="1:25" hidden="1">
      <c r="A444" s="1">
        <v>45713.75</v>
      </c>
      <c r="B444" s="1">
        <v>45713.75</v>
      </c>
      <c r="D444" t="s">
        <v>1</v>
      </c>
      <c r="E444" t="s">
        <v>149</v>
      </c>
      <c r="F444" t="s">
        <v>152</v>
      </c>
      <c r="G444" t="s">
        <v>353</v>
      </c>
      <c r="I444" s="4">
        <v>55</v>
      </c>
      <c r="J444" s="4">
        <v>55</v>
      </c>
      <c r="L444" t="s">
        <v>253</v>
      </c>
      <c r="M444" t="s">
        <v>17</v>
      </c>
      <c r="N444" s="4">
        <f>IF(L444="","",IF(OR(Registro2[[#This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444" t="str">
        <f t="shared" si="6"/>
        <v>fev/25</v>
      </c>
      <c r="P444" t="str">
        <f>IF(Registro2[[#This Row],[Data de Pagamento]]&gt;0,TEXT(A444,"mmm/aa"),"")</f>
        <v>fev/25</v>
      </c>
      <c r="T444" s="4">
        <f>IF(Registro2[[#This Row],[Data de Pagamento]]="",0,IF(Registro2[[#This Row],[Conta Financeira]]=base!$A$6,0,Registro2[[#This Row],[Valor Unitário]]))</f>
        <v>55</v>
      </c>
      <c r="U4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44" t="str">
        <f>VLOOKUP(Registro2[[#This Row],[Categoria]],'Plano de Contas'!$V$3:W508,2,0)</f>
        <v>Receitas Serviços</v>
      </c>
      <c r="X44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44" t="s">
        <v>1536</v>
      </c>
    </row>
    <row r="445" spans="1:25" hidden="1">
      <c r="A445" s="1">
        <v>45713.78125</v>
      </c>
      <c r="B445" s="1">
        <v>45713.78125</v>
      </c>
      <c r="D445" t="s">
        <v>310</v>
      </c>
      <c r="E445" t="s">
        <v>149</v>
      </c>
      <c r="F445" t="s">
        <v>152</v>
      </c>
      <c r="G445" t="s">
        <v>353</v>
      </c>
      <c r="I445" s="4">
        <v>55</v>
      </c>
      <c r="J445" s="4">
        <v>55</v>
      </c>
      <c r="L445" t="s">
        <v>253</v>
      </c>
      <c r="M445" t="s">
        <v>126</v>
      </c>
      <c r="N445" s="4">
        <f>IF(L445="","",IF(OR(Registro2[[#This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445" t="str">
        <f t="shared" si="6"/>
        <v>fev/25</v>
      </c>
      <c r="P445" t="str">
        <f>IF(Registro2[[#This Row],[Data de Pagamento]]&gt;0,TEXT(A445,"mmm/aa"),"")</f>
        <v>fev/25</v>
      </c>
      <c r="T445" s="4">
        <f>IF(Registro2[[#This Row],[Data de Pagamento]]="",0,IF(Registro2[[#This Row],[Conta Financeira]]=base!$A$6,0,Registro2[[#This Row],[Valor Unitário]]))</f>
        <v>55</v>
      </c>
      <c r="U4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45" t="str">
        <f>VLOOKUP(Registro2[[#This Row],[Categoria]],'Plano de Contas'!$V$3:W506,2,0)</f>
        <v>Receitas Serviços</v>
      </c>
      <c r="X44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0.48949999999999999</v>
      </c>
      <c r="Y445" t="s">
        <v>1536</v>
      </c>
    </row>
    <row r="446" spans="1:25" hidden="1">
      <c r="A446" s="1">
        <v>45713.8125</v>
      </c>
      <c r="B446" s="1">
        <v>45713.8125</v>
      </c>
      <c r="D446" t="s">
        <v>354</v>
      </c>
      <c r="E446" t="s">
        <v>149</v>
      </c>
      <c r="F446" t="s">
        <v>147</v>
      </c>
      <c r="G446" t="s">
        <v>160</v>
      </c>
      <c r="I446" s="4">
        <v>12</v>
      </c>
      <c r="J446" s="4">
        <v>15</v>
      </c>
      <c r="L446" t="s">
        <v>252</v>
      </c>
      <c r="M446" t="s">
        <v>1001</v>
      </c>
      <c r="N446" s="4">
        <f>IF(L446="","",IF(OR(Registro2[[#This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446" t="str">
        <f t="shared" si="6"/>
        <v>fev/25</v>
      </c>
      <c r="P446" t="str">
        <f>IF(Registro2[[#This Row],[Data de Pagamento]]&gt;0,TEXT(A446,"mmm/aa"),"")</f>
        <v>fev/25</v>
      </c>
      <c r="T446" s="4">
        <f>IF(Registro2[[#This Row],[Data de Pagamento]]="",0,IF(Registro2[[#This Row],[Conta Financeira]]=base!$A$6,0,Registro2[[#This Row],[Valor Unitário]]))</f>
        <v>12</v>
      </c>
      <c r="U4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46" t="str">
        <f>VLOOKUP(Registro2[[#This Row],[Categoria]],'Plano de Contas'!$V$3:W509,2,0)</f>
        <v>Receitas Serviços</v>
      </c>
      <c r="X44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0.378</v>
      </c>
      <c r="Y446" t="s">
        <v>1536</v>
      </c>
    </row>
    <row r="447" spans="1:25" hidden="1">
      <c r="A447" s="1">
        <v>45713.8125</v>
      </c>
      <c r="B447" s="1">
        <v>45713.8125</v>
      </c>
      <c r="D447" t="s">
        <v>354</v>
      </c>
      <c r="E447" t="s">
        <v>149</v>
      </c>
      <c r="F447" t="s">
        <v>147</v>
      </c>
      <c r="G447" t="s">
        <v>163</v>
      </c>
      <c r="I447" s="4">
        <v>35</v>
      </c>
      <c r="J447" s="4">
        <v>35</v>
      </c>
      <c r="L447" t="s">
        <v>264</v>
      </c>
      <c r="M447" t="s">
        <v>1003</v>
      </c>
      <c r="N447" s="4">
        <f>IF(L447="","",IF(OR(Registro2[[#This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47" t="str">
        <f t="shared" si="6"/>
        <v>fev/25</v>
      </c>
      <c r="P447" t="str">
        <f>IF(Registro2[[#This Row],[Data de Pagamento]]&gt;0,TEXT(A447,"mmm/aa"),"")</f>
        <v>fev/25</v>
      </c>
      <c r="T447" s="4">
        <f>IF(Registro2[[#This Row],[Data de Pagamento]]="",0,IF(Registro2[[#This Row],[Conta Financeira]]=base!$A$6,0,Registro2[[#This Row],[Valor Unitário]]))</f>
        <v>35</v>
      </c>
      <c r="U4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47" t="str">
        <f>VLOOKUP(Registro2[[#This Row],[Categoria]],'Plano de Contas'!$V$3:W510,2,0)</f>
        <v>Receitas Serviços</v>
      </c>
      <c r="X44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447" t="s">
        <v>1536</v>
      </c>
    </row>
    <row r="448" spans="1:25" hidden="1">
      <c r="A448" s="1">
        <v>45713.875</v>
      </c>
      <c r="B448" s="1">
        <v>45713.875</v>
      </c>
      <c r="D448" t="s">
        <v>310</v>
      </c>
      <c r="E448" t="s">
        <v>149</v>
      </c>
      <c r="F448" t="s">
        <v>152</v>
      </c>
      <c r="G448" t="s">
        <v>159</v>
      </c>
      <c r="I448" s="4">
        <v>40</v>
      </c>
      <c r="J448" s="4">
        <v>40</v>
      </c>
      <c r="L448" t="s">
        <v>264</v>
      </c>
      <c r="M448" t="s">
        <v>286</v>
      </c>
      <c r="N448" s="4">
        <f>IF(L448="","",IF(OR(Registro2[[#This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448" t="str">
        <f t="shared" si="6"/>
        <v>fev/25</v>
      </c>
      <c r="P448" t="str">
        <f>IF(Registro2[[#This Row],[Data de Pagamento]]&gt;0,TEXT(A448,"mmm/aa"),"")</f>
        <v>fev/25</v>
      </c>
      <c r="T448" s="4">
        <f>IF(Registro2[[#This Row],[Data de Pagamento]]="",0,IF(Registro2[[#This Row],[Conta Financeira]]=base!$A$6,0,Registro2[[#This Row],[Valor Unitário]]))</f>
        <v>40</v>
      </c>
      <c r="U4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48" t="str">
        <f>VLOOKUP(Registro2[[#This Row],[Categoria]],'Plano de Contas'!$V$3:W507,2,0)</f>
        <v>Receitas Serviços</v>
      </c>
      <c r="X44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0.35599999999999998</v>
      </c>
      <c r="Y448" t="s">
        <v>1536</v>
      </c>
    </row>
    <row r="449" spans="1:25" hidden="1">
      <c r="A449" s="1">
        <v>45714.569444444445</v>
      </c>
      <c r="B449" s="1">
        <v>45714.569444444445</v>
      </c>
      <c r="D449" t="s">
        <v>1</v>
      </c>
      <c r="E449" t="s">
        <v>149</v>
      </c>
      <c r="F449" t="s">
        <v>147</v>
      </c>
      <c r="G449" t="s">
        <v>163</v>
      </c>
      <c r="I449" s="4">
        <v>35</v>
      </c>
      <c r="J449" s="4">
        <v>105</v>
      </c>
      <c r="L449" t="s">
        <v>253</v>
      </c>
      <c r="M449" t="s">
        <v>268</v>
      </c>
      <c r="N449" s="4">
        <f>IF(L449="","",IF(OR(Registro2[[#This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49" t="str">
        <f t="shared" si="6"/>
        <v>fev/25</v>
      </c>
      <c r="P449" t="str">
        <f>IF(Registro2[[#This Row],[Data de Pagamento]]&gt;0,TEXT(A449,"mmm/aa"),"")</f>
        <v>fev/25</v>
      </c>
      <c r="T449" s="4">
        <f>IF(Registro2[[#This Row],[Data de Pagamento]]="",0,IF(Registro2[[#This Row],[Conta Financeira]]=base!$A$6,0,Registro2[[#This Row],[Valor Unitário]]))</f>
        <v>35</v>
      </c>
      <c r="U4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49" t="str">
        <f>VLOOKUP(Registro2[[#This Row],[Categoria]],'Plano de Contas'!$V$3:W513,2,0)</f>
        <v>Receitas Serviços</v>
      </c>
      <c r="X44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49" t="s">
        <v>1536</v>
      </c>
    </row>
    <row r="450" spans="1:25" hidden="1">
      <c r="A450" s="1">
        <v>45714.569444444445</v>
      </c>
      <c r="B450" s="1">
        <v>45714.569444444445</v>
      </c>
      <c r="D450" t="s">
        <v>1</v>
      </c>
      <c r="E450" t="s">
        <v>149</v>
      </c>
      <c r="F450" t="s">
        <v>152</v>
      </c>
      <c r="G450" t="s">
        <v>306</v>
      </c>
      <c r="I450" s="4">
        <v>50</v>
      </c>
      <c r="J450" s="4"/>
      <c r="L450" t="s">
        <v>253</v>
      </c>
      <c r="M450" t="s">
        <v>268</v>
      </c>
      <c r="N450" s="4">
        <f>IF(L450="","",IF(OR(Registro2[[#This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450" t="str">
        <f t="shared" ref="O450:O513" si="7">TEXT(B450,"mmm/aa")</f>
        <v>fev/25</v>
      </c>
      <c r="P450" t="str">
        <f>IF(Registro2[[#This Row],[Data de Pagamento]]&gt;0,TEXT(A450,"mmm/aa"),"")</f>
        <v>fev/25</v>
      </c>
      <c r="T450" s="4">
        <f>IF(Registro2[[#This Row],[Data de Pagamento]]="",0,IF(Registro2[[#This Row],[Conta Financeira]]=base!$A$6,0,Registro2[[#This Row],[Valor Unitário]]))</f>
        <v>50</v>
      </c>
      <c r="U4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50" t="str">
        <f>VLOOKUP(Registro2[[#This Row],[Categoria]],'Plano de Contas'!$V$3:W514,2,0)</f>
        <v>Receitas Serviços</v>
      </c>
      <c r="X45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50" t="s">
        <v>1536</v>
      </c>
    </row>
    <row r="451" spans="1:25" hidden="1">
      <c r="A451" s="1">
        <v>45714.569444444445</v>
      </c>
      <c r="B451" s="1">
        <v>45714.569444444445</v>
      </c>
      <c r="D451" t="s">
        <v>1</v>
      </c>
      <c r="E451" t="s">
        <v>149</v>
      </c>
      <c r="F451" t="s">
        <v>150</v>
      </c>
      <c r="G451" t="s">
        <v>508</v>
      </c>
      <c r="I451" s="4">
        <v>20</v>
      </c>
      <c r="J451" s="4"/>
      <c r="L451" t="s">
        <v>253</v>
      </c>
      <c r="M451" t="s">
        <v>268</v>
      </c>
      <c r="N451" s="4">
        <f>IF(L451="","",IF(OR(Registro2[[#This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8</v>
      </c>
      <c r="O451" t="str">
        <f t="shared" si="7"/>
        <v>fev/25</v>
      </c>
      <c r="P451" t="str">
        <f>IF(Registro2[[#This Row],[Data de Pagamento]]&gt;0,TEXT(A451,"mmm/aa"),"")</f>
        <v>fev/25</v>
      </c>
      <c r="T451" s="4">
        <f>IF(Registro2[[#This Row],[Data de Pagamento]]="",0,IF(Registro2[[#This Row],[Conta Financeira]]=base!$A$6,0,Registro2[[#This Row],[Valor Unitário]]))</f>
        <v>20</v>
      </c>
      <c r="U4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51" t="str">
        <f>VLOOKUP(Registro2[[#This Row],[Categoria]],'Plano de Contas'!$V$3:W515,2,0)</f>
        <v>Receitas Produtos</v>
      </c>
      <c r="X45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51" t="s">
        <v>1536</v>
      </c>
    </row>
    <row r="452" spans="1:25" hidden="1">
      <c r="A452" s="1">
        <v>45714.604166666664</v>
      </c>
      <c r="B452" s="1">
        <v>45714.604166666664</v>
      </c>
      <c r="D452" t="s">
        <v>1</v>
      </c>
      <c r="E452" t="s">
        <v>149</v>
      </c>
      <c r="F452" t="s">
        <v>152</v>
      </c>
      <c r="G452" t="s">
        <v>353</v>
      </c>
      <c r="I452" s="4">
        <v>55</v>
      </c>
      <c r="J452" s="4">
        <v>55</v>
      </c>
      <c r="L452" t="s">
        <v>264</v>
      </c>
      <c r="M452" t="s">
        <v>1026</v>
      </c>
      <c r="N452" s="4">
        <f>IF(L452="","",IF(OR(Registro2[[#This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452" t="str">
        <f t="shared" si="7"/>
        <v>fev/25</v>
      </c>
      <c r="P452" t="str">
        <f>IF(Registro2[[#This Row],[Data de Pagamento]]&gt;0,TEXT(A452,"mmm/aa"),"")</f>
        <v>fev/25</v>
      </c>
      <c r="T452" s="4">
        <f>IF(Registro2[[#This Row],[Data de Pagamento]]="",0,IF(Registro2[[#This Row],[Conta Financeira]]=base!$A$6,0,Registro2[[#This Row],[Valor Unitário]]))</f>
        <v>55</v>
      </c>
      <c r="U4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52" t="str">
        <f>VLOOKUP(Registro2[[#This Row],[Categoria]],'Plano de Contas'!$V$3:W522,2,0)</f>
        <v>Receitas Serviços</v>
      </c>
      <c r="X45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52" t="s">
        <v>1536</v>
      </c>
    </row>
    <row r="453" spans="1:25" hidden="1">
      <c r="A453" s="1">
        <v>45714.666666666664</v>
      </c>
      <c r="B453" s="1">
        <v>45714.666666666664</v>
      </c>
      <c r="D453" t="s">
        <v>2</v>
      </c>
      <c r="E453" t="s">
        <v>149</v>
      </c>
      <c r="F453" t="s">
        <v>152</v>
      </c>
      <c r="G453" t="s">
        <v>159</v>
      </c>
      <c r="I453" s="4">
        <v>40</v>
      </c>
      <c r="J453" s="4">
        <v>40</v>
      </c>
      <c r="L453" t="s">
        <v>264</v>
      </c>
      <c r="M453" t="s">
        <v>1023</v>
      </c>
      <c r="N453" s="4">
        <f>IF(L453="","",IF(OR(Registro2[[#This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453" t="str">
        <f t="shared" si="7"/>
        <v>fev/25</v>
      </c>
      <c r="P453" t="str">
        <f>IF(Registro2[[#This Row],[Data de Pagamento]]&gt;0,TEXT(A453,"mmm/aa"),"")</f>
        <v>fev/25</v>
      </c>
      <c r="T453" s="4">
        <f>IF(Registro2[[#This Row],[Data de Pagamento]]="",0,IF(Registro2[[#This Row],[Conta Financeira]]=base!$A$6,0,Registro2[[#This Row],[Valor Unitário]]))</f>
        <v>40</v>
      </c>
      <c r="U4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53" t="str">
        <f>VLOOKUP(Registro2[[#This Row],[Categoria]],'Plano de Contas'!$V$3:W520,2,0)</f>
        <v>Receitas Serviços</v>
      </c>
      <c r="X45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53" t="s">
        <v>1536</v>
      </c>
    </row>
    <row r="454" spans="1:25" hidden="1">
      <c r="A454" s="1">
        <v>45714.677083333336</v>
      </c>
      <c r="B454" s="1">
        <v>45714.677083333336</v>
      </c>
      <c r="D454" t="s">
        <v>1</v>
      </c>
      <c r="E454" t="s">
        <v>149</v>
      </c>
      <c r="F454" t="s">
        <v>147</v>
      </c>
      <c r="G454" t="s">
        <v>163</v>
      </c>
      <c r="I454" s="4">
        <v>35</v>
      </c>
      <c r="J454" s="4">
        <v>35</v>
      </c>
      <c r="L454" t="s">
        <v>253</v>
      </c>
      <c r="M454" t="s">
        <v>63</v>
      </c>
      <c r="N454" s="4">
        <f>IF(L454="","",IF(OR(Registro2[[#This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54" t="str">
        <f t="shared" si="7"/>
        <v>fev/25</v>
      </c>
      <c r="P454" t="str">
        <f>IF(Registro2[[#This Row],[Data de Pagamento]]&gt;0,TEXT(A454,"mmm/aa"),"")</f>
        <v>fev/25</v>
      </c>
      <c r="T454" s="4">
        <f>IF(Registro2[[#This Row],[Data de Pagamento]]="",0,IF(Registro2[[#This Row],[Conta Financeira]]=base!$A$6,0,Registro2[[#This Row],[Valor Unitário]]))</f>
        <v>35</v>
      </c>
      <c r="U4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54" t="str">
        <f>VLOOKUP(Registro2[[#This Row],[Categoria]],'Plano de Contas'!$V$3:W518,2,0)</f>
        <v>Receitas Serviços</v>
      </c>
      <c r="X45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54" t="s">
        <v>1536</v>
      </c>
    </row>
    <row r="455" spans="1:25" hidden="1">
      <c r="A455" s="1">
        <v>45714.6875</v>
      </c>
      <c r="B455" s="1">
        <v>45714.6875</v>
      </c>
      <c r="D455" t="s">
        <v>1</v>
      </c>
      <c r="E455" t="s">
        <v>149</v>
      </c>
      <c r="F455" t="s">
        <v>147</v>
      </c>
      <c r="G455" t="s">
        <v>160</v>
      </c>
      <c r="I455" s="4">
        <v>12</v>
      </c>
      <c r="J455" s="4">
        <v>15</v>
      </c>
      <c r="L455" t="s">
        <v>264</v>
      </c>
      <c r="M455" t="s">
        <v>1028</v>
      </c>
      <c r="N455" s="4">
        <f>IF(L455="","",IF(OR(Registro2[[#This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455" t="str">
        <f t="shared" si="7"/>
        <v>fev/25</v>
      </c>
      <c r="P455" t="str">
        <f>IF(Registro2[[#This Row],[Data de Pagamento]]&gt;0,TEXT(A455,"mmm/aa"),"")</f>
        <v>fev/25</v>
      </c>
      <c r="T455" s="4">
        <f>IF(Registro2[[#This Row],[Data de Pagamento]]="",0,IF(Registro2[[#This Row],[Conta Financeira]]=base!$A$6,0,Registro2[[#This Row],[Valor Unitário]]))</f>
        <v>12</v>
      </c>
      <c r="U4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55" t="str">
        <f>VLOOKUP(Registro2[[#This Row],[Categoria]],'Plano de Contas'!$V$3:W523,2,0)</f>
        <v>Receitas Serviços</v>
      </c>
      <c r="X4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55" t="s">
        <v>1536</v>
      </c>
    </row>
    <row r="456" spans="1:25" hidden="1">
      <c r="A456" s="1">
        <v>45714.6875</v>
      </c>
      <c r="B456" s="1">
        <v>45714.6875</v>
      </c>
      <c r="D456" t="s">
        <v>1</v>
      </c>
      <c r="E456" t="s">
        <v>149</v>
      </c>
      <c r="F456" t="s">
        <v>910</v>
      </c>
      <c r="G456" t="s">
        <v>910</v>
      </c>
      <c r="I456" s="4">
        <v>3</v>
      </c>
      <c r="J456" s="4"/>
      <c r="L456" t="s">
        <v>264</v>
      </c>
      <c r="M456" t="s">
        <v>1028</v>
      </c>
      <c r="N456" s="4" t="str">
        <f>IF(L456="","",IF(OR(Registro2[[#This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456" t="str">
        <f t="shared" si="7"/>
        <v>fev/25</v>
      </c>
      <c r="P456" t="str">
        <f>IF(Registro2[[#This Row],[Data de Pagamento]]&gt;0,TEXT(A456,"mmm/aa"),"")</f>
        <v>fev/25</v>
      </c>
      <c r="T456" s="4">
        <f>IF(Registro2[[#This Row],[Data de Pagamento]]="",0,IF(Registro2[[#This Row],[Conta Financeira]]=base!$A$6,0,Registro2[[#This Row],[Valor Unitário]]))</f>
        <v>3</v>
      </c>
      <c r="U4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56" t="str">
        <f>VLOOKUP(Registro2[[#This Row],[Categoria]],'Plano de Contas'!$V$3:W524,2,0)</f>
        <v>Outras Receitas</v>
      </c>
      <c r="X45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56" t="s">
        <v>1536</v>
      </c>
    </row>
    <row r="457" spans="1:25" hidden="1">
      <c r="A457" s="1">
        <v>45714.708333333336</v>
      </c>
      <c r="B457" s="1">
        <v>45714.708333333336</v>
      </c>
      <c r="D457" t="s">
        <v>1</v>
      </c>
      <c r="E457" t="s">
        <v>149</v>
      </c>
      <c r="F457" t="s">
        <v>147</v>
      </c>
      <c r="G457" t="s">
        <v>163</v>
      </c>
      <c r="I457" s="4">
        <v>35</v>
      </c>
      <c r="J457" s="4">
        <v>35</v>
      </c>
      <c r="L457" t="s">
        <v>253</v>
      </c>
      <c r="M457" t="s">
        <v>8</v>
      </c>
      <c r="N457" s="4">
        <f>IF(L457="","",IF(OR(Registro2[[#This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57" t="str">
        <f t="shared" si="7"/>
        <v>fev/25</v>
      </c>
      <c r="P457" t="str">
        <f>IF(Registro2[[#This Row],[Data de Pagamento]]&gt;0,TEXT(A457,"mmm/aa"),"")</f>
        <v>fev/25</v>
      </c>
      <c r="T457" s="4">
        <f>IF(Registro2[[#This Row],[Data de Pagamento]]="",0,IF(Registro2[[#This Row],[Conta Financeira]]=base!$A$6,0,Registro2[[#This Row],[Valor Unitário]]))</f>
        <v>35</v>
      </c>
      <c r="U4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57" t="str">
        <f>VLOOKUP(Registro2[[#This Row],[Categoria]],'Plano de Contas'!$V$3:W521,2,0)</f>
        <v>Receitas Serviços</v>
      </c>
      <c r="X4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57" t="s">
        <v>1536</v>
      </c>
    </row>
    <row r="458" spans="1:25" hidden="1">
      <c r="A458" s="1">
        <v>45714.71875</v>
      </c>
      <c r="B458" s="1">
        <v>45714.71875</v>
      </c>
      <c r="D458" t="s">
        <v>2</v>
      </c>
      <c r="E458" t="s">
        <v>149</v>
      </c>
      <c r="F458" t="s">
        <v>147</v>
      </c>
      <c r="G458" t="s">
        <v>163</v>
      </c>
      <c r="I458" s="4">
        <v>35</v>
      </c>
      <c r="J458" s="4">
        <v>70</v>
      </c>
      <c r="L458" t="s">
        <v>253</v>
      </c>
      <c r="M458" t="s">
        <v>201</v>
      </c>
      <c r="N458" s="4">
        <f>IF(L458="","",IF(OR(Registro2[[#This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58" t="str">
        <f t="shared" si="7"/>
        <v>fev/25</v>
      </c>
      <c r="P458" t="str">
        <f>IF(Registro2[[#This Row],[Data de Pagamento]]&gt;0,TEXT(A458,"mmm/aa"),"")</f>
        <v>fev/25</v>
      </c>
      <c r="T458" s="4">
        <f>IF(Registro2[[#This Row],[Data de Pagamento]]="",0,IF(Registro2[[#This Row],[Conta Financeira]]=base!$A$6,0,Registro2[[#This Row],[Valor Unitário]]))</f>
        <v>35</v>
      </c>
      <c r="U4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58" t="str">
        <f>VLOOKUP(Registro2[[#This Row],[Categoria]],'Plano de Contas'!$V$3:W502,2,0)</f>
        <v>Receitas Serviços</v>
      </c>
      <c r="X4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58" t="s">
        <v>1536</v>
      </c>
    </row>
    <row r="459" spans="1:25" hidden="1">
      <c r="A459" s="1">
        <v>45714.71875</v>
      </c>
      <c r="B459" s="1">
        <v>45714.71875</v>
      </c>
      <c r="D459" t="s">
        <v>2</v>
      </c>
      <c r="E459" t="s">
        <v>149</v>
      </c>
      <c r="F459" t="s">
        <v>147</v>
      </c>
      <c r="G459" t="s">
        <v>163</v>
      </c>
      <c r="I459" s="4">
        <v>35</v>
      </c>
      <c r="J459" s="4"/>
      <c r="L459" t="s">
        <v>264</v>
      </c>
      <c r="M459" t="s">
        <v>201</v>
      </c>
      <c r="N459" s="4">
        <f>IF(L459="","",IF(OR(Registro2[[#This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59" t="str">
        <f t="shared" si="7"/>
        <v>fev/25</v>
      </c>
      <c r="P459" t="str">
        <f>IF(Registro2[[#This Row],[Data de Pagamento]]&gt;0,TEXT(A459,"mmm/aa"),"")</f>
        <v>fev/25</v>
      </c>
      <c r="T459" s="4">
        <f>IF(Registro2[[#This Row],[Data de Pagamento]]="",0,IF(Registro2[[#This Row],[Conta Financeira]]=base!$A$6,0,Registro2[[#This Row],[Valor Unitário]]))</f>
        <v>35</v>
      </c>
      <c r="U4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59" t="str">
        <f>VLOOKUP(Registro2[[#This Row],[Categoria]],'Plano de Contas'!$V$3:W503,2,0)</f>
        <v>Receitas Serviços</v>
      </c>
      <c r="X45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59" t="s">
        <v>1536</v>
      </c>
    </row>
    <row r="460" spans="1:25" hidden="1">
      <c r="A460" s="1">
        <v>45714.71875</v>
      </c>
      <c r="B460" s="1">
        <v>45714.71875</v>
      </c>
      <c r="D460" t="s">
        <v>2</v>
      </c>
      <c r="E460" t="s">
        <v>149</v>
      </c>
      <c r="F460" t="s">
        <v>152</v>
      </c>
      <c r="G460" t="s">
        <v>353</v>
      </c>
      <c r="I460" s="4">
        <v>55</v>
      </c>
      <c r="J460" s="4">
        <v>55</v>
      </c>
      <c r="L460" t="s">
        <v>264</v>
      </c>
      <c r="M460" t="s">
        <v>1019</v>
      </c>
      <c r="N460" s="4">
        <f>IF(L460="","",IF(OR(Registro2[[#This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460" t="str">
        <f t="shared" si="7"/>
        <v>fev/25</v>
      </c>
      <c r="P460" t="str">
        <f>IF(Registro2[[#This Row],[Data de Pagamento]]&gt;0,TEXT(A460,"mmm/aa"),"")</f>
        <v>fev/25</v>
      </c>
      <c r="T460" s="4">
        <f>IF(Registro2[[#This Row],[Data de Pagamento]]="",0,IF(Registro2[[#This Row],[Conta Financeira]]=base!$A$6,0,Registro2[[#This Row],[Valor Unitário]]))</f>
        <v>55</v>
      </c>
      <c r="U4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60" t="str">
        <f>VLOOKUP(Registro2[[#This Row],[Categoria]],'Plano de Contas'!$V$3:W517,2,0)</f>
        <v>Receitas Serviços</v>
      </c>
      <c r="X4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60" t="s">
        <v>1536</v>
      </c>
    </row>
    <row r="461" spans="1:25" hidden="1">
      <c r="A461" s="1">
        <v>45714.760416666664</v>
      </c>
      <c r="B461" s="1">
        <v>45714.760416666664</v>
      </c>
      <c r="D461" t="s">
        <v>1</v>
      </c>
      <c r="E461" t="s">
        <v>149</v>
      </c>
      <c r="F461" t="s">
        <v>152</v>
      </c>
      <c r="G461" t="s">
        <v>353</v>
      </c>
      <c r="I461" s="4">
        <v>48.33</v>
      </c>
      <c r="J461" s="4">
        <v>0</v>
      </c>
      <c r="L461" t="s">
        <v>253</v>
      </c>
      <c r="M461" t="s">
        <v>183</v>
      </c>
      <c r="N461" s="4">
        <f>IF(L461="","",IF(OR(Registro2[[#This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21.7485</v>
      </c>
      <c r="O461" t="str">
        <f t="shared" si="7"/>
        <v>fev/25</v>
      </c>
      <c r="P461" t="str">
        <f>IF(Registro2[[#This Row],[Data de Pagamento]]&gt;0,TEXT(A461,"mmm/aa"),"")</f>
        <v>fev/25</v>
      </c>
      <c r="T461" s="4">
        <f>IF(Registro2[[#This Row],[Data de Pagamento]]="",0,IF(Registro2[[#This Row],[Conta Financeira]]=base!$A$6,0,Registro2[[#This Row],[Valor Unitário]]))</f>
        <v>48.33</v>
      </c>
      <c r="U4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461" t="str">
        <f>VLOOKUP(Registro2[[#This Row],[Categoria]],'Plano de Contas'!$V$3:W511,2,0)</f>
        <v>Receitas Serviços</v>
      </c>
      <c r="X4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61" t="s">
        <v>1536</v>
      </c>
    </row>
    <row r="462" spans="1:25" hidden="1">
      <c r="A462" s="1">
        <v>45714.770833333336</v>
      </c>
      <c r="B462" s="1">
        <v>45714.770833333336</v>
      </c>
      <c r="D462" t="s">
        <v>310</v>
      </c>
      <c r="E462" t="s">
        <v>149</v>
      </c>
      <c r="F462" t="s">
        <v>147</v>
      </c>
      <c r="G462" t="s">
        <v>162</v>
      </c>
      <c r="I462" s="4">
        <v>15</v>
      </c>
      <c r="J462" s="4">
        <v>15</v>
      </c>
      <c r="L462" t="s">
        <v>253</v>
      </c>
      <c r="M462" t="s">
        <v>120</v>
      </c>
      <c r="N462" s="4">
        <f>IF(L462="","",IF(OR(Registro2[[#This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462" t="str">
        <f t="shared" si="7"/>
        <v>fev/25</v>
      </c>
      <c r="P462" t="str">
        <f>IF(Registro2[[#This Row],[Data de Pagamento]]&gt;0,TEXT(A462,"mmm/aa"),"")</f>
        <v>fev/25</v>
      </c>
      <c r="T462" s="4">
        <f>IF(Registro2[[#This Row],[Data de Pagamento]]="",0,IF(Registro2[[#This Row],[Conta Financeira]]=base!$A$6,0,Registro2[[#This Row],[Valor Unitário]]))</f>
        <v>15</v>
      </c>
      <c r="U4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62" t="str">
        <f>VLOOKUP(Registro2[[#This Row],[Categoria]],'Plano de Contas'!$V$3:W525,2,0)</f>
        <v>Receitas Serviços</v>
      </c>
      <c r="X46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  <c r="Y462" t="s">
        <v>1536</v>
      </c>
    </row>
    <row r="463" spans="1:25" hidden="1">
      <c r="A463" s="1">
        <v>45714.8125</v>
      </c>
      <c r="B463" s="1">
        <v>45714.8125</v>
      </c>
      <c r="D463" t="s">
        <v>2</v>
      </c>
      <c r="E463" t="s">
        <v>149</v>
      </c>
      <c r="F463" t="s">
        <v>147</v>
      </c>
      <c r="G463" t="s">
        <v>163</v>
      </c>
      <c r="I463" s="4">
        <v>35</v>
      </c>
      <c r="J463" s="4">
        <v>35</v>
      </c>
      <c r="L463" t="s">
        <v>253</v>
      </c>
      <c r="M463" t="s">
        <v>485</v>
      </c>
      <c r="N463" s="4">
        <f>IF(L463="","",IF(OR(Registro2[[#This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63" t="str">
        <f t="shared" si="7"/>
        <v>fev/25</v>
      </c>
      <c r="P463" t="str">
        <f>IF(Registro2[[#This Row],[Data de Pagamento]]&gt;0,TEXT(A463,"mmm/aa"),"")</f>
        <v>fev/25</v>
      </c>
      <c r="T463" s="4">
        <f>IF(Registro2[[#This Row],[Data de Pagamento]]="",0,IF(Registro2[[#This Row],[Conta Financeira]]=base!$A$6,0,Registro2[[#This Row],[Valor Unitário]]))</f>
        <v>35</v>
      </c>
      <c r="U4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63" t="str">
        <f>VLOOKUP(Registro2[[#This Row],[Categoria]],'Plano de Contas'!$V$3:W512,2,0)</f>
        <v>Receitas Serviços</v>
      </c>
      <c r="X46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63" t="s">
        <v>1536</v>
      </c>
    </row>
    <row r="464" spans="1:25" hidden="1">
      <c r="A464" s="1">
        <v>45714.815972222219</v>
      </c>
      <c r="B464" s="1">
        <v>45714.815972222219</v>
      </c>
      <c r="D464" t="s">
        <v>354</v>
      </c>
      <c r="E464" t="s">
        <v>149</v>
      </c>
      <c r="F464" t="s">
        <v>147</v>
      </c>
      <c r="G464" t="s">
        <v>163</v>
      </c>
      <c r="I464" s="4">
        <v>35</v>
      </c>
      <c r="J464" s="4">
        <v>35</v>
      </c>
      <c r="L464" t="s">
        <v>253</v>
      </c>
      <c r="M464" t="s">
        <v>1031</v>
      </c>
      <c r="N464" s="4">
        <f>IF(L464="","",IF(OR(Registro2[[#This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64" t="str">
        <f t="shared" si="7"/>
        <v>fev/25</v>
      </c>
      <c r="P464" t="str">
        <f>IF(Registro2[[#This Row],[Data de Pagamento]]&gt;0,TEXT(A464,"mmm/aa"),"")</f>
        <v>fev/25</v>
      </c>
      <c r="T464" s="4">
        <f>IF(Registro2[[#This Row],[Data de Pagamento]]="",0,IF(Registro2[[#This Row],[Conta Financeira]]=base!$A$6,0,Registro2[[#This Row],[Valor Unitário]]))</f>
        <v>35</v>
      </c>
      <c r="U4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64" t="str">
        <f>VLOOKUP(Registro2[[#This Row],[Categoria]],'Plano de Contas'!$V$3:W526,2,0)</f>
        <v>Receitas Serviços</v>
      </c>
      <c r="X46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464" t="s">
        <v>1536</v>
      </c>
    </row>
    <row r="465" spans="1:25" hidden="1">
      <c r="A465" s="1">
        <v>45714.84375</v>
      </c>
      <c r="B465" s="1">
        <v>45714.84375</v>
      </c>
      <c r="D465" t="s">
        <v>1</v>
      </c>
      <c r="E465" t="s">
        <v>149</v>
      </c>
      <c r="F465" t="s">
        <v>152</v>
      </c>
      <c r="G465" t="s">
        <v>353</v>
      </c>
      <c r="I465" s="4">
        <v>55</v>
      </c>
      <c r="J465" s="4">
        <v>55</v>
      </c>
      <c r="L465" t="s">
        <v>264</v>
      </c>
      <c r="M465" t="s">
        <v>1033</v>
      </c>
      <c r="N465" s="4">
        <f>IF(L465="","",IF(OR(Registro2[[#This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465" t="str">
        <f t="shared" si="7"/>
        <v>fev/25</v>
      </c>
      <c r="P465" t="str">
        <f>IF(Registro2[[#This Row],[Data de Pagamento]]&gt;0,TEXT(A465,"mmm/aa"),"")</f>
        <v>fev/25</v>
      </c>
      <c r="T465" s="4">
        <f>IF(Registro2[[#This Row],[Data de Pagamento]]="",0,IF(Registro2[[#This Row],[Conta Financeira]]=base!$A$6,0,Registro2[[#This Row],[Valor Unitário]]))</f>
        <v>55</v>
      </c>
      <c r="U4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65" t="str">
        <f>VLOOKUP(Registro2[[#This Row],[Categoria]],'Plano de Contas'!$V$3:W527,2,0)</f>
        <v>Receitas Serviços</v>
      </c>
      <c r="X46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65" t="s">
        <v>1536</v>
      </c>
    </row>
    <row r="466" spans="1:25" hidden="1">
      <c r="A466" s="1">
        <v>45714.864583333336</v>
      </c>
      <c r="B466" s="1">
        <v>45714.864583333336</v>
      </c>
      <c r="D466" t="s">
        <v>1</v>
      </c>
      <c r="E466" t="s">
        <v>149</v>
      </c>
      <c r="F466" t="s">
        <v>152</v>
      </c>
      <c r="G466" t="s">
        <v>159</v>
      </c>
      <c r="I466" s="4">
        <v>40</v>
      </c>
      <c r="J466" s="4">
        <v>40</v>
      </c>
      <c r="L466" t="s">
        <v>253</v>
      </c>
      <c r="M466" t="s">
        <v>783</v>
      </c>
      <c r="N466" s="4">
        <f>IF(L466="","",IF(OR(Registro2[[#This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466" t="str">
        <f t="shared" si="7"/>
        <v>fev/25</v>
      </c>
      <c r="P466" t="str">
        <f>IF(Registro2[[#This Row],[Data de Pagamento]]&gt;0,TEXT(A466,"mmm/aa"),"")</f>
        <v>fev/25</v>
      </c>
      <c r="T466" s="4">
        <f>IF(Registro2[[#This Row],[Data de Pagamento]]="",0,IF(Registro2[[#This Row],[Conta Financeira]]=base!$A$6,0,Registro2[[#This Row],[Valor Unitário]]))</f>
        <v>40</v>
      </c>
      <c r="U4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66" t="str">
        <f>VLOOKUP(Registro2[[#This Row],[Categoria]],'Plano de Contas'!$V$3:W529,2,0)</f>
        <v>Receitas Serviços</v>
      </c>
      <c r="X4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66" t="s">
        <v>1536</v>
      </c>
    </row>
    <row r="467" spans="1:25" hidden="1">
      <c r="A467" s="1">
        <v>45714.892361111109</v>
      </c>
      <c r="B467" s="1">
        <v>45714.892361111109</v>
      </c>
      <c r="D467" t="s">
        <v>310</v>
      </c>
      <c r="E467" t="s">
        <v>149</v>
      </c>
      <c r="F467" t="s">
        <v>152</v>
      </c>
      <c r="G467" t="s">
        <v>353</v>
      </c>
      <c r="I467" s="4">
        <v>55</v>
      </c>
      <c r="J467" s="4">
        <v>55</v>
      </c>
      <c r="L467" t="s">
        <v>264</v>
      </c>
      <c r="M467" t="s">
        <v>1037</v>
      </c>
      <c r="N467" s="4">
        <f>IF(L467="","",IF(OR(Registro2[[#This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467" t="str">
        <f t="shared" si="7"/>
        <v>fev/25</v>
      </c>
      <c r="P467" t="str">
        <f>IF(Registro2[[#This Row],[Data de Pagamento]]&gt;0,TEXT(A467,"mmm/aa"),"")</f>
        <v>fev/25</v>
      </c>
      <c r="T467" s="4">
        <f>IF(Registro2[[#This Row],[Data de Pagamento]]="",0,IF(Registro2[[#This Row],[Conta Financeira]]=base!$A$6,0,Registro2[[#This Row],[Valor Unitário]]))</f>
        <v>55</v>
      </c>
      <c r="U4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67" t="str">
        <f>VLOOKUP(Registro2[[#This Row],[Categoria]],'Plano de Contas'!$V$3:W530,2,0)</f>
        <v>Receitas Serviços</v>
      </c>
      <c r="X46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0.48949999999999999</v>
      </c>
      <c r="Y467" t="s">
        <v>1536</v>
      </c>
    </row>
    <row r="468" spans="1:25" hidden="1">
      <c r="A468" s="1">
        <v>45714.902777777781</v>
      </c>
      <c r="B468" s="1">
        <v>45714.902777777781</v>
      </c>
      <c r="D468" t="s">
        <v>354</v>
      </c>
      <c r="E468" t="s">
        <v>149</v>
      </c>
      <c r="F468" t="s">
        <v>147</v>
      </c>
      <c r="G468" t="s">
        <v>160</v>
      </c>
      <c r="I468" s="4">
        <v>12</v>
      </c>
      <c r="J468" s="4">
        <v>12</v>
      </c>
      <c r="L468" t="s">
        <v>253</v>
      </c>
      <c r="M468" t="s">
        <v>490</v>
      </c>
      <c r="N468" s="4">
        <f>IF(L468="","",IF(OR(Registro2[[#This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468" t="str">
        <f t="shared" si="7"/>
        <v>fev/25</v>
      </c>
      <c r="P468" t="str">
        <f>IF(Registro2[[#This Row],[Data de Pagamento]]&gt;0,TEXT(A468,"mmm/aa"),"")</f>
        <v>fev/25</v>
      </c>
      <c r="T468" s="4">
        <f>IF(Registro2[[#This Row],[Data de Pagamento]]="",0,IF(Registro2[[#This Row],[Conta Financeira]]=base!$A$6,0,Registro2[[#This Row],[Valor Unitário]]))</f>
        <v>12</v>
      </c>
      <c r="U4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68" t="str">
        <f>VLOOKUP(Registro2[[#This Row],[Categoria]],'Plano de Contas'!$V$3:W531,2,0)</f>
        <v>Receitas Serviços</v>
      </c>
      <c r="X46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0.378</v>
      </c>
      <c r="Y468" t="s">
        <v>1536</v>
      </c>
    </row>
    <row r="469" spans="1:25" hidden="1">
      <c r="A469" s="1">
        <v>45715.416666666664</v>
      </c>
      <c r="B469" s="1">
        <v>45715.416666666664</v>
      </c>
      <c r="D469" t="s">
        <v>1</v>
      </c>
      <c r="E469" t="s">
        <v>149</v>
      </c>
      <c r="F469" t="s">
        <v>147</v>
      </c>
      <c r="G469" t="s">
        <v>163</v>
      </c>
      <c r="I469" s="4">
        <v>30</v>
      </c>
      <c r="J469" s="4">
        <v>30</v>
      </c>
      <c r="L469" t="s">
        <v>252</v>
      </c>
      <c r="M469" t="s">
        <v>364</v>
      </c>
      <c r="N469" s="4">
        <f>IF(L469="","",IF(OR(Registro2[[#This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469" t="str">
        <f t="shared" si="7"/>
        <v>fev/25</v>
      </c>
      <c r="P469" t="str">
        <f>IF(Registro2[[#This Row],[Data de Pagamento]]&gt;0,TEXT(A469,"mmm/aa"),"")</f>
        <v>fev/25</v>
      </c>
      <c r="T469" s="4">
        <f>IF(Registro2[[#This Row],[Data de Pagamento]]="",0,IF(Registro2[[#This Row],[Conta Financeira]]=base!$A$6,0,Registro2[[#This Row],[Valor Unitário]]))</f>
        <v>30</v>
      </c>
      <c r="U4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69" t="str">
        <f>VLOOKUP(Registro2[[#This Row],[Categoria]],'Plano de Contas'!$V$3:W493,2,0)</f>
        <v>Receitas Serviços</v>
      </c>
      <c r="X46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69" t="s">
        <v>1536</v>
      </c>
    </row>
    <row r="470" spans="1:25" hidden="1">
      <c r="A470" s="1">
        <v>45715.4375</v>
      </c>
      <c r="B470" s="1">
        <v>45715.4375</v>
      </c>
      <c r="D470" t="s">
        <v>1</v>
      </c>
      <c r="E470" t="s">
        <v>149</v>
      </c>
      <c r="F470" t="s">
        <v>147</v>
      </c>
      <c r="G470" t="s">
        <v>163</v>
      </c>
      <c r="I470" s="4">
        <v>35</v>
      </c>
      <c r="J470" s="4">
        <v>35</v>
      </c>
      <c r="L470" t="s">
        <v>252</v>
      </c>
      <c r="M470" t="s">
        <v>798</v>
      </c>
      <c r="N470" s="4">
        <f>IF(L470="","",IF(OR(Registro2[[#This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70" t="str">
        <f t="shared" si="7"/>
        <v>fev/25</v>
      </c>
      <c r="P470" t="str">
        <f>IF(Registro2[[#This Row],[Data de Pagamento]]&gt;0,TEXT(A470,"mmm/aa"),"")</f>
        <v>fev/25</v>
      </c>
      <c r="T470" s="4">
        <f>IF(Registro2[[#This Row],[Data de Pagamento]]="",0,IF(Registro2[[#This Row],[Conta Financeira]]=base!$A$6,0,Registro2[[#This Row],[Valor Unitário]]))</f>
        <v>35</v>
      </c>
      <c r="U4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70" t="str">
        <f>VLOOKUP(Registro2[[#This Row],[Categoria]],'Plano de Contas'!$V$3:W528,2,0)</f>
        <v>Receitas Serviços</v>
      </c>
      <c r="X47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70" t="s">
        <v>1536</v>
      </c>
    </row>
    <row r="471" spans="1:25" hidden="1">
      <c r="A471" s="1">
        <v>45715.4375</v>
      </c>
      <c r="B471" s="1">
        <v>45715.4375</v>
      </c>
      <c r="D471" t="s">
        <v>1</v>
      </c>
      <c r="E471" t="s">
        <v>149</v>
      </c>
      <c r="F471" t="s">
        <v>152</v>
      </c>
      <c r="G471" t="s">
        <v>353</v>
      </c>
      <c r="I471" s="4">
        <v>55</v>
      </c>
      <c r="J471" s="4">
        <v>55</v>
      </c>
      <c r="L471" t="s">
        <v>253</v>
      </c>
      <c r="M471" t="s">
        <v>298</v>
      </c>
      <c r="N471" s="4">
        <f>IF(L471="","",IF(OR(Registro2[[#This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471" t="str">
        <f t="shared" si="7"/>
        <v>fev/25</v>
      </c>
      <c r="P471" t="str">
        <f>IF(Registro2[[#This Row],[Data de Pagamento]]&gt;0,TEXT(A471,"mmm/aa"),"")</f>
        <v>fev/25</v>
      </c>
      <c r="T471" s="4">
        <f>IF(Registro2[[#This Row],[Data de Pagamento]]="",0,IF(Registro2[[#This Row],[Conta Financeira]]=base!$A$6,0,Registro2[[#This Row],[Valor Unitário]]))</f>
        <v>55</v>
      </c>
      <c r="U4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71" t="str">
        <f>VLOOKUP(Registro2[[#This Row],[Categoria]],'Plano de Contas'!$V$3:W535,2,0)</f>
        <v>Receitas Serviços</v>
      </c>
      <c r="X47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71" t="s">
        <v>1536</v>
      </c>
    </row>
    <row r="472" spans="1:25" hidden="1">
      <c r="A472" s="1">
        <v>45715.458333333336</v>
      </c>
      <c r="B472" s="1">
        <v>45715.458333333336</v>
      </c>
      <c r="D472" t="s">
        <v>2</v>
      </c>
      <c r="E472" t="s">
        <v>149</v>
      </c>
      <c r="F472" t="s">
        <v>147</v>
      </c>
      <c r="G472" t="s">
        <v>163</v>
      </c>
      <c r="I472" s="4">
        <v>35</v>
      </c>
      <c r="J472" s="4">
        <v>35</v>
      </c>
      <c r="L472" t="s">
        <v>252</v>
      </c>
      <c r="M472" t="s">
        <v>1054</v>
      </c>
      <c r="N472" s="4">
        <f>IF(L472="","",IF(OR(Registro2[[#This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72" t="str">
        <f t="shared" si="7"/>
        <v>fev/25</v>
      </c>
      <c r="P472" t="str">
        <f>IF(Registro2[[#This Row],[Data de Pagamento]]&gt;0,TEXT(A472,"mmm/aa"),"")</f>
        <v>fev/25</v>
      </c>
      <c r="T472" s="4">
        <f>IF(Registro2[[#This Row],[Data de Pagamento]]="",0,IF(Registro2[[#This Row],[Conta Financeira]]=base!$A$6,0,Registro2[[#This Row],[Valor Unitário]]))</f>
        <v>35</v>
      </c>
      <c r="U4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72" t="str">
        <f>VLOOKUP(Registro2[[#This Row],[Categoria]],'Plano de Contas'!$V$3:W544,2,0)</f>
        <v>Receitas Serviços</v>
      </c>
      <c r="X47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72" t="s">
        <v>1536</v>
      </c>
    </row>
    <row r="473" spans="1:25" hidden="1">
      <c r="A473" s="1">
        <v>45715.479166666664</v>
      </c>
      <c r="B473" s="1">
        <v>45715.479166666664</v>
      </c>
      <c r="D473" t="s">
        <v>1</v>
      </c>
      <c r="E473" t="s">
        <v>149</v>
      </c>
      <c r="F473" t="s">
        <v>147</v>
      </c>
      <c r="G473" t="s">
        <v>1046</v>
      </c>
      <c r="I473" s="4">
        <v>20</v>
      </c>
      <c r="J473" s="4">
        <v>30</v>
      </c>
      <c r="L473" t="s">
        <v>252</v>
      </c>
      <c r="M473" t="s">
        <v>398</v>
      </c>
      <c r="N473" s="4">
        <f>IF(L473="","",IF(OR(Registro2[[#This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473" t="str">
        <f t="shared" si="7"/>
        <v>fev/25</v>
      </c>
      <c r="P473" t="str">
        <f>IF(Registro2[[#This Row],[Data de Pagamento]]&gt;0,TEXT(A473,"mmm/aa"),"")</f>
        <v>fev/25</v>
      </c>
      <c r="T473" s="4">
        <f>IF(Registro2[[#This Row],[Data de Pagamento]]="",0,IF(Registro2[[#This Row],[Conta Financeira]]=base!$A$6,0,Registro2[[#This Row],[Valor Unitário]]))</f>
        <v>20</v>
      </c>
      <c r="U4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73" t="str">
        <f>VLOOKUP(Registro2[[#This Row],[Categoria]],'Plano de Contas'!$V$3:W540,2,0)</f>
        <v>Receitas Serviços</v>
      </c>
      <c r="X47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73" t="s">
        <v>1536</v>
      </c>
    </row>
    <row r="474" spans="1:25" hidden="1">
      <c r="A474" s="1">
        <v>45715.482638888891</v>
      </c>
      <c r="B474" s="1">
        <v>45715.482638888891</v>
      </c>
      <c r="D474" t="s">
        <v>1</v>
      </c>
      <c r="E474" t="s">
        <v>149</v>
      </c>
      <c r="F474" t="s">
        <v>152</v>
      </c>
      <c r="G474" t="s">
        <v>353</v>
      </c>
      <c r="I474" s="4">
        <v>55</v>
      </c>
      <c r="J474" s="4">
        <v>55</v>
      </c>
      <c r="L474" t="s">
        <v>253</v>
      </c>
      <c r="M474" t="s">
        <v>1052</v>
      </c>
      <c r="N474" s="4">
        <f>IF(L474="","",IF(OR(Registro2[[#This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474" t="str">
        <f t="shared" si="7"/>
        <v>fev/25</v>
      </c>
      <c r="P474" t="str">
        <f>IF(Registro2[[#This Row],[Data de Pagamento]]&gt;0,TEXT(A474,"mmm/aa"),"")</f>
        <v>fev/25</v>
      </c>
      <c r="T474" s="4">
        <f>IF(Registro2[[#This Row],[Data de Pagamento]]="",0,IF(Registro2[[#This Row],[Conta Financeira]]=base!$A$6,0,Registro2[[#This Row],[Valor Unitário]]))</f>
        <v>55</v>
      </c>
      <c r="U4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74" t="str">
        <f>VLOOKUP(Registro2[[#This Row],[Categoria]],'Plano de Contas'!$V$3:W543,2,0)</f>
        <v>Receitas Serviços</v>
      </c>
      <c r="X47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74" t="s">
        <v>1536</v>
      </c>
    </row>
    <row r="475" spans="1:25" hidden="1">
      <c r="A475" s="1">
        <v>45715.5</v>
      </c>
      <c r="B475" s="1">
        <v>45715.5</v>
      </c>
      <c r="D475" t="s">
        <v>354</v>
      </c>
      <c r="E475" t="s">
        <v>149</v>
      </c>
      <c r="F475" t="s">
        <v>147</v>
      </c>
      <c r="G475" t="s">
        <v>163</v>
      </c>
      <c r="I475" s="4">
        <v>30</v>
      </c>
      <c r="J475" s="4">
        <v>0</v>
      </c>
      <c r="L475" t="s">
        <v>252</v>
      </c>
      <c r="M475" t="s">
        <v>400</v>
      </c>
      <c r="N475" s="4">
        <f>IF(L475="","",IF(OR(Registro2[[#This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475" t="str">
        <f t="shared" si="7"/>
        <v>fev/25</v>
      </c>
      <c r="P475" t="str">
        <f>IF(Registro2[[#This Row],[Data de Pagamento]]&gt;0,TEXT(A475,"mmm/aa"),"")</f>
        <v>fev/25</v>
      </c>
      <c r="T475" s="4">
        <f>IF(Registro2[[#This Row],[Data de Pagamento]]="",0,IF(Registro2[[#This Row],[Conta Financeira]]=base!$A$6,0,Registro2[[#This Row],[Valor Unitário]]))</f>
        <v>30</v>
      </c>
      <c r="U4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475" t="str">
        <f>VLOOKUP(Registro2[[#This Row],[Categoria]],'Plano de Contas'!$V$3:W539,2,0)</f>
        <v>Receitas Serviços</v>
      </c>
      <c r="X47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0.94500000000000006</v>
      </c>
      <c r="Y475" t="s">
        <v>1536</v>
      </c>
    </row>
    <row r="476" spans="1:25" hidden="1">
      <c r="A476" s="1">
        <v>45715.53125</v>
      </c>
      <c r="B476" s="1">
        <v>45715.53125</v>
      </c>
      <c r="D476" t="s">
        <v>2</v>
      </c>
      <c r="E476" t="s">
        <v>149</v>
      </c>
      <c r="F476" t="s">
        <v>147</v>
      </c>
      <c r="G476" t="s">
        <v>163</v>
      </c>
      <c r="I476" s="4">
        <v>35</v>
      </c>
      <c r="J476" s="4">
        <v>35</v>
      </c>
      <c r="L476" t="s">
        <v>253</v>
      </c>
      <c r="M476" t="s">
        <v>1058</v>
      </c>
      <c r="N476" s="4">
        <f>IF(L476="","",IF(OR(Registro2[[#This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76" t="str">
        <f t="shared" si="7"/>
        <v>fev/25</v>
      </c>
      <c r="P476" t="str">
        <f>IF(Registro2[[#This Row],[Data de Pagamento]]&gt;0,TEXT(A476,"mmm/aa"),"")</f>
        <v>fev/25</v>
      </c>
      <c r="T476" s="4">
        <f>IF(Registro2[[#This Row],[Data de Pagamento]]="",0,IF(Registro2[[#This Row],[Conta Financeira]]=base!$A$6,0,Registro2[[#This Row],[Valor Unitário]]))</f>
        <v>35</v>
      </c>
      <c r="U4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76" t="str">
        <f>VLOOKUP(Registro2[[#This Row],[Categoria]],'Plano de Contas'!$V$3:W546,2,0)</f>
        <v>Receitas Serviços</v>
      </c>
      <c r="X47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76" t="s">
        <v>1536</v>
      </c>
    </row>
    <row r="477" spans="1:25" hidden="1">
      <c r="A477" s="1">
        <v>45715.5625</v>
      </c>
      <c r="B477" s="1">
        <v>45715.5625</v>
      </c>
      <c r="D477" t="s">
        <v>354</v>
      </c>
      <c r="E477" t="s">
        <v>149</v>
      </c>
      <c r="F477" t="s">
        <v>152</v>
      </c>
      <c r="G477" t="s">
        <v>159</v>
      </c>
      <c r="I477" s="4">
        <v>40</v>
      </c>
      <c r="J477" s="4">
        <v>40</v>
      </c>
      <c r="L477" t="s">
        <v>253</v>
      </c>
      <c r="M477" t="s">
        <v>466</v>
      </c>
      <c r="N477" s="4">
        <f>IF(L477="","",IF(OR(Registro2[[#This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477" t="str">
        <f t="shared" si="7"/>
        <v>fev/25</v>
      </c>
      <c r="P477" t="str">
        <f>IF(Registro2[[#This Row],[Data de Pagamento]]&gt;0,TEXT(A477,"mmm/aa"),"")</f>
        <v>fev/25</v>
      </c>
      <c r="T477" s="4">
        <f>IF(Registro2[[#This Row],[Data de Pagamento]]="",0,IF(Registro2[[#This Row],[Conta Financeira]]=base!$A$6,0,Registro2[[#This Row],[Valor Unitário]]))</f>
        <v>40</v>
      </c>
      <c r="U4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77" t="str">
        <f>VLOOKUP(Registro2[[#This Row],[Categoria]],'Plano de Contas'!$V$3:W497,2,0)</f>
        <v>Receitas Serviços</v>
      </c>
      <c r="X47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1.26</v>
      </c>
      <c r="Y477" t="s">
        <v>1536</v>
      </c>
    </row>
    <row r="478" spans="1:25" hidden="1">
      <c r="A478" s="1">
        <v>45715.569444444445</v>
      </c>
      <c r="B478" s="1">
        <v>45715.569444444445</v>
      </c>
      <c r="D478" t="s">
        <v>1</v>
      </c>
      <c r="E478" t="s">
        <v>149</v>
      </c>
      <c r="F478" t="s">
        <v>152</v>
      </c>
      <c r="G478" t="s">
        <v>353</v>
      </c>
      <c r="I478" s="4">
        <v>55</v>
      </c>
      <c r="J478" s="4">
        <v>70</v>
      </c>
      <c r="L478" t="s">
        <v>253</v>
      </c>
      <c r="M478" t="s">
        <v>290</v>
      </c>
      <c r="N478" s="4">
        <f>IF(L478="","",IF(OR(Registro2[[#This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478" t="str">
        <f t="shared" si="7"/>
        <v>fev/25</v>
      </c>
      <c r="P478" t="str">
        <f>IF(Registro2[[#This Row],[Data de Pagamento]]&gt;0,TEXT(A478,"mmm/aa"),"")</f>
        <v>fev/25</v>
      </c>
      <c r="T478" s="4">
        <f>IF(Registro2[[#This Row],[Data de Pagamento]]="",0,IF(Registro2[[#This Row],[Conta Financeira]]=base!$A$6,0,Registro2[[#This Row],[Valor Unitário]]))</f>
        <v>55</v>
      </c>
      <c r="U4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78" t="str">
        <f>VLOOKUP(Registro2[[#This Row],[Categoria]],'Plano de Contas'!$V$3:W547,2,0)</f>
        <v>Receitas Serviços</v>
      </c>
      <c r="X4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78" t="s">
        <v>1536</v>
      </c>
    </row>
    <row r="479" spans="1:25" hidden="1">
      <c r="A479" s="1">
        <v>45715.569444444445</v>
      </c>
      <c r="B479" s="1">
        <v>45715.569444444445</v>
      </c>
      <c r="D479" t="s">
        <v>1</v>
      </c>
      <c r="E479" t="s">
        <v>149</v>
      </c>
      <c r="F479" t="s">
        <v>152</v>
      </c>
      <c r="G479" t="s">
        <v>352</v>
      </c>
      <c r="I479" s="4">
        <v>15</v>
      </c>
      <c r="J479" s="4"/>
      <c r="L479" t="s">
        <v>253</v>
      </c>
      <c r="M479" t="s">
        <v>290</v>
      </c>
      <c r="N479" s="4">
        <f>IF(L479="","",IF(OR(Registro2[[#This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479" t="str">
        <f t="shared" si="7"/>
        <v>fev/25</v>
      </c>
      <c r="P479" t="str">
        <f>IF(Registro2[[#This Row],[Data de Pagamento]]&gt;0,TEXT(A479,"mmm/aa"),"")</f>
        <v>fev/25</v>
      </c>
      <c r="T479" s="4">
        <f>IF(Registro2[[#This Row],[Data de Pagamento]]="",0,IF(Registro2[[#This Row],[Conta Financeira]]=base!$A$6,0,Registro2[[#This Row],[Valor Unitário]]))</f>
        <v>15</v>
      </c>
      <c r="U4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79" t="str">
        <f>VLOOKUP(Registro2[[#This Row],[Categoria]],'Plano de Contas'!$V$3:W548,2,0)</f>
        <v>Receitas Serviços</v>
      </c>
      <c r="X47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79" t="s">
        <v>1536</v>
      </c>
    </row>
    <row r="480" spans="1:25" hidden="1">
      <c r="A480" s="1">
        <v>45715.604166666664</v>
      </c>
      <c r="B480" s="1">
        <v>45715.604166666664</v>
      </c>
      <c r="D480" t="s">
        <v>2</v>
      </c>
      <c r="E480" t="s">
        <v>149</v>
      </c>
      <c r="F480" t="s">
        <v>147</v>
      </c>
      <c r="G480" t="s">
        <v>163</v>
      </c>
      <c r="I480" s="4">
        <v>35</v>
      </c>
      <c r="J480" s="4">
        <v>35</v>
      </c>
      <c r="L480" t="s">
        <v>253</v>
      </c>
      <c r="M480" t="s">
        <v>71</v>
      </c>
      <c r="N480" s="4">
        <f>IF(L480="","",IF(OR(Registro2[[#This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80" t="str">
        <f t="shared" si="7"/>
        <v>fev/25</v>
      </c>
      <c r="P480" t="str">
        <f>IF(Registro2[[#This Row],[Data de Pagamento]]&gt;0,TEXT(A480,"mmm/aa"),"")</f>
        <v>fev/25</v>
      </c>
      <c r="T480" s="4">
        <f>IF(Registro2[[#This Row],[Data de Pagamento]]="",0,IF(Registro2[[#This Row],[Conta Financeira]]=base!$A$6,0,Registro2[[#This Row],[Valor Unitário]]))</f>
        <v>35</v>
      </c>
      <c r="U4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80" t="str">
        <f>VLOOKUP(Registro2[[#This Row],[Categoria]],'Plano de Contas'!$V$3:W542,2,0)</f>
        <v>Receitas Serviços</v>
      </c>
      <c r="X48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80" t="s">
        <v>1536</v>
      </c>
    </row>
    <row r="481" spans="1:25" hidden="1">
      <c r="A481" s="1">
        <v>45715.625</v>
      </c>
      <c r="B481" s="1">
        <v>45715.625</v>
      </c>
      <c r="D481" t="s">
        <v>310</v>
      </c>
      <c r="E481" t="s">
        <v>149</v>
      </c>
      <c r="F481" t="s">
        <v>147</v>
      </c>
      <c r="G481" t="s">
        <v>163</v>
      </c>
      <c r="I481" s="4">
        <v>35</v>
      </c>
      <c r="J481" s="4">
        <v>35</v>
      </c>
      <c r="L481" t="s">
        <v>253</v>
      </c>
      <c r="M481" t="s">
        <v>488</v>
      </c>
      <c r="N481" s="4">
        <f>IF(L481="","",IF(OR(Registro2[[#This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81" t="str">
        <f t="shared" si="7"/>
        <v>fev/25</v>
      </c>
      <c r="P481" t="str">
        <f>IF(Registro2[[#This Row],[Data de Pagamento]]&gt;0,TEXT(A481,"mmm/aa"),"")</f>
        <v>fev/25</v>
      </c>
      <c r="T481" s="4">
        <f>IF(Registro2[[#This Row],[Data de Pagamento]]="",0,IF(Registro2[[#This Row],[Conta Financeira]]=base!$A$6,0,Registro2[[#This Row],[Valor Unitário]]))</f>
        <v>35</v>
      </c>
      <c r="U4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81" t="str">
        <f>VLOOKUP(Registro2[[#This Row],[Categoria]],'Plano de Contas'!$V$3:W551,2,0)</f>
        <v>Receitas Serviços</v>
      </c>
      <c r="X48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481" t="s">
        <v>1536</v>
      </c>
    </row>
    <row r="482" spans="1:25" hidden="1">
      <c r="A482" s="1">
        <v>45715.625</v>
      </c>
      <c r="B482" s="1">
        <v>45715.625</v>
      </c>
      <c r="D482" t="s">
        <v>2</v>
      </c>
      <c r="E482" t="s">
        <v>149</v>
      </c>
      <c r="F482" t="s">
        <v>152</v>
      </c>
      <c r="G482" t="s">
        <v>154</v>
      </c>
      <c r="I482" s="4">
        <v>50</v>
      </c>
      <c r="J482" s="4">
        <v>45</v>
      </c>
      <c r="L482" t="s">
        <v>252</v>
      </c>
      <c r="M482" t="s">
        <v>383</v>
      </c>
      <c r="N482" s="4">
        <f>IF(L482="","",IF(OR(Registro2[[#This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482" t="str">
        <f t="shared" si="7"/>
        <v>fev/25</v>
      </c>
      <c r="P482" t="str">
        <f>IF(Registro2[[#This Row],[Data de Pagamento]]&gt;0,TEXT(A482,"mmm/aa"),"")</f>
        <v>fev/25</v>
      </c>
      <c r="T482" s="4">
        <f>IF(Registro2[[#This Row],[Data de Pagamento]]="",0,IF(Registro2[[#This Row],[Conta Financeira]]=base!$A$6,0,Registro2[[#This Row],[Valor Unitário]]))</f>
        <v>50</v>
      </c>
      <c r="U4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82" t="str">
        <f>VLOOKUP(Registro2[[#This Row],[Categoria]],'Plano de Contas'!$V$3:W552,2,0)</f>
        <v>Receitas Serviços</v>
      </c>
      <c r="X4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82" t="s">
        <v>1536</v>
      </c>
    </row>
    <row r="483" spans="1:25" hidden="1">
      <c r="A483" s="1">
        <v>45715.666666666664</v>
      </c>
      <c r="B483" s="1">
        <v>45715.666666666664</v>
      </c>
      <c r="D483" t="s">
        <v>1</v>
      </c>
      <c r="E483" t="s">
        <v>149</v>
      </c>
      <c r="F483" t="s">
        <v>147</v>
      </c>
      <c r="G483" t="s">
        <v>163</v>
      </c>
      <c r="I483" s="4">
        <v>35</v>
      </c>
      <c r="J483" s="4">
        <v>35</v>
      </c>
      <c r="L483" t="s">
        <v>252</v>
      </c>
      <c r="M483" t="s">
        <v>393</v>
      </c>
      <c r="N483" s="4">
        <f>IF(L483="","",IF(OR(Registro2[[#This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83" t="str">
        <f t="shared" si="7"/>
        <v>fev/25</v>
      </c>
      <c r="P483" t="str">
        <f>IF(Registro2[[#This Row],[Data de Pagamento]]&gt;0,TEXT(A483,"mmm/aa"),"")</f>
        <v>fev/25</v>
      </c>
      <c r="T483" s="4">
        <f>IF(Registro2[[#This Row],[Data de Pagamento]]="",0,IF(Registro2[[#This Row],[Conta Financeira]]=base!$A$6,0,Registro2[[#This Row],[Valor Unitário]]))</f>
        <v>35</v>
      </c>
      <c r="U4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83" t="str">
        <f>VLOOKUP(Registro2[[#This Row],[Categoria]],'Plano de Contas'!$V$3:W536,2,0)</f>
        <v>Receitas Serviços</v>
      </c>
      <c r="X4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83" t="s">
        <v>1536</v>
      </c>
    </row>
    <row r="484" spans="1:25" hidden="1">
      <c r="A484" s="1">
        <v>45715.677083333336</v>
      </c>
      <c r="B484" s="1">
        <v>45715.677083333336</v>
      </c>
      <c r="D484" t="s">
        <v>1</v>
      </c>
      <c r="E484" t="s">
        <v>149</v>
      </c>
      <c r="F484" t="s">
        <v>152</v>
      </c>
      <c r="G484" t="s">
        <v>353</v>
      </c>
      <c r="I484" s="4">
        <v>45</v>
      </c>
      <c r="J484" s="4">
        <v>45</v>
      </c>
      <c r="L484" t="s">
        <v>253</v>
      </c>
      <c r="M484" t="s">
        <v>500</v>
      </c>
      <c r="N484" s="4">
        <f>IF(L484="","",IF(OR(Registro2[[#This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20.25</v>
      </c>
      <c r="O484" t="str">
        <f t="shared" si="7"/>
        <v>fev/25</v>
      </c>
      <c r="P484" t="str">
        <f>IF(Registro2[[#This Row],[Data de Pagamento]]&gt;0,TEXT(A484,"mmm/aa"),"")</f>
        <v>fev/25</v>
      </c>
      <c r="T484" s="4">
        <f>IF(Registro2[[#This Row],[Data de Pagamento]]="",0,IF(Registro2[[#This Row],[Conta Financeira]]=base!$A$6,0,Registro2[[#This Row],[Valor Unitário]]))</f>
        <v>45</v>
      </c>
      <c r="U4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84" t="str">
        <f>VLOOKUP(Registro2[[#This Row],[Categoria]],'Plano de Contas'!$V$3:W556,2,0)</f>
        <v>Receitas Serviços</v>
      </c>
      <c r="X48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84" t="s">
        <v>1536</v>
      </c>
    </row>
    <row r="485" spans="1:25" hidden="1">
      <c r="A485" s="1">
        <v>45715.697916666664</v>
      </c>
      <c r="B485" s="1">
        <v>45715.697916666664</v>
      </c>
      <c r="D485" t="s">
        <v>2</v>
      </c>
      <c r="E485" t="s">
        <v>149</v>
      </c>
      <c r="F485" t="s">
        <v>147</v>
      </c>
      <c r="G485" t="s">
        <v>163</v>
      </c>
      <c r="I485" s="4">
        <v>35</v>
      </c>
      <c r="J485" s="4">
        <v>35</v>
      </c>
      <c r="L485" t="s">
        <v>252</v>
      </c>
      <c r="M485" t="s">
        <v>495</v>
      </c>
      <c r="N485" s="4">
        <f>IF(L485="","",IF(OR(Registro2[[#This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85" t="str">
        <f t="shared" si="7"/>
        <v>fev/25</v>
      </c>
      <c r="P485" t="str">
        <f>IF(Registro2[[#This Row],[Data de Pagamento]]&gt;0,TEXT(A485,"mmm/aa"),"")</f>
        <v>fev/25</v>
      </c>
      <c r="T485" s="4">
        <f>IF(Registro2[[#This Row],[Data de Pagamento]]="",0,IF(Registro2[[#This Row],[Conta Financeira]]=base!$A$6,0,Registro2[[#This Row],[Valor Unitário]]))</f>
        <v>35</v>
      </c>
      <c r="U4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85" t="str">
        <f>VLOOKUP(Registro2[[#This Row],[Categoria]],'Plano de Contas'!$V$3:W557,2,0)</f>
        <v>Receitas Serviços</v>
      </c>
      <c r="X48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85" t="s">
        <v>1536</v>
      </c>
    </row>
    <row r="486" spans="1:25" hidden="1">
      <c r="A486" s="1">
        <v>45715.708333333336</v>
      </c>
      <c r="B486" s="1">
        <v>45715.708333333336</v>
      </c>
      <c r="D486" t="s">
        <v>354</v>
      </c>
      <c r="E486" t="s">
        <v>149</v>
      </c>
      <c r="F486" t="s">
        <v>147</v>
      </c>
      <c r="G486" t="s">
        <v>163</v>
      </c>
      <c r="I486" s="4">
        <v>35</v>
      </c>
      <c r="J486" s="4">
        <v>35</v>
      </c>
      <c r="L486" t="s">
        <v>253</v>
      </c>
      <c r="M486" t="s">
        <v>490</v>
      </c>
      <c r="N486" s="4">
        <f>IF(L486="","",IF(OR(Registro2[[#This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86" t="str">
        <f t="shared" si="7"/>
        <v>fev/25</v>
      </c>
      <c r="P486" t="str">
        <f>IF(Registro2[[#This Row],[Data de Pagamento]]&gt;0,TEXT(A486,"mmm/aa"),"")</f>
        <v>fev/25</v>
      </c>
      <c r="T486" s="4">
        <f>IF(Registro2[[#This Row],[Data de Pagamento]]="",0,IF(Registro2[[#This Row],[Conta Financeira]]=base!$A$6,0,Registro2[[#This Row],[Valor Unitário]]))</f>
        <v>35</v>
      </c>
      <c r="U4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86" t="str">
        <f>VLOOKUP(Registro2[[#This Row],[Categoria]],'Plano de Contas'!$V$3:W558,2,0)</f>
        <v>Receitas Serviços</v>
      </c>
      <c r="X48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486" t="s">
        <v>1536</v>
      </c>
    </row>
    <row r="487" spans="1:25" hidden="1">
      <c r="A487" s="1">
        <v>45715.71875</v>
      </c>
      <c r="B487" s="1">
        <v>45715.71875</v>
      </c>
      <c r="D487" t="s">
        <v>310</v>
      </c>
      <c r="E487" t="s">
        <v>149</v>
      </c>
      <c r="F487" t="s">
        <v>147</v>
      </c>
      <c r="G487" t="s">
        <v>163</v>
      </c>
      <c r="I487" s="4">
        <v>35</v>
      </c>
      <c r="J487" s="4">
        <v>35</v>
      </c>
      <c r="L487" t="s">
        <v>252</v>
      </c>
      <c r="M487" t="s">
        <v>1062</v>
      </c>
      <c r="N487" s="4">
        <f>IF(L487="","",IF(OR(Registro2[[#This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87" t="str">
        <f t="shared" si="7"/>
        <v>fev/25</v>
      </c>
      <c r="P487" t="str">
        <f>IF(Registro2[[#This Row],[Data de Pagamento]]&gt;0,TEXT(A487,"mmm/aa"),"")</f>
        <v>fev/25</v>
      </c>
      <c r="T487" s="4">
        <f>IF(Registro2[[#This Row],[Data de Pagamento]]="",0,IF(Registro2[[#This Row],[Conta Financeira]]=base!$A$6,0,Registro2[[#This Row],[Valor Unitário]]))</f>
        <v>35</v>
      </c>
      <c r="U4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87" t="str">
        <f>VLOOKUP(Registro2[[#This Row],[Categoria]],'Plano de Contas'!$V$3:W550,2,0)</f>
        <v>Receitas Serviços</v>
      </c>
      <c r="X48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487" t="s">
        <v>1536</v>
      </c>
    </row>
    <row r="488" spans="1:25" hidden="1">
      <c r="A488" s="1">
        <v>45715.729166666664</v>
      </c>
      <c r="B488" s="1">
        <v>45715.729166666664</v>
      </c>
      <c r="D488" t="s">
        <v>1</v>
      </c>
      <c r="E488" t="s">
        <v>149</v>
      </c>
      <c r="F488" t="s">
        <v>147</v>
      </c>
      <c r="G488" t="s">
        <v>163</v>
      </c>
      <c r="I488" s="4">
        <v>35</v>
      </c>
      <c r="J488" s="4">
        <v>35</v>
      </c>
      <c r="L488" t="s">
        <v>253</v>
      </c>
      <c r="M488" t="s">
        <v>1067</v>
      </c>
      <c r="N488" s="4">
        <f>IF(L488="","",IF(OR(Registro2[[#This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88" t="str">
        <f t="shared" si="7"/>
        <v>fev/25</v>
      </c>
      <c r="P488" t="str">
        <f>IF(Registro2[[#This Row],[Data de Pagamento]]&gt;0,TEXT(A488,"mmm/aa"),"")</f>
        <v>fev/25</v>
      </c>
      <c r="T488" s="4">
        <f>IF(Registro2[[#This Row],[Data de Pagamento]]="",0,IF(Registro2[[#This Row],[Conta Financeira]]=base!$A$6,0,Registro2[[#This Row],[Valor Unitário]]))</f>
        <v>35</v>
      </c>
      <c r="U4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88" t="str">
        <f>VLOOKUP(Registro2[[#This Row],[Categoria]],'Plano de Contas'!$V$3:W554,2,0)</f>
        <v>Receitas Serviços</v>
      </c>
      <c r="X48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88" t="s">
        <v>1536</v>
      </c>
    </row>
    <row r="489" spans="1:25" hidden="1">
      <c r="A489" s="1">
        <v>45715.760416666664</v>
      </c>
      <c r="B489" s="1">
        <v>45715.760416666664</v>
      </c>
      <c r="D489" t="s">
        <v>1</v>
      </c>
      <c r="E489" t="s">
        <v>149</v>
      </c>
      <c r="F489" t="s">
        <v>152</v>
      </c>
      <c r="G489" t="s">
        <v>353</v>
      </c>
      <c r="I489" s="4">
        <v>55</v>
      </c>
      <c r="J489" s="4">
        <v>55</v>
      </c>
      <c r="L489" t="s">
        <v>264</v>
      </c>
      <c r="M489" t="s">
        <v>1069</v>
      </c>
      <c r="N489" s="4">
        <f>IF(L489="","",IF(OR(Registro2[[#This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489" t="str">
        <f t="shared" si="7"/>
        <v>fev/25</v>
      </c>
      <c r="P489" t="str">
        <f>IF(Registro2[[#This Row],[Data de Pagamento]]&gt;0,TEXT(A489,"mmm/aa"),"")</f>
        <v>fev/25</v>
      </c>
      <c r="T489" s="4">
        <f>IF(Registro2[[#This Row],[Data de Pagamento]]="",0,IF(Registro2[[#This Row],[Conta Financeira]]=base!$A$6,0,Registro2[[#This Row],[Valor Unitário]]))</f>
        <v>55</v>
      </c>
      <c r="U4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89" t="str">
        <f>VLOOKUP(Registro2[[#This Row],[Categoria]],'Plano de Contas'!$V$3:W555,2,0)</f>
        <v>Receitas Serviços</v>
      </c>
      <c r="X48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89" t="s">
        <v>1536</v>
      </c>
    </row>
    <row r="490" spans="1:25" hidden="1">
      <c r="A490" s="1">
        <v>45715.760416666664</v>
      </c>
      <c r="B490" s="1">
        <v>45715.760416666664</v>
      </c>
      <c r="D490" t="s">
        <v>310</v>
      </c>
      <c r="E490" t="s">
        <v>149</v>
      </c>
      <c r="F490" t="s">
        <v>147</v>
      </c>
      <c r="G490" t="s">
        <v>163</v>
      </c>
      <c r="I490" s="4">
        <v>35</v>
      </c>
      <c r="J490" s="4">
        <v>35</v>
      </c>
      <c r="L490" t="s">
        <v>253</v>
      </c>
      <c r="M490" t="s">
        <v>1074</v>
      </c>
      <c r="N490" s="4">
        <f>IF(L490="","",IF(OR(Registro2[[#This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90" t="str">
        <f t="shared" si="7"/>
        <v>fev/25</v>
      </c>
      <c r="P490" t="str">
        <f>IF(Registro2[[#This Row],[Data de Pagamento]]&gt;0,TEXT(A490,"mmm/aa"),"")</f>
        <v>fev/25</v>
      </c>
      <c r="T490" s="4">
        <f>IF(Registro2[[#This Row],[Data de Pagamento]]="",0,IF(Registro2[[#This Row],[Conta Financeira]]=base!$A$6,0,Registro2[[#This Row],[Valor Unitário]]))</f>
        <v>35</v>
      </c>
      <c r="U4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90" t="str">
        <f>VLOOKUP(Registro2[[#This Row],[Categoria]],'Plano de Contas'!$V$3:W559,2,0)</f>
        <v>Receitas Serviços</v>
      </c>
      <c r="X49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490" t="s">
        <v>1536</v>
      </c>
    </row>
    <row r="491" spans="1:25" hidden="1">
      <c r="A491" s="1">
        <v>45715.770833333336</v>
      </c>
      <c r="B491" s="1">
        <v>45715.770833333336</v>
      </c>
      <c r="D491" t="s">
        <v>1</v>
      </c>
      <c r="E491" t="s">
        <v>149</v>
      </c>
      <c r="F491" t="s">
        <v>152</v>
      </c>
      <c r="G491" t="s">
        <v>157</v>
      </c>
      <c r="I491" s="4">
        <v>50</v>
      </c>
      <c r="J491" s="4">
        <v>50</v>
      </c>
      <c r="L491" t="s">
        <v>252</v>
      </c>
      <c r="M491" t="s">
        <v>110</v>
      </c>
      <c r="N491" s="4">
        <f>IF(L491="","",IF(OR(Registro2[[#This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491" t="str">
        <f t="shared" si="7"/>
        <v>fev/25</v>
      </c>
      <c r="P491" t="str">
        <f>IF(Registro2[[#This Row],[Data de Pagamento]]&gt;0,TEXT(A491,"mmm/aa"),"")</f>
        <v>fev/25</v>
      </c>
      <c r="T491" s="4">
        <f>IF(Registro2[[#This Row],[Data de Pagamento]]="",0,IF(Registro2[[#This Row],[Conta Financeira]]=base!$A$6,0,Registro2[[#This Row],[Valor Unitário]]))</f>
        <v>50</v>
      </c>
      <c r="U4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91" t="str">
        <f>VLOOKUP(Registro2[[#This Row],[Categoria]],'Plano de Contas'!$V$3:W516,2,0)</f>
        <v>Receitas Serviços</v>
      </c>
      <c r="X49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91" t="s">
        <v>1536</v>
      </c>
    </row>
    <row r="492" spans="1:25" hidden="1">
      <c r="A492" s="1">
        <v>45715.791666666664</v>
      </c>
      <c r="B492" s="1">
        <v>45715.791666666664</v>
      </c>
      <c r="D492" t="s">
        <v>1</v>
      </c>
      <c r="E492" t="s">
        <v>149</v>
      </c>
      <c r="F492" t="s">
        <v>147</v>
      </c>
      <c r="G492" t="s">
        <v>163</v>
      </c>
      <c r="I492" s="4">
        <v>35</v>
      </c>
      <c r="J492" s="4">
        <v>75</v>
      </c>
      <c r="L492" t="s">
        <v>253</v>
      </c>
      <c r="M492" t="s">
        <v>85</v>
      </c>
      <c r="N492" s="4">
        <f>IF(L492="","",IF(OR(Registro2[[#This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92" t="str">
        <f t="shared" si="7"/>
        <v>fev/25</v>
      </c>
      <c r="P492" t="str">
        <f>IF(Registro2[[#This Row],[Data de Pagamento]]&gt;0,TEXT(A492,"mmm/aa"),"")</f>
        <v>fev/25</v>
      </c>
      <c r="T492" s="4">
        <f>IF(Registro2[[#This Row],[Data de Pagamento]]="",0,IF(Registro2[[#This Row],[Conta Financeira]]=base!$A$6,0,Registro2[[#This Row],[Valor Unitário]]))</f>
        <v>35</v>
      </c>
      <c r="U4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92" t="str">
        <f>VLOOKUP(Registro2[[#This Row],[Categoria]],'Plano de Contas'!$V$3:W537,2,0)</f>
        <v>Receitas Serviços</v>
      </c>
      <c r="X49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92" t="s">
        <v>1536</v>
      </c>
    </row>
    <row r="493" spans="1:25" hidden="1">
      <c r="A493" s="1">
        <v>45715.791666666664</v>
      </c>
      <c r="B493" s="1">
        <v>45715.791666666664</v>
      </c>
      <c r="D493" t="s">
        <v>1</v>
      </c>
      <c r="E493" t="s">
        <v>149</v>
      </c>
      <c r="F493" t="s">
        <v>150</v>
      </c>
      <c r="G493" t="s">
        <v>472</v>
      </c>
      <c r="I493" s="4">
        <v>40</v>
      </c>
      <c r="J493" s="4"/>
      <c r="L493" t="s">
        <v>253</v>
      </c>
      <c r="M493" t="s">
        <v>85</v>
      </c>
      <c r="N493" s="4">
        <f>IF(L493="","",IF(OR(Registro2[[#This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493" t="str">
        <f t="shared" si="7"/>
        <v>fev/25</v>
      </c>
      <c r="P493" t="str">
        <f>IF(Registro2[[#This Row],[Data de Pagamento]]&gt;0,TEXT(A493,"mmm/aa"),"")</f>
        <v>fev/25</v>
      </c>
      <c r="T493" s="4">
        <f>IF(Registro2[[#This Row],[Data de Pagamento]]="",0,IF(Registro2[[#This Row],[Conta Financeira]]=base!$A$6,0,Registro2[[#This Row],[Valor Unitário]]))</f>
        <v>40</v>
      </c>
      <c r="U4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93" t="str">
        <f>VLOOKUP(Registro2[[#This Row],[Categoria]],'Plano de Contas'!$V$3:W538,2,0)</f>
        <v>Receitas Produtos</v>
      </c>
      <c r="X49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93" t="s">
        <v>1536</v>
      </c>
    </row>
    <row r="494" spans="1:25" hidden="1">
      <c r="A494" s="1">
        <v>45715.798611111109</v>
      </c>
      <c r="B494" s="1">
        <v>45715.798611111109</v>
      </c>
      <c r="D494" t="s">
        <v>1</v>
      </c>
      <c r="E494" t="s">
        <v>149</v>
      </c>
      <c r="F494" t="s">
        <v>147</v>
      </c>
      <c r="G494" t="s">
        <v>163</v>
      </c>
      <c r="I494" s="4">
        <v>35</v>
      </c>
      <c r="J494" s="4">
        <v>20</v>
      </c>
      <c r="L494" t="s">
        <v>252</v>
      </c>
      <c r="M494" t="s">
        <v>1077</v>
      </c>
      <c r="N494" s="4">
        <f>IF(L494="","",IF(OR(Registro2[[#This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94" t="str">
        <f t="shared" si="7"/>
        <v>fev/25</v>
      </c>
      <c r="P494" t="str">
        <f>IF(Registro2[[#This Row],[Data de Pagamento]]&gt;0,TEXT(A494,"mmm/aa"),"")</f>
        <v>fev/25</v>
      </c>
      <c r="T494" s="4">
        <f>IF(Registro2[[#This Row],[Data de Pagamento]]="",0,IF(Registro2[[#This Row],[Conta Financeira]]=base!$A$6,0,Registro2[[#This Row],[Valor Unitário]]))</f>
        <v>35</v>
      </c>
      <c r="U4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94" t="str">
        <f>VLOOKUP(Registro2[[#This Row],[Categoria]],'Plano de Contas'!$V$3:W562,2,0)</f>
        <v>Receitas Serviços</v>
      </c>
      <c r="X49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94" t="s">
        <v>1536</v>
      </c>
    </row>
    <row r="495" spans="1:25" hidden="1">
      <c r="A495" s="1">
        <v>45715.802083333336</v>
      </c>
      <c r="B495" s="1">
        <v>45715.802083333336</v>
      </c>
      <c r="D495" t="s">
        <v>1</v>
      </c>
      <c r="E495" t="s">
        <v>149</v>
      </c>
      <c r="F495" t="s">
        <v>152</v>
      </c>
      <c r="G495" t="s">
        <v>159</v>
      </c>
      <c r="I495" s="4">
        <v>40</v>
      </c>
      <c r="J495" s="4">
        <v>65</v>
      </c>
      <c r="L495" t="s">
        <v>252</v>
      </c>
      <c r="M495" t="s">
        <v>24</v>
      </c>
      <c r="N495" s="4">
        <f>IF(L495="","",IF(OR(Registro2[[#This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495" t="str">
        <f t="shared" si="7"/>
        <v>fev/25</v>
      </c>
      <c r="P495" t="str">
        <f>IF(Registro2[[#This Row],[Data de Pagamento]]&gt;0,TEXT(A495,"mmm/aa"),"")</f>
        <v>fev/25</v>
      </c>
      <c r="T495" s="4">
        <f>IF(Registro2[[#This Row],[Data de Pagamento]]="",0,IF(Registro2[[#This Row],[Conta Financeira]]=base!$A$6,0,Registro2[[#This Row],[Valor Unitário]]))</f>
        <v>40</v>
      </c>
      <c r="U4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95" t="str">
        <f>VLOOKUP(Registro2[[#This Row],[Categoria]],'Plano de Contas'!$V$3:W560,2,0)</f>
        <v>Receitas Serviços</v>
      </c>
      <c r="X49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95" t="s">
        <v>1536</v>
      </c>
    </row>
    <row r="496" spans="1:25" hidden="1">
      <c r="A496" s="1">
        <v>45715.802083333336</v>
      </c>
      <c r="B496" s="1">
        <v>45715.802083333336</v>
      </c>
      <c r="D496" t="s">
        <v>1</v>
      </c>
      <c r="E496" t="s">
        <v>149</v>
      </c>
      <c r="F496" t="s">
        <v>150</v>
      </c>
      <c r="G496" t="s">
        <v>510</v>
      </c>
      <c r="I496" s="4">
        <v>25</v>
      </c>
      <c r="J496" s="4"/>
      <c r="L496" t="s">
        <v>252</v>
      </c>
      <c r="M496" t="s">
        <v>24</v>
      </c>
      <c r="N496" s="4">
        <f>IF(L496="","",IF(OR(Registro2[[#This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496" t="str">
        <f t="shared" si="7"/>
        <v>fev/25</v>
      </c>
      <c r="P496" t="str">
        <f>IF(Registro2[[#This Row],[Data de Pagamento]]&gt;0,TEXT(A496,"mmm/aa"),"")</f>
        <v>fev/25</v>
      </c>
      <c r="T496" s="4">
        <f>IF(Registro2[[#This Row],[Data de Pagamento]]="",0,IF(Registro2[[#This Row],[Conta Financeira]]=base!$A$6,0,Registro2[[#This Row],[Valor Unitário]]))</f>
        <v>25</v>
      </c>
      <c r="U4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96" t="str">
        <f>VLOOKUP(Registro2[[#This Row],[Categoria]],'Plano de Contas'!$V$3:W561,2,0)</f>
        <v>Receitas Produtos</v>
      </c>
      <c r="X49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96" t="s">
        <v>1536</v>
      </c>
    </row>
    <row r="497" spans="1:25" hidden="1">
      <c r="A497" s="1">
        <v>45715.802083333336</v>
      </c>
      <c r="B497" s="1">
        <v>45715.802083333336</v>
      </c>
      <c r="D497" t="s">
        <v>1</v>
      </c>
      <c r="E497" t="s">
        <v>149</v>
      </c>
      <c r="F497" t="s">
        <v>152</v>
      </c>
      <c r="G497" t="s">
        <v>353</v>
      </c>
      <c r="I497" s="4">
        <v>55</v>
      </c>
      <c r="J497" s="4">
        <v>55</v>
      </c>
      <c r="L497" t="s">
        <v>264</v>
      </c>
      <c r="M497" t="s">
        <v>1079</v>
      </c>
      <c r="N497" s="4">
        <f>IF(L497="","",IF(OR(Registro2[[#This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497" t="str">
        <f t="shared" si="7"/>
        <v>fev/25</v>
      </c>
      <c r="P497" t="str">
        <f>IF(Registro2[[#This Row],[Data de Pagamento]]&gt;0,TEXT(A497,"mmm/aa"),"")</f>
        <v>fev/25</v>
      </c>
      <c r="T497" s="4">
        <f>IF(Registro2[[#This Row],[Data de Pagamento]]="",0,IF(Registro2[[#This Row],[Conta Financeira]]=base!$A$6,0,Registro2[[#This Row],[Valor Unitário]]))</f>
        <v>55</v>
      </c>
      <c r="U4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97" t="str">
        <f>VLOOKUP(Registro2[[#This Row],[Categoria]],'Plano de Contas'!$V$3:W563,2,0)</f>
        <v>Receitas Serviços</v>
      </c>
      <c r="X49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497" t="s">
        <v>1536</v>
      </c>
    </row>
    <row r="498" spans="1:25" hidden="1">
      <c r="A498" s="1">
        <v>45715.8125</v>
      </c>
      <c r="B498" s="1">
        <v>45715.8125</v>
      </c>
      <c r="D498" t="s">
        <v>354</v>
      </c>
      <c r="E498" t="s">
        <v>149</v>
      </c>
      <c r="F498" t="s">
        <v>152</v>
      </c>
      <c r="G498" t="s">
        <v>159</v>
      </c>
      <c r="I498" s="4">
        <v>40</v>
      </c>
      <c r="J498" s="4">
        <v>40</v>
      </c>
      <c r="L498" t="s">
        <v>253</v>
      </c>
      <c r="M498" t="s">
        <v>467</v>
      </c>
      <c r="N498" s="4">
        <f>IF(L498="","",IF(OR(Registro2[[#This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498" t="str">
        <f t="shared" si="7"/>
        <v>fev/25</v>
      </c>
      <c r="P498" t="str">
        <f>IF(Registro2[[#This Row],[Data de Pagamento]]&gt;0,TEXT(A498,"mmm/aa"),"")</f>
        <v>fev/25</v>
      </c>
      <c r="T498" s="4">
        <f>IF(Registro2[[#This Row],[Data de Pagamento]]="",0,IF(Registro2[[#This Row],[Conta Financeira]]=base!$A$6,0,Registro2[[#This Row],[Valor Unitário]]))</f>
        <v>40</v>
      </c>
      <c r="U4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98" t="str">
        <f>VLOOKUP(Registro2[[#This Row],[Categoria]],'Plano de Contas'!$V$3:W553,2,0)</f>
        <v>Receitas Serviços</v>
      </c>
      <c r="X49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1.26</v>
      </c>
      <c r="Y498" t="s">
        <v>1536</v>
      </c>
    </row>
    <row r="499" spans="1:25" hidden="1">
      <c r="A499" s="1">
        <v>45715.864583333336</v>
      </c>
      <c r="B499" s="1">
        <v>45715.864583333336</v>
      </c>
      <c r="D499" t="s">
        <v>354</v>
      </c>
      <c r="E499" t="s">
        <v>149</v>
      </c>
      <c r="F499" t="s">
        <v>147</v>
      </c>
      <c r="G499" t="s">
        <v>163</v>
      </c>
      <c r="I499" s="4">
        <v>35</v>
      </c>
      <c r="J499" s="4">
        <v>35</v>
      </c>
      <c r="L499" t="s">
        <v>253</v>
      </c>
      <c r="M499" t="s">
        <v>1081</v>
      </c>
      <c r="N499" s="4">
        <f>IF(L499="","",IF(OR(Registro2[[#This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499" t="str">
        <f t="shared" si="7"/>
        <v>fev/25</v>
      </c>
      <c r="P499" t="str">
        <f>IF(Registro2[[#This Row],[Data de Pagamento]]&gt;0,TEXT(A499,"mmm/aa"),"")</f>
        <v>fev/25</v>
      </c>
      <c r="T499" s="4">
        <f>IF(Registro2[[#This Row],[Data de Pagamento]]="",0,IF(Registro2[[#This Row],[Conta Financeira]]=base!$A$6,0,Registro2[[#This Row],[Valor Unitário]]))</f>
        <v>35</v>
      </c>
      <c r="U4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499" t="str">
        <f>VLOOKUP(Registro2[[#This Row],[Categoria]],'Plano de Contas'!$V$3:W564,2,0)</f>
        <v>Receitas Serviços</v>
      </c>
      <c r="X49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499" t="s">
        <v>1536</v>
      </c>
    </row>
    <row r="500" spans="1:25" hidden="1">
      <c r="A500" s="1">
        <v>45715.880555555559</v>
      </c>
      <c r="B500" s="1">
        <v>45715.880555555559</v>
      </c>
      <c r="D500" t="s">
        <v>136</v>
      </c>
      <c r="E500" t="s">
        <v>137</v>
      </c>
      <c r="F500" t="s">
        <v>139</v>
      </c>
      <c r="G500" t="s">
        <v>332</v>
      </c>
      <c r="H500" t="s">
        <v>1244</v>
      </c>
      <c r="I500" s="4">
        <v>11.99</v>
      </c>
      <c r="J500" s="4"/>
      <c r="N500" s="4" t="str">
        <f>IF(L500="","",IF(OR(Registro2[[#This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500" t="str">
        <f t="shared" si="7"/>
        <v>fev/25</v>
      </c>
      <c r="P500" t="str">
        <f>IF(Registro2[[#This Row],[Data de Pagamento]]&gt;0,TEXT(A500,"mmm/aa"),"")</f>
        <v>fev/25</v>
      </c>
      <c r="T500" s="4">
        <f>IF(Registro2[[#This Row],[Data de Pagamento]]="",0,IF(Registro2[[#This Row],[Conta Financeira]]=base!$A$6,0,Registro2[[#This Row],[Valor Unitário]]))</f>
        <v>11.99</v>
      </c>
      <c r="U5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00" t="str">
        <f>VLOOKUP(Registro2[[#This Row],[Categoria]],'Plano de Contas'!$V$3:W713,2,0)</f>
        <v>Custos Operacionais</v>
      </c>
      <c r="X50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00" t="s">
        <v>1536</v>
      </c>
    </row>
    <row r="501" spans="1:25" hidden="1">
      <c r="A501" s="1">
        <v>45715.902777777781</v>
      </c>
      <c r="B501" s="1">
        <v>45715.902777777781</v>
      </c>
      <c r="D501" t="s">
        <v>1</v>
      </c>
      <c r="E501" t="s">
        <v>149</v>
      </c>
      <c r="F501" t="s">
        <v>152</v>
      </c>
      <c r="G501" t="s">
        <v>159</v>
      </c>
      <c r="I501" s="4">
        <v>40</v>
      </c>
      <c r="J501" s="4">
        <v>40</v>
      </c>
      <c r="L501" t="s">
        <v>264</v>
      </c>
      <c r="M501" t="s">
        <v>1083</v>
      </c>
      <c r="N501" s="4">
        <f>IF(L501="","",IF(OR(Registro2[[#This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501" t="str">
        <f t="shared" si="7"/>
        <v>fev/25</v>
      </c>
      <c r="P501" t="str">
        <f>IF(Registro2[[#This Row],[Data de Pagamento]]&gt;0,TEXT(A501,"mmm/aa"),"")</f>
        <v>fev/25</v>
      </c>
      <c r="T501" s="4">
        <f>IF(Registro2[[#This Row],[Data de Pagamento]]="",0,IF(Registro2[[#This Row],[Conta Financeira]]=base!$A$6,0,Registro2[[#This Row],[Valor Unitário]]))</f>
        <v>40</v>
      </c>
      <c r="U5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01" t="str">
        <f>VLOOKUP(Registro2[[#This Row],[Categoria]],'Plano de Contas'!$V$3:W565,2,0)</f>
        <v>Receitas Serviços</v>
      </c>
      <c r="X50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01" t="s">
        <v>1536</v>
      </c>
    </row>
    <row r="502" spans="1:25" hidden="1">
      <c r="A502" s="1">
        <v>45716</v>
      </c>
      <c r="B502" s="1">
        <v>45716</v>
      </c>
      <c r="E502" t="s">
        <v>137</v>
      </c>
      <c r="F502" t="s">
        <v>146</v>
      </c>
      <c r="G502" t="s">
        <v>314</v>
      </c>
      <c r="H502" t="s">
        <v>447</v>
      </c>
      <c r="I502" s="4">
        <v>1000</v>
      </c>
      <c r="J502" s="4"/>
      <c r="N502" s="4" t="str">
        <f>IF(L502="","",IF(OR(Registro2[[#This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502" t="str">
        <f t="shared" si="7"/>
        <v>fev/25</v>
      </c>
      <c r="P502" t="str">
        <f>IF(Registro2[[#This Row],[Data de Pagamento]]&gt;0,TEXT(A502,"mmm/aa"),"")</f>
        <v>fev/25</v>
      </c>
      <c r="T502" s="4">
        <f>IF(Registro2[[#This Row],[Data de Pagamento]]="",0,IF(Registro2[[#This Row],[Conta Financeira]]=base!$A$6,0,Registro2[[#This Row],[Valor Unitário]]))</f>
        <v>1000</v>
      </c>
      <c r="U5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02" t="str">
        <f>VLOOKUP(Registro2[[#This Row],[Categoria]],'Plano de Contas'!$V$3:W75,2,0)</f>
        <v>Despesas Operacionais</v>
      </c>
      <c r="X50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02" t="s">
        <v>1536</v>
      </c>
    </row>
    <row r="503" spans="1:25" hidden="1">
      <c r="A503" s="1">
        <v>45716</v>
      </c>
      <c r="B503" s="1">
        <v>45716</v>
      </c>
      <c r="E503" t="s">
        <v>137</v>
      </c>
      <c r="F503" t="s">
        <v>146</v>
      </c>
      <c r="G503" t="s">
        <v>314</v>
      </c>
      <c r="H503" t="s">
        <v>448</v>
      </c>
      <c r="I503" s="4">
        <v>160</v>
      </c>
      <c r="J503" s="4"/>
      <c r="N503" s="4" t="str">
        <f>IF(L503="","",IF(OR(Registro2[[#This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503" t="str">
        <f t="shared" si="7"/>
        <v>fev/25</v>
      </c>
      <c r="P503" t="str">
        <f>IF(Registro2[[#This Row],[Data de Pagamento]]&gt;0,TEXT(A503,"mmm/aa"),"")</f>
        <v>fev/25</v>
      </c>
      <c r="T503" s="4">
        <f>IF(Registro2[[#This Row],[Data de Pagamento]]="",0,IF(Registro2[[#This Row],[Conta Financeira]]=base!$A$6,0,Registro2[[#This Row],[Valor Unitário]]))</f>
        <v>160</v>
      </c>
      <c r="U5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03" t="str">
        <f>VLOOKUP(Registro2[[#This Row],[Categoria]],'Plano de Contas'!$V$3:W76,2,0)</f>
        <v>Despesas Operacionais</v>
      </c>
      <c r="X5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03" t="s">
        <v>1536</v>
      </c>
    </row>
    <row r="504" spans="1:25" hidden="1">
      <c r="A504" s="1">
        <v>45716</v>
      </c>
      <c r="B504" s="1">
        <v>45716</v>
      </c>
      <c r="E504" t="s">
        <v>137</v>
      </c>
      <c r="F504" t="s">
        <v>138</v>
      </c>
      <c r="G504" t="s">
        <v>266</v>
      </c>
      <c r="I504" s="4">
        <v>2000</v>
      </c>
      <c r="J504" s="4"/>
      <c r="N504" s="4" t="str">
        <f>IF(L504="","",IF(OR(Registro2[[#This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504" t="str">
        <f t="shared" si="7"/>
        <v>fev/25</v>
      </c>
      <c r="P504" t="str">
        <f>IF(Registro2[[#This Row],[Data de Pagamento]]&gt;0,TEXT(A504,"mmm/aa"),"")</f>
        <v>fev/25</v>
      </c>
      <c r="T504" s="4">
        <f>IF(Registro2[[#This Row],[Data de Pagamento]]="",0,IF(Registro2[[#This Row],[Conta Financeira]]=base!$A$6,0,Registro2[[#This Row],[Valor Unitário]]))</f>
        <v>2000</v>
      </c>
      <c r="U5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04" t="str">
        <f>VLOOKUP(Registro2[[#This Row],[Categoria]],'Plano de Contas'!$V$3:W77,2,0)</f>
        <v>Custos Operacionais</v>
      </c>
      <c r="X5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04" t="s">
        <v>1536</v>
      </c>
    </row>
    <row r="505" spans="1:25" hidden="1">
      <c r="A505" s="1">
        <v>45716</v>
      </c>
      <c r="B505" s="1">
        <v>45716</v>
      </c>
      <c r="E505" t="s">
        <v>137</v>
      </c>
      <c r="F505" t="s">
        <v>138</v>
      </c>
      <c r="G505" t="s">
        <v>334</v>
      </c>
      <c r="H505" t="s">
        <v>461</v>
      </c>
      <c r="I505" s="4">
        <v>400</v>
      </c>
      <c r="J505" s="4"/>
      <c r="N505" s="4" t="str">
        <f>IF(L505="","",IF(OR(Registro2[[#This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505" t="str">
        <f t="shared" si="7"/>
        <v>fev/25</v>
      </c>
      <c r="P505" t="str">
        <f>IF(Registro2[[#This Row],[Data de Pagamento]]&gt;0,TEXT(A505,"mmm/aa"),"")</f>
        <v>fev/25</v>
      </c>
      <c r="T505" s="4">
        <f>IF(Registro2[[#This Row],[Data de Pagamento]]="",0,IF(Registro2[[#This Row],[Conta Financeira]]=base!$A$6,0,Registro2[[#This Row],[Valor Unitário]]))</f>
        <v>400</v>
      </c>
      <c r="U5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05" t="str">
        <f>VLOOKUP(Registro2[[#This Row],[Categoria]],'Plano de Contas'!$V$3:W78,2,0)</f>
        <v>Despesas Administrativas</v>
      </c>
      <c r="X5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05" t="s">
        <v>1536</v>
      </c>
    </row>
    <row r="506" spans="1:25" hidden="1">
      <c r="A506" s="1">
        <v>45716</v>
      </c>
      <c r="B506" s="1">
        <v>45716</v>
      </c>
      <c r="D506" t="s">
        <v>1</v>
      </c>
      <c r="E506" t="s">
        <v>149</v>
      </c>
      <c r="F506" t="s">
        <v>150</v>
      </c>
      <c r="G506" t="s">
        <v>472</v>
      </c>
      <c r="I506" s="4">
        <v>40</v>
      </c>
      <c r="J506" s="4">
        <v>40</v>
      </c>
      <c r="L506" t="s">
        <v>264</v>
      </c>
      <c r="M506" t="s">
        <v>201</v>
      </c>
      <c r="N506" s="4">
        <f>IF(L506="","",IF(OR(Registro2[[#This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506" t="str">
        <f t="shared" si="7"/>
        <v>fev/25</v>
      </c>
      <c r="P506" t="str">
        <f>IF(Registro2[[#This Row],[Data de Pagamento]]&gt;0,TEXT(A506,"mmm/aa"),"")</f>
        <v>fev/25</v>
      </c>
      <c r="T506" s="4">
        <f>IF(Registro2[[#This Row],[Data de Pagamento]]="",0,IF(Registro2[[#This Row],[Conta Financeira]]=base!$A$6,0,Registro2[[#This Row],[Valor Unitário]]))</f>
        <v>40</v>
      </c>
      <c r="U5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06" t="str">
        <f>VLOOKUP(Registro2[[#This Row],[Categoria]],'Plano de Contas'!$V$3:W586,2,0)</f>
        <v>Receitas Produtos</v>
      </c>
      <c r="X50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06" t="s">
        <v>1536</v>
      </c>
    </row>
    <row r="507" spans="1:25" hidden="1">
      <c r="A507" s="1">
        <v>45716</v>
      </c>
      <c r="B507" s="1">
        <v>45716</v>
      </c>
      <c r="D507" t="s">
        <v>947</v>
      </c>
      <c r="E507" t="s">
        <v>137</v>
      </c>
      <c r="F507" t="s">
        <v>139</v>
      </c>
      <c r="G507" t="s">
        <v>336</v>
      </c>
      <c r="H507" t="s">
        <v>1246</v>
      </c>
      <c r="I507" s="4">
        <v>1229.3</v>
      </c>
      <c r="J507" s="4"/>
      <c r="L507" t="s">
        <v>252</v>
      </c>
      <c r="N507" s="4" t="str">
        <f>IF(L507="","",IF(OR(Registro2[[#This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507" t="str">
        <f t="shared" si="7"/>
        <v>fev/25</v>
      </c>
      <c r="P507" t="str">
        <f>IF(Registro2[[#This Row],[Data de Pagamento]]&gt;0,TEXT(A507,"mmm/aa"),"")</f>
        <v>fev/25</v>
      </c>
      <c r="T507" s="4">
        <f>IF(Registro2[[#This Row],[Data de Pagamento]]="",0,IF(Registro2[[#This Row],[Conta Financeira]]=base!$A$6,0,Registro2[[#This Row],[Valor Unitário]]))</f>
        <v>1229.3</v>
      </c>
      <c r="U5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07" t="str">
        <f>VLOOKUP(Registro2[[#This Row],[Categoria]],'Plano de Contas'!$V$3:W714,2,0)</f>
        <v>Custos Operacionais</v>
      </c>
      <c r="X50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07" t="s">
        <v>1536</v>
      </c>
    </row>
    <row r="508" spans="1:25" hidden="1">
      <c r="A508" s="1">
        <v>45716</v>
      </c>
      <c r="B508" s="1">
        <v>45716</v>
      </c>
      <c r="D508" t="s">
        <v>947</v>
      </c>
      <c r="E508" t="s">
        <v>137</v>
      </c>
      <c r="F508" t="s">
        <v>139</v>
      </c>
      <c r="G508" t="s">
        <v>336</v>
      </c>
      <c r="H508" t="s">
        <v>1247</v>
      </c>
      <c r="I508" s="4">
        <v>1675.5</v>
      </c>
      <c r="J508" s="4"/>
      <c r="L508" t="s">
        <v>253</v>
      </c>
      <c r="N508" s="4" t="str">
        <f>IF(L508="","",IF(OR(Registro2[[#This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508" t="str">
        <f t="shared" si="7"/>
        <v>fev/25</v>
      </c>
      <c r="P508" t="str">
        <f>IF(Registro2[[#This Row],[Data de Pagamento]]&gt;0,TEXT(A508,"mmm/aa"),"")</f>
        <v>fev/25</v>
      </c>
      <c r="T508" s="4">
        <f>IF(Registro2[[#This Row],[Data de Pagamento]]="",0,IF(Registro2[[#This Row],[Conta Financeira]]=base!$A$6,0,Registro2[[#This Row],[Valor Unitário]]))</f>
        <v>1675.5</v>
      </c>
      <c r="U5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08" t="str">
        <f>VLOOKUP(Registro2[[#This Row],[Categoria]],'Plano de Contas'!$V$3:W715,2,0)</f>
        <v>Custos Operacionais</v>
      </c>
      <c r="X50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08" t="s">
        <v>1536</v>
      </c>
    </row>
    <row r="509" spans="1:25" hidden="1">
      <c r="A509" s="1">
        <v>45716</v>
      </c>
      <c r="B509" s="1">
        <v>45716</v>
      </c>
      <c r="D509" t="s">
        <v>947</v>
      </c>
      <c r="E509" t="s">
        <v>137</v>
      </c>
      <c r="F509" t="s">
        <v>146</v>
      </c>
      <c r="G509" t="s">
        <v>314</v>
      </c>
      <c r="H509" t="s">
        <v>448</v>
      </c>
      <c r="I509" s="4">
        <v>160</v>
      </c>
      <c r="J509" s="4"/>
      <c r="N509" s="4" t="str">
        <f>IF(L509="","",IF(OR(Registro2[[#This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509" t="str">
        <f t="shared" si="7"/>
        <v>fev/25</v>
      </c>
      <c r="P509" t="str">
        <f>IF(Registro2[[#This Row],[Data de Pagamento]]&gt;0,TEXT(A509,"mmm/aa"),"")</f>
        <v>fev/25</v>
      </c>
      <c r="T509" s="4">
        <f>IF(Registro2[[#This Row],[Data de Pagamento]]="",0,IF(Registro2[[#This Row],[Conta Financeira]]=base!$A$6,0,Registro2[[#This Row],[Valor Unitário]]))</f>
        <v>160</v>
      </c>
      <c r="U5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09" t="str">
        <f>VLOOKUP(Registro2[[#This Row],[Categoria]],'Plano de Contas'!$V$3:W716,2,0)</f>
        <v>Despesas Operacionais</v>
      </c>
      <c r="X50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09" t="s">
        <v>1536</v>
      </c>
    </row>
    <row r="510" spans="1:25" hidden="1">
      <c r="A510" s="1">
        <v>45716</v>
      </c>
      <c r="B510" s="1">
        <v>45716</v>
      </c>
      <c r="D510" t="s">
        <v>947</v>
      </c>
      <c r="E510" t="s">
        <v>137</v>
      </c>
      <c r="F510" t="s">
        <v>139</v>
      </c>
      <c r="G510" t="s">
        <v>336</v>
      </c>
      <c r="H510" t="s">
        <v>1251</v>
      </c>
      <c r="I510" s="4">
        <v>966.9</v>
      </c>
      <c r="J510" s="4"/>
      <c r="L510" t="s">
        <v>264</v>
      </c>
      <c r="N510" s="4" t="str">
        <f>IF(L510="","",IF(OR(Registro2[[#This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510" t="str">
        <f t="shared" si="7"/>
        <v>fev/25</v>
      </c>
      <c r="P510" t="str">
        <f>IF(Registro2[[#This Row],[Data de Pagamento]]&gt;0,TEXT(A510,"mmm/aa"),"")</f>
        <v>fev/25</v>
      </c>
      <c r="T510" s="4">
        <f>IF(Registro2[[#This Row],[Data de Pagamento]]="",0,IF(Registro2[[#This Row],[Conta Financeira]]=base!$A$6,0,Registro2[[#This Row],[Valor Unitário]]))</f>
        <v>966.9</v>
      </c>
      <c r="U5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10" t="str">
        <f>VLOOKUP(Registro2[[#This Row],[Categoria]],'Plano de Contas'!$V$3:W717,2,0)</f>
        <v>Custos Operacionais</v>
      </c>
      <c r="X51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10" t="s">
        <v>1536</v>
      </c>
    </row>
    <row r="511" spans="1:25" hidden="1">
      <c r="A511" s="1">
        <v>45716.416666666664</v>
      </c>
      <c r="B511" s="1">
        <v>45716.416666666664</v>
      </c>
      <c r="D511" t="s">
        <v>1</v>
      </c>
      <c r="E511" t="s">
        <v>149</v>
      </c>
      <c r="F511" t="s">
        <v>147</v>
      </c>
      <c r="G511" t="s">
        <v>163</v>
      </c>
      <c r="I511" s="4">
        <v>35</v>
      </c>
      <c r="J511" s="4">
        <v>35</v>
      </c>
      <c r="L511" t="s">
        <v>252</v>
      </c>
      <c r="M511" t="s">
        <v>22</v>
      </c>
      <c r="N511" s="4">
        <f>IF(L511="","",IF(OR(Registro2[[#This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11" t="str">
        <f t="shared" si="7"/>
        <v>fev/25</v>
      </c>
      <c r="P511" t="str">
        <f>IF(Registro2[[#This Row],[Data de Pagamento]]&gt;0,TEXT(A511,"mmm/aa"),"")</f>
        <v>fev/25</v>
      </c>
      <c r="T511" s="4">
        <f>IF(Registro2[[#This Row],[Data de Pagamento]]="",0,IF(Registro2[[#This Row],[Conta Financeira]]=base!$A$6,0,Registro2[[#This Row],[Valor Unitário]]))</f>
        <v>35</v>
      </c>
      <c r="U5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11" t="str">
        <f>VLOOKUP(Registro2[[#This Row],[Categoria]],'Plano de Contas'!$V$3:W566,2,0)</f>
        <v>Receitas Serviços</v>
      </c>
      <c r="X5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11" t="s">
        <v>1536</v>
      </c>
    </row>
    <row r="512" spans="1:25" hidden="1">
      <c r="A512" s="1">
        <v>45716.416666666664</v>
      </c>
      <c r="B512" s="1">
        <v>45716.416666666664</v>
      </c>
      <c r="D512" t="s">
        <v>1</v>
      </c>
      <c r="E512" t="s">
        <v>149</v>
      </c>
      <c r="F512" t="s">
        <v>147</v>
      </c>
      <c r="G512" t="s">
        <v>163</v>
      </c>
      <c r="I512" s="4">
        <v>35</v>
      </c>
      <c r="J512" s="4">
        <v>35</v>
      </c>
      <c r="L512" t="s">
        <v>253</v>
      </c>
      <c r="M512" t="s">
        <v>1089</v>
      </c>
      <c r="N512" s="4">
        <f>IF(L512="","",IF(OR(Registro2[[#This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12" t="str">
        <f t="shared" si="7"/>
        <v>fev/25</v>
      </c>
      <c r="P512" t="str">
        <f>IF(Registro2[[#This Row],[Data de Pagamento]]&gt;0,TEXT(A512,"mmm/aa"),"")</f>
        <v>fev/25</v>
      </c>
      <c r="T512" s="4">
        <f>IF(Registro2[[#This Row],[Data de Pagamento]]="",0,IF(Registro2[[#This Row],[Conta Financeira]]=base!$A$6,0,Registro2[[#This Row],[Valor Unitário]]))</f>
        <v>35</v>
      </c>
      <c r="U5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12" t="str">
        <f>VLOOKUP(Registro2[[#This Row],[Categoria]],'Plano de Contas'!$V$3:W572,2,0)</f>
        <v>Receitas Serviços</v>
      </c>
      <c r="X51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12" t="s">
        <v>1536</v>
      </c>
    </row>
    <row r="513" spans="1:25" hidden="1">
      <c r="A513" s="1">
        <v>45716.4375</v>
      </c>
      <c r="B513" s="1">
        <v>45716.4375</v>
      </c>
      <c r="D513" t="s">
        <v>1</v>
      </c>
      <c r="E513" t="s">
        <v>149</v>
      </c>
      <c r="F513" t="s">
        <v>147</v>
      </c>
      <c r="G513" t="s">
        <v>163</v>
      </c>
      <c r="I513" s="4">
        <v>35</v>
      </c>
      <c r="J513" s="4">
        <v>35</v>
      </c>
      <c r="L513" t="s">
        <v>253</v>
      </c>
      <c r="M513" t="s">
        <v>403</v>
      </c>
      <c r="N513" s="4">
        <f>IF(L513="","",IF(OR(Registro2[[#This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13" t="str">
        <f t="shared" si="7"/>
        <v>fev/25</v>
      </c>
      <c r="P513" t="str">
        <f>IF(Registro2[[#This Row],[Data de Pagamento]]&gt;0,TEXT(A513,"mmm/aa"),"")</f>
        <v>fev/25</v>
      </c>
      <c r="T513" s="4">
        <f>IF(Registro2[[#This Row],[Data de Pagamento]]="",0,IF(Registro2[[#This Row],[Conta Financeira]]=base!$A$6,0,Registro2[[#This Row],[Valor Unitário]]))</f>
        <v>35</v>
      </c>
      <c r="U5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13" t="str">
        <f>VLOOKUP(Registro2[[#This Row],[Categoria]],'Plano de Contas'!$V$3:W519,2,0)</f>
        <v>Receitas Serviços</v>
      </c>
      <c r="X51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13" t="s">
        <v>1536</v>
      </c>
    </row>
    <row r="514" spans="1:25" hidden="1">
      <c r="A514" s="1">
        <v>45716.4375</v>
      </c>
      <c r="B514" s="1">
        <v>45716.4375</v>
      </c>
      <c r="D514" t="s">
        <v>310</v>
      </c>
      <c r="E514" t="s">
        <v>149</v>
      </c>
      <c r="F514" t="s">
        <v>152</v>
      </c>
      <c r="G514" t="s">
        <v>159</v>
      </c>
      <c r="I514" s="4">
        <v>40</v>
      </c>
      <c r="J514" s="4">
        <v>40</v>
      </c>
      <c r="L514" t="s">
        <v>252</v>
      </c>
      <c r="M514" t="s">
        <v>123</v>
      </c>
      <c r="N514" s="4">
        <f>IF(L514="","",IF(OR(Registro2[[#This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514" t="str">
        <f t="shared" ref="O514:O577" si="8">TEXT(B514,"mmm/aa")</f>
        <v>fev/25</v>
      </c>
      <c r="P514" t="str">
        <f>IF(Registro2[[#This Row],[Data de Pagamento]]&gt;0,TEXT(A514,"mmm/aa"),"")</f>
        <v>fev/25</v>
      </c>
      <c r="T514" s="4">
        <f>IF(Registro2[[#This Row],[Data de Pagamento]]="",0,IF(Registro2[[#This Row],[Conta Financeira]]=base!$A$6,0,Registro2[[#This Row],[Valor Unitário]]))</f>
        <v>40</v>
      </c>
      <c r="U5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14" t="str">
        <f>VLOOKUP(Registro2[[#This Row],[Categoria]],'Plano de Contas'!$V$3:W573,2,0)</f>
        <v>Receitas Serviços</v>
      </c>
      <c r="X51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0.35599999999999998</v>
      </c>
      <c r="Y514" t="s">
        <v>1536</v>
      </c>
    </row>
    <row r="515" spans="1:25" hidden="1">
      <c r="A515" s="1">
        <v>45716.458333333336</v>
      </c>
      <c r="B515" s="1">
        <v>45716.458333333336</v>
      </c>
      <c r="D515" t="s">
        <v>1</v>
      </c>
      <c r="E515" t="s">
        <v>149</v>
      </c>
      <c r="F515" t="s">
        <v>152</v>
      </c>
      <c r="G515" t="s">
        <v>159</v>
      </c>
      <c r="I515" s="4">
        <v>40</v>
      </c>
      <c r="J515" s="4">
        <v>40</v>
      </c>
      <c r="L515" t="s">
        <v>253</v>
      </c>
      <c r="M515" t="s">
        <v>14</v>
      </c>
      <c r="N515" s="4">
        <f>IF(L515="","",IF(OR(Registro2[[#This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515" t="str">
        <f t="shared" si="8"/>
        <v>fev/25</v>
      </c>
      <c r="P515" t="str">
        <f>IF(Registro2[[#This Row],[Data de Pagamento]]&gt;0,TEXT(A515,"mmm/aa"),"")</f>
        <v>fev/25</v>
      </c>
      <c r="T515" s="4">
        <f>IF(Registro2[[#This Row],[Data de Pagamento]]="",0,IF(Registro2[[#This Row],[Conta Financeira]]=base!$A$6,0,Registro2[[#This Row],[Valor Unitário]]))</f>
        <v>40</v>
      </c>
      <c r="U5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15" t="str">
        <f>VLOOKUP(Registro2[[#This Row],[Categoria]],'Plano de Contas'!$V$3:W533,2,0)</f>
        <v>Receitas Serviços</v>
      </c>
      <c r="X51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15" t="s">
        <v>1536</v>
      </c>
    </row>
    <row r="516" spans="1:25" hidden="1">
      <c r="A516" s="1">
        <v>45716.458333333336</v>
      </c>
      <c r="B516" s="1">
        <v>45716.458333333336</v>
      </c>
      <c r="D516" t="s">
        <v>1</v>
      </c>
      <c r="E516" t="s">
        <v>149</v>
      </c>
      <c r="F516" t="s">
        <v>147</v>
      </c>
      <c r="G516" t="s">
        <v>163</v>
      </c>
      <c r="I516" s="4">
        <v>35</v>
      </c>
      <c r="J516" s="4">
        <v>70</v>
      </c>
      <c r="L516" t="s">
        <v>252</v>
      </c>
      <c r="M516" t="s">
        <v>76</v>
      </c>
      <c r="N516" s="4">
        <f>IF(L516="","",IF(OR(Registro2[[#This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16" t="str">
        <f t="shared" si="8"/>
        <v>fev/25</v>
      </c>
      <c r="P516" t="str">
        <f>IF(Registro2[[#This Row],[Data de Pagamento]]&gt;0,TEXT(A516,"mmm/aa"),"")</f>
        <v>fev/25</v>
      </c>
      <c r="T516" s="4">
        <f>IF(Registro2[[#This Row],[Data de Pagamento]]="",0,IF(Registro2[[#This Row],[Conta Financeira]]=base!$A$6,0,Registro2[[#This Row],[Valor Unitário]]))</f>
        <v>35</v>
      </c>
      <c r="U5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16" t="str">
        <f>VLOOKUP(Registro2[[#This Row],[Categoria]],'Plano de Contas'!$V$3:W570,2,0)</f>
        <v>Receitas Serviços</v>
      </c>
      <c r="X51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16" t="s">
        <v>1536</v>
      </c>
    </row>
    <row r="517" spans="1:25" hidden="1">
      <c r="A517" s="1">
        <v>45716.458333333336</v>
      </c>
      <c r="B517" s="1">
        <v>45716.458333333336</v>
      </c>
      <c r="D517" t="s">
        <v>1</v>
      </c>
      <c r="E517" t="s">
        <v>149</v>
      </c>
      <c r="F517" t="s">
        <v>147</v>
      </c>
      <c r="G517" t="s">
        <v>163</v>
      </c>
      <c r="I517" s="4">
        <v>35</v>
      </c>
      <c r="J517" s="4"/>
      <c r="L517" t="s">
        <v>253</v>
      </c>
      <c r="M517" t="s">
        <v>76</v>
      </c>
      <c r="N517" s="4">
        <f>IF(L517="","",IF(OR(Registro2[[#This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17" t="str">
        <f t="shared" si="8"/>
        <v>fev/25</v>
      </c>
      <c r="P517" t="str">
        <f>IF(Registro2[[#This Row],[Data de Pagamento]]&gt;0,TEXT(A517,"mmm/aa"),"")</f>
        <v>fev/25</v>
      </c>
      <c r="T517" s="4">
        <f>IF(Registro2[[#This Row],[Data de Pagamento]]="",0,IF(Registro2[[#This Row],[Conta Financeira]]=base!$A$6,0,Registro2[[#This Row],[Valor Unitário]]))</f>
        <v>35</v>
      </c>
      <c r="U5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17" t="str">
        <f>VLOOKUP(Registro2[[#This Row],[Categoria]],'Plano de Contas'!$V$3:W571,2,0)</f>
        <v>Receitas Serviços</v>
      </c>
      <c r="X51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17" t="s">
        <v>1536</v>
      </c>
    </row>
    <row r="518" spans="1:25" hidden="1">
      <c r="A518" s="1">
        <v>45716.479166666664</v>
      </c>
      <c r="B518" s="1">
        <v>45716.479166666664</v>
      </c>
      <c r="D518" t="s">
        <v>2</v>
      </c>
      <c r="E518" t="s">
        <v>149</v>
      </c>
      <c r="F518" t="s">
        <v>152</v>
      </c>
      <c r="G518" t="s">
        <v>156</v>
      </c>
      <c r="I518" s="4">
        <v>150</v>
      </c>
      <c r="J518" s="4">
        <v>150</v>
      </c>
      <c r="L518" t="s">
        <v>253</v>
      </c>
      <c r="M518" t="s">
        <v>1056</v>
      </c>
      <c r="N518" s="4">
        <f>IF(L518="","",IF(OR(Registro2[[#This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67.5</v>
      </c>
      <c r="O518" t="str">
        <f t="shared" si="8"/>
        <v>fev/25</v>
      </c>
      <c r="P518" t="str">
        <f>IF(Registro2[[#This Row],[Data de Pagamento]]&gt;0,TEXT(A518,"mmm/aa"),"")</f>
        <v>fev/25</v>
      </c>
      <c r="T518" s="4">
        <f>IF(Registro2[[#This Row],[Data de Pagamento]]="",0,IF(Registro2[[#This Row],[Conta Financeira]]=base!$A$6,0,Registro2[[#This Row],[Valor Unitário]]))</f>
        <v>150</v>
      </c>
      <c r="U5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18" t="str">
        <f>VLOOKUP(Registro2[[#This Row],[Categoria]],'Plano de Contas'!$V$3:W545,2,0)</f>
        <v>Receitas Serviços</v>
      </c>
      <c r="X5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18" t="s">
        <v>1536</v>
      </c>
    </row>
    <row r="519" spans="1:25" hidden="1">
      <c r="A519" s="1">
        <v>45716.5</v>
      </c>
      <c r="B519" s="1">
        <v>45716.5</v>
      </c>
      <c r="D519" t="s">
        <v>1</v>
      </c>
      <c r="E519" t="s">
        <v>149</v>
      </c>
      <c r="F519" t="s">
        <v>152</v>
      </c>
      <c r="G519" t="s">
        <v>159</v>
      </c>
      <c r="I519" s="4">
        <v>45</v>
      </c>
      <c r="J519" s="4">
        <v>45</v>
      </c>
      <c r="L519" t="s">
        <v>264</v>
      </c>
      <c r="M519" t="s">
        <v>483</v>
      </c>
      <c r="N519" s="4">
        <f>IF(L519="","",IF(OR(Registro2[[#This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20.25</v>
      </c>
      <c r="O519" t="str">
        <f t="shared" si="8"/>
        <v>fev/25</v>
      </c>
      <c r="P519" t="str">
        <f>IF(Registro2[[#This Row],[Data de Pagamento]]&gt;0,TEXT(A519,"mmm/aa"),"")</f>
        <v>fev/25</v>
      </c>
      <c r="T519" s="4">
        <f>IF(Registro2[[#This Row],[Data de Pagamento]]="",0,IF(Registro2[[#This Row],[Conta Financeira]]=base!$A$6,0,Registro2[[#This Row],[Valor Unitário]]))</f>
        <v>45</v>
      </c>
      <c r="U5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19" t="str">
        <f>VLOOKUP(Registro2[[#This Row],[Categoria]],'Plano de Contas'!$V$3:W575,2,0)</f>
        <v>Receitas Serviços</v>
      </c>
      <c r="X51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19" t="s">
        <v>1536</v>
      </c>
    </row>
    <row r="520" spans="1:25" hidden="1">
      <c r="A520" s="1">
        <v>45716.520833333336</v>
      </c>
      <c r="B520" s="1">
        <v>45716.520833333336</v>
      </c>
      <c r="D520" t="s">
        <v>1</v>
      </c>
      <c r="E520" t="s">
        <v>149</v>
      </c>
      <c r="F520" t="s">
        <v>147</v>
      </c>
      <c r="G520" t="s">
        <v>163</v>
      </c>
      <c r="I520" s="4">
        <v>35</v>
      </c>
      <c r="J520" s="4">
        <v>50</v>
      </c>
      <c r="L520" t="s">
        <v>252</v>
      </c>
      <c r="M520" t="s">
        <v>83</v>
      </c>
      <c r="N520" s="4">
        <f>IF(L520="","",IF(OR(Registro2[[#This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20" t="str">
        <f t="shared" si="8"/>
        <v>fev/25</v>
      </c>
      <c r="P520" t="str">
        <f>IF(Registro2[[#This Row],[Data de Pagamento]]&gt;0,TEXT(A520,"mmm/aa"),"")</f>
        <v>fev/25</v>
      </c>
      <c r="T520" s="4">
        <f>IF(Registro2[[#This Row],[Data de Pagamento]]="",0,IF(Registro2[[#This Row],[Conta Financeira]]=base!$A$6,0,Registro2[[#This Row],[Valor Unitário]]))</f>
        <v>35</v>
      </c>
      <c r="U5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20" t="str">
        <f>VLOOKUP(Registro2[[#This Row],[Categoria]],'Plano de Contas'!$V$3:W567,2,0)</f>
        <v>Receitas Serviços</v>
      </c>
      <c r="X52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20" t="s">
        <v>1536</v>
      </c>
    </row>
    <row r="521" spans="1:25" hidden="1">
      <c r="A521" s="1">
        <v>45716.520833333336</v>
      </c>
      <c r="B521" s="1">
        <v>45716.520833333336</v>
      </c>
      <c r="D521" t="s">
        <v>1</v>
      </c>
      <c r="E521" t="s">
        <v>149</v>
      </c>
      <c r="F521" t="s">
        <v>152</v>
      </c>
      <c r="G521" t="s">
        <v>352</v>
      </c>
      <c r="I521" s="4">
        <v>15</v>
      </c>
      <c r="J521" s="4"/>
      <c r="L521" t="s">
        <v>252</v>
      </c>
      <c r="M521" t="s">
        <v>83</v>
      </c>
      <c r="N521" s="4">
        <f>IF(L521="","",IF(OR(Registro2[[#This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521" t="str">
        <f t="shared" si="8"/>
        <v>fev/25</v>
      </c>
      <c r="P521" t="str">
        <f>IF(Registro2[[#This Row],[Data de Pagamento]]&gt;0,TEXT(A521,"mmm/aa"),"")</f>
        <v>fev/25</v>
      </c>
      <c r="T521" s="4">
        <f>IF(Registro2[[#This Row],[Data de Pagamento]]="",0,IF(Registro2[[#This Row],[Conta Financeira]]=base!$A$6,0,Registro2[[#This Row],[Valor Unitário]]))</f>
        <v>15</v>
      </c>
      <c r="U5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21" t="str">
        <f>VLOOKUP(Registro2[[#This Row],[Categoria]],'Plano de Contas'!$V$3:W568,2,0)</f>
        <v>Receitas Serviços</v>
      </c>
      <c r="X52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21" t="s">
        <v>1536</v>
      </c>
    </row>
    <row r="522" spans="1:25" hidden="1">
      <c r="A522" s="1">
        <v>45716.541666666664</v>
      </c>
      <c r="B522" s="1">
        <v>45716.541666666664</v>
      </c>
      <c r="D522" t="s">
        <v>1</v>
      </c>
      <c r="E522" t="s">
        <v>149</v>
      </c>
      <c r="F522" t="s">
        <v>147</v>
      </c>
      <c r="G522" t="s">
        <v>163</v>
      </c>
      <c r="I522" s="4">
        <v>35</v>
      </c>
      <c r="J522" s="4">
        <v>35</v>
      </c>
      <c r="L522" t="s">
        <v>264</v>
      </c>
      <c r="M522" t="s">
        <v>1097</v>
      </c>
      <c r="N522" s="4">
        <f>IF(L522="","",IF(OR(Registro2[[#This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22" t="str">
        <f t="shared" si="8"/>
        <v>fev/25</v>
      </c>
      <c r="P522" t="str">
        <f>IF(Registro2[[#This Row],[Data de Pagamento]]&gt;0,TEXT(A522,"mmm/aa"),"")</f>
        <v>fev/25</v>
      </c>
      <c r="T522" s="4">
        <f>IF(Registro2[[#This Row],[Data de Pagamento]]="",0,IF(Registro2[[#This Row],[Conta Financeira]]=base!$A$6,0,Registro2[[#This Row],[Valor Unitário]]))</f>
        <v>35</v>
      </c>
      <c r="U5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22" t="str">
        <f>VLOOKUP(Registro2[[#This Row],[Categoria]],'Plano de Contas'!$V$3:W577,2,0)</f>
        <v>Receitas Serviços</v>
      </c>
      <c r="X52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22" t="s">
        <v>1536</v>
      </c>
    </row>
    <row r="523" spans="1:25" hidden="1">
      <c r="A523" s="1">
        <v>45716.552083333336</v>
      </c>
      <c r="B523" s="1">
        <v>45716.552083333336</v>
      </c>
      <c r="D523" t="s">
        <v>310</v>
      </c>
      <c r="E523" t="s">
        <v>149</v>
      </c>
      <c r="F523" t="s">
        <v>147</v>
      </c>
      <c r="G523" t="s">
        <v>163</v>
      </c>
      <c r="I523" s="4">
        <v>35</v>
      </c>
      <c r="J523" s="4">
        <v>35</v>
      </c>
      <c r="L523" t="s">
        <v>253</v>
      </c>
      <c r="M523" t="s">
        <v>1095</v>
      </c>
      <c r="N523" s="4">
        <f>IF(L523="","",IF(OR(Registro2[[#This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23" t="str">
        <f t="shared" si="8"/>
        <v>fev/25</v>
      </c>
      <c r="P523" t="str">
        <f>IF(Registro2[[#This Row],[Data de Pagamento]]&gt;0,TEXT(A523,"mmm/aa"),"")</f>
        <v>fev/25</v>
      </c>
      <c r="T523" s="4">
        <f>IF(Registro2[[#This Row],[Data de Pagamento]]="",0,IF(Registro2[[#This Row],[Conta Financeira]]=base!$A$6,0,Registro2[[#This Row],[Valor Unitário]]))</f>
        <v>35</v>
      </c>
      <c r="U5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23" t="str">
        <f>VLOOKUP(Registro2[[#This Row],[Categoria]],'Plano de Contas'!$V$3:W576,2,0)</f>
        <v>Receitas Serviços</v>
      </c>
      <c r="X52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523" t="s">
        <v>1536</v>
      </c>
    </row>
    <row r="524" spans="1:25" hidden="1">
      <c r="A524" s="1">
        <v>45716.59375</v>
      </c>
      <c r="B524" s="1">
        <v>45716.59375</v>
      </c>
      <c r="D524" t="s">
        <v>1</v>
      </c>
      <c r="E524" t="s">
        <v>149</v>
      </c>
      <c r="F524" t="s">
        <v>147</v>
      </c>
      <c r="G524" t="s">
        <v>1046</v>
      </c>
      <c r="I524" s="4">
        <v>20</v>
      </c>
      <c r="J524" s="4">
        <v>35</v>
      </c>
      <c r="L524" t="s">
        <v>264</v>
      </c>
      <c r="M524" t="s">
        <v>382</v>
      </c>
      <c r="N524" s="4">
        <f>IF(L524="","",IF(OR(Registro2[[#This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524" t="str">
        <f t="shared" si="8"/>
        <v>fev/25</v>
      </c>
      <c r="P524" t="str">
        <f>IF(Registro2[[#This Row],[Data de Pagamento]]&gt;0,TEXT(A524,"mmm/aa"),"")</f>
        <v>fev/25</v>
      </c>
      <c r="T524" s="4">
        <f>IF(Registro2[[#This Row],[Data de Pagamento]]="",0,IF(Registro2[[#This Row],[Conta Financeira]]=base!$A$6,0,Registro2[[#This Row],[Valor Unitário]]))</f>
        <v>20</v>
      </c>
      <c r="U5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24" t="str">
        <f>VLOOKUP(Registro2[[#This Row],[Categoria]],'Plano de Contas'!$V$3:W579,2,0)</f>
        <v>Receitas Serviços</v>
      </c>
      <c r="X52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24" t="s">
        <v>1536</v>
      </c>
    </row>
    <row r="525" spans="1:25" hidden="1">
      <c r="A525" s="1">
        <v>45716.59375</v>
      </c>
      <c r="B525" s="1">
        <v>45716.59375</v>
      </c>
      <c r="D525" t="s">
        <v>1</v>
      </c>
      <c r="E525" t="s">
        <v>149</v>
      </c>
      <c r="F525" t="s">
        <v>152</v>
      </c>
      <c r="G525" t="s">
        <v>352</v>
      </c>
      <c r="I525" s="4">
        <v>15</v>
      </c>
      <c r="J525" s="4"/>
      <c r="L525" t="s">
        <v>264</v>
      </c>
      <c r="M525" t="s">
        <v>382</v>
      </c>
      <c r="N525" s="4">
        <f>IF(L525="","",IF(OR(Registro2[[#This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525" t="str">
        <f t="shared" si="8"/>
        <v>fev/25</v>
      </c>
      <c r="P525" t="str">
        <f>IF(Registro2[[#This Row],[Data de Pagamento]]&gt;0,TEXT(A525,"mmm/aa"),"")</f>
        <v>fev/25</v>
      </c>
      <c r="T525" s="4">
        <f>IF(Registro2[[#This Row],[Data de Pagamento]]="",0,IF(Registro2[[#This Row],[Conta Financeira]]=base!$A$6,0,Registro2[[#This Row],[Valor Unitário]]))</f>
        <v>15</v>
      </c>
      <c r="U5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25" t="str">
        <f>VLOOKUP(Registro2[[#This Row],[Categoria]],'Plano de Contas'!$V$3:W580,2,0)</f>
        <v>Receitas Serviços</v>
      </c>
      <c r="X52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25" t="s">
        <v>1536</v>
      </c>
    </row>
    <row r="526" spans="1:25" hidden="1">
      <c r="A526" s="1">
        <v>45716.59375</v>
      </c>
      <c r="B526" s="1">
        <v>45716.59375</v>
      </c>
      <c r="D526" t="s">
        <v>1</v>
      </c>
      <c r="E526" t="s">
        <v>149</v>
      </c>
      <c r="F526" t="s">
        <v>147</v>
      </c>
      <c r="G526" t="s">
        <v>163</v>
      </c>
      <c r="I526" s="4">
        <v>35</v>
      </c>
      <c r="J526" s="4">
        <v>35</v>
      </c>
      <c r="L526" t="s">
        <v>253</v>
      </c>
      <c r="M526" t="s">
        <v>278</v>
      </c>
      <c r="N526" s="4">
        <f>IF(L526="","",IF(OR(Registro2[[#This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26" t="str">
        <f t="shared" si="8"/>
        <v>fev/25</v>
      </c>
      <c r="P526" t="str">
        <f>IF(Registro2[[#This Row],[Data de Pagamento]]&gt;0,TEXT(A526,"mmm/aa"),"")</f>
        <v>fev/25</v>
      </c>
      <c r="T526" s="4">
        <f>IF(Registro2[[#This Row],[Data de Pagamento]]="",0,IF(Registro2[[#This Row],[Conta Financeira]]=base!$A$6,0,Registro2[[#This Row],[Valor Unitário]]))</f>
        <v>35</v>
      </c>
      <c r="U5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26" t="str">
        <f>VLOOKUP(Registro2[[#This Row],[Categoria]],'Plano de Contas'!$V$3:W583,2,0)</f>
        <v>Receitas Serviços</v>
      </c>
      <c r="X52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26" t="s">
        <v>1536</v>
      </c>
    </row>
    <row r="527" spans="1:25" hidden="1">
      <c r="A527" s="1">
        <v>45716.604166666664</v>
      </c>
      <c r="B527" s="1">
        <v>45716.604166666664</v>
      </c>
      <c r="D527" t="s">
        <v>1</v>
      </c>
      <c r="E527" t="s">
        <v>149</v>
      </c>
      <c r="F527" t="s">
        <v>152</v>
      </c>
      <c r="G527" t="s">
        <v>159</v>
      </c>
      <c r="I527" s="4">
        <v>40</v>
      </c>
      <c r="J527" s="4">
        <v>40</v>
      </c>
      <c r="L527" t="s">
        <v>252</v>
      </c>
      <c r="M527" t="s">
        <v>1099</v>
      </c>
      <c r="N527" s="4">
        <f>IF(L527="","",IF(OR(Registro2[[#This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527" t="str">
        <f t="shared" si="8"/>
        <v>fev/25</v>
      </c>
      <c r="P527" t="str">
        <f>IF(Registro2[[#This Row],[Data de Pagamento]]&gt;0,TEXT(A527,"mmm/aa"),"")</f>
        <v>fev/25</v>
      </c>
      <c r="T527" s="4">
        <f>IF(Registro2[[#This Row],[Data de Pagamento]]="",0,IF(Registro2[[#This Row],[Conta Financeira]]=base!$A$6,0,Registro2[[#This Row],[Valor Unitário]]))</f>
        <v>40</v>
      </c>
      <c r="U5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27" t="str">
        <f>VLOOKUP(Registro2[[#This Row],[Categoria]],'Plano de Contas'!$V$3:W578,2,0)</f>
        <v>Receitas Serviços</v>
      </c>
      <c r="X5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27" t="s">
        <v>1536</v>
      </c>
    </row>
    <row r="528" spans="1:25" hidden="1">
      <c r="A528" s="1">
        <v>45716.607638888891</v>
      </c>
      <c r="B528" s="1">
        <v>45716.607638888891</v>
      </c>
      <c r="D528" t="s">
        <v>1</v>
      </c>
      <c r="E528" t="s">
        <v>149</v>
      </c>
      <c r="F528" t="s">
        <v>147</v>
      </c>
      <c r="G528" t="s">
        <v>163</v>
      </c>
      <c r="I528" s="4">
        <v>20</v>
      </c>
      <c r="J528" s="4">
        <v>35</v>
      </c>
      <c r="L528" t="s">
        <v>252</v>
      </c>
      <c r="M528" t="s">
        <v>852</v>
      </c>
      <c r="N528" s="4">
        <f>IF(L528="","",IF(OR(Registro2[[#This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528" t="str">
        <f t="shared" si="8"/>
        <v>fev/25</v>
      </c>
      <c r="P528" t="str">
        <f>IF(Registro2[[#This Row],[Data de Pagamento]]&gt;0,TEXT(A528,"mmm/aa"),"")</f>
        <v>fev/25</v>
      </c>
      <c r="T528" s="4">
        <f>IF(Registro2[[#This Row],[Data de Pagamento]]="",0,IF(Registro2[[#This Row],[Conta Financeira]]=base!$A$6,0,Registro2[[#This Row],[Valor Unitário]]))</f>
        <v>20</v>
      </c>
      <c r="U5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28" t="str">
        <f>VLOOKUP(Registro2[[#This Row],[Categoria]],'Plano de Contas'!$V$3:W581,2,0)</f>
        <v>Receitas Serviços</v>
      </c>
      <c r="X52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28" t="s">
        <v>1536</v>
      </c>
    </row>
    <row r="529" spans="1:25" hidden="1">
      <c r="A529" s="1">
        <v>45716.607638888891</v>
      </c>
      <c r="B529" s="1">
        <v>45716.607638888891</v>
      </c>
      <c r="D529" t="s">
        <v>1</v>
      </c>
      <c r="E529" t="s">
        <v>149</v>
      </c>
      <c r="F529" t="s">
        <v>152</v>
      </c>
      <c r="G529" t="s">
        <v>352</v>
      </c>
      <c r="I529" s="4">
        <v>15</v>
      </c>
      <c r="J529" s="4"/>
      <c r="L529" t="s">
        <v>252</v>
      </c>
      <c r="M529" t="s">
        <v>852</v>
      </c>
      <c r="N529" s="4">
        <f>IF(L529="","",IF(OR(Registro2[[#This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529" t="str">
        <f t="shared" si="8"/>
        <v>fev/25</v>
      </c>
      <c r="P529" t="str">
        <f>IF(Registro2[[#This Row],[Data de Pagamento]]&gt;0,TEXT(A529,"mmm/aa"),"")</f>
        <v>fev/25</v>
      </c>
      <c r="T529" s="4">
        <f>IF(Registro2[[#This Row],[Data de Pagamento]]="",0,IF(Registro2[[#This Row],[Conta Financeira]]=base!$A$6,0,Registro2[[#This Row],[Valor Unitário]]))</f>
        <v>15</v>
      </c>
      <c r="U5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29" t="str">
        <f>VLOOKUP(Registro2[[#This Row],[Categoria]],'Plano de Contas'!$V$3:W582,2,0)</f>
        <v>Receitas Serviços</v>
      </c>
      <c r="X5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29" t="s">
        <v>1536</v>
      </c>
    </row>
    <row r="530" spans="1:25" hidden="1">
      <c r="A530" s="1">
        <v>45716.666666666664</v>
      </c>
      <c r="B530" s="1">
        <v>45716.666666666664</v>
      </c>
      <c r="D530" t="s">
        <v>354</v>
      </c>
      <c r="E530" t="s">
        <v>149</v>
      </c>
      <c r="F530" t="s">
        <v>147</v>
      </c>
      <c r="G530" t="s">
        <v>163</v>
      </c>
      <c r="I530" s="4">
        <v>35</v>
      </c>
      <c r="J530" s="4">
        <v>35</v>
      </c>
      <c r="L530" t="s">
        <v>252</v>
      </c>
      <c r="M530" t="s">
        <v>482</v>
      </c>
      <c r="N530" s="4">
        <f>IF(L530="","",IF(OR(Registro2[[#This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30" t="str">
        <f t="shared" si="8"/>
        <v>fev/25</v>
      </c>
      <c r="P530" t="str">
        <f>IF(Registro2[[#This Row],[Data de Pagamento]]&gt;0,TEXT(A530,"mmm/aa"),"")</f>
        <v>fev/25</v>
      </c>
      <c r="T530" s="4">
        <f>IF(Registro2[[#This Row],[Data de Pagamento]]="",0,IF(Registro2[[#This Row],[Conta Financeira]]=base!$A$6,0,Registro2[[#This Row],[Valor Unitário]]))</f>
        <v>35</v>
      </c>
      <c r="U5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30" t="str">
        <f>VLOOKUP(Registro2[[#This Row],[Categoria]],'Plano de Contas'!$V$3:W587,2,0)</f>
        <v>Receitas Serviços</v>
      </c>
      <c r="X53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530" t="s">
        <v>1536</v>
      </c>
    </row>
    <row r="531" spans="1:25" hidden="1">
      <c r="A531" s="1">
        <v>45716.6875</v>
      </c>
      <c r="B531" s="1">
        <v>45716.6875</v>
      </c>
      <c r="D531" t="s">
        <v>1</v>
      </c>
      <c r="E531" t="s">
        <v>149</v>
      </c>
      <c r="F531" t="s">
        <v>147</v>
      </c>
      <c r="G531" t="s">
        <v>163</v>
      </c>
      <c r="I531" s="4">
        <v>35</v>
      </c>
      <c r="J531" s="4">
        <v>35</v>
      </c>
      <c r="L531" t="s">
        <v>253</v>
      </c>
      <c r="M531" t="s">
        <v>12</v>
      </c>
      <c r="N531" s="4">
        <f>IF(L531="","",IF(OR(Registro2[[#This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31" t="str">
        <f t="shared" si="8"/>
        <v>fev/25</v>
      </c>
      <c r="P531" t="str">
        <f>IF(Registro2[[#This Row],[Data de Pagamento]]&gt;0,TEXT(A531,"mmm/aa"),"")</f>
        <v>fev/25</v>
      </c>
      <c r="T531" s="4">
        <f>IF(Registro2[[#This Row],[Data de Pagamento]]="",0,IF(Registro2[[#This Row],[Conta Financeira]]=base!$A$6,0,Registro2[[#This Row],[Valor Unitário]]))</f>
        <v>35</v>
      </c>
      <c r="U5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31" t="str">
        <f>VLOOKUP(Registro2[[#This Row],[Categoria]],'Plano de Contas'!$V$3:W549,2,0)</f>
        <v>Receitas Serviços</v>
      </c>
      <c r="X53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31" t="s">
        <v>1536</v>
      </c>
    </row>
    <row r="532" spans="1:25" hidden="1">
      <c r="A532" s="1">
        <v>45716.694444444445</v>
      </c>
      <c r="B532" s="1">
        <v>45716.694444444445</v>
      </c>
      <c r="D532" t="s">
        <v>1</v>
      </c>
      <c r="E532" t="s">
        <v>149</v>
      </c>
      <c r="F532" t="s">
        <v>147</v>
      </c>
      <c r="G532" t="s">
        <v>163</v>
      </c>
      <c r="I532" s="4">
        <v>30</v>
      </c>
      <c r="J532" s="4">
        <v>90</v>
      </c>
      <c r="L532" t="s">
        <v>253</v>
      </c>
      <c r="M532" t="s">
        <v>405</v>
      </c>
      <c r="N532" s="4">
        <f>IF(L532="","",IF(OR(Registro2[[#This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532" t="str">
        <f t="shared" si="8"/>
        <v>fev/25</v>
      </c>
      <c r="P532" t="str">
        <f>IF(Registro2[[#This Row],[Data de Pagamento]]&gt;0,TEXT(A532,"mmm/aa"),"")</f>
        <v>fev/25</v>
      </c>
      <c r="T532" s="4">
        <f>IF(Registro2[[#This Row],[Data de Pagamento]]="",0,IF(Registro2[[#This Row],[Conta Financeira]]=base!$A$6,0,Registro2[[#This Row],[Valor Unitário]]))</f>
        <v>30</v>
      </c>
      <c r="U5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32" t="str">
        <f>VLOOKUP(Registro2[[#This Row],[Categoria]],'Plano de Contas'!$V$3:W588,2,0)</f>
        <v>Receitas Serviços</v>
      </c>
      <c r="X53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32" t="s">
        <v>1536</v>
      </c>
    </row>
    <row r="533" spans="1:25" hidden="1">
      <c r="A533" s="1">
        <v>45716.694444444445</v>
      </c>
      <c r="B533" s="1">
        <v>45716.694444444445</v>
      </c>
      <c r="D533" t="s">
        <v>1</v>
      </c>
      <c r="E533" t="s">
        <v>149</v>
      </c>
      <c r="F533" t="s">
        <v>147</v>
      </c>
      <c r="G533" t="s">
        <v>163</v>
      </c>
      <c r="I533" s="4">
        <v>30</v>
      </c>
      <c r="J533" s="4">
        <v>0</v>
      </c>
      <c r="L533" t="s">
        <v>253</v>
      </c>
      <c r="M533" t="s">
        <v>414</v>
      </c>
      <c r="N533" s="4">
        <f>IF(L533="","",IF(OR(Registro2[[#This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533" t="str">
        <f t="shared" si="8"/>
        <v>fev/25</v>
      </c>
      <c r="P533" t="str">
        <f>IF(Registro2[[#This Row],[Data de Pagamento]]&gt;0,TEXT(A533,"mmm/aa"),"")</f>
        <v>fev/25</v>
      </c>
      <c r="T533" s="4">
        <f>IF(Registro2[[#This Row],[Data de Pagamento]]="",0,IF(Registro2[[#This Row],[Conta Financeira]]=base!$A$6,0,Registro2[[#This Row],[Valor Unitário]]))</f>
        <v>30</v>
      </c>
      <c r="U5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533" t="str">
        <f>VLOOKUP(Registro2[[#This Row],[Categoria]],'Plano de Contas'!$V$3:W589,2,0)</f>
        <v>Receitas Serviços</v>
      </c>
      <c r="X53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33" t="s">
        <v>1536</v>
      </c>
    </row>
    <row r="534" spans="1:25" hidden="1">
      <c r="A534" s="1">
        <v>45716.708333333336</v>
      </c>
      <c r="B534" s="1">
        <v>45716.708333333336</v>
      </c>
      <c r="D534" t="s">
        <v>1</v>
      </c>
      <c r="E534" t="s">
        <v>149</v>
      </c>
      <c r="F534" t="s">
        <v>152</v>
      </c>
      <c r="G534" t="s">
        <v>353</v>
      </c>
      <c r="I534" s="4">
        <v>55</v>
      </c>
      <c r="J534" s="4">
        <v>55</v>
      </c>
      <c r="L534" t="s">
        <v>252</v>
      </c>
      <c r="M534" t="s">
        <v>480</v>
      </c>
      <c r="N534" s="4">
        <f>IF(L534="","",IF(OR(Registro2[[#This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534" t="str">
        <f t="shared" si="8"/>
        <v>fev/25</v>
      </c>
      <c r="P534" t="str">
        <f>IF(Registro2[[#This Row],[Data de Pagamento]]&gt;0,TEXT(A534,"mmm/aa"),"")</f>
        <v>fev/25</v>
      </c>
      <c r="T534" s="4">
        <f>IF(Registro2[[#This Row],[Data de Pagamento]]="",0,IF(Registro2[[#This Row],[Conta Financeira]]=base!$A$6,0,Registro2[[#This Row],[Valor Unitário]]))</f>
        <v>55</v>
      </c>
      <c r="U5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34" t="str">
        <f>VLOOKUP(Registro2[[#This Row],[Categoria]],'Plano de Contas'!$V$3:W490,2,0)</f>
        <v>Receitas Serviços</v>
      </c>
      <c r="X53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34" t="s">
        <v>1536</v>
      </c>
    </row>
    <row r="535" spans="1:25" hidden="1">
      <c r="A535" s="1">
        <v>45716.708333333336</v>
      </c>
      <c r="B535" s="1">
        <v>45716.708333333336</v>
      </c>
      <c r="D535" t="s">
        <v>2</v>
      </c>
      <c r="E535" t="s">
        <v>149</v>
      </c>
      <c r="F535" t="s">
        <v>152</v>
      </c>
      <c r="G535" t="s">
        <v>159</v>
      </c>
      <c r="I535" s="4">
        <v>40</v>
      </c>
      <c r="J535" s="4">
        <v>40</v>
      </c>
      <c r="L535" t="s">
        <v>252</v>
      </c>
      <c r="M535" t="s">
        <v>1109</v>
      </c>
      <c r="N535" s="4">
        <f>IF(L535="","",IF(OR(Registro2[[#This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535" t="str">
        <f t="shared" si="8"/>
        <v>fev/25</v>
      </c>
      <c r="P535" t="str">
        <f>IF(Registro2[[#This Row],[Data de Pagamento]]&gt;0,TEXT(A535,"mmm/aa"),"")</f>
        <v>fev/25</v>
      </c>
      <c r="T535" s="4">
        <f>IF(Registro2[[#This Row],[Data de Pagamento]]="",0,IF(Registro2[[#This Row],[Conta Financeira]]=base!$A$6,0,Registro2[[#This Row],[Valor Unitário]]))</f>
        <v>40</v>
      </c>
      <c r="U5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35" t="str">
        <f>VLOOKUP(Registro2[[#This Row],[Categoria]],'Plano de Contas'!$V$3:W590,2,0)</f>
        <v>Receitas Serviços</v>
      </c>
      <c r="X53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35" t="s">
        <v>1536</v>
      </c>
    </row>
    <row r="536" spans="1:25" hidden="1">
      <c r="A536" s="1">
        <v>45716.71875</v>
      </c>
      <c r="B536" s="1">
        <v>45716.71875</v>
      </c>
      <c r="D536" t="s">
        <v>310</v>
      </c>
      <c r="E536" t="s">
        <v>149</v>
      </c>
      <c r="F536" t="s">
        <v>152</v>
      </c>
      <c r="G536" t="s">
        <v>159</v>
      </c>
      <c r="I536" s="4">
        <v>40</v>
      </c>
      <c r="J536" s="4">
        <v>40</v>
      </c>
      <c r="L536" t="s">
        <v>253</v>
      </c>
      <c r="M536" t="s">
        <v>284</v>
      </c>
      <c r="N536" s="4">
        <f>IF(L536="","",IF(OR(Registro2[[#This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536" t="str">
        <f t="shared" si="8"/>
        <v>fev/25</v>
      </c>
      <c r="P536" t="str">
        <f>IF(Registro2[[#This Row],[Data de Pagamento]]&gt;0,TEXT(A536,"mmm/aa"),"")</f>
        <v>fev/25</v>
      </c>
      <c r="T536" s="4">
        <f>IF(Registro2[[#This Row],[Data de Pagamento]]="",0,IF(Registro2[[#This Row],[Conta Financeira]]=base!$A$6,0,Registro2[[#This Row],[Valor Unitário]]))</f>
        <v>40</v>
      </c>
      <c r="U5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36" t="str">
        <f>VLOOKUP(Registro2[[#This Row],[Categoria]],'Plano de Contas'!$V$3:W569,2,0)</f>
        <v>Receitas Serviços</v>
      </c>
      <c r="X53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0.35599999999999998</v>
      </c>
      <c r="Y536" t="s">
        <v>1536</v>
      </c>
    </row>
    <row r="537" spans="1:25" hidden="1">
      <c r="A537" s="1">
        <v>45716.722222222219</v>
      </c>
      <c r="B537" s="1">
        <v>45716.722222222219</v>
      </c>
      <c r="D537" t="s">
        <v>1</v>
      </c>
      <c r="E537" t="s">
        <v>149</v>
      </c>
      <c r="F537" t="s">
        <v>147</v>
      </c>
      <c r="G537" t="s">
        <v>163</v>
      </c>
      <c r="I537" s="4">
        <v>35</v>
      </c>
      <c r="J537" s="4">
        <v>35</v>
      </c>
      <c r="L537" t="s">
        <v>253</v>
      </c>
      <c r="M537" t="s">
        <v>1112</v>
      </c>
      <c r="N537" s="4">
        <f>IF(L537="","",IF(OR(Registro2[[#This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37" t="str">
        <f t="shared" si="8"/>
        <v>fev/25</v>
      </c>
      <c r="P537" t="str">
        <f>IF(Registro2[[#This Row],[Data de Pagamento]]&gt;0,TEXT(A537,"mmm/aa"),"")</f>
        <v>fev/25</v>
      </c>
      <c r="T537" s="4">
        <f>IF(Registro2[[#This Row],[Data de Pagamento]]="",0,IF(Registro2[[#This Row],[Conta Financeira]]=base!$A$6,0,Registro2[[#This Row],[Valor Unitário]]))</f>
        <v>35</v>
      </c>
      <c r="U5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37" t="str">
        <f>VLOOKUP(Registro2[[#This Row],[Categoria]],'Plano de Contas'!$V$3:W592,2,0)</f>
        <v>Receitas Serviços</v>
      </c>
      <c r="X53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37" t="s">
        <v>1536</v>
      </c>
    </row>
    <row r="538" spans="1:25" hidden="1">
      <c r="A538" s="1">
        <v>45716.739583333336</v>
      </c>
      <c r="B538" s="1">
        <v>45716.739583333336</v>
      </c>
      <c r="D538" t="s">
        <v>354</v>
      </c>
      <c r="E538" t="s">
        <v>149</v>
      </c>
      <c r="F538" t="s">
        <v>147</v>
      </c>
      <c r="G538" t="s">
        <v>163</v>
      </c>
      <c r="I538" s="4">
        <v>35</v>
      </c>
      <c r="J538" s="4">
        <v>35</v>
      </c>
      <c r="L538" t="s">
        <v>253</v>
      </c>
      <c r="M538" t="s">
        <v>106</v>
      </c>
      <c r="N538" s="4">
        <f>IF(L538="","",IF(OR(Registro2[[#This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38" t="str">
        <f t="shared" si="8"/>
        <v>fev/25</v>
      </c>
      <c r="P538" t="str">
        <f>IF(Registro2[[#This Row],[Data de Pagamento]]&gt;0,TEXT(A538,"mmm/aa"),"")</f>
        <v>fev/25</v>
      </c>
      <c r="T538" s="4">
        <f>IF(Registro2[[#This Row],[Data de Pagamento]]="",0,IF(Registro2[[#This Row],[Conta Financeira]]=base!$A$6,0,Registro2[[#This Row],[Valor Unitário]]))</f>
        <v>35</v>
      </c>
      <c r="U5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38" t="str">
        <f>VLOOKUP(Registro2[[#This Row],[Categoria]],'Plano de Contas'!$V$3:W492,2,0)</f>
        <v>Receitas Serviços</v>
      </c>
      <c r="X53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538" t="s">
        <v>1536</v>
      </c>
    </row>
    <row r="539" spans="1:25" hidden="1">
      <c r="A539" s="1">
        <v>45716.75</v>
      </c>
      <c r="B539" s="1">
        <v>45716.75</v>
      </c>
      <c r="D539" t="s">
        <v>1</v>
      </c>
      <c r="E539" t="s">
        <v>149</v>
      </c>
      <c r="F539" t="s">
        <v>152</v>
      </c>
      <c r="G539" t="s">
        <v>353</v>
      </c>
      <c r="I539" s="4">
        <v>48.33</v>
      </c>
      <c r="J539" s="4">
        <v>0</v>
      </c>
      <c r="L539" t="s">
        <v>252</v>
      </c>
      <c r="M539" t="s">
        <v>182</v>
      </c>
      <c r="N539" s="4">
        <f>IF(L539="","",IF(OR(Registro2[[#This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21.7485</v>
      </c>
      <c r="O539" t="str">
        <f t="shared" si="8"/>
        <v>fev/25</v>
      </c>
      <c r="P539" t="str">
        <f>IF(Registro2[[#This Row],[Data de Pagamento]]&gt;0,TEXT(A539,"mmm/aa"),"")</f>
        <v>fev/25</v>
      </c>
      <c r="T539" s="4">
        <f>IF(Registro2[[#This Row],[Data de Pagamento]]="",0,IF(Registro2[[#This Row],[Conta Financeira]]=base!$A$6,0,Registro2[[#This Row],[Valor Unitário]]))</f>
        <v>48.33</v>
      </c>
      <c r="U5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539" t="str">
        <f>VLOOKUP(Registro2[[#This Row],[Categoria]],'Plano de Contas'!$V$3:W591,2,0)</f>
        <v>Receitas Serviços</v>
      </c>
      <c r="X53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39" t="s">
        <v>1536</v>
      </c>
    </row>
    <row r="540" spans="1:25" hidden="1">
      <c r="A540" s="1">
        <v>45716.75</v>
      </c>
      <c r="B540" s="1">
        <v>45716.75</v>
      </c>
      <c r="D540" t="s">
        <v>354</v>
      </c>
      <c r="E540" t="s">
        <v>149</v>
      </c>
      <c r="F540" t="s">
        <v>147</v>
      </c>
      <c r="G540" t="s">
        <v>163</v>
      </c>
      <c r="I540" s="4">
        <v>35</v>
      </c>
      <c r="J540" s="4">
        <v>100</v>
      </c>
      <c r="L540" t="s">
        <v>264</v>
      </c>
      <c r="M540" t="s">
        <v>1118</v>
      </c>
      <c r="N540" s="4">
        <f>IF(L540="","",IF(OR(Registro2[[#This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40" t="str">
        <f t="shared" si="8"/>
        <v>fev/25</v>
      </c>
      <c r="P540" t="str">
        <f>IF(Registro2[[#This Row],[Data de Pagamento]]&gt;0,TEXT(A540,"mmm/aa"),"")</f>
        <v>fev/25</v>
      </c>
      <c r="T540" s="4">
        <f>IF(Registro2[[#This Row],[Data de Pagamento]]="",0,IF(Registro2[[#This Row],[Conta Financeira]]=base!$A$6,0,Registro2[[#This Row],[Valor Unitário]]))</f>
        <v>35</v>
      </c>
      <c r="U5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40" t="str">
        <f>VLOOKUP(Registro2[[#This Row],[Categoria]],'Plano de Contas'!$V$3:W596,2,0)</f>
        <v>Receitas Serviços</v>
      </c>
      <c r="X54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540" t="s">
        <v>1536</v>
      </c>
    </row>
    <row r="541" spans="1:25" hidden="1">
      <c r="A541" s="1">
        <v>45716.75</v>
      </c>
      <c r="B541" s="1">
        <v>45716.75</v>
      </c>
      <c r="D541" t="s">
        <v>354</v>
      </c>
      <c r="E541" t="s">
        <v>149</v>
      </c>
      <c r="F541" t="s">
        <v>910</v>
      </c>
      <c r="G541" t="s">
        <v>910</v>
      </c>
      <c r="I541" s="4">
        <v>5</v>
      </c>
      <c r="J541" s="4"/>
      <c r="L541" t="s">
        <v>264</v>
      </c>
      <c r="M541" t="s">
        <v>1118</v>
      </c>
      <c r="N541" s="4" t="str">
        <f>IF(L541="","",IF(OR(Registro2[[#This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541" t="str">
        <f t="shared" si="8"/>
        <v>fev/25</v>
      </c>
      <c r="P541" t="str">
        <f>IF(Registro2[[#This Row],[Data de Pagamento]]&gt;0,TEXT(A541,"mmm/aa"),"")</f>
        <v>fev/25</v>
      </c>
      <c r="T541" s="4">
        <f>IF(Registro2[[#This Row],[Data de Pagamento]]="",0,IF(Registro2[[#This Row],[Conta Financeira]]=base!$A$6,0,Registro2[[#This Row],[Valor Unitário]]))</f>
        <v>5</v>
      </c>
      <c r="U5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41" t="str">
        <f>VLOOKUP(Registro2[[#This Row],[Categoria]],'Plano de Contas'!$V$3:W597,2,0)</f>
        <v>Outras Receitas</v>
      </c>
      <c r="X54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0.1575</v>
      </c>
      <c r="Y541" t="s">
        <v>1536</v>
      </c>
    </row>
    <row r="542" spans="1:25" hidden="1">
      <c r="A542" s="1">
        <v>45716.75</v>
      </c>
      <c r="B542" s="1">
        <v>45716.75</v>
      </c>
      <c r="D542" t="s">
        <v>354</v>
      </c>
      <c r="E542" t="s">
        <v>149</v>
      </c>
      <c r="F542" t="s">
        <v>147</v>
      </c>
      <c r="G542" t="s">
        <v>163</v>
      </c>
      <c r="I542" s="4">
        <v>35</v>
      </c>
      <c r="J542" s="4"/>
      <c r="L542" t="s">
        <v>264</v>
      </c>
      <c r="M542" t="s">
        <v>1118</v>
      </c>
      <c r="N542" s="4">
        <f>IF(L542="","",IF(OR(Registro2[[#This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42" t="str">
        <f t="shared" si="8"/>
        <v>fev/25</v>
      </c>
      <c r="P542" t="str">
        <f>IF(Registro2[[#This Row],[Data de Pagamento]]&gt;0,TEXT(A542,"mmm/aa"),"")</f>
        <v>fev/25</v>
      </c>
      <c r="T542" s="4">
        <f>IF(Registro2[[#This Row],[Data de Pagamento]]="",0,IF(Registro2[[#This Row],[Conta Financeira]]=base!$A$6,0,Registro2[[#This Row],[Valor Unitário]]))</f>
        <v>35</v>
      </c>
      <c r="U5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42" t="str">
        <f>VLOOKUP(Registro2[[#This Row],[Categoria]],'Plano de Contas'!$V$3:W598,2,0)</f>
        <v>Receitas Serviços</v>
      </c>
      <c r="X54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542" t="s">
        <v>1536</v>
      </c>
    </row>
    <row r="543" spans="1:25" hidden="1">
      <c r="A543" s="1">
        <v>45716.75</v>
      </c>
      <c r="B543" s="1">
        <v>45716.75</v>
      </c>
      <c r="D543" t="s">
        <v>354</v>
      </c>
      <c r="E543" t="s">
        <v>149</v>
      </c>
      <c r="F543" t="s">
        <v>150</v>
      </c>
      <c r="G543" t="s">
        <v>508</v>
      </c>
      <c r="I543" s="4">
        <v>25</v>
      </c>
      <c r="J543" s="4"/>
      <c r="L543" t="s">
        <v>264</v>
      </c>
      <c r="M543" t="s">
        <v>1118</v>
      </c>
      <c r="N543" s="4">
        <f>IF(L543="","",IF(OR(Registro2[[#This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543" t="str">
        <f t="shared" si="8"/>
        <v>fev/25</v>
      </c>
      <c r="P543" t="str">
        <f>IF(Registro2[[#This Row],[Data de Pagamento]]&gt;0,TEXT(A543,"mmm/aa"),"")</f>
        <v>fev/25</v>
      </c>
      <c r="T543" s="4">
        <f>IF(Registro2[[#This Row],[Data de Pagamento]]="",0,IF(Registro2[[#This Row],[Conta Financeira]]=base!$A$6,0,Registro2[[#This Row],[Valor Unitário]]))</f>
        <v>25</v>
      </c>
      <c r="U5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43" t="str">
        <f>VLOOKUP(Registro2[[#This Row],[Categoria]],'Plano de Contas'!$V$3:W599,2,0)</f>
        <v>Receitas Produtos</v>
      </c>
      <c r="X54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0.78749999999999998</v>
      </c>
      <c r="Y543" t="s">
        <v>1536</v>
      </c>
    </row>
    <row r="544" spans="1:25" hidden="1">
      <c r="A544" s="1">
        <v>45716.760416666664</v>
      </c>
      <c r="B544" s="1">
        <v>45716.760416666664</v>
      </c>
      <c r="D544" t="s">
        <v>1</v>
      </c>
      <c r="E544" t="s">
        <v>149</v>
      </c>
      <c r="F544" t="s">
        <v>152</v>
      </c>
      <c r="G544" t="s">
        <v>353</v>
      </c>
      <c r="I544" s="4">
        <v>55</v>
      </c>
      <c r="J544" s="4">
        <v>55</v>
      </c>
      <c r="L544" t="s">
        <v>253</v>
      </c>
      <c r="M544" t="s">
        <v>41</v>
      </c>
      <c r="N544" s="4">
        <f>IF(L544="","",IF(OR(Registro2[[#This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544" t="str">
        <f t="shared" si="8"/>
        <v>fev/25</v>
      </c>
      <c r="P544" t="str">
        <f>IF(Registro2[[#This Row],[Data de Pagamento]]&gt;0,TEXT(A544,"mmm/aa"),"")</f>
        <v>fev/25</v>
      </c>
      <c r="T544" s="4">
        <f>IF(Registro2[[#This Row],[Data de Pagamento]]="",0,IF(Registro2[[#This Row],[Conta Financeira]]=base!$A$6,0,Registro2[[#This Row],[Valor Unitário]]))</f>
        <v>55</v>
      </c>
      <c r="U5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44" t="str">
        <f>VLOOKUP(Registro2[[#This Row],[Categoria]],'Plano de Contas'!$V$3:W494,2,0)</f>
        <v>Receitas Serviços</v>
      </c>
      <c r="X54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44" t="s">
        <v>1536</v>
      </c>
    </row>
    <row r="545" spans="1:25" hidden="1">
      <c r="A545" s="1">
        <v>45716.78125</v>
      </c>
      <c r="B545" s="1">
        <v>45716.78125</v>
      </c>
      <c r="D545" t="s">
        <v>1</v>
      </c>
      <c r="E545" t="s">
        <v>149</v>
      </c>
      <c r="F545" t="s">
        <v>152</v>
      </c>
      <c r="G545" t="s">
        <v>159</v>
      </c>
      <c r="I545" s="4">
        <v>40</v>
      </c>
      <c r="J545" s="4">
        <v>50</v>
      </c>
      <c r="L545" t="s">
        <v>252</v>
      </c>
      <c r="M545" t="s">
        <v>1116</v>
      </c>
      <c r="N545" s="4">
        <f>IF(L545="","",IF(OR(Registro2[[#This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545" t="str">
        <f t="shared" si="8"/>
        <v>fev/25</v>
      </c>
      <c r="P545" t="str">
        <f>IF(Registro2[[#This Row],[Data de Pagamento]]&gt;0,TEXT(A545,"mmm/aa"),"")</f>
        <v>fev/25</v>
      </c>
      <c r="T545" s="4">
        <f>IF(Registro2[[#This Row],[Data de Pagamento]]="",0,IF(Registro2[[#This Row],[Conta Financeira]]=base!$A$6,0,Registro2[[#This Row],[Valor Unitário]]))</f>
        <v>40</v>
      </c>
      <c r="U5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45" t="str">
        <f>VLOOKUP(Registro2[[#This Row],[Categoria]],'Plano de Contas'!$V$3:W594,2,0)</f>
        <v>Receitas Serviços</v>
      </c>
      <c r="X5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45" t="s">
        <v>1536</v>
      </c>
    </row>
    <row r="546" spans="1:25" hidden="1">
      <c r="A546" s="1">
        <v>45716.78125</v>
      </c>
      <c r="B546" s="1">
        <v>45716.78125</v>
      </c>
      <c r="D546" t="s">
        <v>1</v>
      </c>
      <c r="E546" t="s">
        <v>149</v>
      </c>
      <c r="F546" t="s">
        <v>910</v>
      </c>
      <c r="G546" t="s">
        <v>910</v>
      </c>
      <c r="I546" s="4">
        <v>10</v>
      </c>
      <c r="J546" s="4"/>
      <c r="L546" t="s">
        <v>252</v>
      </c>
      <c r="M546" t="s">
        <v>1116</v>
      </c>
      <c r="N546" s="4" t="str">
        <f>IF(L546="","",IF(OR(Registro2[[#This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546" t="str">
        <f t="shared" si="8"/>
        <v>fev/25</v>
      </c>
      <c r="P546" t="str">
        <f>IF(Registro2[[#This Row],[Data de Pagamento]]&gt;0,TEXT(A546,"mmm/aa"),"")</f>
        <v>fev/25</v>
      </c>
      <c r="T546" s="4">
        <f>IF(Registro2[[#This Row],[Data de Pagamento]]="",0,IF(Registro2[[#This Row],[Conta Financeira]]=base!$A$6,0,Registro2[[#This Row],[Valor Unitário]]))</f>
        <v>10</v>
      </c>
      <c r="U5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46" t="str">
        <f>VLOOKUP(Registro2[[#This Row],[Categoria]],'Plano de Contas'!$V$3:W595,2,0)</f>
        <v>Outras Receitas</v>
      </c>
      <c r="X54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46" t="s">
        <v>1536</v>
      </c>
    </row>
    <row r="547" spans="1:25" hidden="1">
      <c r="A547" s="1">
        <v>45716.791666666664</v>
      </c>
      <c r="B547" s="1">
        <v>45716.791666666664</v>
      </c>
      <c r="D547" t="s">
        <v>1</v>
      </c>
      <c r="E547" t="s">
        <v>149</v>
      </c>
      <c r="F547" t="s">
        <v>150</v>
      </c>
      <c r="G547" t="s">
        <v>513</v>
      </c>
      <c r="I547" s="4">
        <v>35</v>
      </c>
      <c r="J547" s="4">
        <v>35</v>
      </c>
      <c r="L547" t="s">
        <v>252</v>
      </c>
      <c r="M547" t="s">
        <v>499</v>
      </c>
      <c r="N547" s="4">
        <f>IF(L547="","",IF(OR(Registro2[[#This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14</v>
      </c>
      <c r="O547" t="str">
        <f t="shared" si="8"/>
        <v>fev/25</v>
      </c>
      <c r="P547" t="str">
        <f>IF(Registro2[[#This Row],[Data de Pagamento]]&gt;0,TEXT(A547,"mmm/aa"),"")</f>
        <v>fev/25</v>
      </c>
      <c r="T547" s="4">
        <f>IF(Registro2[[#This Row],[Data de Pagamento]]="",0,IF(Registro2[[#This Row],[Conta Financeira]]=base!$A$6,0,Registro2[[#This Row],[Valor Unitário]]))</f>
        <v>35</v>
      </c>
      <c r="U5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47" t="str">
        <f>VLOOKUP(Registro2[[#This Row],[Categoria]],'Plano de Contas'!$V$3:W602,2,0)</f>
        <v>Receitas Produtos</v>
      </c>
      <c r="X54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47" t="s">
        <v>1536</v>
      </c>
    </row>
    <row r="548" spans="1:25" hidden="1">
      <c r="A548" s="1">
        <v>45716.805555555555</v>
      </c>
      <c r="B548" s="1">
        <v>45716.805555555555</v>
      </c>
      <c r="D548" t="s">
        <v>1</v>
      </c>
      <c r="E548" t="s">
        <v>149</v>
      </c>
      <c r="F548" t="s">
        <v>147</v>
      </c>
      <c r="G548" t="s">
        <v>163</v>
      </c>
      <c r="I548" s="4">
        <v>35</v>
      </c>
      <c r="J548" s="4">
        <v>35</v>
      </c>
      <c r="L548" t="s">
        <v>264</v>
      </c>
      <c r="M548" t="s">
        <v>365</v>
      </c>
      <c r="N548" s="4">
        <f>IF(L548="","",IF(OR(Registro2[[#This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48" t="str">
        <f t="shared" si="8"/>
        <v>fev/25</v>
      </c>
      <c r="P548" t="str">
        <f>IF(Registro2[[#This Row],[Data de Pagamento]]&gt;0,TEXT(A548,"mmm/aa"),"")</f>
        <v>fev/25</v>
      </c>
      <c r="T548" s="4">
        <f>IF(Registro2[[#This Row],[Data de Pagamento]]="",0,IF(Registro2[[#This Row],[Conta Financeira]]=base!$A$6,0,Registro2[[#This Row],[Valor Unitário]]))</f>
        <v>35</v>
      </c>
      <c r="U5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48" t="str">
        <f>VLOOKUP(Registro2[[#This Row],[Categoria]],'Plano de Contas'!$V$3:W604,2,0)</f>
        <v>Receitas Serviços</v>
      </c>
      <c r="X54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48" t="s">
        <v>1536</v>
      </c>
    </row>
    <row r="549" spans="1:25" hidden="1">
      <c r="A549" s="1">
        <v>45716.8125</v>
      </c>
      <c r="B549" s="1">
        <v>45716.8125</v>
      </c>
      <c r="D549" t="s">
        <v>1</v>
      </c>
      <c r="E549" t="s">
        <v>149</v>
      </c>
      <c r="F549" t="s">
        <v>152</v>
      </c>
      <c r="G549" t="s">
        <v>159</v>
      </c>
      <c r="I549" s="4">
        <v>40</v>
      </c>
      <c r="J549" s="4">
        <v>40</v>
      </c>
      <c r="L549" t="s">
        <v>253</v>
      </c>
      <c r="M549" t="s">
        <v>28</v>
      </c>
      <c r="N549" s="4">
        <f>IF(L549="","",IF(OR(Registro2[[#This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549" t="str">
        <f t="shared" si="8"/>
        <v>fev/25</v>
      </c>
      <c r="P549" t="str">
        <f>IF(Registro2[[#This Row],[Data de Pagamento]]&gt;0,TEXT(A549,"mmm/aa"),"")</f>
        <v>fev/25</v>
      </c>
      <c r="T549" s="4">
        <f>IF(Registro2[[#This Row],[Data de Pagamento]]="",0,IF(Registro2[[#This Row],[Conta Financeira]]=base!$A$6,0,Registro2[[#This Row],[Valor Unitário]]))</f>
        <v>40</v>
      </c>
      <c r="U5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49" t="str">
        <f>VLOOKUP(Registro2[[#This Row],[Categoria]],'Plano de Contas'!$V$3:W534,2,0)</f>
        <v>Receitas Serviços</v>
      </c>
      <c r="X54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49" t="s">
        <v>1536</v>
      </c>
    </row>
    <row r="550" spans="1:25" hidden="1">
      <c r="A550" s="1">
        <v>45716.8125</v>
      </c>
      <c r="B550" s="1">
        <v>45716.8125</v>
      </c>
      <c r="D550" t="s">
        <v>1120</v>
      </c>
      <c r="E550" t="s">
        <v>149</v>
      </c>
      <c r="F550" t="s">
        <v>147</v>
      </c>
      <c r="G550" t="s">
        <v>163</v>
      </c>
      <c r="I550" s="4">
        <v>35</v>
      </c>
      <c r="J550" s="4">
        <v>35</v>
      </c>
      <c r="L550" t="s">
        <v>252</v>
      </c>
      <c r="M550" t="s">
        <v>1121</v>
      </c>
      <c r="N550" s="4">
        <f>IF(L550="","",IF(OR(Registro2[[#This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50" t="str">
        <f t="shared" si="8"/>
        <v>fev/25</v>
      </c>
      <c r="P550" t="str">
        <f>IF(Registro2[[#This Row],[Data de Pagamento]]&gt;0,TEXT(A550,"mmm/aa"),"")</f>
        <v>fev/25</v>
      </c>
      <c r="T550" s="4">
        <f>IF(Registro2[[#This Row],[Data de Pagamento]]="",0,IF(Registro2[[#This Row],[Conta Financeira]]=base!$A$6,0,Registro2[[#This Row],[Valor Unitário]]))</f>
        <v>35</v>
      </c>
      <c r="U5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50" t="str">
        <f>VLOOKUP(Registro2[[#This Row],[Categoria]],'Plano de Contas'!$V$3:W600,2,0)</f>
        <v>Receitas Serviços</v>
      </c>
      <c r="X55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50" t="s">
        <v>1536</v>
      </c>
    </row>
    <row r="551" spans="1:25" hidden="1">
      <c r="A551" s="1">
        <v>45716.836805555555</v>
      </c>
      <c r="B551" s="1">
        <v>45716.836805555555</v>
      </c>
      <c r="D551" t="s">
        <v>354</v>
      </c>
      <c r="E551" t="s">
        <v>149</v>
      </c>
      <c r="F551" t="s">
        <v>147</v>
      </c>
      <c r="G551" t="s">
        <v>163</v>
      </c>
      <c r="I551" s="4">
        <v>35</v>
      </c>
      <c r="J551" s="4">
        <v>35</v>
      </c>
      <c r="L551" t="s">
        <v>252</v>
      </c>
      <c r="M551" t="s">
        <v>1092</v>
      </c>
      <c r="N551" s="4">
        <f>IF(L551="","",IF(OR(Registro2[[#This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51" t="str">
        <f t="shared" si="8"/>
        <v>fev/25</v>
      </c>
      <c r="P551" t="str">
        <f>IF(Registro2[[#This Row],[Data de Pagamento]]&gt;0,TEXT(A551,"mmm/aa"),"")</f>
        <v>fev/25</v>
      </c>
      <c r="T551" s="4">
        <f>IF(Registro2[[#This Row],[Data de Pagamento]]="",0,IF(Registro2[[#This Row],[Conta Financeira]]=base!$A$6,0,Registro2[[#This Row],[Valor Unitário]]))</f>
        <v>35</v>
      </c>
      <c r="U5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51" t="str">
        <f>VLOOKUP(Registro2[[#This Row],[Categoria]],'Plano de Contas'!$V$3:W574,2,0)</f>
        <v>Receitas Serviços</v>
      </c>
      <c r="X55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551" t="s">
        <v>1536</v>
      </c>
    </row>
    <row r="552" spans="1:25" hidden="1">
      <c r="A552" s="1">
        <v>45716.836805555555</v>
      </c>
      <c r="B552" s="1">
        <v>45716.836805555555</v>
      </c>
      <c r="D552" t="s">
        <v>1</v>
      </c>
      <c r="E552" t="s">
        <v>149</v>
      </c>
      <c r="F552" t="s">
        <v>147</v>
      </c>
      <c r="G552" t="s">
        <v>163</v>
      </c>
      <c r="I552" s="4">
        <v>35</v>
      </c>
      <c r="J552" s="4">
        <v>35</v>
      </c>
      <c r="L552" t="s">
        <v>264</v>
      </c>
      <c r="M552" t="s">
        <v>1127</v>
      </c>
      <c r="N552" s="4">
        <f>IF(L552="","",IF(OR(Registro2[[#This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52" t="str">
        <f t="shared" si="8"/>
        <v>fev/25</v>
      </c>
      <c r="P552" t="str">
        <f>IF(Registro2[[#This Row],[Data de Pagamento]]&gt;0,TEXT(A552,"mmm/aa"),"")</f>
        <v>fev/25</v>
      </c>
      <c r="T552" s="4">
        <f>IF(Registro2[[#This Row],[Data de Pagamento]]="",0,IF(Registro2[[#This Row],[Conta Financeira]]=base!$A$6,0,Registro2[[#This Row],[Valor Unitário]]))</f>
        <v>35</v>
      </c>
      <c r="U5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52" t="str">
        <f>VLOOKUP(Registro2[[#This Row],[Categoria]],'Plano de Contas'!$V$3:W605,2,0)</f>
        <v>Receitas Serviços</v>
      </c>
      <c r="X55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52" t="s">
        <v>1536</v>
      </c>
    </row>
    <row r="553" spans="1:25" hidden="1">
      <c r="A553" s="1">
        <v>45716.847222222219</v>
      </c>
      <c r="B553" s="1">
        <v>45716.847222222219</v>
      </c>
      <c r="D553" t="s">
        <v>1</v>
      </c>
      <c r="E553" t="s">
        <v>149</v>
      </c>
      <c r="F553" t="s">
        <v>152</v>
      </c>
      <c r="G553" t="s">
        <v>159</v>
      </c>
      <c r="I553" s="4">
        <v>40</v>
      </c>
      <c r="J553" s="4">
        <v>40</v>
      </c>
      <c r="L553" t="s">
        <v>252</v>
      </c>
      <c r="M553" t="s">
        <v>197</v>
      </c>
      <c r="N553" s="4">
        <f>IF(L553="","",IF(OR(Registro2[[#This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553" t="str">
        <f t="shared" si="8"/>
        <v>fev/25</v>
      </c>
      <c r="P553" t="str">
        <f>IF(Registro2[[#This Row],[Data de Pagamento]]&gt;0,TEXT(A553,"mmm/aa"),"")</f>
        <v>fev/25</v>
      </c>
      <c r="T553" s="4">
        <f>IF(Registro2[[#This Row],[Data de Pagamento]]="",0,IF(Registro2[[#This Row],[Conta Financeira]]=base!$A$6,0,Registro2[[#This Row],[Valor Unitário]]))</f>
        <v>40</v>
      </c>
      <c r="U5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53" t="str">
        <f>VLOOKUP(Registro2[[#This Row],[Categoria]],'Plano de Contas'!$V$3:W606,2,0)</f>
        <v>Receitas Serviços</v>
      </c>
      <c r="X55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53" t="s">
        <v>1536</v>
      </c>
    </row>
    <row r="554" spans="1:25" hidden="1">
      <c r="A554" s="1">
        <v>45716.850694444445</v>
      </c>
      <c r="B554" s="1">
        <v>45716.850694444445</v>
      </c>
      <c r="D554" t="s">
        <v>1</v>
      </c>
      <c r="E554" t="s">
        <v>149</v>
      </c>
      <c r="F554" t="s">
        <v>147</v>
      </c>
      <c r="G554" t="s">
        <v>163</v>
      </c>
      <c r="I554" s="4">
        <v>35</v>
      </c>
      <c r="J554" s="4">
        <v>60</v>
      </c>
      <c r="L554" t="s">
        <v>253</v>
      </c>
      <c r="M554" t="s">
        <v>1130</v>
      </c>
      <c r="N554" s="4">
        <f>IF(L554="","",IF(OR(Registro2[[#This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54" t="str">
        <f t="shared" si="8"/>
        <v>fev/25</v>
      </c>
      <c r="P554" t="str">
        <f>IF(Registro2[[#This Row],[Data de Pagamento]]&gt;0,TEXT(A554,"mmm/aa"),"")</f>
        <v>fev/25</v>
      </c>
      <c r="T554" s="4">
        <f>IF(Registro2[[#This Row],[Data de Pagamento]]="",0,IF(Registro2[[#This Row],[Conta Financeira]]=base!$A$6,0,Registro2[[#This Row],[Valor Unitário]]))</f>
        <v>35</v>
      </c>
      <c r="U5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54" t="str">
        <f>VLOOKUP(Registro2[[#This Row],[Categoria]],'Plano de Contas'!$V$3:W607,2,0)</f>
        <v>Receitas Serviços</v>
      </c>
      <c r="X55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54" t="s">
        <v>1536</v>
      </c>
    </row>
    <row r="555" spans="1:25" hidden="1">
      <c r="A555" s="1">
        <v>45716.850694444445</v>
      </c>
      <c r="B555" s="1">
        <v>45716.850694444445</v>
      </c>
      <c r="D555" t="s">
        <v>1</v>
      </c>
      <c r="E555" t="s">
        <v>149</v>
      </c>
      <c r="F555" t="s">
        <v>150</v>
      </c>
      <c r="G555" t="s">
        <v>509</v>
      </c>
      <c r="I555" s="4">
        <v>25</v>
      </c>
      <c r="J555" s="4"/>
      <c r="L555" t="s">
        <v>253</v>
      </c>
      <c r="M555" t="s">
        <v>1130</v>
      </c>
      <c r="N555" s="4">
        <f>IF(L555="","",IF(OR(Registro2[[#This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555" t="str">
        <f t="shared" si="8"/>
        <v>fev/25</v>
      </c>
      <c r="P555" t="str">
        <f>IF(Registro2[[#This Row],[Data de Pagamento]]&gt;0,TEXT(A555,"mmm/aa"),"")</f>
        <v>fev/25</v>
      </c>
      <c r="T555" s="4">
        <f>IF(Registro2[[#This Row],[Data de Pagamento]]="",0,IF(Registro2[[#This Row],[Conta Financeira]]=base!$A$6,0,Registro2[[#This Row],[Valor Unitário]]))</f>
        <v>25</v>
      </c>
      <c r="U5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55" t="str">
        <f>VLOOKUP(Registro2[[#This Row],[Categoria]],'Plano de Contas'!$V$3:W608,2,0)</f>
        <v>Receitas Produtos</v>
      </c>
      <c r="X5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55" t="s">
        <v>1536</v>
      </c>
    </row>
    <row r="556" spans="1:25" hidden="1">
      <c r="A556" s="1">
        <v>45716.864583333336</v>
      </c>
      <c r="B556" s="1">
        <v>45716.864583333336</v>
      </c>
      <c r="D556" t="s">
        <v>354</v>
      </c>
      <c r="E556" t="s">
        <v>149</v>
      </c>
      <c r="F556" t="s">
        <v>147</v>
      </c>
      <c r="G556" t="s">
        <v>163</v>
      </c>
      <c r="I556" s="4">
        <v>35</v>
      </c>
      <c r="J556" s="4">
        <v>25</v>
      </c>
      <c r="L556" t="s">
        <v>252</v>
      </c>
      <c r="M556" t="s">
        <v>401</v>
      </c>
      <c r="N556" s="4">
        <f>IF(L556="","",IF(OR(Registro2[[#This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56" t="str">
        <f t="shared" si="8"/>
        <v>fev/25</v>
      </c>
      <c r="P556" t="str">
        <f>IF(Registro2[[#This Row],[Data de Pagamento]]&gt;0,TEXT(A556,"mmm/aa"),"")</f>
        <v>fev/25</v>
      </c>
      <c r="T556" s="4">
        <f>IF(Registro2[[#This Row],[Data de Pagamento]]="",0,IF(Registro2[[#This Row],[Conta Financeira]]=base!$A$6,0,Registro2[[#This Row],[Valor Unitário]]))</f>
        <v>35</v>
      </c>
      <c r="U5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56" t="str">
        <f>VLOOKUP(Registro2[[#This Row],[Categoria]],'Plano de Contas'!$V$3:W609,2,0)</f>
        <v>Receitas Serviços</v>
      </c>
      <c r="X55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556" t="s">
        <v>1536</v>
      </c>
    </row>
    <row r="557" spans="1:25" hidden="1">
      <c r="A557" s="1">
        <v>45716.868055555555</v>
      </c>
      <c r="B557" s="1">
        <v>45716.868055555555</v>
      </c>
      <c r="D557" t="s">
        <v>1</v>
      </c>
      <c r="E557" t="s">
        <v>149</v>
      </c>
      <c r="F557" t="s">
        <v>147</v>
      </c>
      <c r="G557" t="s">
        <v>163</v>
      </c>
      <c r="I557" s="4">
        <v>35</v>
      </c>
      <c r="J557" s="4">
        <v>35</v>
      </c>
      <c r="L557" t="s">
        <v>253</v>
      </c>
      <c r="M557" t="s">
        <v>1081</v>
      </c>
      <c r="N557" s="4">
        <f>IF(L557="","",IF(OR(Registro2[[#This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57" t="str">
        <f t="shared" si="8"/>
        <v>fev/25</v>
      </c>
      <c r="P557" t="str">
        <f>IF(Registro2[[#This Row],[Data de Pagamento]]&gt;0,TEXT(A557,"mmm/aa"),"")</f>
        <v>fev/25</v>
      </c>
      <c r="T557" s="4">
        <f>IF(Registro2[[#This Row],[Data de Pagamento]]="",0,IF(Registro2[[#This Row],[Conta Financeira]]=base!$A$6,0,Registro2[[#This Row],[Valor Unitário]]))</f>
        <v>35</v>
      </c>
      <c r="U5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57" t="str">
        <f>VLOOKUP(Registro2[[#This Row],[Categoria]],'Plano de Contas'!$V$3:W610,2,0)</f>
        <v>Receitas Serviços</v>
      </c>
      <c r="X5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57" t="s">
        <v>1536</v>
      </c>
    </row>
    <row r="558" spans="1:25" hidden="1">
      <c r="A558" s="1">
        <v>45716.871527777781</v>
      </c>
      <c r="B558" s="1">
        <v>45716.871527777781</v>
      </c>
      <c r="D558" t="s">
        <v>1</v>
      </c>
      <c r="E558" t="s">
        <v>149</v>
      </c>
      <c r="F558" t="s">
        <v>147</v>
      </c>
      <c r="G558" t="s">
        <v>163</v>
      </c>
      <c r="I558" s="4">
        <v>35</v>
      </c>
      <c r="J558" s="4">
        <v>35</v>
      </c>
      <c r="L558" t="s">
        <v>264</v>
      </c>
      <c r="M558" t="s">
        <v>1134</v>
      </c>
      <c r="N558" s="4">
        <f>IF(L558="","",IF(OR(Registro2[[#This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58" t="str">
        <f t="shared" si="8"/>
        <v>fev/25</v>
      </c>
      <c r="P558" t="str">
        <f>IF(Registro2[[#This Row],[Data de Pagamento]]&gt;0,TEXT(A558,"mmm/aa"),"")</f>
        <v>fev/25</v>
      </c>
      <c r="T558" s="4">
        <f>IF(Registro2[[#This Row],[Data de Pagamento]]="",0,IF(Registro2[[#This Row],[Conta Financeira]]=base!$A$6,0,Registro2[[#This Row],[Valor Unitário]]))</f>
        <v>35</v>
      </c>
      <c r="U5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58" t="str">
        <f>VLOOKUP(Registro2[[#This Row],[Categoria]],'Plano de Contas'!$V$3:W611,2,0)</f>
        <v>Receitas Serviços</v>
      </c>
      <c r="X5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58" t="s">
        <v>1536</v>
      </c>
    </row>
    <row r="559" spans="1:25" hidden="1">
      <c r="A559" s="1">
        <v>45716.90625</v>
      </c>
      <c r="B559" s="1">
        <v>45716.90625</v>
      </c>
      <c r="D559" t="s">
        <v>1</v>
      </c>
      <c r="E559" t="s">
        <v>149</v>
      </c>
      <c r="F559" t="s">
        <v>147</v>
      </c>
      <c r="G559" t="s">
        <v>163</v>
      </c>
      <c r="I559" s="4">
        <v>35</v>
      </c>
      <c r="J559" s="4">
        <v>35</v>
      </c>
      <c r="L559" t="s">
        <v>264</v>
      </c>
      <c r="M559" t="s">
        <v>42</v>
      </c>
      <c r="N559" s="4">
        <f>IF(L559="","",IF(OR(Registro2[[#This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59" t="str">
        <f t="shared" si="8"/>
        <v>fev/25</v>
      </c>
      <c r="P559" t="str">
        <f>IF(Registro2[[#This Row],[Data de Pagamento]]&gt;0,TEXT(A559,"mmm/aa"),"")</f>
        <v>fev/25</v>
      </c>
      <c r="T559" s="4">
        <f>IF(Registro2[[#This Row],[Data de Pagamento]]="",0,IF(Registro2[[#This Row],[Conta Financeira]]=base!$A$6,0,Registro2[[#This Row],[Valor Unitário]]))</f>
        <v>35</v>
      </c>
      <c r="U5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59" t="str">
        <f>VLOOKUP(Registro2[[#This Row],[Categoria]],'Plano de Contas'!$V$3:W612,2,0)</f>
        <v>Receitas Serviços</v>
      </c>
      <c r="X55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59" t="s">
        <v>1536</v>
      </c>
    </row>
    <row r="560" spans="1:25" hidden="1">
      <c r="A560" s="1">
        <v>45716.916666666664</v>
      </c>
      <c r="B560" s="1">
        <v>45716.916666666664</v>
      </c>
      <c r="D560" t="s">
        <v>1</v>
      </c>
      <c r="E560" t="s">
        <v>149</v>
      </c>
      <c r="F560" t="s">
        <v>147</v>
      </c>
      <c r="G560" t="s">
        <v>163</v>
      </c>
      <c r="I560" s="4">
        <v>30</v>
      </c>
      <c r="J560" s="4">
        <v>0</v>
      </c>
      <c r="L560" t="s">
        <v>252</v>
      </c>
      <c r="M560" t="s">
        <v>122</v>
      </c>
      <c r="N560" s="4">
        <f>IF(L560="","",IF(OR(Registro2[[#This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560" t="str">
        <f t="shared" si="8"/>
        <v>fev/25</v>
      </c>
      <c r="P560" t="str">
        <f>IF(Registro2[[#This Row],[Data de Pagamento]]&gt;0,TEXT(A560,"mmm/aa"),"")</f>
        <v>fev/25</v>
      </c>
      <c r="T560" s="4">
        <f>IF(Registro2[[#This Row],[Data de Pagamento]]="",0,IF(Registro2[[#This Row],[Conta Financeira]]=base!$A$6,0,Registro2[[#This Row],[Valor Unitário]]))</f>
        <v>30</v>
      </c>
      <c r="U5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560" t="str">
        <f>VLOOKUP(Registro2[[#This Row],[Categoria]],'Plano de Contas'!$V$3:W613,2,0)</f>
        <v>Receitas Serviços</v>
      </c>
      <c r="X5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60" t="s">
        <v>1536</v>
      </c>
    </row>
    <row r="561" spans="1:25" hidden="1">
      <c r="A561" s="1">
        <v>45716.927083333336</v>
      </c>
      <c r="B561" s="1">
        <v>45716.927083333336</v>
      </c>
      <c r="D561" t="s">
        <v>310</v>
      </c>
      <c r="E561" t="s">
        <v>149</v>
      </c>
      <c r="F561" t="s">
        <v>147</v>
      </c>
      <c r="G561" t="s">
        <v>163</v>
      </c>
      <c r="I561" s="4">
        <v>35</v>
      </c>
      <c r="J561" s="4">
        <v>35</v>
      </c>
      <c r="L561" t="s">
        <v>253</v>
      </c>
      <c r="M561" t="s">
        <v>1138</v>
      </c>
      <c r="N561" s="4">
        <f>IF(L561="","",IF(OR(Registro2[[#This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61" t="str">
        <f t="shared" si="8"/>
        <v>fev/25</v>
      </c>
      <c r="P561" t="str">
        <f>IF(Registro2[[#This Row],[Data de Pagamento]]&gt;0,TEXT(A561,"mmm/aa"),"")</f>
        <v>fev/25</v>
      </c>
      <c r="T561" s="4">
        <f>IF(Registro2[[#This Row],[Data de Pagamento]]="",0,IF(Registro2[[#This Row],[Conta Financeira]]=base!$A$6,0,Registro2[[#This Row],[Valor Unitário]]))</f>
        <v>35</v>
      </c>
      <c r="U5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61" t="str">
        <f>VLOOKUP(Registro2[[#This Row],[Categoria]],'Plano de Contas'!$V$3:W614,2,0)</f>
        <v>Receitas Serviços</v>
      </c>
      <c r="X56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561" t="s">
        <v>1536</v>
      </c>
    </row>
    <row r="562" spans="1:25" hidden="1">
      <c r="A562" s="1">
        <v>45716.930555555555</v>
      </c>
      <c r="B562" s="1">
        <v>45716.930555555555</v>
      </c>
      <c r="D562" t="s">
        <v>354</v>
      </c>
      <c r="E562" t="s">
        <v>149</v>
      </c>
      <c r="F562" t="s">
        <v>147</v>
      </c>
      <c r="G562" t="s">
        <v>163</v>
      </c>
      <c r="I562" s="4">
        <v>35</v>
      </c>
      <c r="J562" s="4">
        <v>45</v>
      </c>
      <c r="L562" t="s">
        <v>264</v>
      </c>
      <c r="M562" t="s">
        <v>271</v>
      </c>
      <c r="N562" s="4">
        <f>IF(L562="","",IF(OR(Registro2[[#This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62" t="str">
        <f t="shared" si="8"/>
        <v>fev/25</v>
      </c>
      <c r="P562" t="str">
        <f>IF(Registro2[[#This Row],[Data de Pagamento]]&gt;0,TEXT(A562,"mmm/aa"),"")</f>
        <v>fev/25</v>
      </c>
      <c r="T562" s="4">
        <f>IF(Registro2[[#This Row],[Data de Pagamento]]="",0,IF(Registro2[[#This Row],[Conta Financeira]]=base!$A$6,0,Registro2[[#This Row],[Valor Unitário]]))</f>
        <v>35</v>
      </c>
      <c r="U5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62" t="str">
        <f>VLOOKUP(Registro2[[#This Row],[Categoria]],'Plano de Contas'!$V$3:W615,2,0)</f>
        <v>Receitas Serviços</v>
      </c>
      <c r="X56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562" t="s">
        <v>1536</v>
      </c>
    </row>
    <row r="563" spans="1:25" hidden="1">
      <c r="A563" s="1">
        <v>45716.930555555555</v>
      </c>
      <c r="B563" s="1">
        <v>45716.930555555555</v>
      </c>
      <c r="D563" t="s">
        <v>354</v>
      </c>
      <c r="E563" t="s">
        <v>149</v>
      </c>
      <c r="F563" t="s">
        <v>147</v>
      </c>
      <c r="G563" t="s">
        <v>162</v>
      </c>
      <c r="I563" s="4">
        <v>10</v>
      </c>
      <c r="J563" s="4"/>
      <c r="L563" t="s">
        <v>264</v>
      </c>
      <c r="M563" t="s">
        <v>271</v>
      </c>
      <c r="N563" s="4">
        <f>IF(L563="","",IF(OR(Registro2[[#This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563" t="str">
        <f t="shared" si="8"/>
        <v>fev/25</v>
      </c>
      <c r="P563" t="str">
        <f>IF(Registro2[[#This Row],[Data de Pagamento]]&gt;0,TEXT(A563,"mmm/aa"),"")</f>
        <v>fev/25</v>
      </c>
      <c r="T563" s="4">
        <f>IF(Registro2[[#This Row],[Data de Pagamento]]="",0,IF(Registro2[[#This Row],[Conta Financeira]]=base!$A$6,0,Registro2[[#This Row],[Valor Unitário]]))</f>
        <v>10</v>
      </c>
      <c r="U5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63" t="str">
        <f>VLOOKUP(Registro2[[#This Row],[Categoria]],'Plano de Contas'!$V$3:W616,2,0)</f>
        <v>Receitas Serviços</v>
      </c>
      <c r="X56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  <c r="Y563" t="s">
        <v>1536</v>
      </c>
    </row>
    <row r="564" spans="1:25" hidden="1">
      <c r="A564" s="1">
        <v>45716.944444444445</v>
      </c>
      <c r="B564" s="1">
        <v>45716.944444444445</v>
      </c>
      <c r="D564" t="s">
        <v>1</v>
      </c>
      <c r="E564" t="s">
        <v>149</v>
      </c>
      <c r="F564" t="s">
        <v>147</v>
      </c>
      <c r="G564" t="s">
        <v>163</v>
      </c>
      <c r="I564" s="4">
        <v>35</v>
      </c>
      <c r="J564" s="4">
        <v>35</v>
      </c>
      <c r="L564" t="s">
        <v>253</v>
      </c>
      <c r="M564" t="s">
        <v>194</v>
      </c>
      <c r="N564" s="4">
        <f>IF(L564="","",IF(OR(Registro2[[#This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64" t="str">
        <f t="shared" si="8"/>
        <v>fev/25</v>
      </c>
      <c r="P564" t="str">
        <f>IF(Registro2[[#This Row],[Data de Pagamento]]&gt;0,TEXT(A564,"mmm/aa"),"")</f>
        <v>fev/25</v>
      </c>
      <c r="T564" s="4">
        <f>IF(Registro2[[#This Row],[Data de Pagamento]]="",0,IF(Registro2[[#This Row],[Conta Financeira]]=base!$A$6,0,Registro2[[#This Row],[Valor Unitário]]))</f>
        <v>35</v>
      </c>
      <c r="U5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64" t="str">
        <f>VLOOKUP(Registro2[[#This Row],[Categoria]],'Plano de Contas'!$V$3:W617,2,0)</f>
        <v>Receitas Serviços</v>
      </c>
      <c r="X56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64" t="s">
        <v>1536</v>
      </c>
    </row>
    <row r="565" spans="1:25" hidden="1">
      <c r="A565" s="1">
        <v>45716.951388888891</v>
      </c>
      <c r="B565" s="1">
        <v>45716.951388888891</v>
      </c>
      <c r="D565" t="s">
        <v>1</v>
      </c>
      <c r="E565" t="s">
        <v>149</v>
      </c>
      <c r="F565" t="s">
        <v>147</v>
      </c>
      <c r="G565" t="s">
        <v>1046</v>
      </c>
      <c r="I565" s="4">
        <v>20</v>
      </c>
      <c r="J565" s="4">
        <v>35</v>
      </c>
      <c r="L565" t="s">
        <v>252</v>
      </c>
      <c r="M565" t="s">
        <v>105</v>
      </c>
      <c r="N565" s="4">
        <f>IF(L565="","",IF(OR(Registro2[[#This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565" t="str">
        <f t="shared" si="8"/>
        <v>fev/25</v>
      </c>
      <c r="P565" t="str">
        <f>IF(Registro2[[#This Row],[Data de Pagamento]]&gt;0,TEXT(A565,"mmm/aa"),"")</f>
        <v>fev/25</v>
      </c>
      <c r="T565" s="4">
        <f>IF(Registro2[[#This Row],[Data de Pagamento]]="",0,IF(Registro2[[#This Row],[Conta Financeira]]=base!$A$6,0,Registro2[[#This Row],[Valor Unitário]]))</f>
        <v>20</v>
      </c>
      <c r="U5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65" t="str">
        <f>VLOOKUP(Registro2[[#This Row],[Categoria]],'Plano de Contas'!$V$3:W618,2,0)</f>
        <v>Receitas Serviços</v>
      </c>
      <c r="X56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65" t="s">
        <v>1536</v>
      </c>
    </row>
    <row r="566" spans="1:25" hidden="1">
      <c r="A566" s="1">
        <v>45716.951388888891</v>
      </c>
      <c r="B566" s="1">
        <v>45716.951388888891</v>
      </c>
      <c r="D566" t="s">
        <v>1</v>
      </c>
      <c r="E566" t="s">
        <v>149</v>
      </c>
      <c r="F566" t="s">
        <v>152</v>
      </c>
      <c r="G566" t="s">
        <v>352</v>
      </c>
      <c r="I566" s="4">
        <v>15</v>
      </c>
      <c r="J566" s="4"/>
      <c r="L566" t="s">
        <v>252</v>
      </c>
      <c r="M566" t="s">
        <v>105</v>
      </c>
      <c r="N566" s="4">
        <f>IF(L566="","",IF(OR(Registro2[[#This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566" t="str">
        <f t="shared" si="8"/>
        <v>fev/25</v>
      </c>
      <c r="P566" t="str">
        <f>IF(Registro2[[#This Row],[Data de Pagamento]]&gt;0,TEXT(A566,"mmm/aa"),"")</f>
        <v>fev/25</v>
      </c>
      <c r="T566" s="4">
        <f>IF(Registro2[[#This Row],[Data de Pagamento]]="",0,IF(Registro2[[#This Row],[Conta Financeira]]=base!$A$6,0,Registro2[[#This Row],[Valor Unitário]]))</f>
        <v>15</v>
      </c>
      <c r="U5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66" t="str">
        <f>VLOOKUP(Registro2[[#This Row],[Categoria]],'Plano de Contas'!$V$3:W619,2,0)</f>
        <v>Receitas Serviços</v>
      </c>
      <c r="X5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66" t="s">
        <v>1536</v>
      </c>
    </row>
    <row r="567" spans="1:25" hidden="1">
      <c r="A567" s="1">
        <v>45716.961805555555</v>
      </c>
      <c r="B567" s="1">
        <v>45716.961805555555</v>
      </c>
      <c r="D567" t="s">
        <v>1</v>
      </c>
      <c r="E567" t="s">
        <v>149</v>
      </c>
      <c r="F567" t="s">
        <v>147</v>
      </c>
      <c r="G567" t="s">
        <v>160</v>
      </c>
      <c r="I567" s="4">
        <v>15</v>
      </c>
      <c r="J567" s="4">
        <v>15</v>
      </c>
      <c r="L567" t="s">
        <v>253</v>
      </c>
      <c r="M567" t="s">
        <v>491</v>
      </c>
      <c r="N567" s="4">
        <f>IF(L567="","",IF(OR(Registro2[[#This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567" t="str">
        <f t="shared" si="8"/>
        <v>fev/25</v>
      </c>
      <c r="P567" t="str">
        <f>IF(Registro2[[#This Row],[Data de Pagamento]]&gt;0,TEXT(A567,"mmm/aa"),"")</f>
        <v>fev/25</v>
      </c>
      <c r="T567" s="4">
        <f>IF(Registro2[[#This Row],[Data de Pagamento]]="",0,IF(Registro2[[#This Row],[Conta Financeira]]=base!$A$6,0,Registro2[[#This Row],[Valor Unitário]]))</f>
        <v>15</v>
      </c>
      <c r="U5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67" t="str">
        <f>VLOOKUP(Registro2[[#This Row],[Categoria]],'Plano de Contas'!$V$3:W620,2,0)</f>
        <v>Receitas Serviços</v>
      </c>
      <c r="X56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67" t="s">
        <v>1536</v>
      </c>
    </row>
    <row r="568" spans="1:25" hidden="1">
      <c r="A568" s="1">
        <v>45717.395833333336</v>
      </c>
      <c r="B568" s="1">
        <v>45717.395833333336</v>
      </c>
      <c r="D568" t="s">
        <v>1</v>
      </c>
      <c r="E568" t="s">
        <v>149</v>
      </c>
      <c r="F568" t="s">
        <v>152</v>
      </c>
      <c r="G568" t="s">
        <v>353</v>
      </c>
      <c r="I568" s="4">
        <v>55</v>
      </c>
      <c r="J568" s="4">
        <v>55</v>
      </c>
      <c r="L568" t="s">
        <v>252</v>
      </c>
      <c r="M568" t="s">
        <v>1049</v>
      </c>
      <c r="N568" s="4">
        <f>IF(L568="","",IF(OR(Registro2[[#This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568" t="str">
        <f t="shared" si="8"/>
        <v>mar/25</v>
      </c>
      <c r="P568" t="str">
        <f>IF(Registro2[[#This Row],[Data de Pagamento]]&gt;0,TEXT(A568,"mmm/aa"),"")</f>
        <v>mar/25</v>
      </c>
      <c r="T568" s="4">
        <f>IF(Registro2[[#This Row],[Data de Pagamento]]="",0,IF(Registro2[[#This Row],[Conta Financeira]]=base!$A$6,0,Registro2[[#This Row],[Valor Unitário]]))</f>
        <v>55</v>
      </c>
      <c r="U5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68" t="str">
        <f>VLOOKUP(Registro2[[#This Row],[Categoria]],'Plano de Contas'!$V$3:W541,2,0)</f>
        <v>Receitas Serviços</v>
      </c>
      <c r="X56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68" t="s">
        <v>1536</v>
      </c>
    </row>
    <row r="569" spans="1:25" hidden="1">
      <c r="A569" s="1">
        <v>45717.395833333336</v>
      </c>
      <c r="B569" s="1">
        <v>45717.395833333336</v>
      </c>
      <c r="D569" t="s">
        <v>1</v>
      </c>
      <c r="E569" t="s">
        <v>149</v>
      </c>
      <c r="F569" t="s">
        <v>147</v>
      </c>
      <c r="G569" t="s">
        <v>163</v>
      </c>
      <c r="I569" s="4">
        <v>30</v>
      </c>
      <c r="J569" s="4">
        <v>0</v>
      </c>
      <c r="L569" t="s">
        <v>253</v>
      </c>
      <c r="M569" t="s">
        <v>185</v>
      </c>
      <c r="N569" s="4">
        <f>IF(L569="","",IF(OR(Registro2[[#This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569" t="str">
        <f t="shared" si="8"/>
        <v>mar/25</v>
      </c>
      <c r="P569" t="str">
        <f>IF(Registro2[[#This Row],[Data de Pagamento]]&gt;0,TEXT(A569,"mmm/aa"),"")</f>
        <v>mar/25</v>
      </c>
      <c r="T569" s="4">
        <f>IF(Registro2[[#This Row],[Data de Pagamento]]="",0,IF(Registro2[[#This Row],[Conta Financeira]]=base!$A$6,0,Registro2[[#This Row],[Valor Unitário]]))</f>
        <v>30</v>
      </c>
      <c r="U5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569" t="str">
        <f>VLOOKUP(Registro2[[#This Row],[Categoria]],'Plano de Contas'!$V$3:W601,2,0)</f>
        <v>Receitas Serviços</v>
      </c>
      <c r="X56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69" t="s">
        <v>1536</v>
      </c>
    </row>
    <row r="570" spans="1:25" hidden="1">
      <c r="A570" s="1">
        <v>45717.416666666664</v>
      </c>
      <c r="B570" s="1">
        <v>45717.416666666664</v>
      </c>
      <c r="D570" t="s">
        <v>310</v>
      </c>
      <c r="E570" t="s">
        <v>149</v>
      </c>
      <c r="F570" t="s">
        <v>152</v>
      </c>
      <c r="G570" t="s">
        <v>353</v>
      </c>
      <c r="I570" s="4">
        <v>55</v>
      </c>
      <c r="J570" s="4">
        <v>55</v>
      </c>
      <c r="L570" t="s">
        <v>253</v>
      </c>
      <c r="M570" t="s">
        <v>184</v>
      </c>
      <c r="N570" s="4">
        <f>IF(L570="","",IF(OR(Registro2[[#This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570" t="str">
        <f t="shared" si="8"/>
        <v>mar/25</v>
      </c>
      <c r="P570" t="str">
        <f>IF(Registro2[[#This Row],[Data de Pagamento]]&gt;0,TEXT(A570,"mmm/aa"),"")</f>
        <v>mar/25</v>
      </c>
      <c r="T570" s="4">
        <f>IF(Registro2[[#This Row],[Data de Pagamento]]="",0,IF(Registro2[[#This Row],[Conta Financeira]]=base!$A$6,0,Registro2[[#This Row],[Valor Unitário]]))</f>
        <v>55</v>
      </c>
      <c r="U5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70" t="str">
        <f>VLOOKUP(Registro2[[#This Row],[Categoria]],'Plano de Contas'!$V$3:W532,2,0)</f>
        <v>Receitas Serviços</v>
      </c>
      <c r="X57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0.48949999999999999</v>
      </c>
      <c r="Y570" t="s">
        <v>1536</v>
      </c>
    </row>
    <row r="571" spans="1:25" hidden="1">
      <c r="A571" s="1">
        <v>45717.427083333336</v>
      </c>
      <c r="B571" s="1">
        <v>45717.427083333336</v>
      </c>
      <c r="D571" t="s">
        <v>1</v>
      </c>
      <c r="E571" t="s">
        <v>149</v>
      </c>
      <c r="F571" t="s">
        <v>147</v>
      </c>
      <c r="G571" t="s">
        <v>163</v>
      </c>
      <c r="I571" s="4">
        <v>35</v>
      </c>
      <c r="J571" s="4">
        <v>25</v>
      </c>
      <c r="L571" t="s">
        <v>252</v>
      </c>
      <c r="M571" t="s">
        <v>499</v>
      </c>
      <c r="N571" s="4">
        <f>IF(L571="","",IF(OR(Registro2[[#This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71" t="str">
        <f t="shared" si="8"/>
        <v>mar/25</v>
      </c>
      <c r="P571" t="str">
        <f>IF(Registro2[[#This Row],[Data de Pagamento]]&gt;0,TEXT(A571,"mmm/aa"),"")</f>
        <v>mar/25</v>
      </c>
      <c r="T571" s="4">
        <f>IF(Registro2[[#This Row],[Data de Pagamento]]="",0,IF(Registro2[[#This Row],[Conta Financeira]]=base!$A$6,0,Registro2[[#This Row],[Valor Unitário]]))</f>
        <v>35</v>
      </c>
      <c r="U5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71" t="str">
        <f>VLOOKUP(Registro2[[#This Row],[Categoria]],'Plano de Contas'!$V$3:W603,2,0)</f>
        <v>Receitas Serviços</v>
      </c>
      <c r="X57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71" t="s">
        <v>1536</v>
      </c>
    </row>
    <row r="572" spans="1:25" hidden="1">
      <c r="A572" s="1">
        <v>45717.440972222219</v>
      </c>
      <c r="B572" s="1">
        <v>45717.440972222219</v>
      </c>
      <c r="D572" t="s">
        <v>2</v>
      </c>
      <c r="E572" t="s">
        <v>149</v>
      </c>
      <c r="F572" t="s">
        <v>147</v>
      </c>
      <c r="G572" t="s">
        <v>163</v>
      </c>
      <c r="I572" s="4">
        <v>35</v>
      </c>
      <c r="J572" s="4">
        <v>35</v>
      </c>
      <c r="L572" t="s">
        <v>253</v>
      </c>
      <c r="M572" t="s">
        <v>17</v>
      </c>
      <c r="N572" s="4">
        <f>IF(L572="","",IF(OR(Registro2[[#This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72" t="str">
        <f t="shared" si="8"/>
        <v>mar/25</v>
      </c>
      <c r="P572" t="str">
        <f>IF(Registro2[[#This Row],[Data de Pagamento]]&gt;0,TEXT(A572,"mmm/aa"),"")</f>
        <v>mar/25</v>
      </c>
      <c r="T572" s="4">
        <f>IF(Registro2[[#This Row],[Data de Pagamento]]="",0,IF(Registro2[[#This Row],[Conta Financeira]]=base!$A$6,0,Registro2[[#This Row],[Valor Unitário]]))</f>
        <v>35</v>
      </c>
      <c r="U5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72" t="str">
        <f>VLOOKUP(Registro2[[#This Row],[Categoria]],'Plano de Contas'!$V$3:W626,2,0)</f>
        <v>Receitas Serviços</v>
      </c>
      <c r="X57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72" t="s">
        <v>1536</v>
      </c>
    </row>
    <row r="573" spans="1:25" hidden="1">
      <c r="A573" s="1">
        <v>45717.447916666664</v>
      </c>
      <c r="B573" s="1">
        <v>45717.447916666664</v>
      </c>
      <c r="D573" t="s">
        <v>310</v>
      </c>
      <c r="E573" t="s">
        <v>149</v>
      </c>
      <c r="F573" t="s">
        <v>147</v>
      </c>
      <c r="G573" t="s">
        <v>163</v>
      </c>
      <c r="I573" s="4">
        <v>35</v>
      </c>
      <c r="J573" s="4">
        <v>35</v>
      </c>
      <c r="L573" t="s">
        <v>253</v>
      </c>
      <c r="M573" t="s">
        <v>1114</v>
      </c>
      <c r="N573" s="4">
        <f>IF(L573="","",IF(OR(Registro2[[#This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73" t="str">
        <f t="shared" si="8"/>
        <v>mar/25</v>
      </c>
      <c r="P573" t="str">
        <f>IF(Registro2[[#This Row],[Data de Pagamento]]&gt;0,TEXT(A573,"mmm/aa"),"")</f>
        <v>mar/25</v>
      </c>
      <c r="T573" s="4">
        <f>IF(Registro2[[#This Row],[Data de Pagamento]]="",0,IF(Registro2[[#This Row],[Conta Financeira]]=base!$A$6,0,Registro2[[#This Row],[Valor Unitário]]))</f>
        <v>35</v>
      </c>
      <c r="U5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73" t="str">
        <f>VLOOKUP(Registro2[[#This Row],[Categoria]],'Plano de Contas'!$V$3:W593,2,0)</f>
        <v>Receitas Serviços</v>
      </c>
      <c r="X57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573" t="s">
        <v>1536</v>
      </c>
    </row>
    <row r="574" spans="1:25" hidden="1">
      <c r="A574" s="1">
        <v>45717.447916666664</v>
      </c>
      <c r="B574" s="1">
        <v>45717.447916666664</v>
      </c>
      <c r="D574" t="s">
        <v>1</v>
      </c>
      <c r="E574" t="s">
        <v>149</v>
      </c>
      <c r="F574" t="s">
        <v>152</v>
      </c>
      <c r="G574" t="s">
        <v>159</v>
      </c>
      <c r="I574" s="4">
        <v>40</v>
      </c>
      <c r="J574" s="4">
        <v>40</v>
      </c>
      <c r="L574" t="s">
        <v>252</v>
      </c>
      <c r="M574" t="s">
        <v>62</v>
      </c>
      <c r="N574" s="4">
        <f>IF(L574="","",IF(OR(Registro2[[#This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574" t="str">
        <f t="shared" si="8"/>
        <v>mar/25</v>
      </c>
      <c r="P574" t="str">
        <f>IF(Registro2[[#This Row],[Data de Pagamento]]&gt;0,TEXT(A574,"mmm/aa"),"")</f>
        <v>mar/25</v>
      </c>
      <c r="T574" s="4">
        <f>IF(Registro2[[#This Row],[Data de Pagamento]]="",0,IF(Registro2[[#This Row],[Conta Financeira]]=base!$A$6,0,Registro2[[#This Row],[Valor Unitário]]))</f>
        <v>40</v>
      </c>
      <c r="U5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74" t="str">
        <f>VLOOKUP(Registro2[[#This Row],[Categoria]],'Plano de Contas'!$V$3:W623,2,0)</f>
        <v>Receitas Serviços</v>
      </c>
      <c r="X57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74" t="s">
        <v>1536</v>
      </c>
    </row>
    <row r="575" spans="1:25" hidden="1">
      <c r="A575" s="1">
        <v>45717.451388888891</v>
      </c>
      <c r="B575" s="1">
        <v>45717.451388888891</v>
      </c>
      <c r="D575" t="s">
        <v>310</v>
      </c>
      <c r="E575" t="s">
        <v>149</v>
      </c>
      <c r="F575" t="s">
        <v>147</v>
      </c>
      <c r="G575" t="s">
        <v>163</v>
      </c>
      <c r="I575" s="4">
        <v>20</v>
      </c>
      <c r="J575" s="4">
        <v>20</v>
      </c>
      <c r="L575" t="s">
        <v>253</v>
      </c>
      <c r="M575" t="s">
        <v>376</v>
      </c>
      <c r="N575" s="4">
        <f>IF(L575="","",IF(OR(Registro2[[#This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575" t="str">
        <f t="shared" si="8"/>
        <v>mar/25</v>
      </c>
      <c r="P575" t="str">
        <f>IF(Registro2[[#This Row],[Data de Pagamento]]&gt;0,TEXT(A575,"mmm/aa"),"")</f>
        <v>mar/25</v>
      </c>
      <c r="T575" s="4">
        <f>IF(Registro2[[#This Row],[Data de Pagamento]]="",0,IF(Registro2[[#This Row],[Conta Financeira]]=base!$A$6,0,Registro2[[#This Row],[Valor Unitário]]))</f>
        <v>20</v>
      </c>
      <c r="U5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75" t="str">
        <f>VLOOKUP(Registro2[[#This Row],[Categoria]],'Plano de Contas'!$V$3:W627,2,0)</f>
        <v>Receitas Serviços</v>
      </c>
      <c r="X57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  <c r="Y575" t="s">
        <v>1536</v>
      </c>
    </row>
    <row r="576" spans="1:25" hidden="1">
      <c r="A576" s="1">
        <v>45717.479166666664</v>
      </c>
      <c r="B576" s="1">
        <v>45717.479166666664</v>
      </c>
      <c r="D576" t="s">
        <v>2</v>
      </c>
      <c r="E576" t="s">
        <v>149</v>
      </c>
      <c r="F576" t="s">
        <v>147</v>
      </c>
      <c r="G576" t="s">
        <v>163</v>
      </c>
      <c r="I576" s="4">
        <v>35</v>
      </c>
      <c r="J576" s="4">
        <v>70</v>
      </c>
      <c r="L576" t="s">
        <v>253</v>
      </c>
      <c r="M576" t="s">
        <v>372</v>
      </c>
      <c r="N576" s="4">
        <f>IF(L576="","",IF(OR(Registro2[[#This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76" t="str">
        <f t="shared" si="8"/>
        <v>mar/25</v>
      </c>
      <c r="P576" t="str">
        <f>IF(Registro2[[#This Row],[Data de Pagamento]]&gt;0,TEXT(A576,"mmm/aa"),"")</f>
        <v>mar/25</v>
      </c>
      <c r="T576" s="4">
        <f>IF(Registro2[[#This Row],[Data de Pagamento]]="",0,IF(Registro2[[#This Row],[Conta Financeira]]=base!$A$6,0,Registro2[[#This Row],[Valor Unitário]]))</f>
        <v>35</v>
      </c>
      <c r="U5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76" t="str">
        <f>VLOOKUP(Registro2[[#This Row],[Categoria]],'Plano de Contas'!$V$3:W584,2,0)</f>
        <v>Receitas Serviços</v>
      </c>
      <c r="X57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76" t="s">
        <v>1536</v>
      </c>
    </row>
    <row r="577" spans="1:25" hidden="1">
      <c r="A577" s="1">
        <v>45717.479166666664</v>
      </c>
      <c r="B577" s="1">
        <v>45717.479166666664</v>
      </c>
      <c r="D577" t="s">
        <v>2</v>
      </c>
      <c r="E577" t="s">
        <v>149</v>
      </c>
      <c r="F577" t="s">
        <v>147</v>
      </c>
      <c r="G577" t="s">
        <v>163</v>
      </c>
      <c r="I577" s="4">
        <v>35</v>
      </c>
      <c r="J577" s="4"/>
      <c r="L577" t="s">
        <v>253</v>
      </c>
      <c r="M577" t="s">
        <v>372</v>
      </c>
      <c r="N577" s="4">
        <f>IF(L577="","",IF(OR(Registro2[[#This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77" t="str">
        <f t="shared" si="8"/>
        <v>mar/25</v>
      </c>
      <c r="P577" t="str">
        <f>IF(Registro2[[#This Row],[Data de Pagamento]]&gt;0,TEXT(A577,"mmm/aa"),"")</f>
        <v>mar/25</v>
      </c>
      <c r="T577" s="4">
        <f>IF(Registro2[[#This Row],[Data de Pagamento]]="",0,IF(Registro2[[#This Row],[Conta Financeira]]=base!$A$6,0,Registro2[[#This Row],[Valor Unitário]]))</f>
        <v>35</v>
      </c>
      <c r="U5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77" t="str">
        <f>VLOOKUP(Registro2[[#This Row],[Categoria]],'Plano de Contas'!$V$3:W585,2,0)</f>
        <v>Receitas Serviços</v>
      </c>
      <c r="X57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77" t="s">
        <v>1536</v>
      </c>
    </row>
    <row r="578" spans="1:25" hidden="1">
      <c r="A578" s="1">
        <v>45717.527777777781</v>
      </c>
      <c r="B578" s="1">
        <v>45717.527777777781</v>
      </c>
      <c r="D578" t="s">
        <v>2</v>
      </c>
      <c r="E578" t="s">
        <v>149</v>
      </c>
      <c r="F578" t="s">
        <v>147</v>
      </c>
      <c r="G578" t="s">
        <v>163</v>
      </c>
      <c r="I578" s="4">
        <v>35</v>
      </c>
      <c r="J578" s="4">
        <v>35</v>
      </c>
      <c r="L578" t="s">
        <v>253</v>
      </c>
      <c r="M578" t="s">
        <v>13</v>
      </c>
      <c r="N578" s="4">
        <f>IF(L578="","",IF(OR(Registro2[[#This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78" t="str">
        <f t="shared" ref="O578:O641" si="9">TEXT(B578,"mmm/aa")</f>
        <v>mar/25</v>
      </c>
      <c r="P578" t="str">
        <f>IF(Registro2[[#This Row],[Data de Pagamento]]&gt;0,TEXT(A578,"mmm/aa"),"")</f>
        <v>mar/25</v>
      </c>
      <c r="T578" s="4">
        <f>IF(Registro2[[#This Row],[Data de Pagamento]]="",0,IF(Registro2[[#This Row],[Conta Financeira]]=base!$A$6,0,Registro2[[#This Row],[Valor Unitário]]))</f>
        <v>35</v>
      </c>
      <c r="U5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78" t="str">
        <f>VLOOKUP(Registro2[[#This Row],[Categoria]],'Plano de Contas'!$V$3:W628,2,0)</f>
        <v>Receitas Serviços</v>
      </c>
      <c r="X5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78" t="s">
        <v>1536</v>
      </c>
    </row>
    <row r="579" spans="1:25" hidden="1">
      <c r="A579" s="1">
        <v>45717.583333333336</v>
      </c>
      <c r="B579" s="1">
        <v>45717.583333333336</v>
      </c>
      <c r="D579" t="s">
        <v>882</v>
      </c>
      <c r="E579" t="s">
        <v>149</v>
      </c>
      <c r="F579" t="s">
        <v>152</v>
      </c>
      <c r="G579" t="s">
        <v>306</v>
      </c>
      <c r="I579" s="4">
        <v>50</v>
      </c>
      <c r="J579" s="4">
        <v>50</v>
      </c>
      <c r="L579" t="s">
        <v>253</v>
      </c>
      <c r="M579" t="s">
        <v>115</v>
      </c>
      <c r="N579" s="4">
        <f>IF(L579="","",IF(OR(Registro2[[#This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579" t="str">
        <f t="shared" si="9"/>
        <v>mar/25</v>
      </c>
      <c r="P579" t="str">
        <f>IF(Registro2[[#This Row],[Data de Pagamento]]&gt;0,TEXT(A579,"mmm/aa"),"")</f>
        <v>mar/25</v>
      </c>
      <c r="T579" s="4">
        <f>IF(Registro2[[#This Row],[Data de Pagamento]]="",0,IF(Registro2[[#This Row],[Conta Financeira]]=base!$A$6,0,Registro2[[#This Row],[Valor Unitário]]))</f>
        <v>50</v>
      </c>
      <c r="U5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79" t="str">
        <f>VLOOKUP(Registro2[[#This Row],[Categoria]],'Plano de Contas'!$V$3:W625,2,0)</f>
        <v>Receitas Serviços</v>
      </c>
      <c r="X57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79" t="s">
        <v>1536</v>
      </c>
    </row>
    <row r="580" spans="1:25" hidden="1">
      <c r="A580" s="1">
        <v>45717.600694444445</v>
      </c>
      <c r="B580" s="1">
        <v>45717.600694444445</v>
      </c>
      <c r="D580" t="s">
        <v>1</v>
      </c>
      <c r="E580" t="s">
        <v>149</v>
      </c>
      <c r="F580" t="s">
        <v>152</v>
      </c>
      <c r="G580" t="s">
        <v>353</v>
      </c>
      <c r="I580" s="4">
        <v>55</v>
      </c>
      <c r="J580" s="4">
        <v>100</v>
      </c>
      <c r="L580" t="s">
        <v>252</v>
      </c>
      <c r="M580" t="s">
        <v>1154</v>
      </c>
      <c r="N580" s="4">
        <f>IF(L580="","",IF(OR(Registro2[[#This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580" t="str">
        <f t="shared" si="9"/>
        <v>mar/25</v>
      </c>
      <c r="P580" t="str">
        <f>IF(Registro2[[#This Row],[Data de Pagamento]]&gt;0,TEXT(A580,"mmm/aa"),"")</f>
        <v>mar/25</v>
      </c>
      <c r="T580" s="4">
        <f>IF(Registro2[[#This Row],[Data de Pagamento]]="",0,IF(Registro2[[#This Row],[Conta Financeira]]=base!$A$6,0,Registro2[[#This Row],[Valor Unitário]]))</f>
        <v>55</v>
      </c>
      <c r="U5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80" t="str">
        <f>VLOOKUP(Registro2[[#This Row],[Categoria]],'Plano de Contas'!$V$3:W630,2,0)</f>
        <v>Receitas Serviços</v>
      </c>
      <c r="X58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80" t="s">
        <v>1536</v>
      </c>
    </row>
    <row r="581" spans="1:25" hidden="1">
      <c r="A581" s="1">
        <v>45717.600694444445</v>
      </c>
      <c r="B581" s="1">
        <v>45717.600694444445</v>
      </c>
      <c r="D581" t="s">
        <v>1</v>
      </c>
      <c r="E581" t="s">
        <v>149</v>
      </c>
      <c r="F581" t="s">
        <v>152</v>
      </c>
      <c r="G581" t="s">
        <v>352</v>
      </c>
      <c r="I581" s="4">
        <v>10</v>
      </c>
      <c r="J581" s="4"/>
      <c r="L581" t="s">
        <v>252</v>
      </c>
      <c r="M581" t="s">
        <v>1154</v>
      </c>
      <c r="N581" s="4">
        <f>IF(L581="","",IF(OR(Registro2[[#This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581" t="str">
        <f t="shared" si="9"/>
        <v>mar/25</v>
      </c>
      <c r="P581" t="str">
        <f>IF(Registro2[[#This Row],[Data de Pagamento]]&gt;0,TEXT(A581,"mmm/aa"),"")</f>
        <v>mar/25</v>
      </c>
      <c r="T581" s="4">
        <f>IF(Registro2[[#This Row],[Data de Pagamento]]="",0,IF(Registro2[[#This Row],[Conta Financeira]]=base!$A$6,0,Registro2[[#This Row],[Valor Unitário]]))</f>
        <v>10</v>
      </c>
      <c r="U5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81" t="str">
        <f>VLOOKUP(Registro2[[#This Row],[Categoria]],'Plano de Contas'!$V$3:W631,2,0)</f>
        <v>Receitas Serviços</v>
      </c>
      <c r="X58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81" t="s">
        <v>1536</v>
      </c>
    </row>
    <row r="582" spans="1:25" hidden="1">
      <c r="A582" s="1">
        <v>45717.600694444445</v>
      </c>
      <c r="B582" s="1">
        <v>45717.600694444445</v>
      </c>
      <c r="D582" t="s">
        <v>1</v>
      </c>
      <c r="E582" t="s">
        <v>149</v>
      </c>
      <c r="F582" t="s">
        <v>150</v>
      </c>
      <c r="G582" t="s">
        <v>513</v>
      </c>
      <c r="I582" s="4">
        <v>35</v>
      </c>
      <c r="J582" s="4"/>
      <c r="L582" t="s">
        <v>252</v>
      </c>
      <c r="M582" t="s">
        <v>1154</v>
      </c>
      <c r="N582" s="4">
        <f>IF(L582="","",IF(OR(Registro2[[#This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14</v>
      </c>
      <c r="O582" t="str">
        <f t="shared" si="9"/>
        <v>mar/25</v>
      </c>
      <c r="P582" t="str">
        <f>IF(Registro2[[#This Row],[Data de Pagamento]]&gt;0,TEXT(A582,"mmm/aa"),"")</f>
        <v>mar/25</v>
      </c>
      <c r="T582" s="4">
        <f>IF(Registro2[[#This Row],[Data de Pagamento]]="",0,IF(Registro2[[#This Row],[Conta Financeira]]=base!$A$6,0,Registro2[[#This Row],[Valor Unitário]]))</f>
        <v>35</v>
      </c>
      <c r="U5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82" t="str">
        <f>VLOOKUP(Registro2[[#This Row],[Categoria]],'Plano de Contas'!$V$3:W632,2,0)</f>
        <v>Receitas Produtos</v>
      </c>
      <c r="X5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82" t="s">
        <v>1536</v>
      </c>
    </row>
    <row r="583" spans="1:25" hidden="1">
      <c r="A583" s="1">
        <v>45717.614583333336</v>
      </c>
      <c r="B583" s="1">
        <v>45717.614583333336</v>
      </c>
      <c r="D583" t="s">
        <v>2</v>
      </c>
      <c r="E583" t="s">
        <v>149</v>
      </c>
      <c r="F583" t="s">
        <v>147</v>
      </c>
      <c r="G583" t="s">
        <v>163</v>
      </c>
      <c r="I583" s="4">
        <v>35</v>
      </c>
      <c r="J583" s="4">
        <v>35</v>
      </c>
      <c r="L583" t="s">
        <v>253</v>
      </c>
      <c r="M583" t="s">
        <v>127</v>
      </c>
      <c r="N583" s="4">
        <f>IF(L583="","",IF(OR(Registro2[[#This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83" t="str">
        <f t="shared" si="9"/>
        <v>mar/25</v>
      </c>
      <c r="P583" t="str">
        <f>IF(Registro2[[#This Row],[Data de Pagamento]]&gt;0,TEXT(A583,"mmm/aa"),"")</f>
        <v>mar/25</v>
      </c>
      <c r="T583" s="4">
        <f>IF(Registro2[[#This Row],[Data de Pagamento]]="",0,IF(Registro2[[#This Row],[Conta Financeira]]=base!$A$6,0,Registro2[[#This Row],[Valor Unitário]]))</f>
        <v>35</v>
      </c>
      <c r="U5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83" t="str">
        <f>VLOOKUP(Registro2[[#This Row],[Categoria]],'Plano de Contas'!$V$3:W621,2,0)</f>
        <v>Receitas Serviços</v>
      </c>
      <c r="X5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83" t="s">
        <v>1536</v>
      </c>
    </row>
    <row r="584" spans="1:25" hidden="1">
      <c r="A584" s="1">
        <v>45717.635416666664</v>
      </c>
      <c r="B584" s="1">
        <v>45717.635416666664</v>
      </c>
      <c r="D584" t="s">
        <v>1</v>
      </c>
      <c r="E584" t="s">
        <v>149</v>
      </c>
      <c r="F584" t="s">
        <v>152</v>
      </c>
      <c r="G584" t="s">
        <v>353</v>
      </c>
      <c r="I584" s="4">
        <v>60</v>
      </c>
      <c r="J584" s="4">
        <v>60</v>
      </c>
      <c r="L584" t="s">
        <v>253</v>
      </c>
      <c r="M584" t="s">
        <v>1152</v>
      </c>
      <c r="N584" s="4">
        <f>IF(L584="","",IF(OR(Registro2[[#This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584" t="str">
        <f t="shared" si="9"/>
        <v>mar/25</v>
      </c>
      <c r="P584" t="str">
        <f>IF(Registro2[[#This Row],[Data de Pagamento]]&gt;0,TEXT(A584,"mmm/aa"),"")</f>
        <v>mar/25</v>
      </c>
      <c r="T584" s="4">
        <f>IF(Registro2[[#This Row],[Data de Pagamento]]="",0,IF(Registro2[[#This Row],[Conta Financeira]]=base!$A$6,0,Registro2[[#This Row],[Valor Unitário]]))</f>
        <v>60</v>
      </c>
      <c r="U5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84" t="str">
        <f>VLOOKUP(Registro2[[#This Row],[Categoria]],'Plano de Contas'!$V$3:W629,2,0)</f>
        <v>Receitas Serviços</v>
      </c>
      <c r="X58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84" t="s">
        <v>1536</v>
      </c>
    </row>
    <row r="585" spans="1:25" hidden="1">
      <c r="A585" s="1">
        <v>45717.635416666664</v>
      </c>
      <c r="B585" s="1">
        <v>45717.635416666664</v>
      </c>
      <c r="D585" t="s">
        <v>310</v>
      </c>
      <c r="E585" t="s">
        <v>149</v>
      </c>
      <c r="F585" t="s">
        <v>147</v>
      </c>
      <c r="G585" t="s">
        <v>1046</v>
      </c>
      <c r="I585" s="4">
        <v>35</v>
      </c>
      <c r="J585" s="4">
        <v>40</v>
      </c>
      <c r="L585" t="s">
        <v>252</v>
      </c>
      <c r="M585" t="s">
        <v>908</v>
      </c>
      <c r="N585" s="4">
        <f>IF(L585="","",IF(OR(Registro2[[#This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85" t="str">
        <f t="shared" si="9"/>
        <v>mar/25</v>
      </c>
      <c r="P585" t="str">
        <f>IF(Registro2[[#This Row],[Data de Pagamento]]&gt;0,TEXT(A585,"mmm/aa"),"")</f>
        <v>mar/25</v>
      </c>
      <c r="T585" s="4">
        <f>IF(Registro2[[#This Row],[Data de Pagamento]]="",0,IF(Registro2[[#This Row],[Conta Financeira]]=base!$A$6,0,Registro2[[#This Row],[Valor Unitário]]))</f>
        <v>35</v>
      </c>
      <c r="U5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85" t="str">
        <f>VLOOKUP(Registro2[[#This Row],[Categoria]],'Plano de Contas'!$V$3:W633,2,0)</f>
        <v>Receitas Serviços</v>
      </c>
      <c r="X58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585" t="s">
        <v>1536</v>
      </c>
    </row>
    <row r="586" spans="1:25" hidden="1">
      <c r="A586" s="1">
        <v>45717.666666666664</v>
      </c>
      <c r="B586" s="1">
        <v>45717.666666666664</v>
      </c>
      <c r="D586" t="s">
        <v>1</v>
      </c>
      <c r="E586" t="s">
        <v>149</v>
      </c>
      <c r="F586" t="s">
        <v>147</v>
      </c>
      <c r="G586" t="s">
        <v>163</v>
      </c>
      <c r="I586" s="4">
        <v>35</v>
      </c>
      <c r="J586" s="4">
        <v>35</v>
      </c>
      <c r="L586" t="s">
        <v>253</v>
      </c>
      <c r="M586" t="s">
        <v>39</v>
      </c>
      <c r="N586" s="4">
        <f>IF(L586="","",IF(OR(Registro2[[#This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86" t="str">
        <f t="shared" si="9"/>
        <v>mar/25</v>
      </c>
      <c r="P586" t="str">
        <f>IF(Registro2[[#This Row],[Data de Pagamento]]&gt;0,TEXT(A586,"mmm/aa"),"")</f>
        <v>mar/25</v>
      </c>
      <c r="T586" s="4">
        <f>IF(Registro2[[#This Row],[Data de Pagamento]]="",0,IF(Registro2[[#This Row],[Conta Financeira]]=base!$A$6,0,Registro2[[#This Row],[Valor Unitário]]))</f>
        <v>35</v>
      </c>
      <c r="U5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86" t="str">
        <f>VLOOKUP(Registro2[[#This Row],[Categoria]],'Plano de Contas'!$V$3:W622,2,0)</f>
        <v>Receitas Serviços</v>
      </c>
      <c r="X58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86" t="s">
        <v>1536</v>
      </c>
    </row>
    <row r="587" spans="1:25" hidden="1">
      <c r="A587" s="1">
        <v>45717.6875</v>
      </c>
      <c r="B587" s="1">
        <v>45717.6875</v>
      </c>
      <c r="D587" t="s">
        <v>1</v>
      </c>
      <c r="E587" t="s">
        <v>149</v>
      </c>
      <c r="F587" t="s">
        <v>152</v>
      </c>
      <c r="G587" t="s">
        <v>159</v>
      </c>
      <c r="I587" s="4">
        <v>45</v>
      </c>
      <c r="J587" s="4">
        <v>45</v>
      </c>
      <c r="L587" t="s">
        <v>252</v>
      </c>
      <c r="M587" t="s">
        <v>487</v>
      </c>
      <c r="N587" s="4">
        <f>IF(L587="","",IF(OR(Registro2[[#This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20.25</v>
      </c>
      <c r="O587" t="str">
        <f t="shared" si="9"/>
        <v>mar/25</v>
      </c>
      <c r="P587" t="str">
        <f>IF(Registro2[[#This Row],[Data de Pagamento]]&gt;0,TEXT(A587,"mmm/aa"),"")</f>
        <v>mar/25</v>
      </c>
      <c r="T587" s="4">
        <f>IF(Registro2[[#This Row],[Data de Pagamento]]="",0,IF(Registro2[[#This Row],[Conta Financeira]]=base!$A$6,0,Registro2[[#This Row],[Valor Unitário]]))</f>
        <v>45</v>
      </c>
      <c r="U5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87" t="str">
        <f>VLOOKUP(Registro2[[#This Row],[Categoria]],'Plano de Contas'!$V$3:W634,2,0)</f>
        <v>Receitas Serviços</v>
      </c>
      <c r="X58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87" t="s">
        <v>1536</v>
      </c>
    </row>
    <row r="588" spans="1:25" hidden="1">
      <c r="A588" s="1">
        <v>45717.71875</v>
      </c>
      <c r="B588" s="1">
        <v>45717.71875</v>
      </c>
      <c r="D588" t="s">
        <v>310</v>
      </c>
      <c r="E588" t="s">
        <v>149</v>
      </c>
      <c r="F588" t="s">
        <v>147</v>
      </c>
      <c r="G588" t="s">
        <v>1046</v>
      </c>
      <c r="I588" s="4">
        <v>35</v>
      </c>
      <c r="J588" s="4">
        <v>45</v>
      </c>
      <c r="L588" t="s">
        <v>252</v>
      </c>
      <c r="M588" t="s">
        <v>294</v>
      </c>
      <c r="N588" s="4">
        <f>IF(L588="","",IF(OR(Registro2[[#This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88" t="str">
        <f t="shared" si="9"/>
        <v>mar/25</v>
      </c>
      <c r="P588" t="str">
        <f>IF(Registro2[[#This Row],[Data de Pagamento]]&gt;0,TEXT(A588,"mmm/aa"),"")</f>
        <v>mar/25</v>
      </c>
      <c r="T588" s="4">
        <f>IF(Registro2[[#This Row],[Data de Pagamento]]="",0,IF(Registro2[[#This Row],[Conta Financeira]]=base!$A$6,0,Registro2[[#This Row],[Valor Unitário]]))</f>
        <v>35</v>
      </c>
      <c r="U5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88" t="str">
        <f>VLOOKUP(Registro2[[#This Row],[Categoria]],'Plano de Contas'!$V$3:W635,2,0)</f>
        <v>Receitas Serviços</v>
      </c>
      <c r="X58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588" t="s">
        <v>1536</v>
      </c>
    </row>
    <row r="589" spans="1:25" hidden="1">
      <c r="A589" s="1">
        <v>45717.739583333336</v>
      </c>
      <c r="B589" s="1">
        <v>45717.739583333336</v>
      </c>
      <c r="D589" t="s">
        <v>310</v>
      </c>
      <c r="E589" t="s">
        <v>149</v>
      </c>
      <c r="F589" t="s">
        <v>152</v>
      </c>
      <c r="G589" t="s">
        <v>353</v>
      </c>
      <c r="I589" s="4">
        <v>60</v>
      </c>
      <c r="J589" s="4">
        <v>55</v>
      </c>
      <c r="L589" t="s">
        <v>252</v>
      </c>
      <c r="M589" t="s">
        <v>1161</v>
      </c>
      <c r="N589" s="4">
        <f>IF(L589="","",IF(OR(Registro2[[#This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589" t="str">
        <f t="shared" si="9"/>
        <v>mar/25</v>
      </c>
      <c r="P589" t="str">
        <f>IF(Registro2[[#This Row],[Data de Pagamento]]&gt;0,TEXT(A589,"mmm/aa"),"")</f>
        <v>mar/25</v>
      </c>
      <c r="T589" s="4">
        <f>IF(Registro2[[#This Row],[Data de Pagamento]]="",0,IF(Registro2[[#This Row],[Conta Financeira]]=base!$A$6,0,Registro2[[#This Row],[Valor Unitário]]))</f>
        <v>60</v>
      </c>
      <c r="U5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89" t="str">
        <f>VLOOKUP(Registro2[[#This Row],[Categoria]],'Plano de Contas'!$V$3:W637,2,0)</f>
        <v>Receitas Serviços</v>
      </c>
      <c r="X58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  <c r="Y589" t="s">
        <v>1536</v>
      </c>
    </row>
    <row r="590" spans="1:25" hidden="1">
      <c r="A590" s="1">
        <v>45717.743055555555</v>
      </c>
      <c r="B590" s="1">
        <v>45717.743055555555</v>
      </c>
      <c r="D590" t="s">
        <v>1</v>
      </c>
      <c r="E590" t="s">
        <v>149</v>
      </c>
      <c r="F590" t="s">
        <v>152</v>
      </c>
      <c r="G590" t="s">
        <v>353</v>
      </c>
      <c r="I590" s="4">
        <v>60</v>
      </c>
      <c r="J590" s="4">
        <v>60</v>
      </c>
      <c r="L590" t="s">
        <v>253</v>
      </c>
      <c r="M590" t="s">
        <v>1159</v>
      </c>
      <c r="N590" s="4">
        <f>IF(L590="","",IF(OR(Registro2[[#This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590" t="str">
        <f t="shared" si="9"/>
        <v>mar/25</v>
      </c>
      <c r="P590" t="str">
        <f>IF(Registro2[[#This Row],[Data de Pagamento]]&gt;0,TEXT(A590,"mmm/aa"),"")</f>
        <v>mar/25</v>
      </c>
      <c r="T590" s="4">
        <f>IF(Registro2[[#This Row],[Data de Pagamento]]="",0,IF(Registro2[[#This Row],[Conta Financeira]]=base!$A$6,0,Registro2[[#This Row],[Valor Unitário]]))</f>
        <v>60</v>
      </c>
      <c r="U5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90" t="str">
        <f>VLOOKUP(Registro2[[#This Row],[Categoria]],'Plano de Contas'!$V$3:W636,2,0)</f>
        <v>Receitas Serviços</v>
      </c>
      <c r="X59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90" t="s">
        <v>1536</v>
      </c>
    </row>
    <row r="591" spans="1:25" hidden="1">
      <c r="A591" s="1">
        <v>45717.760416666664</v>
      </c>
      <c r="B591" s="1">
        <v>45717.760416666664</v>
      </c>
      <c r="D591" t="s">
        <v>1</v>
      </c>
      <c r="E591" t="s">
        <v>149</v>
      </c>
      <c r="F591" t="s">
        <v>147</v>
      </c>
      <c r="G591" t="s">
        <v>163</v>
      </c>
      <c r="I591" s="4">
        <v>20</v>
      </c>
      <c r="J591" s="4">
        <v>35</v>
      </c>
      <c r="L591" t="s">
        <v>253</v>
      </c>
      <c r="M591" t="s">
        <v>1163</v>
      </c>
      <c r="N591" s="4">
        <f>IF(L591="","",IF(OR(Registro2[[#This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591" t="str">
        <f t="shared" si="9"/>
        <v>mar/25</v>
      </c>
      <c r="P591" t="str">
        <f>IF(Registro2[[#This Row],[Data de Pagamento]]&gt;0,TEXT(A591,"mmm/aa"),"")</f>
        <v>mar/25</v>
      </c>
      <c r="T591" s="4">
        <f>IF(Registro2[[#This Row],[Data de Pagamento]]="",0,IF(Registro2[[#This Row],[Conta Financeira]]=base!$A$6,0,Registro2[[#This Row],[Valor Unitário]]))</f>
        <v>20</v>
      </c>
      <c r="U5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91" t="str">
        <f>VLOOKUP(Registro2[[#This Row],[Categoria]],'Plano de Contas'!$V$3:W638,2,0)</f>
        <v>Receitas Serviços</v>
      </c>
      <c r="X59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91" t="s">
        <v>1536</v>
      </c>
    </row>
    <row r="592" spans="1:25" hidden="1">
      <c r="A592" s="1">
        <v>45717.760416666664</v>
      </c>
      <c r="B592" s="1">
        <v>45717.760416666664</v>
      </c>
      <c r="D592" t="s">
        <v>1</v>
      </c>
      <c r="E592" t="s">
        <v>149</v>
      </c>
      <c r="F592" t="s">
        <v>152</v>
      </c>
      <c r="G592" t="s">
        <v>352</v>
      </c>
      <c r="I592" s="4">
        <v>15</v>
      </c>
      <c r="J592" s="4"/>
      <c r="L592" t="s">
        <v>253</v>
      </c>
      <c r="M592" t="s">
        <v>1163</v>
      </c>
      <c r="N592" s="4">
        <f>IF(L592="","",IF(OR(Registro2[[#This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592" t="str">
        <f t="shared" si="9"/>
        <v>mar/25</v>
      </c>
      <c r="P592" t="str">
        <f>IF(Registro2[[#This Row],[Data de Pagamento]]&gt;0,TEXT(A592,"mmm/aa"),"")</f>
        <v>mar/25</v>
      </c>
      <c r="T592" s="4">
        <f>IF(Registro2[[#This Row],[Data de Pagamento]]="",0,IF(Registro2[[#This Row],[Conta Financeira]]=base!$A$6,0,Registro2[[#This Row],[Valor Unitário]]))</f>
        <v>15</v>
      </c>
      <c r="U5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92" t="str">
        <f>VLOOKUP(Registro2[[#This Row],[Categoria]],'Plano de Contas'!$V$3:W639,2,0)</f>
        <v>Receitas Serviços</v>
      </c>
      <c r="X59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92" t="s">
        <v>1536</v>
      </c>
    </row>
    <row r="593" spans="1:25" hidden="1">
      <c r="A593" s="1">
        <v>45717.770833333336</v>
      </c>
      <c r="B593" s="1">
        <v>45717.770833333336</v>
      </c>
      <c r="D593" t="s">
        <v>1</v>
      </c>
      <c r="E593" t="s">
        <v>149</v>
      </c>
      <c r="F593" t="s">
        <v>147</v>
      </c>
      <c r="G593" t="s">
        <v>163</v>
      </c>
      <c r="I593" s="4">
        <v>35</v>
      </c>
      <c r="J593" s="4">
        <v>35</v>
      </c>
      <c r="L593" t="s">
        <v>252</v>
      </c>
      <c r="M593" t="s">
        <v>1165</v>
      </c>
      <c r="N593" s="4">
        <f>IF(L593="","",IF(OR(Registro2[[#This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93" t="str">
        <f t="shared" si="9"/>
        <v>mar/25</v>
      </c>
      <c r="P593" t="str">
        <f>IF(Registro2[[#This Row],[Data de Pagamento]]&gt;0,TEXT(A593,"mmm/aa"),"")</f>
        <v>mar/25</v>
      </c>
      <c r="T593" s="4">
        <f>IF(Registro2[[#This Row],[Data de Pagamento]]="",0,IF(Registro2[[#This Row],[Conta Financeira]]=base!$A$6,0,Registro2[[#This Row],[Valor Unitário]]))</f>
        <v>35</v>
      </c>
      <c r="U5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93" t="str">
        <f>VLOOKUP(Registro2[[#This Row],[Categoria]],'Plano de Contas'!$V$3:W640,2,0)</f>
        <v>Receitas Serviços</v>
      </c>
      <c r="X59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93" t="s">
        <v>1536</v>
      </c>
    </row>
    <row r="594" spans="1:25" hidden="1">
      <c r="A594" s="1">
        <v>45717.791666666664</v>
      </c>
      <c r="B594" s="1">
        <v>45717.791666666664</v>
      </c>
      <c r="D594" t="s">
        <v>310</v>
      </c>
      <c r="E594" t="s">
        <v>149</v>
      </c>
      <c r="F594" t="s">
        <v>147</v>
      </c>
      <c r="G594" t="s">
        <v>163</v>
      </c>
      <c r="I594" s="4">
        <v>35</v>
      </c>
      <c r="J594" s="4">
        <v>35</v>
      </c>
      <c r="L594" t="s">
        <v>253</v>
      </c>
      <c r="M594" t="s">
        <v>37</v>
      </c>
      <c r="N594" s="4">
        <f>IF(L594="","",IF(OR(Registro2[[#This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94" t="str">
        <f t="shared" si="9"/>
        <v>mar/25</v>
      </c>
      <c r="P594" t="str">
        <f>IF(Registro2[[#This Row],[Data de Pagamento]]&gt;0,TEXT(A594,"mmm/aa"),"")</f>
        <v>mar/25</v>
      </c>
      <c r="T594" s="4">
        <f>IF(Registro2[[#This Row],[Data de Pagamento]]="",0,IF(Registro2[[#This Row],[Conta Financeira]]=base!$A$6,0,Registro2[[#This Row],[Valor Unitário]]))</f>
        <v>35</v>
      </c>
      <c r="U5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94" t="str">
        <f>VLOOKUP(Registro2[[#This Row],[Categoria]],'Plano de Contas'!$V$3:W624,2,0)</f>
        <v>Receitas Serviços</v>
      </c>
      <c r="X59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594" t="s">
        <v>1536</v>
      </c>
    </row>
    <row r="595" spans="1:25" hidden="1">
      <c r="A595" s="1">
        <v>45717.802083333336</v>
      </c>
      <c r="B595" s="1">
        <v>45717.802083333336</v>
      </c>
      <c r="D595" t="s">
        <v>2</v>
      </c>
      <c r="E595" t="s">
        <v>149</v>
      </c>
      <c r="F595" t="s">
        <v>152</v>
      </c>
      <c r="G595" t="s">
        <v>353</v>
      </c>
      <c r="I595" s="4">
        <v>60</v>
      </c>
      <c r="J595" s="4">
        <v>60</v>
      </c>
      <c r="L595" t="s">
        <v>252</v>
      </c>
      <c r="M595" t="s">
        <v>1167</v>
      </c>
      <c r="N595" s="4">
        <f>IF(L595="","",IF(OR(Registro2[[#This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595" t="str">
        <f t="shared" si="9"/>
        <v>mar/25</v>
      </c>
      <c r="P595" t="str">
        <f>IF(Registro2[[#This Row],[Data de Pagamento]]&gt;0,TEXT(A595,"mmm/aa"),"")</f>
        <v>mar/25</v>
      </c>
      <c r="T595" s="4">
        <f>IF(Registro2[[#This Row],[Data de Pagamento]]="",0,IF(Registro2[[#This Row],[Conta Financeira]]=base!$A$6,0,Registro2[[#This Row],[Valor Unitário]]))</f>
        <v>60</v>
      </c>
      <c r="U5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95" t="str">
        <f>VLOOKUP(Registro2[[#This Row],[Categoria]],'Plano de Contas'!$V$3:W641,2,0)</f>
        <v>Receitas Serviços</v>
      </c>
      <c r="X59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95" t="s">
        <v>1536</v>
      </c>
    </row>
    <row r="596" spans="1:25" hidden="1">
      <c r="A596" s="1">
        <v>45717.916666666664</v>
      </c>
      <c r="B596" s="1">
        <v>45717.916666666664</v>
      </c>
      <c r="D596" t="s">
        <v>1</v>
      </c>
      <c r="E596" t="s">
        <v>149</v>
      </c>
      <c r="F596" t="s">
        <v>147</v>
      </c>
      <c r="G596" t="s">
        <v>163</v>
      </c>
      <c r="I596" s="4">
        <v>35</v>
      </c>
      <c r="J596" s="4">
        <v>35</v>
      </c>
      <c r="L596" t="s">
        <v>253</v>
      </c>
      <c r="M596" t="s">
        <v>491</v>
      </c>
      <c r="N596" s="4">
        <f>IF(L596="","",IF(OR(Registro2[[#This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96" t="str">
        <f t="shared" si="9"/>
        <v>mar/25</v>
      </c>
      <c r="P596" t="str">
        <f>IF(Registro2[[#This Row],[Data de Pagamento]]&gt;0,TEXT(A596,"mmm/aa"),"")</f>
        <v>mar/25</v>
      </c>
      <c r="T596" s="4">
        <f>IF(Registro2[[#This Row],[Data de Pagamento]]="",0,IF(Registro2[[#This Row],[Conta Financeira]]=base!$A$6,0,Registro2[[#This Row],[Valor Unitário]]))</f>
        <v>35</v>
      </c>
      <c r="U5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96" t="str">
        <f>VLOOKUP(Registro2[[#This Row],[Categoria]],'Plano de Contas'!$V$3:W642,2,0)</f>
        <v>Receitas Serviços</v>
      </c>
      <c r="X59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96" t="s">
        <v>1536</v>
      </c>
    </row>
    <row r="597" spans="1:25" hidden="1">
      <c r="A597" s="1">
        <v>45721.416666666664</v>
      </c>
      <c r="B597" s="1">
        <v>45721.416666666664</v>
      </c>
      <c r="D597" t="s">
        <v>1</v>
      </c>
      <c r="E597" t="s">
        <v>149</v>
      </c>
      <c r="F597" t="s">
        <v>147</v>
      </c>
      <c r="G597" t="s">
        <v>163</v>
      </c>
      <c r="I597" s="4">
        <v>35</v>
      </c>
      <c r="J597" s="4">
        <v>35</v>
      </c>
      <c r="L597" t="s">
        <v>253</v>
      </c>
      <c r="M597" t="s">
        <v>1171</v>
      </c>
      <c r="N597" s="4">
        <f>IF(L597="","",IF(OR(Registro2[[#This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97" t="str">
        <f t="shared" si="9"/>
        <v>mar/25</v>
      </c>
      <c r="P597" t="str">
        <f>IF(Registro2[[#This Row],[Data de Pagamento]]&gt;0,TEXT(A597,"mmm/aa"),"")</f>
        <v>mar/25</v>
      </c>
      <c r="T597" s="4">
        <f>IF(Registro2[[#This Row],[Data de Pagamento]]="",0,IF(Registro2[[#This Row],[Conta Financeira]]=base!$A$6,0,Registro2[[#This Row],[Valor Unitário]]))</f>
        <v>35</v>
      </c>
      <c r="U5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97" t="str">
        <f>VLOOKUP(Registro2[[#This Row],[Categoria]],'Plano de Contas'!$V$3:W645,2,0)</f>
        <v>Receitas Serviços</v>
      </c>
      <c r="X59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97" t="s">
        <v>1536</v>
      </c>
    </row>
    <row r="598" spans="1:25" hidden="1">
      <c r="A598" s="1">
        <v>45721.4375</v>
      </c>
      <c r="B598" s="1">
        <v>45721.4375</v>
      </c>
      <c r="D598" t="s">
        <v>1</v>
      </c>
      <c r="E598" t="s">
        <v>149</v>
      </c>
      <c r="F598" t="s">
        <v>147</v>
      </c>
      <c r="G598" t="s">
        <v>163</v>
      </c>
      <c r="I598" s="4">
        <v>35</v>
      </c>
      <c r="J598" s="4">
        <v>35</v>
      </c>
      <c r="L598" t="s">
        <v>253</v>
      </c>
      <c r="M598" t="s">
        <v>274</v>
      </c>
      <c r="N598" s="4">
        <f>IF(L598="","",IF(OR(Registro2[[#This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598" t="str">
        <f t="shared" si="9"/>
        <v>mar/25</v>
      </c>
      <c r="P598" t="str">
        <f>IF(Registro2[[#This Row],[Data de Pagamento]]&gt;0,TEXT(A598,"mmm/aa"),"")</f>
        <v>mar/25</v>
      </c>
      <c r="T598" s="4">
        <f>IF(Registro2[[#This Row],[Data de Pagamento]]="",0,IF(Registro2[[#This Row],[Conta Financeira]]=base!$A$6,0,Registro2[[#This Row],[Valor Unitário]]))</f>
        <v>35</v>
      </c>
      <c r="U5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598" t="str">
        <f>VLOOKUP(Registro2[[#This Row],[Categoria]],'Plano de Contas'!$V$3:W646,2,0)</f>
        <v>Receitas Serviços</v>
      </c>
      <c r="X59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98" t="s">
        <v>1536</v>
      </c>
    </row>
    <row r="599" spans="1:25" hidden="1">
      <c r="A599" s="1">
        <v>45721.458333333336</v>
      </c>
      <c r="B599" s="1">
        <v>45721.458333333336</v>
      </c>
      <c r="D599" t="s">
        <v>1</v>
      </c>
      <c r="E599" t="s">
        <v>149</v>
      </c>
      <c r="F599" t="s">
        <v>147</v>
      </c>
      <c r="G599" t="s">
        <v>163</v>
      </c>
      <c r="I599" s="4">
        <v>30</v>
      </c>
      <c r="J599" s="4">
        <v>0</v>
      </c>
      <c r="L599" t="s">
        <v>253</v>
      </c>
      <c r="M599" t="s">
        <v>414</v>
      </c>
      <c r="N599" s="4">
        <f>IF(L599="","",IF(OR(Registro2[[#This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599" t="str">
        <f t="shared" si="9"/>
        <v>mar/25</v>
      </c>
      <c r="P599" t="str">
        <f>IF(Registro2[[#This Row],[Data de Pagamento]]&gt;0,TEXT(A599,"mmm/aa"),"")</f>
        <v>mar/25</v>
      </c>
      <c r="T599" s="4">
        <f>IF(Registro2[[#This Row],[Data de Pagamento]]="",0,IF(Registro2[[#This Row],[Conta Financeira]]=base!$A$6,0,Registro2[[#This Row],[Valor Unitário]]))</f>
        <v>30</v>
      </c>
      <c r="U5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599" t="str">
        <f>VLOOKUP(Registro2[[#This Row],[Categoria]],'Plano de Contas'!$V$3:W647,2,0)</f>
        <v>Receitas Serviços</v>
      </c>
      <c r="X59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599" t="s">
        <v>1536</v>
      </c>
    </row>
    <row r="600" spans="1:25" hidden="1">
      <c r="A600" s="1">
        <v>45721.635416666664</v>
      </c>
      <c r="B600" s="1">
        <v>45721.635416666664</v>
      </c>
      <c r="D600" t="s">
        <v>310</v>
      </c>
      <c r="E600" t="s">
        <v>149</v>
      </c>
      <c r="F600" t="s">
        <v>147</v>
      </c>
      <c r="G600" t="s">
        <v>163</v>
      </c>
      <c r="I600" s="4">
        <v>35</v>
      </c>
      <c r="J600" s="4">
        <v>35</v>
      </c>
      <c r="L600" t="s">
        <v>253</v>
      </c>
      <c r="M600" t="s">
        <v>1175</v>
      </c>
      <c r="N600" s="4">
        <f>IF(L600="","",IF(OR(Registro2[[#This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00" t="str">
        <f t="shared" si="9"/>
        <v>mar/25</v>
      </c>
      <c r="P600" t="str">
        <f>IF(Registro2[[#This Row],[Data de Pagamento]]&gt;0,TEXT(A600,"mmm/aa"),"")</f>
        <v>mar/25</v>
      </c>
      <c r="T600" s="4">
        <f>IF(Registro2[[#This Row],[Data de Pagamento]]="",0,IF(Registro2[[#This Row],[Conta Financeira]]=base!$A$6,0,Registro2[[#This Row],[Valor Unitário]]))</f>
        <v>35</v>
      </c>
      <c r="U6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00" t="str">
        <f>VLOOKUP(Registro2[[#This Row],[Categoria]],'Plano de Contas'!$V$3:W648,2,0)</f>
        <v>Receitas Serviços</v>
      </c>
      <c r="X60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600" t="s">
        <v>1536</v>
      </c>
    </row>
    <row r="601" spans="1:25" hidden="1">
      <c r="A601" s="1">
        <v>45721.666666666664</v>
      </c>
      <c r="B601" s="1">
        <v>45721.666666666664</v>
      </c>
      <c r="D601" t="s">
        <v>1</v>
      </c>
      <c r="E601" t="s">
        <v>149</v>
      </c>
      <c r="F601" t="s">
        <v>147</v>
      </c>
      <c r="G601" t="s">
        <v>163</v>
      </c>
      <c r="I601" s="4">
        <v>35</v>
      </c>
      <c r="J601" s="4">
        <v>35</v>
      </c>
      <c r="L601" t="s">
        <v>253</v>
      </c>
      <c r="M601" t="s">
        <v>1177</v>
      </c>
      <c r="N601" s="4">
        <f>IF(L601="","",IF(OR(Registro2[[#This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01" t="str">
        <f t="shared" si="9"/>
        <v>mar/25</v>
      </c>
      <c r="P601" t="str">
        <f>IF(Registro2[[#This Row],[Data de Pagamento]]&gt;0,TEXT(A601,"mmm/aa"),"")</f>
        <v>mar/25</v>
      </c>
      <c r="T601" s="4">
        <f>IF(Registro2[[#This Row],[Data de Pagamento]]="",0,IF(Registro2[[#This Row],[Conta Financeira]]=base!$A$6,0,Registro2[[#This Row],[Valor Unitário]]))</f>
        <v>35</v>
      </c>
      <c r="U6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01" t="str">
        <f>VLOOKUP(Registro2[[#This Row],[Categoria]],'Plano de Contas'!$V$3:W649,2,0)</f>
        <v>Receitas Serviços</v>
      </c>
      <c r="X60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01" t="s">
        <v>1536</v>
      </c>
    </row>
    <row r="602" spans="1:25" hidden="1">
      <c r="A602" s="1">
        <v>45721.6875</v>
      </c>
      <c r="B602" s="1">
        <v>45721.6875</v>
      </c>
      <c r="D602" t="s">
        <v>1</v>
      </c>
      <c r="E602" t="s">
        <v>149</v>
      </c>
      <c r="F602" t="s">
        <v>147</v>
      </c>
      <c r="G602" t="s">
        <v>163</v>
      </c>
      <c r="I602" s="4">
        <v>20</v>
      </c>
      <c r="J602" s="4">
        <v>20</v>
      </c>
      <c r="L602" t="s">
        <v>253</v>
      </c>
      <c r="M602" t="s">
        <v>1179</v>
      </c>
      <c r="N602" s="4">
        <f>IF(L602="","",IF(OR(Registro2[[#This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602" t="str">
        <f t="shared" si="9"/>
        <v>mar/25</v>
      </c>
      <c r="P602" t="str">
        <f>IF(Registro2[[#This Row],[Data de Pagamento]]&gt;0,TEXT(A602,"mmm/aa"),"")</f>
        <v>mar/25</v>
      </c>
      <c r="T602" s="4">
        <f>IF(Registro2[[#This Row],[Data de Pagamento]]="",0,IF(Registro2[[#This Row],[Conta Financeira]]=base!$A$6,0,Registro2[[#This Row],[Valor Unitário]]))</f>
        <v>20</v>
      </c>
      <c r="U6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02" t="str">
        <f>VLOOKUP(Registro2[[#This Row],[Categoria]],'Plano de Contas'!$V$3:W650,2,0)</f>
        <v>Receitas Serviços</v>
      </c>
      <c r="X60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02" t="s">
        <v>1536</v>
      </c>
    </row>
    <row r="603" spans="1:25" hidden="1">
      <c r="A603" s="1">
        <v>45722</v>
      </c>
      <c r="B603" s="1">
        <v>45722</v>
      </c>
      <c r="D603" t="s">
        <v>947</v>
      </c>
      <c r="E603" t="s">
        <v>137</v>
      </c>
      <c r="F603" t="s">
        <v>139</v>
      </c>
      <c r="G603" t="s">
        <v>332</v>
      </c>
      <c r="H603" t="s">
        <v>1252</v>
      </c>
      <c r="I603" s="4">
        <v>19.899999999999999</v>
      </c>
      <c r="J603" s="4"/>
      <c r="N603" s="4" t="str">
        <f>IF(L603="","",IF(OR(Registro2[[#This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603" t="str">
        <f t="shared" si="9"/>
        <v>mar/25</v>
      </c>
      <c r="P603" t="str">
        <f>IF(Registro2[[#This Row],[Data de Pagamento]]&gt;0,TEXT(A603,"mmm/aa"),"")</f>
        <v>mar/25</v>
      </c>
      <c r="T603" s="4">
        <f>IF(Registro2[[#This Row],[Data de Pagamento]]="",0,IF(Registro2[[#This Row],[Conta Financeira]]=base!$A$6,0,Registro2[[#This Row],[Valor Unitário]]))</f>
        <v>19.899999999999999</v>
      </c>
      <c r="U6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03" t="str">
        <f>VLOOKUP(Registro2[[#This Row],[Categoria]],'Plano de Contas'!$V$3:W718,2,0)</f>
        <v>Custos Operacionais</v>
      </c>
      <c r="X6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03" t="s">
        <v>1536</v>
      </c>
    </row>
    <row r="604" spans="1:25" hidden="1">
      <c r="A604" s="1">
        <v>45722</v>
      </c>
      <c r="B604" s="1">
        <v>45722</v>
      </c>
      <c r="D604" t="s">
        <v>947</v>
      </c>
      <c r="E604" t="s">
        <v>137</v>
      </c>
      <c r="F604" t="s">
        <v>138</v>
      </c>
      <c r="G604" t="s">
        <v>339</v>
      </c>
      <c r="H604" t="s">
        <v>1253</v>
      </c>
      <c r="I604" s="4">
        <v>2.9</v>
      </c>
      <c r="J604" s="4"/>
      <c r="N604" s="4" t="str">
        <f>IF(L604="","",IF(OR(Registro2[[#This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604" t="str">
        <f t="shared" si="9"/>
        <v>mar/25</v>
      </c>
      <c r="P604" t="str">
        <f>IF(Registro2[[#This Row],[Data de Pagamento]]&gt;0,TEXT(A604,"mmm/aa"),"")</f>
        <v>mar/25</v>
      </c>
      <c r="T604" s="4">
        <f>IF(Registro2[[#This Row],[Data de Pagamento]]="",0,IF(Registro2[[#This Row],[Conta Financeira]]=base!$A$6,0,Registro2[[#This Row],[Valor Unitário]]))</f>
        <v>2.9</v>
      </c>
      <c r="U6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04" t="str">
        <f>VLOOKUP(Registro2[[#This Row],[Categoria]],'Plano de Contas'!$V$3:W719,2,0)</f>
        <v>Despesas Gerias &amp; Vendas</v>
      </c>
      <c r="X6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04" t="s">
        <v>1536</v>
      </c>
    </row>
    <row r="605" spans="1:25" hidden="1">
      <c r="A605" s="1">
        <v>45722</v>
      </c>
      <c r="B605" s="1">
        <v>45722</v>
      </c>
      <c r="D605" t="s">
        <v>947</v>
      </c>
      <c r="E605" t="s">
        <v>137</v>
      </c>
      <c r="F605" t="s">
        <v>138</v>
      </c>
      <c r="G605" t="s">
        <v>339</v>
      </c>
      <c r="H605" t="s">
        <v>1254</v>
      </c>
      <c r="I605" s="4">
        <v>61.96</v>
      </c>
      <c r="J605" s="4"/>
      <c r="N605" s="4" t="str">
        <f>IF(L605="","",IF(OR(Registro2[[#This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605" t="str">
        <f t="shared" si="9"/>
        <v>mar/25</v>
      </c>
      <c r="P605" t="str">
        <f>IF(Registro2[[#This Row],[Data de Pagamento]]&gt;0,TEXT(A605,"mmm/aa"),"")</f>
        <v>mar/25</v>
      </c>
      <c r="T605" s="4">
        <f>IF(Registro2[[#This Row],[Data de Pagamento]]="",0,IF(Registro2[[#This Row],[Conta Financeira]]=base!$A$6,0,Registro2[[#This Row],[Valor Unitário]]))</f>
        <v>61.96</v>
      </c>
      <c r="U6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05" t="str">
        <f>VLOOKUP(Registro2[[#This Row],[Categoria]],'Plano de Contas'!$V$3:W720,2,0)</f>
        <v>Despesas Gerias &amp; Vendas</v>
      </c>
      <c r="X6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05" t="s">
        <v>1536</v>
      </c>
    </row>
    <row r="606" spans="1:25" hidden="1">
      <c r="A606" s="1">
        <v>45722</v>
      </c>
      <c r="B606" s="1">
        <v>45722</v>
      </c>
      <c r="D606" t="s">
        <v>947</v>
      </c>
      <c r="E606" t="s">
        <v>137</v>
      </c>
      <c r="F606" t="s">
        <v>138</v>
      </c>
      <c r="G606" t="s">
        <v>339</v>
      </c>
      <c r="H606" t="s">
        <v>1255</v>
      </c>
      <c r="I606" s="4">
        <v>11.98</v>
      </c>
      <c r="J606" s="4"/>
      <c r="N606" s="4" t="str">
        <f>IF(L606="","",IF(OR(Registro2[[#This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606" t="str">
        <f t="shared" si="9"/>
        <v>mar/25</v>
      </c>
      <c r="P606" t="str">
        <f>IF(Registro2[[#This Row],[Data de Pagamento]]&gt;0,TEXT(A606,"mmm/aa"),"")</f>
        <v>mar/25</v>
      </c>
      <c r="T606" s="4">
        <f>IF(Registro2[[#This Row],[Data de Pagamento]]="",0,IF(Registro2[[#This Row],[Conta Financeira]]=base!$A$6,0,Registro2[[#This Row],[Valor Unitário]]))</f>
        <v>11.98</v>
      </c>
      <c r="U6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06" t="str">
        <f>VLOOKUP(Registro2[[#This Row],[Categoria]],'Plano de Contas'!$V$3:W721,2,0)</f>
        <v>Despesas Gerias &amp; Vendas</v>
      </c>
      <c r="X60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06" t="s">
        <v>1536</v>
      </c>
    </row>
    <row r="607" spans="1:25" hidden="1">
      <c r="A607" s="1">
        <v>45722</v>
      </c>
      <c r="B607" s="1">
        <v>45722</v>
      </c>
      <c r="D607" t="s">
        <v>947</v>
      </c>
      <c r="E607" t="s">
        <v>137</v>
      </c>
      <c r="F607" t="s">
        <v>138</v>
      </c>
      <c r="G607" t="s">
        <v>339</v>
      </c>
      <c r="H607" t="s">
        <v>1256</v>
      </c>
      <c r="I607" s="4">
        <v>29.96</v>
      </c>
      <c r="J607" s="4"/>
      <c r="N607" s="4" t="str">
        <f>IF(L607="","",IF(OR(Registro2[[#This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607" t="str">
        <f t="shared" si="9"/>
        <v>mar/25</v>
      </c>
      <c r="P607" t="str">
        <f>IF(Registro2[[#This Row],[Data de Pagamento]]&gt;0,TEXT(A607,"mmm/aa"),"")</f>
        <v>mar/25</v>
      </c>
      <c r="T607" s="4">
        <f>IF(Registro2[[#This Row],[Data de Pagamento]]="",0,IF(Registro2[[#This Row],[Conta Financeira]]=base!$A$6,0,Registro2[[#This Row],[Valor Unitário]]))</f>
        <v>29.96</v>
      </c>
      <c r="U6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07" t="str">
        <f>VLOOKUP(Registro2[[#This Row],[Categoria]],'Plano de Contas'!$V$3:W722,2,0)</f>
        <v>Despesas Gerias &amp; Vendas</v>
      </c>
      <c r="X60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07" t="s">
        <v>1536</v>
      </c>
    </row>
    <row r="608" spans="1:25" hidden="1">
      <c r="A608" s="1">
        <v>45722</v>
      </c>
      <c r="B608" s="1">
        <v>45722</v>
      </c>
      <c r="D608" t="s">
        <v>947</v>
      </c>
      <c r="E608" t="s">
        <v>137</v>
      </c>
      <c r="F608" t="s">
        <v>138</v>
      </c>
      <c r="G608" t="s">
        <v>340</v>
      </c>
      <c r="H608" t="s">
        <v>1257</v>
      </c>
      <c r="I608" s="4">
        <v>9.5399999999999991</v>
      </c>
      <c r="J608" s="4"/>
      <c r="N608" s="4" t="str">
        <f>IF(L608="","",IF(OR(Registro2[[#This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608" t="str">
        <f t="shared" si="9"/>
        <v>mar/25</v>
      </c>
      <c r="P608" t="str">
        <f>IF(Registro2[[#This Row],[Data de Pagamento]]&gt;0,TEXT(A608,"mmm/aa"),"")</f>
        <v>mar/25</v>
      </c>
      <c r="T608" s="4">
        <f>IF(Registro2[[#This Row],[Data de Pagamento]]="",0,IF(Registro2[[#This Row],[Conta Financeira]]=base!$A$6,0,Registro2[[#This Row],[Valor Unitário]]))</f>
        <v>9.5399999999999991</v>
      </c>
      <c r="U6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08" t="str">
        <f>VLOOKUP(Registro2[[#This Row],[Categoria]],'Plano de Contas'!$V$3:W723,2,0)</f>
        <v>Despesas Gerias &amp; Vendas</v>
      </c>
      <c r="X60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08" t="s">
        <v>1536</v>
      </c>
    </row>
    <row r="609" spans="1:25" hidden="1">
      <c r="A609" s="1">
        <v>45722</v>
      </c>
      <c r="B609" s="1">
        <v>45722</v>
      </c>
      <c r="D609" t="s">
        <v>947</v>
      </c>
      <c r="E609" t="s">
        <v>137</v>
      </c>
      <c r="F609" t="s">
        <v>138</v>
      </c>
      <c r="G609" t="s">
        <v>340</v>
      </c>
      <c r="H609" t="s">
        <v>1258</v>
      </c>
      <c r="I609" s="4">
        <v>8.48</v>
      </c>
      <c r="J609" s="4"/>
      <c r="N609" s="4" t="str">
        <f>IF(L609="","",IF(OR(Registro2[[#This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609" t="str">
        <f t="shared" si="9"/>
        <v>mar/25</v>
      </c>
      <c r="P609" t="str">
        <f>IF(Registro2[[#This Row],[Data de Pagamento]]&gt;0,TEXT(A609,"mmm/aa"),"")</f>
        <v>mar/25</v>
      </c>
      <c r="T609" s="4">
        <f>IF(Registro2[[#This Row],[Data de Pagamento]]="",0,IF(Registro2[[#This Row],[Conta Financeira]]=base!$A$6,0,Registro2[[#This Row],[Valor Unitário]]))</f>
        <v>8.48</v>
      </c>
      <c r="U6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09" t="str">
        <f>VLOOKUP(Registro2[[#This Row],[Categoria]],'Plano de Contas'!$V$3:W724,2,0)</f>
        <v>Despesas Gerias &amp; Vendas</v>
      </c>
      <c r="X60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09" t="s">
        <v>1536</v>
      </c>
    </row>
    <row r="610" spans="1:25" hidden="1">
      <c r="A610" s="1">
        <v>45722</v>
      </c>
      <c r="B610" s="1">
        <v>45722</v>
      </c>
      <c r="D610" t="s">
        <v>947</v>
      </c>
      <c r="E610" t="s">
        <v>137</v>
      </c>
      <c r="F610" t="s">
        <v>138</v>
      </c>
      <c r="G610" t="s">
        <v>143</v>
      </c>
      <c r="H610" t="s">
        <v>1259</v>
      </c>
      <c r="I610" s="4">
        <v>100</v>
      </c>
      <c r="J610" s="4"/>
      <c r="N610" s="4" t="str">
        <f>IF(L610="","",IF(OR(Registro2[[#This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610" t="str">
        <f t="shared" si="9"/>
        <v>mar/25</v>
      </c>
      <c r="P610" t="str">
        <f>IF(Registro2[[#This Row],[Data de Pagamento]]&gt;0,TEXT(A610,"mmm/aa"),"")</f>
        <v>mar/25</v>
      </c>
      <c r="T610" s="4">
        <f>IF(Registro2[[#This Row],[Data de Pagamento]]="",0,IF(Registro2[[#This Row],[Conta Financeira]]=base!$A$6,0,Registro2[[#This Row],[Valor Unitário]]))</f>
        <v>100</v>
      </c>
      <c r="U6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10" t="str">
        <f>VLOOKUP(Registro2[[#This Row],[Categoria]],'Plano de Contas'!$V$3:W725,2,0)</f>
        <v>Custos Operacionais</v>
      </c>
      <c r="X61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10" t="s">
        <v>1536</v>
      </c>
    </row>
    <row r="611" spans="1:25" hidden="1">
      <c r="A611" s="1">
        <v>45722</v>
      </c>
      <c r="B611" s="1">
        <v>45722</v>
      </c>
      <c r="D611" t="s">
        <v>947</v>
      </c>
      <c r="E611" t="s">
        <v>137</v>
      </c>
      <c r="F611" t="s">
        <v>139</v>
      </c>
      <c r="G611" t="s">
        <v>332</v>
      </c>
      <c r="H611" t="s">
        <v>1260</v>
      </c>
      <c r="I611" s="4">
        <v>36</v>
      </c>
      <c r="J611" s="4"/>
      <c r="N611" s="4" t="str">
        <f>IF(L611="","",IF(OR(Registro2[[#This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611" t="str">
        <f t="shared" si="9"/>
        <v>mar/25</v>
      </c>
      <c r="P611" t="str">
        <f>IF(Registro2[[#This Row],[Data de Pagamento]]&gt;0,TEXT(A611,"mmm/aa"),"")</f>
        <v>mar/25</v>
      </c>
      <c r="T611" s="4">
        <f>IF(Registro2[[#This Row],[Data de Pagamento]]="",0,IF(Registro2[[#This Row],[Conta Financeira]]=base!$A$6,0,Registro2[[#This Row],[Valor Unitário]]))</f>
        <v>36</v>
      </c>
      <c r="U6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11" t="str">
        <f>VLOOKUP(Registro2[[#This Row],[Categoria]],'Plano de Contas'!$V$3:W726,2,0)</f>
        <v>Custos Operacionais</v>
      </c>
      <c r="X6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11" t="s">
        <v>1536</v>
      </c>
    </row>
    <row r="612" spans="1:25" hidden="1">
      <c r="A612" s="1">
        <v>45722.427083333336</v>
      </c>
      <c r="B612" s="1">
        <v>45722.427083333336</v>
      </c>
      <c r="D612" t="s">
        <v>1</v>
      </c>
      <c r="E612" t="s">
        <v>149</v>
      </c>
      <c r="F612" t="s">
        <v>147</v>
      </c>
      <c r="G612" t="s">
        <v>163</v>
      </c>
      <c r="I612" s="4">
        <v>35</v>
      </c>
      <c r="J612" s="4">
        <v>35</v>
      </c>
      <c r="L612" t="s">
        <v>252</v>
      </c>
      <c r="M612" t="s">
        <v>364</v>
      </c>
      <c r="N612" s="4">
        <f>IF(L612="","",IF(OR(Registro2[[#This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12" t="str">
        <f t="shared" si="9"/>
        <v>mar/25</v>
      </c>
      <c r="P612" t="str">
        <f>IF(Registro2[[#This Row],[Data de Pagamento]]&gt;0,TEXT(A612,"mmm/aa"),"")</f>
        <v>mar/25</v>
      </c>
      <c r="T612" s="4">
        <f>IF(Registro2[[#This Row],[Data de Pagamento]]="",0,IF(Registro2[[#This Row],[Conta Financeira]]=base!$A$6,0,Registro2[[#This Row],[Valor Unitário]]))</f>
        <v>35</v>
      </c>
      <c r="U6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12" t="str">
        <f>VLOOKUP(Registro2[[#This Row],[Categoria]],'Plano de Contas'!$V$3:W651,2,0)</f>
        <v>Receitas Serviços</v>
      </c>
      <c r="X61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12" t="s">
        <v>1536</v>
      </c>
    </row>
    <row r="613" spans="1:25" hidden="1">
      <c r="A613" s="1">
        <v>45722.4375</v>
      </c>
      <c r="B613" s="1">
        <v>45722.4375</v>
      </c>
      <c r="D613" t="s">
        <v>1</v>
      </c>
      <c r="E613" t="s">
        <v>149</v>
      </c>
      <c r="F613" t="s">
        <v>152</v>
      </c>
      <c r="G613" t="s">
        <v>353</v>
      </c>
      <c r="I613" s="4">
        <v>50</v>
      </c>
      <c r="J613" s="4">
        <v>50</v>
      </c>
      <c r="L613" t="s">
        <v>264</v>
      </c>
      <c r="M613" t="s">
        <v>1184</v>
      </c>
      <c r="N613" s="4">
        <f>IF(L613="","",IF(OR(Registro2[[#This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613" t="str">
        <f t="shared" si="9"/>
        <v>mar/25</v>
      </c>
      <c r="P613" t="str">
        <f>IF(Registro2[[#This Row],[Data de Pagamento]]&gt;0,TEXT(A613,"mmm/aa"),"")</f>
        <v>mar/25</v>
      </c>
      <c r="T613" s="4">
        <f>IF(Registro2[[#This Row],[Data de Pagamento]]="",0,IF(Registro2[[#This Row],[Conta Financeira]]=base!$A$6,0,Registro2[[#This Row],[Valor Unitário]]))</f>
        <v>50</v>
      </c>
      <c r="U6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13" t="str">
        <f>VLOOKUP(Registro2[[#This Row],[Categoria]],'Plano de Contas'!$V$3:W655,2,0)</f>
        <v>Receitas Serviços</v>
      </c>
      <c r="X61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13" t="s">
        <v>1536</v>
      </c>
    </row>
    <row r="614" spans="1:25" hidden="1">
      <c r="A614" s="1">
        <v>45722.4375</v>
      </c>
      <c r="B614" s="1">
        <v>45722.4375</v>
      </c>
      <c r="D614" t="s">
        <v>1</v>
      </c>
      <c r="E614" t="s">
        <v>149</v>
      </c>
      <c r="F614" t="s">
        <v>147</v>
      </c>
      <c r="G614" t="s">
        <v>163</v>
      </c>
      <c r="I614" s="4">
        <v>35</v>
      </c>
      <c r="J614" s="4">
        <v>35</v>
      </c>
      <c r="L614" t="s">
        <v>253</v>
      </c>
      <c r="M614" t="s">
        <v>95</v>
      </c>
      <c r="N614" s="4">
        <f>IF(L614="","",IF(OR(Registro2[[#This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14" t="str">
        <f t="shared" si="9"/>
        <v>mar/25</v>
      </c>
      <c r="P614" t="str">
        <f>IF(Registro2[[#This Row],[Data de Pagamento]]&gt;0,TEXT(A614,"mmm/aa"),"")</f>
        <v>mar/25</v>
      </c>
      <c r="T614" s="4">
        <f>IF(Registro2[[#This Row],[Data de Pagamento]]="",0,IF(Registro2[[#This Row],[Conta Financeira]]=base!$A$6,0,Registro2[[#This Row],[Valor Unitário]]))</f>
        <v>35</v>
      </c>
      <c r="U6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14" t="str">
        <f>VLOOKUP(Registro2[[#This Row],[Categoria]],'Plano de Contas'!$V$3:W660,2,0)</f>
        <v>Receitas Serviços</v>
      </c>
      <c r="X61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14" t="s">
        <v>1536</v>
      </c>
    </row>
    <row r="615" spans="1:25" hidden="1">
      <c r="A615" s="1">
        <v>45722.4375</v>
      </c>
      <c r="B615" s="1">
        <v>45722.4375</v>
      </c>
      <c r="D615" t="s">
        <v>1</v>
      </c>
      <c r="E615" t="s">
        <v>149</v>
      </c>
      <c r="F615" t="s">
        <v>147</v>
      </c>
      <c r="G615" t="s">
        <v>163</v>
      </c>
      <c r="I615" s="4">
        <v>30</v>
      </c>
      <c r="J615" s="4"/>
      <c r="L615" t="s">
        <v>252</v>
      </c>
      <c r="M615" t="s">
        <v>95</v>
      </c>
      <c r="N615" s="4">
        <f>IF(L615="","",IF(OR(Registro2[[#This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615" t="str">
        <f t="shared" si="9"/>
        <v>mar/25</v>
      </c>
      <c r="P615" t="str">
        <f>IF(Registro2[[#This Row],[Data de Pagamento]]&gt;0,TEXT(A615,"mmm/aa"),"")</f>
        <v>mar/25</v>
      </c>
      <c r="T615" s="4">
        <f>IF(Registro2[[#This Row],[Data de Pagamento]]="",0,IF(Registro2[[#This Row],[Conta Financeira]]=base!$A$6,0,Registro2[[#This Row],[Valor Unitário]]))</f>
        <v>30</v>
      </c>
      <c r="U6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615" t="str">
        <f>VLOOKUP(Registro2[[#This Row],[Categoria]],'Plano de Contas'!$V$3:W661,2,0)</f>
        <v>Receitas Serviços</v>
      </c>
      <c r="X61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15" t="s">
        <v>1536</v>
      </c>
    </row>
    <row r="616" spans="1:25" hidden="1">
      <c r="A616" s="1">
        <v>45722.458333333336</v>
      </c>
      <c r="B616" s="1">
        <v>45722.458333333336</v>
      </c>
      <c r="D616" t="s">
        <v>1</v>
      </c>
      <c r="E616" t="s">
        <v>149</v>
      </c>
      <c r="F616" t="s">
        <v>152</v>
      </c>
      <c r="G616" t="s">
        <v>353</v>
      </c>
      <c r="I616" s="4">
        <v>60</v>
      </c>
      <c r="J616" s="4">
        <v>60</v>
      </c>
      <c r="L616" t="s">
        <v>252</v>
      </c>
      <c r="M616" t="s">
        <v>34</v>
      </c>
      <c r="N616" s="4">
        <f>IF(L616="","",IF(OR(Registro2[[#This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616" t="str">
        <f t="shared" si="9"/>
        <v>mar/25</v>
      </c>
      <c r="P616" t="str">
        <f>IF(Registro2[[#This Row],[Data de Pagamento]]&gt;0,TEXT(A616,"mmm/aa"),"")</f>
        <v>mar/25</v>
      </c>
      <c r="T616" s="4">
        <f>IF(Registro2[[#This Row],[Data de Pagamento]]="",0,IF(Registro2[[#This Row],[Conta Financeira]]=base!$A$6,0,Registro2[[#This Row],[Valor Unitário]]))</f>
        <v>60</v>
      </c>
      <c r="U6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16" t="str">
        <f>VLOOKUP(Registro2[[#This Row],[Categoria]],'Plano de Contas'!$V$3:W654,2,0)</f>
        <v>Receitas Serviços</v>
      </c>
      <c r="X61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16" t="s">
        <v>1536</v>
      </c>
    </row>
    <row r="617" spans="1:25" hidden="1">
      <c r="A617" s="1">
        <v>45722.475694444445</v>
      </c>
      <c r="B617" s="1">
        <v>45722.475694444445</v>
      </c>
      <c r="D617" t="s">
        <v>1</v>
      </c>
      <c r="E617" t="s">
        <v>149</v>
      </c>
      <c r="F617" t="s">
        <v>147</v>
      </c>
      <c r="G617" t="s">
        <v>163</v>
      </c>
      <c r="I617" s="4">
        <v>35</v>
      </c>
      <c r="J617" s="4">
        <v>35</v>
      </c>
      <c r="L617" t="s">
        <v>264</v>
      </c>
      <c r="M617" t="s">
        <v>470</v>
      </c>
      <c r="N617" s="4">
        <f>IF(L617="","",IF(OR(Registro2[[#This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17" t="str">
        <f t="shared" si="9"/>
        <v>mar/25</v>
      </c>
      <c r="P617" t="str">
        <f>IF(Registro2[[#This Row],[Data de Pagamento]]&gt;0,TEXT(A617,"mmm/aa"),"")</f>
        <v>mar/25</v>
      </c>
      <c r="T617" s="4">
        <f>IF(Registro2[[#This Row],[Data de Pagamento]]="",0,IF(Registro2[[#This Row],[Conta Financeira]]=base!$A$6,0,Registro2[[#This Row],[Valor Unitário]]))</f>
        <v>35</v>
      </c>
      <c r="U6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17" t="str">
        <f>VLOOKUP(Registro2[[#This Row],[Categoria]],'Plano de Contas'!$V$3:W656,2,0)</f>
        <v>Receitas Serviços</v>
      </c>
      <c r="X61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17" t="s">
        <v>1536</v>
      </c>
    </row>
    <row r="618" spans="1:25" hidden="1">
      <c r="A618" s="1">
        <v>45722.486111111109</v>
      </c>
      <c r="B618" s="1">
        <v>45722.486111111109</v>
      </c>
      <c r="D618" t="s">
        <v>1</v>
      </c>
      <c r="E618" t="s">
        <v>149</v>
      </c>
      <c r="F618" t="s">
        <v>147</v>
      </c>
      <c r="G618" t="s">
        <v>163</v>
      </c>
      <c r="I618" s="4">
        <v>35</v>
      </c>
      <c r="J618" s="4">
        <v>60</v>
      </c>
      <c r="L618" t="s">
        <v>253</v>
      </c>
      <c r="M618" t="s">
        <v>45</v>
      </c>
      <c r="N618" s="4">
        <f>IF(L618="","",IF(OR(Registro2[[#This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18" t="str">
        <f t="shared" si="9"/>
        <v>mar/25</v>
      </c>
      <c r="P618" t="str">
        <f>IF(Registro2[[#This Row],[Data de Pagamento]]&gt;0,TEXT(A618,"mmm/aa"),"")</f>
        <v>mar/25</v>
      </c>
      <c r="T618" s="4">
        <f>IF(Registro2[[#This Row],[Data de Pagamento]]="",0,IF(Registro2[[#This Row],[Conta Financeira]]=base!$A$6,0,Registro2[[#This Row],[Valor Unitário]]))</f>
        <v>35</v>
      </c>
      <c r="U6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18" t="str">
        <f>VLOOKUP(Registro2[[#This Row],[Categoria]],'Plano de Contas'!$V$3:W657,2,0)</f>
        <v>Receitas Serviços</v>
      </c>
      <c r="X6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18" t="s">
        <v>1536</v>
      </c>
    </row>
    <row r="619" spans="1:25" hidden="1">
      <c r="A619" s="1">
        <v>45722.486111111109</v>
      </c>
      <c r="B619" s="1">
        <v>45722.486111111109</v>
      </c>
      <c r="D619" t="s">
        <v>1</v>
      </c>
      <c r="E619" t="s">
        <v>149</v>
      </c>
      <c r="F619" t="s">
        <v>147</v>
      </c>
      <c r="G619" t="s">
        <v>167</v>
      </c>
      <c r="I619" s="4">
        <v>10</v>
      </c>
      <c r="J619" s="4"/>
      <c r="L619" t="s">
        <v>253</v>
      </c>
      <c r="M619" t="s">
        <v>45</v>
      </c>
      <c r="N619" s="4">
        <f>IF(L619="","",IF(OR(Registro2[[#This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619" t="str">
        <f t="shared" si="9"/>
        <v>mar/25</v>
      </c>
      <c r="P619" t="str">
        <f>IF(Registro2[[#This Row],[Data de Pagamento]]&gt;0,TEXT(A619,"mmm/aa"),"")</f>
        <v>mar/25</v>
      </c>
      <c r="T619" s="4">
        <f>IF(Registro2[[#This Row],[Data de Pagamento]]="",0,IF(Registro2[[#This Row],[Conta Financeira]]=base!$A$6,0,Registro2[[#This Row],[Valor Unitário]]))</f>
        <v>10</v>
      </c>
      <c r="U6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19" t="str">
        <f>VLOOKUP(Registro2[[#This Row],[Categoria]],'Plano de Contas'!$V$3:W658,2,0)</f>
        <v>Receitas Serviços</v>
      </c>
      <c r="X61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19" t="s">
        <v>1536</v>
      </c>
    </row>
    <row r="620" spans="1:25" hidden="1">
      <c r="A620" s="1">
        <v>45722.486111111109</v>
      </c>
      <c r="B620" s="1">
        <v>45722.486111111109</v>
      </c>
      <c r="D620" t="s">
        <v>1</v>
      </c>
      <c r="E620" t="s">
        <v>149</v>
      </c>
      <c r="F620" t="s">
        <v>147</v>
      </c>
      <c r="G620" t="s">
        <v>1187</v>
      </c>
      <c r="I620" s="4">
        <v>15</v>
      </c>
      <c r="J620" s="4"/>
      <c r="L620" t="s">
        <v>253</v>
      </c>
      <c r="M620" t="s">
        <v>45</v>
      </c>
      <c r="N620" s="4">
        <f>IF(L620="","",IF(OR(Registro2[[#This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620" t="str">
        <f t="shared" si="9"/>
        <v>mar/25</v>
      </c>
      <c r="P620" t="str">
        <f>IF(Registro2[[#This Row],[Data de Pagamento]]&gt;0,TEXT(A620,"mmm/aa"),"")</f>
        <v>mar/25</v>
      </c>
      <c r="T620" s="4">
        <f>IF(Registro2[[#This Row],[Data de Pagamento]]="",0,IF(Registro2[[#This Row],[Conta Financeira]]=base!$A$6,0,Registro2[[#This Row],[Valor Unitário]]))</f>
        <v>15</v>
      </c>
      <c r="U6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20" t="str">
        <f>VLOOKUP(Registro2[[#This Row],[Categoria]],'Plano de Contas'!$V$3:W659,2,0)</f>
        <v>Receitas Serviços</v>
      </c>
      <c r="X62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20" t="s">
        <v>1536</v>
      </c>
    </row>
    <row r="621" spans="1:25" hidden="1">
      <c r="A621" s="1">
        <v>45722.545138888891</v>
      </c>
      <c r="B621" s="1">
        <v>45722.545138888891</v>
      </c>
      <c r="D621" t="s">
        <v>354</v>
      </c>
      <c r="E621" t="s">
        <v>149</v>
      </c>
      <c r="F621" t="s">
        <v>152</v>
      </c>
      <c r="G621" t="s">
        <v>353</v>
      </c>
      <c r="I621" s="4">
        <v>60</v>
      </c>
      <c r="J621" s="4">
        <v>95</v>
      </c>
      <c r="L621" t="s">
        <v>253</v>
      </c>
      <c r="M621" t="s">
        <v>1191</v>
      </c>
      <c r="N621" s="4">
        <f>IF(L621="","",IF(OR(Registro2[[#This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621" t="str">
        <f t="shared" si="9"/>
        <v>mar/25</v>
      </c>
      <c r="P621" t="str">
        <f>IF(Registro2[[#This Row],[Data de Pagamento]]&gt;0,TEXT(A621,"mmm/aa"),"")</f>
        <v>mar/25</v>
      </c>
      <c r="T621" s="4">
        <f>IF(Registro2[[#This Row],[Data de Pagamento]]="",0,IF(Registro2[[#This Row],[Conta Financeira]]=base!$A$6,0,Registro2[[#This Row],[Valor Unitário]]))</f>
        <v>60</v>
      </c>
      <c r="U6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21" t="str">
        <f>VLOOKUP(Registro2[[#This Row],[Categoria]],'Plano de Contas'!$V$3:W663,2,0)</f>
        <v>Receitas Serviços</v>
      </c>
      <c r="X62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  <c r="Y621" t="s">
        <v>1536</v>
      </c>
    </row>
    <row r="622" spans="1:25" hidden="1">
      <c r="A622" s="1">
        <v>45722.545138888891</v>
      </c>
      <c r="B622" s="1">
        <v>45722.545138888891</v>
      </c>
      <c r="D622" t="s">
        <v>354</v>
      </c>
      <c r="E622" t="s">
        <v>149</v>
      </c>
      <c r="F622" t="s">
        <v>147</v>
      </c>
      <c r="G622" t="s">
        <v>163</v>
      </c>
      <c r="I622" s="4">
        <v>35</v>
      </c>
      <c r="J622" s="4"/>
      <c r="L622" t="s">
        <v>252</v>
      </c>
      <c r="M622" t="s">
        <v>1191</v>
      </c>
      <c r="N622" s="4">
        <f>IF(L622="","",IF(OR(Registro2[[#This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22" t="str">
        <f t="shared" si="9"/>
        <v>mar/25</v>
      </c>
      <c r="P622" t="str">
        <f>IF(Registro2[[#This Row],[Data de Pagamento]]&gt;0,TEXT(A622,"mmm/aa"),"")</f>
        <v>mar/25</v>
      </c>
      <c r="T622" s="4">
        <f>IF(Registro2[[#This Row],[Data de Pagamento]]="",0,IF(Registro2[[#This Row],[Conta Financeira]]=base!$A$6,0,Registro2[[#This Row],[Valor Unitário]]))</f>
        <v>35</v>
      </c>
      <c r="U6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22" t="str">
        <f>VLOOKUP(Registro2[[#This Row],[Categoria]],'Plano de Contas'!$V$3:W664,2,0)</f>
        <v>Receitas Serviços</v>
      </c>
      <c r="X62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622" t="s">
        <v>1536</v>
      </c>
    </row>
    <row r="623" spans="1:25" hidden="1">
      <c r="A623" s="1">
        <v>45722.555555555555</v>
      </c>
      <c r="B623" s="1">
        <v>45722.555555555555</v>
      </c>
      <c r="D623" t="s">
        <v>1</v>
      </c>
      <c r="E623" t="s">
        <v>149</v>
      </c>
      <c r="F623" t="s">
        <v>152</v>
      </c>
      <c r="G623" t="s">
        <v>306</v>
      </c>
      <c r="I623" s="4">
        <v>55</v>
      </c>
      <c r="J623" s="4">
        <v>75</v>
      </c>
      <c r="L623" t="s">
        <v>264</v>
      </c>
      <c r="M623" t="s">
        <v>418</v>
      </c>
      <c r="N623" s="4">
        <f>IF(L623="","",IF(OR(Registro2[[#This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623" t="str">
        <f t="shared" si="9"/>
        <v>mar/25</v>
      </c>
      <c r="P623" t="str">
        <f>IF(Registro2[[#This Row],[Data de Pagamento]]&gt;0,TEXT(A623,"mmm/aa"),"")</f>
        <v>mar/25</v>
      </c>
      <c r="T623" s="4">
        <f>IF(Registro2[[#This Row],[Data de Pagamento]]="",0,IF(Registro2[[#This Row],[Conta Financeira]]=base!$A$6,0,Registro2[[#This Row],[Valor Unitário]]))</f>
        <v>55</v>
      </c>
      <c r="U6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23" t="str">
        <f>VLOOKUP(Registro2[[#This Row],[Categoria]],'Plano de Contas'!$V$3:W666,2,0)</f>
        <v>Receitas Serviços</v>
      </c>
      <c r="X62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23" t="s">
        <v>1536</v>
      </c>
    </row>
    <row r="624" spans="1:25" hidden="1">
      <c r="A624" s="1">
        <v>45722.555555555555</v>
      </c>
      <c r="B624" s="1">
        <v>45722.555555555555</v>
      </c>
      <c r="D624" t="s">
        <v>1</v>
      </c>
      <c r="E624" t="s">
        <v>149</v>
      </c>
      <c r="F624" t="s">
        <v>147</v>
      </c>
      <c r="G624" t="s">
        <v>1046</v>
      </c>
      <c r="I624" s="4">
        <v>20</v>
      </c>
      <c r="J624" s="4"/>
      <c r="L624" t="s">
        <v>264</v>
      </c>
      <c r="M624" t="s">
        <v>418</v>
      </c>
      <c r="N624" s="4">
        <f>IF(L624="","",IF(OR(Registro2[[#This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624" t="str">
        <f t="shared" si="9"/>
        <v>mar/25</v>
      </c>
      <c r="P624" t="str">
        <f>IF(Registro2[[#This Row],[Data de Pagamento]]&gt;0,TEXT(A624,"mmm/aa"),"")</f>
        <v>mar/25</v>
      </c>
      <c r="T624" s="4">
        <f>IF(Registro2[[#This Row],[Data de Pagamento]]="",0,IF(Registro2[[#This Row],[Conta Financeira]]=base!$A$6,0,Registro2[[#This Row],[Valor Unitário]]))</f>
        <v>20</v>
      </c>
      <c r="U6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24" t="str">
        <f>VLOOKUP(Registro2[[#This Row],[Categoria]],'Plano de Contas'!$V$3:W667,2,0)</f>
        <v>Receitas Serviços</v>
      </c>
      <c r="X62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24" t="s">
        <v>1536</v>
      </c>
    </row>
    <row r="625" spans="1:25" hidden="1">
      <c r="A625" s="1">
        <v>45722.5625</v>
      </c>
      <c r="B625" s="1">
        <v>45722.5625</v>
      </c>
      <c r="D625" t="s">
        <v>354</v>
      </c>
      <c r="E625" t="s">
        <v>149</v>
      </c>
      <c r="F625" t="s">
        <v>147</v>
      </c>
      <c r="G625" t="s">
        <v>163</v>
      </c>
      <c r="I625" s="4">
        <v>35</v>
      </c>
      <c r="J625" s="4">
        <v>35</v>
      </c>
      <c r="L625" t="s">
        <v>253</v>
      </c>
      <c r="M625" t="s">
        <v>107</v>
      </c>
      <c r="N625" s="4">
        <f>IF(L625="","",IF(OR(Registro2[[#This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25" t="str">
        <f t="shared" si="9"/>
        <v>mar/25</v>
      </c>
      <c r="P625" t="str">
        <f>IF(Registro2[[#This Row],[Data de Pagamento]]&gt;0,TEXT(A625,"mmm/aa"),"")</f>
        <v>mar/25</v>
      </c>
      <c r="T625" s="4">
        <f>IF(Registro2[[#This Row],[Data de Pagamento]]="",0,IF(Registro2[[#This Row],[Conta Financeira]]=base!$A$6,0,Registro2[[#This Row],[Valor Unitário]]))</f>
        <v>35</v>
      </c>
      <c r="U6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25" t="str">
        <f>VLOOKUP(Registro2[[#This Row],[Categoria]],'Plano de Contas'!$V$3:W662,2,0)</f>
        <v>Receitas Serviços</v>
      </c>
      <c r="X62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625" t="s">
        <v>1536</v>
      </c>
    </row>
    <row r="626" spans="1:25" hidden="1">
      <c r="A626" s="1">
        <v>45722.583333333336</v>
      </c>
      <c r="B626" s="1">
        <v>45722.583333333336</v>
      </c>
      <c r="D626" t="s">
        <v>882</v>
      </c>
      <c r="E626" t="s">
        <v>149</v>
      </c>
      <c r="F626" t="s">
        <v>147</v>
      </c>
      <c r="G626" t="s">
        <v>163</v>
      </c>
      <c r="I626" s="4">
        <v>35</v>
      </c>
      <c r="J626" s="4">
        <v>35</v>
      </c>
      <c r="L626" t="s">
        <v>253</v>
      </c>
      <c r="M626" t="s">
        <v>278</v>
      </c>
      <c r="N626" s="4">
        <f>IF(L626="","",IF(OR(Registro2[[#This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26" t="str">
        <f t="shared" si="9"/>
        <v>mar/25</v>
      </c>
      <c r="P626" t="str">
        <f>IF(Registro2[[#This Row],[Data de Pagamento]]&gt;0,TEXT(A626,"mmm/aa"),"")</f>
        <v>mar/25</v>
      </c>
      <c r="T626" s="4">
        <f>IF(Registro2[[#This Row],[Data de Pagamento]]="",0,IF(Registro2[[#This Row],[Conta Financeira]]=base!$A$6,0,Registro2[[#This Row],[Valor Unitário]]))</f>
        <v>35</v>
      </c>
      <c r="U6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26" t="str">
        <f>VLOOKUP(Registro2[[#This Row],[Categoria]],'Plano de Contas'!$V$3:W668,2,0)</f>
        <v>Receitas Serviços</v>
      </c>
      <c r="X62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26" t="s">
        <v>1536</v>
      </c>
    </row>
    <row r="627" spans="1:25" hidden="1">
      <c r="A627" s="1">
        <v>45722.697916666664</v>
      </c>
      <c r="B627" s="1">
        <v>45722.697916666664</v>
      </c>
      <c r="D627" t="s">
        <v>2</v>
      </c>
      <c r="E627" t="s">
        <v>149</v>
      </c>
      <c r="F627" t="s">
        <v>147</v>
      </c>
      <c r="G627" t="s">
        <v>163</v>
      </c>
      <c r="I627" s="4">
        <v>35</v>
      </c>
      <c r="J627" s="4">
        <v>35</v>
      </c>
      <c r="L627" t="s">
        <v>264</v>
      </c>
      <c r="M627" t="s">
        <v>504</v>
      </c>
      <c r="N627" s="4">
        <f>IF(L627="","",IF(OR(Registro2[[#This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27" t="str">
        <f t="shared" si="9"/>
        <v>mar/25</v>
      </c>
      <c r="P627" t="str">
        <f>IF(Registro2[[#This Row],[Data de Pagamento]]&gt;0,TEXT(A627,"mmm/aa"),"")</f>
        <v>mar/25</v>
      </c>
      <c r="T627" s="4">
        <f>IF(Registro2[[#This Row],[Data de Pagamento]]="",0,IF(Registro2[[#This Row],[Conta Financeira]]=base!$A$6,0,Registro2[[#This Row],[Valor Unitário]]))</f>
        <v>35</v>
      </c>
      <c r="U6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27" t="str">
        <f>VLOOKUP(Registro2[[#This Row],[Categoria]],'Plano de Contas'!$V$3:W670,2,0)</f>
        <v>Receitas Serviços</v>
      </c>
      <c r="X6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27" t="s">
        <v>1536</v>
      </c>
    </row>
    <row r="628" spans="1:25" hidden="1">
      <c r="A628" s="1">
        <v>45722.697916666664</v>
      </c>
      <c r="B628" s="1">
        <v>45722.697916666664</v>
      </c>
      <c r="D628" t="s">
        <v>1</v>
      </c>
      <c r="E628" t="s">
        <v>149</v>
      </c>
      <c r="F628" t="s">
        <v>152</v>
      </c>
      <c r="G628" t="s">
        <v>353</v>
      </c>
      <c r="I628" s="4">
        <v>60</v>
      </c>
      <c r="J628" s="4">
        <v>60</v>
      </c>
      <c r="L628" t="s">
        <v>253</v>
      </c>
      <c r="M628" t="s">
        <v>1198</v>
      </c>
      <c r="N628" s="4">
        <f>IF(L628="","",IF(OR(Registro2[[#This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628" t="str">
        <f t="shared" si="9"/>
        <v>mar/25</v>
      </c>
      <c r="P628" t="str">
        <f>IF(Registro2[[#This Row],[Data de Pagamento]]&gt;0,TEXT(A628,"mmm/aa"),"")</f>
        <v>mar/25</v>
      </c>
      <c r="T628" s="4">
        <f>IF(Registro2[[#This Row],[Data de Pagamento]]="",0,IF(Registro2[[#This Row],[Conta Financeira]]=base!$A$6,0,Registro2[[#This Row],[Valor Unitário]]))</f>
        <v>60</v>
      </c>
      <c r="U6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28" t="str">
        <f>VLOOKUP(Registro2[[#This Row],[Categoria]],'Plano de Contas'!$V$3:W671,2,0)</f>
        <v>Receitas Serviços</v>
      </c>
      <c r="X62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28" t="s">
        <v>1536</v>
      </c>
    </row>
    <row r="629" spans="1:25" hidden="1">
      <c r="A629" s="1">
        <v>45722.708333333336</v>
      </c>
      <c r="B629" s="1">
        <v>45722.708333333336</v>
      </c>
      <c r="D629" t="s">
        <v>1</v>
      </c>
      <c r="E629" t="s">
        <v>149</v>
      </c>
      <c r="F629" t="s">
        <v>147</v>
      </c>
      <c r="G629" t="s">
        <v>163</v>
      </c>
      <c r="I629" s="4">
        <v>35</v>
      </c>
      <c r="J629" s="4">
        <v>35</v>
      </c>
      <c r="L629" t="s">
        <v>252</v>
      </c>
      <c r="M629" t="s">
        <v>360</v>
      </c>
      <c r="N629" s="4">
        <f>IF(L629="","",IF(OR(Registro2[[#This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29" t="str">
        <f t="shared" si="9"/>
        <v>mar/25</v>
      </c>
      <c r="P629" t="str">
        <f>IF(Registro2[[#This Row],[Data de Pagamento]]&gt;0,TEXT(A629,"mmm/aa"),"")</f>
        <v>mar/25</v>
      </c>
      <c r="T629" s="4">
        <f>IF(Registro2[[#This Row],[Data de Pagamento]]="",0,IF(Registro2[[#This Row],[Conta Financeira]]=base!$A$6,0,Registro2[[#This Row],[Valor Unitário]]))</f>
        <v>35</v>
      </c>
      <c r="U6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29" t="str">
        <f>VLOOKUP(Registro2[[#This Row],[Categoria]],'Plano de Contas'!$V$3:W672,2,0)</f>
        <v>Receitas Serviços</v>
      </c>
      <c r="X6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29" t="s">
        <v>1536</v>
      </c>
    </row>
    <row r="630" spans="1:25" hidden="1">
      <c r="A630" s="1">
        <v>45722.729166666664</v>
      </c>
      <c r="B630" s="1">
        <v>45722.729166666664</v>
      </c>
      <c r="D630" t="s">
        <v>1</v>
      </c>
      <c r="E630" t="s">
        <v>149</v>
      </c>
      <c r="F630" t="s">
        <v>147</v>
      </c>
      <c r="G630" t="s">
        <v>163</v>
      </c>
      <c r="I630" s="4">
        <v>35</v>
      </c>
      <c r="J630" s="4">
        <v>50</v>
      </c>
      <c r="L630" t="s">
        <v>264</v>
      </c>
      <c r="M630" t="s">
        <v>496</v>
      </c>
      <c r="N630" s="4">
        <f>IF(L630="","",IF(OR(Registro2[[#This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30" t="str">
        <f t="shared" si="9"/>
        <v>mar/25</v>
      </c>
      <c r="P630" t="str">
        <f>IF(Registro2[[#This Row],[Data de Pagamento]]&gt;0,TEXT(A630,"mmm/aa"),"")</f>
        <v>mar/25</v>
      </c>
      <c r="T630" s="4">
        <f>IF(Registro2[[#This Row],[Data de Pagamento]]="",0,IF(Registro2[[#This Row],[Conta Financeira]]=base!$A$6,0,Registro2[[#This Row],[Valor Unitário]]))</f>
        <v>35</v>
      </c>
      <c r="U6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30" t="str">
        <f>VLOOKUP(Registro2[[#This Row],[Categoria]],'Plano de Contas'!$V$3:W675,2,0)</f>
        <v>Receitas Serviços</v>
      </c>
      <c r="X63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30" t="s">
        <v>1536</v>
      </c>
    </row>
    <row r="631" spans="1:25" hidden="1">
      <c r="A631" s="1">
        <v>45722.729166666664</v>
      </c>
      <c r="B631" s="1">
        <v>45722.729166666664</v>
      </c>
      <c r="D631" t="s">
        <v>1</v>
      </c>
      <c r="E631" t="s">
        <v>149</v>
      </c>
      <c r="F631" t="s">
        <v>147</v>
      </c>
      <c r="G631" t="s">
        <v>1187</v>
      </c>
      <c r="I631" s="4">
        <v>15</v>
      </c>
      <c r="J631" s="4"/>
      <c r="L631" t="s">
        <v>264</v>
      </c>
      <c r="M631" t="s">
        <v>496</v>
      </c>
      <c r="N631" s="4">
        <f>IF(L631="","",IF(OR(Registro2[[#This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631" t="str">
        <f t="shared" si="9"/>
        <v>mar/25</v>
      </c>
      <c r="P631" t="str">
        <f>IF(Registro2[[#This Row],[Data de Pagamento]]&gt;0,TEXT(A631,"mmm/aa"),"")</f>
        <v>mar/25</v>
      </c>
      <c r="T631" s="4">
        <f>IF(Registro2[[#This Row],[Data de Pagamento]]="",0,IF(Registro2[[#This Row],[Conta Financeira]]=base!$A$6,0,Registro2[[#This Row],[Valor Unitário]]))</f>
        <v>15</v>
      </c>
      <c r="U6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31" t="str">
        <f>VLOOKUP(Registro2[[#This Row],[Categoria]],'Plano de Contas'!$V$3:W676,2,0)</f>
        <v>Receitas Serviços</v>
      </c>
      <c r="X63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31" t="s">
        <v>1536</v>
      </c>
    </row>
    <row r="632" spans="1:25" hidden="1">
      <c r="A632" s="1">
        <v>45722.739583333336</v>
      </c>
      <c r="B632" s="1">
        <v>45722.739583333336</v>
      </c>
      <c r="D632" t="s">
        <v>310</v>
      </c>
      <c r="E632" t="s">
        <v>149</v>
      </c>
      <c r="F632" t="s">
        <v>147</v>
      </c>
      <c r="G632" t="s">
        <v>163</v>
      </c>
      <c r="I632" s="4">
        <v>35</v>
      </c>
      <c r="J632" s="4">
        <v>45</v>
      </c>
      <c r="L632" t="s">
        <v>252</v>
      </c>
      <c r="M632" t="s">
        <v>1201</v>
      </c>
      <c r="N632" s="4">
        <f>IF(L632="","",IF(OR(Registro2[[#This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32" t="str">
        <f t="shared" si="9"/>
        <v>mar/25</v>
      </c>
      <c r="P632" t="str">
        <f>IF(Registro2[[#This Row],[Data de Pagamento]]&gt;0,TEXT(A632,"mmm/aa"),"")</f>
        <v>mar/25</v>
      </c>
      <c r="T632" s="4">
        <f>IF(Registro2[[#This Row],[Data de Pagamento]]="",0,IF(Registro2[[#This Row],[Conta Financeira]]=base!$A$6,0,Registro2[[#This Row],[Valor Unitário]]))</f>
        <v>35</v>
      </c>
      <c r="U6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32" t="str">
        <f>VLOOKUP(Registro2[[#This Row],[Categoria]],'Plano de Contas'!$V$3:W673,2,0)</f>
        <v>Receitas Serviços</v>
      </c>
      <c r="X63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632" t="s">
        <v>1536</v>
      </c>
    </row>
    <row r="633" spans="1:25" hidden="1">
      <c r="A633" s="1">
        <v>45722.739583333336</v>
      </c>
      <c r="B633" s="1">
        <v>45722.739583333336</v>
      </c>
      <c r="D633" t="s">
        <v>310</v>
      </c>
      <c r="E633" t="s">
        <v>149</v>
      </c>
      <c r="F633" t="s">
        <v>147</v>
      </c>
      <c r="G633" t="s">
        <v>167</v>
      </c>
      <c r="I633" s="4">
        <v>10</v>
      </c>
      <c r="J633" s="4"/>
      <c r="L633" t="s">
        <v>252</v>
      </c>
      <c r="M633" t="s">
        <v>1201</v>
      </c>
      <c r="N633" s="4">
        <f>IF(L633="","",IF(OR(Registro2[[#This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633" t="str">
        <f t="shared" si="9"/>
        <v>mar/25</v>
      </c>
      <c r="P633" t="str">
        <f>IF(Registro2[[#This Row],[Data de Pagamento]]&gt;0,TEXT(A633,"mmm/aa"),"")</f>
        <v>mar/25</v>
      </c>
      <c r="T633" s="4">
        <f>IF(Registro2[[#This Row],[Data de Pagamento]]="",0,IF(Registro2[[#This Row],[Conta Financeira]]=base!$A$6,0,Registro2[[#This Row],[Valor Unitário]]))</f>
        <v>10</v>
      </c>
      <c r="U6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33" t="str">
        <f>VLOOKUP(Registro2[[#This Row],[Categoria]],'Plano de Contas'!$V$3:W674,2,0)</f>
        <v>Receitas Serviços</v>
      </c>
      <c r="X63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8.8999999999999996E-2</v>
      </c>
      <c r="Y633" t="s">
        <v>1536</v>
      </c>
    </row>
    <row r="634" spans="1:25" hidden="1">
      <c r="A634" s="1">
        <v>45722.75</v>
      </c>
      <c r="B634" s="1">
        <v>45722.75</v>
      </c>
      <c r="D634" t="s">
        <v>2</v>
      </c>
      <c r="E634" t="s">
        <v>149</v>
      </c>
      <c r="F634" t="s">
        <v>147</v>
      </c>
      <c r="G634" t="s">
        <v>163</v>
      </c>
      <c r="I634" s="4">
        <v>35</v>
      </c>
      <c r="J634" s="4">
        <v>55</v>
      </c>
      <c r="L634" t="s">
        <v>253</v>
      </c>
      <c r="M634" t="s">
        <v>379</v>
      </c>
      <c r="N634" s="4">
        <f>IF(L634="","",IF(OR(Registro2[[#This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34" t="str">
        <f t="shared" si="9"/>
        <v>mar/25</v>
      </c>
      <c r="P634" t="str">
        <f>IF(Registro2[[#This Row],[Data de Pagamento]]&gt;0,TEXT(A634,"mmm/aa"),"")</f>
        <v>mar/25</v>
      </c>
      <c r="T634" s="4">
        <f>IF(Registro2[[#This Row],[Data de Pagamento]]="",0,IF(Registro2[[#This Row],[Conta Financeira]]=base!$A$6,0,Registro2[[#This Row],[Valor Unitário]]))</f>
        <v>35</v>
      </c>
      <c r="U6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34" t="str">
        <f>VLOOKUP(Registro2[[#This Row],[Categoria]],'Plano de Contas'!$V$3:W652,2,0)</f>
        <v>Receitas Serviços</v>
      </c>
      <c r="X63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34" t="s">
        <v>1536</v>
      </c>
    </row>
    <row r="635" spans="1:25" hidden="1">
      <c r="A635" s="1">
        <v>45722.75</v>
      </c>
      <c r="B635" s="1">
        <v>45722.75</v>
      </c>
      <c r="D635" t="s">
        <v>2</v>
      </c>
      <c r="E635" t="s">
        <v>149</v>
      </c>
      <c r="F635" t="s">
        <v>147</v>
      </c>
      <c r="G635" t="s">
        <v>166</v>
      </c>
      <c r="I635" s="4">
        <v>20</v>
      </c>
      <c r="J635" s="4"/>
      <c r="L635" t="s">
        <v>253</v>
      </c>
      <c r="M635" t="s">
        <v>379</v>
      </c>
      <c r="N635" s="4">
        <f>IF(L635="","",IF(OR(Registro2[[#This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635" t="str">
        <f t="shared" si="9"/>
        <v>mar/25</v>
      </c>
      <c r="P635" t="str">
        <f>IF(Registro2[[#This Row],[Data de Pagamento]]&gt;0,TEXT(A635,"mmm/aa"),"")</f>
        <v>mar/25</v>
      </c>
      <c r="T635" s="4">
        <f>IF(Registro2[[#This Row],[Data de Pagamento]]="",0,IF(Registro2[[#This Row],[Conta Financeira]]=base!$A$6,0,Registro2[[#This Row],[Valor Unitário]]))</f>
        <v>20</v>
      </c>
      <c r="U6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35" t="str">
        <f>VLOOKUP(Registro2[[#This Row],[Categoria]],'Plano de Contas'!$V$3:W653,2,0)</f>
        <v>Receitas Serviços</v>
      </c>
      <c r="X63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35" t="s">
        <v>1536</v>
      </c>
    </row>
    <row r="636" spans="1:25" hidden="1">
      <c r="A636" s="1">
        <v>45722.770833333336</v>
      </c>
      <c r="B636" s="1">
        <v>45722.770833333336</v>
      </c>
      <c r="D636" t="s">
        <v>1</v>
      </c>
      <c r="E636" t="s">
        <v>149</v>
      </c>
      <c r="F636" t="s">
        <v>147</v>
      </c>
      <c r="G636" t="s">
        <v>163</v>
      </c>
      <c r="I636" s="4">
        <v>45</v>
      </c>
      <c r="J636" s="4">
        <v>45</v>
      </c>
      <c r="L636" t="s">
        <v>252</v>
      </c>
      <c r="M636" t="s">
        <v>18</v>
      </c>
      <c r="N636" s="4">
        <f>IF(L636="","",IF(OR(Registro2[[#This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20.25</v>
      </c>
      <c r="O636" t="str">
        <f t="shared" si="9"/>
        <v>mar/25</v>
      </c>
      <c r="P636" t="str">
        <f>IF(Registro2[[#This Row],[Data de Pagamento]]&gt;0,TEXT(A636,"mmm/aa"),"")</f>
        <v>mar/25</v>
      </c>
      <c r="T636" s="4">
        <f>IF(Registro2[[#This Row],[Data de Pagamento]]="",0,IF(Registro2[[#This Row],[Conta Financeira]]=base!$A$6,0,Registro2[[#This Row],[Valor Unitário]]))</f>
        <v>45</v>
      </c>
      <c r="U6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36" t="str">
        <f>VLOOKUP(Registro2[[#This Row],[Categoria]],'Plano de Contas'!$V$3:W665,2,0)</f>
        <v>Receitas Serviços</v>
      </c>
      <c r="X63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36" t="s">
        <v>1536</v>
      </c>
    </row>
    <row r="637" spans="1:25" hidden="1">
      <c r="A637" s="1">
        <v>45722.791666666664</v>
      </c>
      <c r="B637" s="1">
        <v>45722.791666666664</v>
      </c>
      <c r="D637" t="s">
        <v>1</v>
      </c>
      <c r="E637" t="s">
        <v>149</v>
      </c>
      <c r="F637" t="s">
        <v>147</v>
      </c>
      <c r="G637" t="s">
        <v>163</v>
      </c>
      <c r="I637" s="4">
        <v>35</v>
      </c>
      <c r="J637" s="4">
        <v>35</v>
      </c>
      <c r="L637" t="s">
        <v>253</v>
      </c>
      <c r="M637" t="s">
        <v>500</v>
      </c>
      <c r="N637" s="4">
        <f>IF(L637="","",IF(OR(Registro2[[#This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37" t="str">
        <f t="shared" si="9"/>
        <v>mar/25</v>
      </c>
      <c r="P637" t="str">
        <f>IF(Registro2[[#This Row],[Data de Pagamento]]&gt;0,TEXT(A637,"mmm/aa"),"")</f>
        <v>mar/25</v>
      </c>
      <c r="T637" s="4">
        <f>IF(Registro2[[#This Row],[Data de Pagamento]]="",0,IF(Registro2[[#This Row],[Conta Financeira]]=base!$A$6,0,Registro2[[#This Row],[Valor Unitário]]))</f>
        <v>35</v>
      </c>
      <c r="U6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37" t="str">
        <f>VLOOKUP(Registro2[[#This Row],[Categoria]],'Plano de Contas'!$V$3:W677,2,0)</f>
        <v>Receitas Serviços</v>
      </c>
      <c r="X63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37" t="s">
        <v>1536</v>
      </c>
    </row>
    <row r="638" spans="1:25" hidden="1">
      <c r="A638" s="1">
        <v>45722.791666666664</v>
      </c>
      <c r="B638" s="1">
        <v>45722.791666666664</v>
      </c>
      <c r="D638" t="s">
        <v>2</v>
      </c>
      <c r="E638" t="s">
        <v>149</v>
      </c>
      <c r="F638" t="s">
        <v>147</v>
      </c>
      <c r="G638" t="s">
        <v>163</v>
      </c>
      <c r="I638" s="4">
        <v>35</v>
      </c>
      <c r="J638" s="4">
        <v>60</v>
      </c>
      <c r="L638" t="s">
        <v>252</v>
      </c>
      <c r="M638" t="s">
        <v>1236</v>
      </c>
      <c r="N638" s="4">
        <f>IF(L638="","",IF(OR(Registro2[[#This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38" t="str">
        <f t="shared" si="9"/>
        <v>mar/25</v>
      </c>
      <c r="P638" t="str">
        <f>IF(Registro2[[#This Row],[Data de Pagamento]]&gt;0,TEXT(A638,"mmm/aa"),"")</f>
        <v>mar/25</v>
      </c>
      <c r="T638" s="4">
        <f>IF(Registro2[[#This Row],[Data de Pagamento]]="",0,IF(Registro2[[#This Row],[Conta Financeira]]=base!$A$6,0,Registro2[[#This Row],[Valor Unitário]]))</f>
        <v>35</v>
      </c>
      <c r="U6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38" t="str">
        <f>VLOOKUP(Registro2[[#This Row],[Categoria]],'Plano de Contas'!$V$3:W706,2,0)</f>
        <v>Receitas Serviços</v>
      </c>
      <c r="X63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38" t="s">
        <v>1536</v>
      </c>
    </row>
    <row r="639" spans="1:25" hidden="1">
      <c r="A639" s="1">
        <v>45722.791666666664</v>
      </c>
      <c r="B639" s="1">
        <v>45722.791666666664</v>
      </c>
      <c r="D639" t="s">
        <v>2</v>
      </c>
      <c r="E639" t="s">
        <v>149</v>
      </c>
      <c r="F639" t="s">
        <v>147</v>
      </c>
      <c r="G639" t="s">
        <v>166</v>
      </c>
      <c r="I639" s="4">
        <v>20</v>
      </c>
      <c r="J639" s="4"/>
      <c r="L639" t="s">
        <v>252</v>
      </c>
      <c r="M639" t="s">
        <v>1236</v>
      </c>
      <c r="N639" s="4">
        <f>IF(L639="","",IF(OR(Registro2[[#This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639" t="str">
        <f t="shared" si="9"/>
        <v>mar/25</v>
      </c>
      <c r="P639" t="str">
        <f>IF(Registro2[[#This Row],[Data de Pagamento]]&gt;0,TEXT(A639,"mmm/aa"),"")</f>
        <v>mar/25</v>
      </c>
      <c r="T639" s="4">
        <f>IF(Registro2[[#This Row],[Data de Pagamento]]="",0,IF(Registro2[[#This Row],[Conta Financeira]]=base!$A$6,0,Registro2[[#This Row],[Valor Unitário]]))</f>
        <v>20</v>
      </c>
      <c r="U6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39" t="str">
        <f>VLOOKUP(Registro2[[#This Row],[Categoria]],'Plano de Contas'!$V$3:W707,2,0)</f>
        <v>Receitas Serviços</v>
      </c>
      <c r="X63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39" t="s">
        <v>1536</v>
      </c>
    </row>
    <row r="640" spans="1:25" hidden="1">
      <c r="A640" s="1">
        <v>45723</v>
      </c>
      <c r="B640" s="1">
        <v>45723</v>
      </c>
      <c r="D640" t="s">
        <v>947</v>
      </c>
      <c r="E640" t="s">
        <v>137</v>
      </c>
      <c r="F640" t="s">
        <v>146</v>
      </c>
      <c r="G640" t="s">
        <v>315</v>
      </c>
      <c r="H640" t="s">
        <v>431</v>
      </c>
      <c r="I640" s="4">
        <v>231.02</v>
      </c>
      <c r="J640" s="4"/>
      <c r="N640" s="4" t="str">
        <f>IF(L640="","",IF(OR(Registro2[[#This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640" t="str">
        <f t="shared" si="9"/>
        <v>mar/25</v>
      </c>
      <c r="P640" t="str">
        <f>IF(Registro2[[#This Row],[Data de Pagamento]]&gt;0,TEXT(A640,"mmm/aa"),"")</f>
        <v>mar/25</v>
      </c>
      <c r="T640" s="4">
        <f>IF(Registro2[[#This Row],[Data de Pagamento]]="",0,IF(Registro2[[#This Row],[Conta Financeira]]=base!$A$6,0,Registro2[[#This Row],[Valor Unitário]]))</f>
        <v>231.02</v>
      </c>
      <c r="U6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40" t="str">
        <f>VLOOKUP(Registro2[[#This Row],[Categoria]],'Plano de Contas'!$V$3:W727,2,0)</f>
        <v>Despesas Operacionais</v>
      </c>
      <c r="X64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40" t="s">
        <v>1536</v>
      </c>
    </row>
    <row r="641" spans="1:25" hidden="1">
      <c r="A641" s="1">
        <v>45723</v>
      </c>
      <c r="B641" s="1">
        <v>45723</v>
      </c>
      <c r="D641" t="s">
        <v>947</v>
      </c>
      <c r="E641" t="s">
        <v>137</v>
      </c>
      <c r="F641" t="s">
        <v>138</v>
      </c>
      <c r="G641" t="s">
        <v>141</v>
      </c>
      <c r="H641" t="s">
        <v>1261</v>
      </c>
      <c r="I641" s="4">
        <v>60</v>
      </c>
      <c r="J641" s="4"/>
      <c r="N641" s="4" t="str">
        <f>IF(L641="","",IF(OR(Registro2[[#This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641" t="str">
        <f t="shared" si="9"/>
        <v>mar/25</v>
      </c>
      <c r="P641" t="str">
        <f>IF(Registro2[[#This Row],[Data de Pagamento]]&gt;0,TEXT(A641,"mmm/aa"),"")</f>
        <v>mar/25</v>
      </c>
      <c r="T641" s="4">
        <f>IF(Registro2[[#This Row],[Data de Pagamento]]="",0,IF(Registro2[[#This Row],[Conta Financeira]]=base!$A$6,0,Registro2[[#This Row],[Valor Unitário]]))</f>
        <v>60</v>
      </c>
      <c r="U6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41" t="str">
        <f>VLOOKUP(Registro2[[#This Row],[Categoria]],'Plano de Contas'!$V$3:W728,2,0)</f>
        <v>Custos Operacionais</v>
      </c>
      <c r="X64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41" t="s">
        <v>1536</v>
      </c>
    </row>
    <row r="642" spans="1:25" hidden="1">
      <c r="A642" s="1">
        <v>45723</v>
      </c>
      <c r="B642" s="1">
        <v>45723</v>
      </c>
      <c r="D642" t="s">
        <v>947</v>
      </c>
      <c r="E642" t="s">
        <v>137</v>
      </c>
      <c r="F642" t="s">
        <v>139</v>
      </c>
      <c r="G642" t="s">
        <v>336</v>
      </c>
      <c r="H642" t="s">
        <v>1262</v>
      </c>
      <c r="I642" s="4">
        <v>500</v>
      </c>
      <c r="J642" s="4"/>
      <c r="L642" t="s">
        <v>253</v>
      </c>
      <c r="N642" s="4" t="str">
        <f>IF(L642="","",IF(OR(Registro2[[#This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642" t="str">
        <f t="shared" ref="O642:O705" si="10">TEXT(B642,"mmm/aa")</f>
        <v>mar/25</v>
      </c>
      <c r="P642" t="str">
        <f>IF(Registro2[[#This Row],[Data de Pagamento]]&gt;0,TEXT(A642,"mmm/aa"),"")</f>
        <v>mar/25</v>
      </c>
      <c r="T642" s="4">
        <f>IF(Registro2[[#This Row],[Data de Pagamento]]="",0,IF(Registro2[[#This Row],[Conta Financeira]]=base!$A$6,0,Registro2[[#This Row],[Valor Unitário]]))</f>
        <v>500</v>
      </c>
      <c r="U6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42" t="str">
        <f>VLOOKUP(Registro2[[#This Row],[Categoria]],'Plano de Contas'!$V$3:W729,2,0)</f>
        <v>Custos Operacionais</v>
      </c>
      <c r="X64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42" t="s">
        <v>1536</v>
      </c>
    </row>
    <row r="643" spans="1:25" hidden="1">
      <c r="A643" s="1">
        <v>45723.416666666664</v>
      </c>
      <c r="B643" s="1">
        <v>45723.416666666664</v>
      </c>
      <c r="D643" t="s">
        <v>1</v>
      </c>
      <c r="E643" t="s">
        <v>149</v>
      </c>
      <c r="F643" t="s">
        <v>147</v>
      </c>
      <c r="G643" t="s">
        <v>163</v>
      </c>
      <c r="I643" s="4">
        <v>35</v>
      </c>
      <c r="J643" s="4">
        <v>35</v>
      </c>
      <c r="L643" t="s">
        <v>252</v>
      </c>
      <c r="M643" t="s">
        <v>68</v>
      </c>
      <c r="N643" s="4">
        <f>IF(L643="","",IF(OR(Registro2[[#This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43" t="str">
        <f t="shared" si="10"/>
        <v>mar/25</v>
      </c>
      <c r="P643" t="str">
        <f>IF(Registro2[[#This Row],[Data de Pagamento]]&gt;0,TEXT(A643,"mmm/aa"),"")</f>
        <v>mar/25</v>
      </c>
      <c r="T643" s="4">
        <f>IF(Registro2[[#This Row],[Data de Pagamento]]="",0,IF(Registro2[[#This Row],[Conta Financeira]]=base!$A$6,0,Registro2[[#This Row],[Valor Unitário]]))</f>
        <v>35</v>
      </c>
      <c r="U6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43" t="str">
        <f>VLOOKUP(Registro2[[#This Row],[Categoria]],'Plano de Contas'!$V$3:W678,2,0)</f>
        <v>Receitas Serviços</v>
      </c>
      <c r="X64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43" t="s">
        <v>1536</v>
      </c>
    </row>
    <row r="644" spans="1:25" hidden="1">
      <c r="A644" s="1">
        <v>45723.416666666664</v>
      </c>
      <c r="B644" s="1">
        <v>45723.416666666664</v>
      </c>
      <c r="D644" t="s">
        <v>1</v>
      </c>
      <c r="E644" t="s">
        <v>149</v>
      </c>
      <c r="F644" t="s">
        <v>147</v>
      </c>
      <c r="G644" t="s">
        <v>163</v>
      </c>
      <c r="I644" s="4">
        <v>35</v>
      </c>
      <c r="J644" s="4">
        <v>35</v>
      </c>
      <c r="L644" t="s">
        <v>253</v>
      </c>
      <c r="M644" t="s">
        <v>1209</v>
      </c>
      <c r="N644" s="4">
        <f>IF(L644="","",IF(OR(Registro2[[#This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44" t="str">
        <f t="shared" si="10"/>
        <v>mar/25</v>
      </c>
      <c r="P644" t="str">
        <f>IF(Registro2[[#This Row],[Data de Pagamento]]&gt;0,TEXT(A644,"mmm/aa"),"")</f>
        <v>mar/25</v>
      </c>
      <c r="T644" s="4">
        <f>IF(Registro2[[#This Row],[Data de Pagamento]]="",0,IF(Registro2[[#This Row],[Conta Financeira]]=base!$A$6,0,Registro2[[#This Row],[Valor Unitário]]))</f>
        <v>35</v>
      </c>
      <c r="U6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44" t="str">
        <f>VLOOKUP(Registro2[[#This Row],[Categoria]],'Plano de Contas'!$V$3:W683,2,0)</f>
        <v>Receitas Serviços</v>
      </c>
      <c r="X64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44" t="s">
        <v>1536</v>
      </c>
    </row>
    <row r="645" spans="1:25" hidden="1">
      <c r="A645" s="1">
        <v>45723.427083333336</v>
      </c>
      <c r="B645" s="1">
        <v>45723.427083333336</v>
      </c>
      <c r="D645" t="s">
        <v>1</v>
      </c>
      <c r="E645" t="s">
        <v>149</v>
      </c>
      <c r="F645" t="s">
        <v>147</v>
      </c>
      <c r="G645" t="s">
        <v>163</v>
      </c>
      <c r="I645" s="4">
        <v>35</v>
      </c>
      <c r="J645" s="4">
        <v>35</v>
      </c>
      <c r="L645" t="s">
        <v>264</v>
      </c>
      <c r="M645" t="s">
        <v>470</v>
      </c>
      <c r="N645" s="4">
        <f>IF(L645="","",IF(OR(Registro2[[#This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45" t="str">
        <f t="shared" si="10"/>
        <v>mar/25</v>
      </c>
      <c r="P645" t="str">
        <f>IF(Registro2[[#This Row],[Data de Pagamento]]&gt;0,TEXT(A645,"mmm/aa"),"")</f>
        <v>mar/25</v>
      </c>
      <c r="T645" s="4">
        <f>IF(Registro2[[#This Row],[Data de Pagamento]]="",0,IF(Registro2[[#This Row],[Conta Financeira]]=base!$A$6,0,Registro2[[#This Row],[Valor Unitário]]))</f>
        <v>35</v>
      </c>
      <c r="U6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45" t="str">
        <f>VLOOKUP(Registro2[[#This Row],[Categoria]],'Plano de Contas'!$V$3:W684,2,0)</f>
        <v>Receitas Serviços</v>
      </c>
      <c r="X6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45" t="s">
        <v>1536</v>
      </c>
    </row>
    <row r="646" spans="1:25" hidden="1">
      <c r="A646" s="1">
        <v>45723.4375</v>
      </c>
      <c r="B646" s="1">
        <v>45723.4375</v>
      </c>
      <c r="D646" t="s">
        <v>1</v>
      </c>
      <c r="E646" t="s">
        <v>149</v>
      </c>
      <c r="F646" t="s">
        <v>147</v>
      </c>
      <c r="G646" t="s">
        <v>163</v>
      </c>
      <c r="I646" s="4">
        <v>35</v>
      </c>
      <c r="J646" s="4">
        <v>35</v>
      </c>
      <c r="L646" t="s">
        <v>253</v>
      </c>
      <c r="M646" t="s">
        <v>469</v>
      </c>
      <c r="N646" s="4">
        <f>IF(L646="","",IF(OR(Registro2[[#This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46" t="str">
        <f t="shared" si="10"/>
        <v>mar/25</v>
      </c>
      <c r="P646" t="str">
        <f>IF(Registro2[[#This Row],[Data de Pagamento]]&gt;0,TEXT(A646,"mmm/aa"),"")</f>
        <v>mar/25</v>
      </c>
      <c r="T646" s="4">
        <f>IF(Registro2[[#This Row],[Data de Pagamento]]="",0,IF(Registro2[[#This Row],[Conta Financeira]]=base!$A$6,0,Registro2[[#This Row],[Valor Unitário]]))</f>
        <v>35</v>
      </c>
      <c r="U6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46" t="str">
        <f>VLOOKUP(Registro2[[#This Row],[Categoria]],'Plano de Contas'!$V$3:W686,2,0)</f>
        <v>Receitas Serviços</v>
      </c>
      <c r="X64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46" t="s">
        <v>1536</v>
      </c>
    </row>
    <row r="647" spans="1:25" hidden="1">
      <c r="A647" s="1">
        <v>45723.447916666664</v>
      </c>
      <c r="B647" s="1">
        <v>45723.447916666664</v>
      </c>
      <c r="D647" t="s">
        <v>2</v>
      </c>
      <c r="E647" t="s">
        <v>149</v>
      </c>
      <c r="F647" t="s">
        <v>147</v>
      </c>
      <c r="G647" t="s">
        <v>1046</v>
      </c>
      <c r="I647" s="4">
        <v>35</v>
      </c>
      <c r="J647" s="4">
        <v>35</v>
      </c>
      <c r="L647" t="s">
        <v>264</v>
      </c>
      <c r="M647" t="s">
        <v>54</v>
      </c>
      <c r="N647" s="4">
        <f>IF(L647="","",IF(OR(Registro2[[#This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47" t="str">
        <f t="shared" si="10"/>
        <v>mar/25</v>
      </c>
      <c r="P647" t="str">
        <f>IF(Registro2[[#This Row],[Data de Pagamento]]&gt;0,TEXT(A647,"mmm/aa"),"")</f>
        <v>mar/25</v>
      </c>
      <c r="T647" s="4">
        <f>IF(Registro2[[#This Row],[Data de Pagamento]]="",0,IF(Registro2[[#This Row],[Conta Financeira]]=base!$A$6,0,Registro2[[#This Row],[Valor Unitário]]))</f>
        <v>35</v>
      </c>
      <c r="U6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47" t="str">
        <f>VLOOKUP(Registro2[[#This Row],[Categoria]],'Plano de Contas'!$V$3:W685,2,0)</f>
        <v>Receitas Serviços</v>
      </c>
      <c r="X64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47" t="s">
        <v>1536</v>
      </c>
    </row>
    <row r="648" spans="1:25" hidden="1">
      <c r="A648" s="1">
        <v>45723.458333333336</v>
      </c>
      <c r="B648" s="1">
        <v>45723.458333333336</v>
      </c>
      <c r="D648" t="s">
        <v>1</v>
      </c>
      <c r="E648" t="s">
        <v>149</v>
      </c>
      <c r="F648" t="s">
        <v>147</v>
      </c>
      <c r="G648" t="s">
        <v>163</v>
      </c>
      <c r="I648" s="4">
        <v>35</v>
      </c>
      <c r="J648" s="4">
        <v>35</v>
      </c>
      <c r="L648" t="s">
        <v>252</v>
      </c>
      <c r="M648" t="s">
        <v>122</v>
      </c>
      <c r="N648" s="4">
        <f>IF(L648="","",IF(OR(Registro2[[#This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48" t="str">
        <f t="shared" si="10"/>
        <v>mar/25</v>
      </c>
      <c r="P648" t="str">
        <f>IF(Registro2[[#This Row],[Data de Pagamento]]&gt;0,TEXT(A648,"mmm/aa"),"")</f>
        <v>mar/25</v>
      </c>
      <c r="T648" s="4">
        <f>IF(Registro2[[#This Row],[Data de Pagamento]]="",0,IF(Registro2[[#This Row],[Conta Financeira]]=base!$A$6,0,Registro2[[#This Row],[Valor Unitário]]))</f>
        <v>35</v>
      </c>
      <c r="U6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48" t="str">
        <f>VLOOKUP(Registro2[[#This Row],[Categoria]],'Plano de Contas'!$V$3:W682,2,0)</f>
        <v>Receitas Serviços</v>
      </c>
      <c r="X64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48" t="s">
        <v>1536</v>
      </c>
    </row>
    <row r="649" spans="1:25" hidden="1">
      <c r="A649" s="1">
        <v>45723.479166666664</v>
      </c>
      <c r="B649" s="1">
        <v>45723.479166666664</v>
      </c>
      <c r="D649" t="s">
        <v>1</v>
      </c>
      <c r="E649" t="s">
        <v>149</v>
      </c>
      <c r="F649" t="s">
        <v>147</v>
      </c>
      <c r="G649" t="s">
        <v>163</v>
      </c>
      <c r="I649" s="4">
        <v>35</v>
      </c>
      <c r="J649" s="4">
        <v>35</v>
      </c>
      <c r="L649" t="s">
        <v>253</v>
      </c>
      <c r="M649" t="s">
        <v>1214</v>
      </c>
      <c r="N649" s="4">
        <f>IF(L649="","",IF(OR(Registro2[[#This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49" t="str">
        <f t="shared" si="10"/>
        <v>mar/25</v>
      </c>
      <c r="P649" t="str">
        <f>IF(Registro2[[#This Row],[Data de Pagamento]]&gt;0,TEXT(A649,"mmm/aa"),"")</f>
        <v>mar/25</v>
      </c>
      <c r="T649" s="4">
        <f>IF(Registro2[[#This Row],[Data de Pagamento]]="",0,IF(Registro2[[#This Row],[Conta Financeira]]=base!$A$6,0,Registro2[[#This Row],[Valor Unitário]]))</f>
        <v>35</v>
      </c>
      <c r="U6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49" t="str">
        <f>VLOOKUP(Registro2[[#This Row],[Categoria]],'Plano de Contas'!$V$3:W687,2,0)</f>
        <v>Receitas Serviços</v>
      </c>
      <c r="X64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49" t="s">
        <v>1536</v>
      </c>
    </row>
    <row r="650" spans="1:25" hidden="1">
      <c r="A650" s="1">
        <v>45723.5</v>
      </c>
      <c r="B650" s="1">
        <v>45723.5</v>
      </c>
      <c r="D650" t="s">
        <v>2</v>
      </c>
      <c r="E650" t="s">
        <v>149</v>
      </c>
      <c r="F650" t="s">
        <v>147</v>
      </c>
      <c r="G650" t="s">
        <v>1046</v>
      </c>
      <c r="I650" s="4">
        <v>35</v>
      </c>
      <c r="J650" s="4">
        <v>35</v>
      </c>
      <c r="L650" t="s">
        <v>264</v>
      </c>
      <c r="M650" t="s">
        <v>498</v>
      </c>
      <c r="N650" s="4">
        <f>IF(L650="","",IF(OR(Registro2[[#This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50" t="str">
        <f t="shared" si="10"/>
        <v>mar/25</v>
      </c>
      <c r="P650" t="str">
        <f>IF(Registro2[[#This Row],[Data de Pagamento]]&gt;0,TEXT(A650,"mmm/aa"),"")</f>
        <v>mar/25</v>
      </c>
      <c r="T650" s="4">
        <f>IF(Registro2[[#This Row],[Data de Pagamento]]="",0,IF(Registro2[[#This Row],[Conta Financeira]]=base!$A$6,0,Registro2[[#This Row],[Valor Unitário]]))</f>
        <v>35</v>
      </c>
      <c r="U6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50" t="str">
        <f>VLOOKUP(Registro2[[#This Row],[Categoria]],'Plano de Contas'!$V$3:W689,2,0)</f>
        <v>Receitas Serviços</v>
      </c>
      <c r="X65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50" t="s">
        <v>1536</v>
      </c>
    </row>
    <row r="651" spans="1:25" hidden="1">
      <c r="A651" s="1">
        <v>45723.510416666664</v>
      </c>
      <c r="B651" s="1">
        <v>45723.510416666664</v>
      </c>
      <c r="D651" t="s">
        <v>354</v>
      </c>
      <c r="E651" t="s">
        <v>149</v>
      </c>
      <c r="F651" t="s">
        <v>147</v>
      </c>
      <c r="G651" t="s">
        <v>163</v>
      </c>
      <c r="I651" s="4">
        <v>35</v>
      </c>
      <c r="J651" s="4">
        <v>35</v>
      </c>
      <c r="L651" t="s">
        <v>253</v>
      </c>
      <c r="M651" t="s">
        <v>1216</v>
      </c>
      <c r="N651" s="4">
        <f>IF(L651="","",IF(OR(Registro2[[#This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51" t="str">
        <f t="shared" si="10"/>
        <v>mar/25</v>
      </c>
      <c r="P651" t="str">
        <f>IF(Registro2[[#This Row],[Data de Pagamento]]&gt;0,TEXT(A651,"mmm/aa"),"")</f>
        <v>mar/25</v>
      </c>
      <c r="T651" s="4">
        <f>IF(Registro2[[#This Row],[Data de Pagamento]]="",0,IF(Registro2[[#This Row],[Conta Financeira]]=base!$A$6,0,Registro2[[#This Row],[Valor Unitário]]))</f>
        <v>35</v>
      </c>
      <c r="U6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51" t="str">
        <f>VLOOKUP(Registro2[[#This Row],[Categoria]],'Plano de Contas'!$V$3:W688,2,0)</f>
        <v>Receitas Serviços</v>
      </c>
      <c r="X65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651" t="s">
        <v>1536</v>
      </c>
    </row>
    <row r="652" spans="1:25" hidden="1">
      <c r="A652" s="1">
        <v>45723.510416666664</v>
      </c>
      <c r="B652" s="1">
        <v>45723.510416666664</v>
      </c>
      <c r="D652" t="s">
        <v>2</v>
      </c>
      <c r="E652" t="s">
        <v>149</v>
      </c>
      <c r="F652" t="s">
        <v>147</v>
      </c>
      <c r="G652" t="s">
        <v>163</v>
      </c>
      <c r="I652" s="4">
        <v>35</v>
      </c>
      <c r="J652" s="4">
        <v>35</v>
      </c>
      <c r="L652" t="s">
        <v>252</v>
      </c>
      <c r="M652" t="s">
        <v>207</v>
      </c>
      <c r="N652" s="4">
        <f>IF(L652="","",IF(OR(Registro2[[#This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52" t="str">
        <f t="shared" si="10"/>
        <v>mar/25</v>
      </c>
      <c r="P652" t="str">
        <f>IF(Registro2[[#This Row],[Data de Pagamento]]&gt;0,TEXT(A652,"mmm/aa"),"")</f>
        <v>mar/25</v>
      </c>
      <c r="T652" s="4">
        <f>IF(Registro2[[#This Row],[Data de Pagamento]]="",0,IF(Registro2[[#This Row],[Conta Financeira]]=base!$A$6,0,Registro2[[#This Row],[Valor Unitário]]))</f>
        <v>35</v>
      </c>
      <c r="U6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52" t="str">
        <f>VLOOKUP(Registro2[[#This Row],[Categoria]],'Plano de Contas'!$V$3:W690,2,0)</f>
        <v>Receitas Serviços</v>
      </c>
      <c r="X65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52" t="s">
        <v>1536</v>
      </c>
    </row>
    <row r="653" spans="1:25" hidden="1">
      <c r="A653" s="1">
        <v>45723.604166666664</v>
      </c>
      <c r="B653" s="1">
        <v>45723.604166666664</v>
      </c>
      <c r="D653" t="s">
        <v>1</v>
      </c>
      <c r="E653" t="s">
        <v>149</v>
      </c>
      <c r="F653" t="s">
        <v>147</v>
      </c>
      <c r="G653" t="s">
        <v>163</v>
      </c>
      <c r="I653" s="4">
        <v>35</v>
      </c>
      <c r="J653" s="4">
        <v>50</v>
      </c>
      <c r="L653" t="s">
        <v>253</v>
      </c>
      <c r="M653" t="s">
        <v>486</v>
      </c>
      <c r="N653" s="4">
        <f>IF(L653="","",IF(OR(Registro2[[#This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53" t="str">
        <f t="shared" si="10"/>
        <v>mar/25</v>
      </c>
      <c r="P653" t="str">
        <f>IF(Registro2[[#This Row],[Data de Pagamento]]&gt;0,TEXT(A653,"mmm/aa"),"")</f>
        <v>mar/25</v>
      </c>
      <c r="T653" s="4">
        <f>IF(Registro2[[#This Row],[Data de Pagamento]]="",0,IF(Registro2[[#This Row],[Conta Financeira]]=base!$A$6,0,Registro2[[#This Row],[Valor Unitário]]))</f>
        <v>35</v>
      </c>
      <c r="U6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53" t="str">
        <f>VLOOKUP(Registro2[[#This Row],[Categoria]],'Plano de Contas'!$V$3:W643,2,0)</f>
        <v>Receitas Serviços</v>
      </c>
      <c r="X65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53" t="s">
        <v>1536</v>
      </c>
    </row>
    <row r="654" spans="1:25" hidden="1">
      <c r="A654" s="1">
        <v>45723.604166666664</v>
      </c>
      <c r="B654" s="1">
        <v>45723.604166666664</v>
      </c>
      <c r="D654" t="s">
        <v>1</v>
      </c>
      <c r="E654" t="s">
        <v>149</v>
      </c>
      <c r="F654" t="s">
        <v>147</v>
      </c>
      <c r="G654" t="s">
        <v>1046</v>
      </c>
      <c r="I654" s="4">
        <v>15</v>
      </c>
      <c r="J654" s="4"/>
      <c r="L654" t="s">
        <v>253</v>
      </c>
      <c r="M654" t="s">
        <v>486</v>
      </c>
      <c r="N654" s="4">
        <f>IF(L654="","",IF(OR(Registro2[[#This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654" t="str">
        <f t="shared" si="10"/>
        <v>mar/25</v>
      </c>
      <c r="P654" t="str">
        <f>IF(Registro2[[#This Row],[Data de Pagamento]]&gt;0,TEXT(A654,"mmm/aa"),"")</f>
        <v>mar/25</v>
      </c>
      <c r="T654" s="4">
        <f>IF(Registro2[[#This Row],[Data de Pagamento]]="",0,IF(Registro2[[#This Row],[Conta Financeira]]=base!$A$6,0,Registro2[[#This Row],[Valor Unitário]]))</f>
        <v>15</v>
      </c>
      <c r="U6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54" t="str">
        <f>VLOOKUP(Registro2[[#This Row],[Categoria]],'Plano de Contas'!$V$3:W644,2,0)</f>
        <v>Receitas Serviços</v>
      </c>
      <c r="X65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54" t="s">
        <v>1536</v>
      </c>
    </row>
    <row r="655" spans="1:25" hidden="1">
      <c r="A655" s="1">
        <v>45723.645833333336</v>
      </c>
      <c r="B655" s="1">
        <v>45723.645833333336</v>
      </c>
      <c r="D655" t="s">
        <v>2</v>
      </c>
      <c r="E655" t="s">
        <v>149</v>
      </c>
      <c r="F655" t="s">
        <v>147</v>
      </c>
      <c r="G655" t="s">
        <v>167</v>
      </c>
      <c r="I655" s="4">
        <v>15</v>
      </c>
      <c r="J655" s="4">
        <v>15</v>
      </c>
      <c r="L655" t="s">
        <v>253</v>
      </c>
      <c r="M655" t="s">
        <v>14</v>
      </c>
      <c r="N655" s="4">
        <f>IF(L655="","",IF(OR(Registro2[[#This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655" t="str">
        <f t="shared" si="10"/>
        <v>mar/25</v>
      </c>
      <c r="P655" t="str">
        <f>IF(Registro2[[#This Row],[Data de Pagamento]]&gt;0,TEXT(A655,"mmm/aa"),"")</f>
        <v>mar/25</v>
      </c>
      <c r="T655" s="4">
        <f>IF(Registro2[[#This Row],[Data de Pagamento]]="",0,IF(Registro2[[#This Row],[Conta Financeira]]=base!$A$6,0,Registro2[[#This Row],[Valor Unitário]]))</f>
        <v>15</v>
      </c>
      <c r="U6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55" t="str">
        <f>VLOOKUP(Registro2[[#This Row],[Categoria]],'Plano de Contas'!$V$3:W679,2,0)</f>
        <v>Receitas Serviços</v>
      </c>
      <c r="X6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55" t="s">
        <v>1536</v>
      </c>
    </row>
    <row r="656" spans="1:25" hidden="1">
      <c r="A656" s="1">
        <v>45723.645833333336</v>
      </c>
      <c r="B656" s="1">
        <v>45723.645833333336</v>
      </c>
      <c r="D656" t="s">
        <v>1</v>
      </c>
      <c r="E656" t="s">
        <v>149</v>
      </c>
      <c r="F656" t="s">
        <v>147</v>
      </c>
      <c r="G656" t="s">
        <v>163</v>
      </c>
      <c r="I656" s="4">
        <v>35</v>
      </c>
      <c r="J656" s="4">
        <v>35</v>
      </c>
      <c r="L656" t="s">
        <v>252</v>
      </c>
      <c r="M656" t="s">
        <v>63</v>
      </c>
      <c r="N656" s="4">
        <f>IF(L656="","",IF(OR(Registro2[[#This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56" t="str">
        <f t="shared" si="10"/>
        <v>mar/25</v>
      </c>
      <c r="P656" t="str">
        <f>IF(Registro2[[#This Row],[Data de Pagamento]]&gt;0,TEXT(A656,"mmm/aa"),"")</f>
        <v>mar/25</v>
      </c>
      <c r="T656" s="4">
        <f>IF(Registro2[[#This Row],[Data de Pagamento]]="",0,IF(Registro2[[#This Row],[Conta Financeira]]=base!$A$6,0,Registro2[[#This Row],[Valor Unitário]]))</f>
        <v>35</v>
      </c>
      <c r="U6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56" t="str">
        <f>VLOOKUP(Registro2[[#This Row],[Categoria]],'Plano de Contas'!$V$3:W693,2,0)</f>
        <v>Receitas Serviços</v>
      </c>
      <c r="X65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56" t="s">
        <v>1536</v>
      </c>
    </row>
    <row r="657" spans="1:25" hidden="1">
      <c r="A657" s="1">
        <v>45723.666666666664</v>
      </c>
      <c r="B657" s="1">
        <v>45723.666666666664</v>
      </c>
      <c r="D657" t="s">
        <v>1</v>
      </c>
      <c r="E657" t="s">
        <v>149</v>
      </c>
      <c r="F657" t="s">
        <v>147</v>
      </c>
      <c r="G657" t="s">
        <v>163</v>
      </c>
      <c r="I657" s="4">
        <v>35</v>
      </c>
      <c r="J657" s="4">
        <v>35</v>
      </c>
      <c r="L657" t="s">
        <v>253</v>
      </c>
      <c r="M657" t="s">
        <v>66</v>
      </c>
      <c r="N657" s="4">
        <f>IF(L657="","",IF(OR(Registro2[[#This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57" t="str">
        <f t="shared" si="10"/>
        <v>mar/25</v>
      </c>
      <c r="P657" t="str">
        <f>IF(Registro2[[#This Row],[Data de Pagamento]]&gt;0,TEXT(A657,"mmm/aa"),"")</f>
        <v>mar/25</v>
      </c>
      <c r="T657" s="4">
        <f>IF(Registro2[[#This Row],[Data de Pagamento]]="",0,IF(Registro2[[#This Row],[Conta Financeira]]=base!$A$6,0,Registro2[[#This Row],[Valor Unitário]]))</f>
        <v>35</v>
      </c>
      <c r="U6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57" t="str">
        <f>VLOOKUP(Registro2[[#This Row],[Categoria]],'Plano de Contas'!$V$3:W669,2,0)</f>
        <v>Receitas Serviços</v>
      </c>
      <c r="X6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57" t="s">
        <v>1536</v>
      </c>
    </row>
    <row r="658" spans="1:25" hidden="1">
      <c r="A658" s="1">
        <v>45723.6875</v>
      </c>
      <c r="B658" s="1">
        <v>45723.6875</v>
      </c>
      <c r="D658" t="s">
        <v>1</v>
      </c>
      <c r="E658" t="s">
        <v>149</v>
      </c>
      <c r="F658" t="s">
        <v>147</v>
      </c>
      <c r="G658" t="s">
        <v>163</v>
      </c>
      <c r="I658" s="4">
        <v>35</v>
      </c>
      <c r="J658" s="4">
        <v>35</v>
      </c>
      <c r="L658" t="s">
        <v>252</v>
      </c>
      <c r="M658" t="s">
        <v>1223</v>
      </c>
      <c r="N658" s="4">
        <f>IF(L658="","",IF(OR(Registro2[[#This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58" t="str">
        <f t="shared" si="10"/>
        <v>mar/25</v>
      </c>
      <c r="P658" t="str">
        <f>IF(Registro2[[#This Row],[Data de Pagamento]]&gt;0,TEXT(A658,"mmm/aa"),"")</f>
        <v>mar/25</v>
      </c>
      <c r="T658" s="4">
        <f>IF(Registro2[[#This Row],[Data de Pagamento]]="",0,IF(Registro2[[#This Row],[Conta Financeira]]=base!$A$6,0,Registro2[[#This Row],[Valor Unitário]]))</f>
        <v>35</v>
      </c>
      <c r="U6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58" t="str">
        <f>VLOOKUP(Registro2[[#This Row],[Categoria]],'Plano de Contas'!$V$3:W694,2,0)</f>
        <v>Receitas Serviços</v>
      </c>
      <c r="X6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58" t="s">
        <v>1536</v>
      </c>
    </row>
    <row r="659" spans="1:25" hidden="1">
      <c r="A659" s="1">
        <v>45723.697916666664</v>
      </c>
      <c r="B659" s="1">
        <v>45723.697916666664</v>
      </c>
      <c r="D659" t="s">
        <v>1</v>
      </c>
      <c r="E659" t="s">
        <v>149</v>
      </c>
      <c r="F659" t="s">
        <v>147</v>
      </c>
      <c r="G659" t="s">
        <v>163</v>
      </c>
      <c r="I659" s="4">
        <v>35</v>
      </c>
      <c r="J659" s="4">
        <v>40</v>
      </c>
      <c r="L659" t="s">
        <v>264</v>
      </c>
      <c r="M659" t="s">
        <v>1226</v>
      </c>
      <c r="N659" s="4">
        <f>IF(L659="","",IF(OR(Registro2[[#This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59" t="str">
        <f t="shared" si="10"/>
        <v>mar/25</v>
      </c>
      <c r="P659" t="str">
        <f>IF(Registro2[[#This Row],[Data de Pagamento]]&gt;0,TEXT(A659,"mmm/aa"),"")</f>
        <v>mar/25</v>
      </c>
      <c r="T659" s="4">
        <f>IF(Registro2[[#This Row],[Data de Pagamento]]="",0,IF(Registro2[[#This Row],[Conta Financeira]]=base!$A$6,0,Registro2[[#This Row],[Valor Unitário]]))</f>
        <v>35</v>
      </c>
      <c r="U6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59" t="str">
        <f>VLOOKUP(Registro2[[#This Row],[Categoria]],'Plano de Contas'!$V$3:W696,2,0)</f>
        <v>Receitas Serviços</v>
      </c>
      <c r="X65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59" t="s">
        <v>1536</v>
      </c>
    </row>
    <row r="660" spans="1:25" hidden="1">
      <c r="A660" s="1">
        <v>45723.697916666664</v>
      </c>
      <c r="B660" s="1">
        <v>45723.697916666664</v>
      </c>
      <c r="D660" t="s">
        <v>1</v>
      </c>
      <c r="E660" t="s">
        <v>149</v>
      </c>
      <c r="F660" t="s">
        <v>147</v>
      </c>
      <c r="G660" t="s">
        <v>167</v>
      </c>
      <c r="I660" s="4">
        <v>5</v>
      </c>
      <c r="J660" s="4"/>
      <c r="L660" t="s">
        <v>264</v>
      </c>
      <c r="M660" t="s">
        <v>1226</v>
      </c>
      <c r="N660" s="4">
        <f>IF(L660="","",IF(OR(Registro2[[#This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2.25</v>
      </c>
      <c r="O660" t="str">
        <f t="shared" si="10"/>
        <v>mar/25</v>
      </c>
      <c r="P660" t="str">
        <f>IF(Registro2[[#This Row],[Data de Pagamento]]&gt;0,TEXT(A660,"mmm/aa"),"")</f>
        <v>mar/25</v>
      </c>
      <c r="T660" s="4">
        <f>IF(Registro2[[#This Row],[Data de Pagamento]]="",0,IF(Registro2[[#This Row],[Conta Financeira]]=base!$A$6,0,Registro2[[#This Row],[Valor Unitário]]))</f>
        <v>5</v>
      </c>
      <c r="U6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60" t="str">
        <f>VLOOKUP(Registro2[[#This Row],[Categoria]],'Plano de Contas'!$V$3:W697,2,0)</f>
        <v>Receitas Serviços</v>
      </c>
      <c r="X6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60" t="s">
        <v>1536</v>
      </c>
    </row>
    <row r="661" spans="1:25" hidden="1">
      <c r="A661" s="1">
        <v>45723.708333333336</v>
      </c>
      <c r="B661" s="1">
        <v>45723.708333333336</v>
      </c>
      <c r="D661" t="s">
        <v>2</v>
      </c>
      <c r="E661" t="s">
        <v>149</v>
      </c>
      <c r="F661" t="s">
        <v>147</v>
      </c>
      <c r="G661" t="s">
        <v>163</v>
      </c>
      <c r="I661" s="4">
        <v>35</v>
      </c>
      <c r="J661" s="4">
        <v>35</v>
      </c>
      <c r="L661" t="s">
        <v>252</v>
      </c>
      <c r="M661" t="s">
        <v>280</v>
      </c>
      <c r="N661" s="4">
        <f>IF(L661="","",IF(OR(Registro2[[#This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61" t="str">
        <f t="shared" si="10"/>
        <v>mar/25</v>
      </c>
      <c r="P661" t="str">
        <f>IF(Registro2[[#This Row],[Data de Pagamento]]&gt;0,TEXT(A661,"mmm/aa"),"")</f>
        <v>mar/25</v>
      </c>
      <c r="T661" s="4">
        <f>IF(Registro2[[#This Row],[Data de Pagamento]]="",0,IF(Registro2[[#This Row],[Conta Financeira]]=base!$A$6,0,Registro2[[#This Row],[Valor Unitário]]))</f>
        <v>35</v>
      </c>
      <c r="U6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61" t="str">
        <f>VLOOKUP(Registro2[[#This Row],[Categoria]],'Plano de Contas'!$V$3:W698,2,0)</f>
        <v>Receitas Serviços</v>
      </c>
      <c r="X6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61" t="s">
        <v>1536</v>
      </c>
    </row>
    <row r="662" spans="1:25" hidden="1">
      <c r="A662" s="1">
        <v>45723.729166666664</v>
      </c>
      <c r="B662" s="1">
        <v>45723.729166666664</v>
      </c>
      <c r="D662" t="s">
        <v>310</v>
      </c>
      <c r="E662" t="s">
        <v>149</v>
      </c>
      <c r="F662" t="s">
        <v>147</v>
      </c>
      <c r="G662" t="s">
        <v>1046</v>
      </c>
      <c r="I662" s="4">
        <v>35</v>
      </c>
      <c r="J662" s="4">
        <v>105</v>
      </c>
      <c r="L662" t="s">
        <v>264</v>
      </c>
      <c r="M662" t="s">
        <v>300</v>
      </c>
      <c r="N662" s="4">
        <f>IF(L662="","",IF(OR(Registro2[[#This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62" t="str">
        <f t="shared" si="10"/>
        <v>mar/25</v>
      </c>
      <c r="P662" t="str">
        <f>IF(Registro2[[#This Row],[Data de Pagamento]]&gt;0,TEXT(A662,"mmm/aa"),"")</f>
        <v>mar/25</v>
      </c>
      <c r="T662" s="4">
        <f>IF(Registro2[[#This Row],[Data de Pagamento]]="",0,IF(Registro2[[#This Row],[Conta Financeira]]=base!$A$6,0,Registro2[[#This Row],[Valor Unitário]]))</f>
        <v>35</v>
      </c>
      <c r="U6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62" t="str">
        <f>VLOOKUP(Registro2[[#This Row],[Categoria]],'Plano de Contas'!$V$3:W700,2,0)</f>
        <v>Receitas Serviços</v>
      </c>
      <c r="X66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662" t="s">
        <v>1536</v>
      </c>
    </row>
    <row r="663" spans="1:25" hidden="1">
      <c r="A663" s="1">
        <v>45723.729166666664</v>
      </c>
      <c r="B663" s="1">
        <v>45723.729166666664</v>
      </c>
      <c r="D663" t="s">
        <v>310</v>
      </c>
      <c r="E663" t="s">
        <v>149</v>
      </c>
      <c r="F663" t="s">
        <v>150</v>
      </c>
      <c r="G663" t="s">
        <v>513</v>
      </c>
      <c r="I663" s="4">
        <v>70</v>
      </c>
      <c r="J663" s="4"/>
      <c r="L663" t="s">
        <v>264</v>
      </c>
      <c r="M663" t="s">
        <v>300</v>
      </c>
      <c r="N663" s="4">
        <f>IF(L663="","",IF(OR(Registro2[[#This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28</v>
      </c>
      <c r="O663" t="str">
        <f t="shared" si="10"/>
        <v>mar/25</v>
      </c>
      <c r="P663" t="str">
        <f>IF(Registro2[[#This Row],[Data de Pagamento]]&gt;0,TEXT(A663,"mmm/aa"),"")</f>
        <v>mar/25</v>
      </c>
      <c r="T663" s="4">
        <f>IF(Registro2[[#This Row],[Data de Pagamento]]="",0,IF(Registro2[[#This Row],[Conta Financeira]]=base!$A$6,0,Registro2[[#This Row],[Valor Unitário]]))</f>
        <v>70</v>
      </c>
      <c r="U6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63" t="str">
        <f>VLOOKUP(Registro2[[#This Row],[Categoria]],'Plano de Contas'!$V$3:W701,2,0)</f>
        <v>Receitas Produtos</v>
      </c>
      <c r="X66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0.623</v>
      </c>
      <c r="Y663" t="s">
        <v>1536</v>
      </c>
    </row>
    <row r="664" spans="1:25" hidden="1">
      <c r="A664" s="1">
        <v>45723.743055555555</v>
      </c>
      <c r="B664" s="1">
        <v>45723.743055555555</v>
      </c>
      <c r="D664" t="s">
        <v>310</v>
      </c>
      <c r="E664" t="s">
        <v>149</v>
      </c>
      <c r="F664" t="s">
        <v>147</v>
      </c>
      <c r="G664" t="s">
        <v>163</v>
      </c>
      <c r="I664" s="4">
        <v>35</v>
      </c>
      <c r="J664" s="4">
        <v>35</v>
      </c>
      <c r="L664" t="s">
        <v>253</v>
      </c>
      <c r="M664" t="s">
        <v>1229</v>
      </c>
      <c r="N664" s="4">
        <f>IF(L664="","",IF(OR(Registro2[[#This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64" t="str">
        <f t="shared" si="10"/>
        <v>mar/25</v>
      </c>
      <c r="P664" t="str">
        <f>IF(Registro2[[#This Row],[Data de Pagamento]]&gt;0,TEXT(A664,"mmm/aa"),"")</f>
        <v>mar/25</v>
      </c>
      <c r="T664" s="4">
        <f>IF(Registro2[[#This Row],[Data de Pagamento]]="",0,IF(Registro2[[#This Row],[Conta Financeira]]=base!$A$6,0,Registro2[[#This Row],[Valor Unitário]]))</f>
        <v>35</v>
      </c>
      <c r="U6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64" t="str">
        <f>VLOOKUP(Registro2[[#This Row],[Categoria]],'Plano de Contas'!$V$3:W699,2,0)</f>
        <v>Receitas Serviços</v>
      </c>
      <c r="X66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664" t="s">
        <v>1536</v>
      </c>
    </row>
    <row r="665" spans="1:25" hidden="1">
      <c r="A665" s="1">
        <v>45723.75</v>
      </c>
      <c r="B665" s="1">
        <v>45723.75</v>
      </c>
      <c r="D665" t="s">
        <v>310</v>
      </c>
      <c r="E665" t="s">
        <v>149</v>
      </c>
      <c r="F665" t="s">
        <v>147</v>
      </c>
      <c r="G665" t="s">
        <v>163</v>
      </c>
      <c r="I665" s="4">
        <v>35</v>
      </c>
      <c r="J665" s="4">
        <v>35</v>
      </c>
      <c r="L665" t="s">
        <v>252</v>
      </c>
      <c r="M665" t="s">
        <v>73</v>
      </c>
      <c r="N665" s="4">
        <f>IF(L665="","",IF(OR(Registro2[[#This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65" t="str">
        <f t="shared" si="10"/>
        <v>mar/25</v>
      </c>
      <c r="P665" t="str">
        <f>IF(Registro2[[#This Row],[Data de Pagamento]]&gt;0,TEXT(A665,"mmm/aa"),"")</f>
        <v>mar/25</v>
      </c>
      <c r="T665" s="4">
        <f>IF(Registro2[[#This Row],[Data de Pagamento]]="",0,IF(Registro2[[#This Row],[Conta Financeira]]=base!$A$6,0,Registro2[[#This Row],[Valor Unitário]]))</f>
        <v>35</v>
      </c>
      <c r="U6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65" t="str">
        <f>VLOOKUP(Registro2[[#This Row],[Categoria]],'Plano de Contas'!$V$3:W695,2,0)</f>
        <v>Receitas Serviços</v>
      </c>
      <c r="X66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665" t="s">
        <v>1536</v>
      </c>
    </row>
    <row r="666" spans="1:25" hidden="1">
      <c r="A666" s="1">
        <v>45723.770833333336</v>
      </c>
      <c r="B666" s="1">
        <v>45723.770833333336</v>
      </c>
      <c r="D666" t="s">
        <v>2</v>
      </c>
      <c r="E666" t="s">
        <v>149</v>
      </c>
      <c r="F666" t="s">
        <v>147</v>
      </c>
      <c r="G666" t="s">
        <v>163</v>
      </c>
      <c r="I666" s="4">
        <v>35</v>
      </c>
      <c r="J666" s="4">
        <v>45</v>
      </c>
      <c r="L666" t="s">
        <v>253</v>
      </c>
      <c r="M666" t="s">
        <v>1220</v>
      </c>
      <c r="N666" s="4">
        <f>IF(L666="","",IF(OR(Registro2[[#This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66" t="str">
        <f t="shared" si="10"/>
        <v>mar/25</v>
      </c>
      <c r="P666" t="str">
        <f>IF(Registro2[[#This Row],[Data de Pagamento]]&gt;0,TEXT(A666,"mmm/aa"),"")</f>
        <v>mar/25</v>
      </c>
      <c r="T666" s="4">
        <f>IF(Registro2[[#This Row],[Data de Pagamento]]="",0,IF(Registro2[[#This Row],[Conta Financeira]]=base!$A$6,0,Registro2[[#This Row],[Valor Unitário]]))</f>
        <v>35</v>
      </c>
      <c r="U6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66" t="str">
        <f>VLOOKUP(Registro2[[#This Row],[Categoria]],'Plano de Contas'!$V$3:W691,2,0)</f>
        <v>Receitas Serviços</v>
      </c>
      <c r="X6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66" t="s">
        <v>1536</v>
      </c>
    </row>
    <row r="667" spans="1:25" hidden="1">
      <c r="A667" s="1">
        <v>45723.770833333336</v>
      </c>
      <c r="B667" s="1">
        <v>45723.770833333336</v>
      </c>
      <c r="D667" t="s">
        <v>2</v>
      </c>
      <c r="E667" t="s">
        <v>149</v>
      </c>
      <c r="F667" t="s">
        <v>147</v>
      </c>
      <c r="G667" t="s">
        <v>167</v>
      </c>
      <c r="I667" s="4">
        <v>10</v>
      </c>
      <c r="J667" s="4"/>
      <c r="L667" t="s">
        <v>253</v>
      </c>
      <c r="M667" t="s">
        <v>1220</v>
      </c>
      <c r="N667" s="4">
        <f>IF(L667="","",IF(OR(Registro2[[#This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667" t="str">
        <f t="shared" si="10"/>
        <v>mar/25</v>
      </c>
      <c r="P667" t="str">
        <f>IF(Registro2[[#This Row],[Data de Pagamento]]&gt;0,TEXT(A667,"mmm/aa"),"")</f>
        <v>mar/25</v>
      </c>
      <c r="T667" s="4">
        <f>IF(Registro2[[#This Row],[Data de Pagamento]]="",0,IF(Registro2[[#This Row],[Conta Financeira]]=base!$A$6,0,Registro2[[#This Row],[Valor Unitário]]))</f>
        <v>10</v>
      </c>
      <c r="U6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67" t="str">
        <f>VLOOKUP(Registro2[[#This Row],[Categoria]],'Plano de Contas'!$V$3:W692,2,0)</f>
        <v>Receitas Serviços</v>
      </c>
      <c r="X66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67" t="s">
        <v>1536</v>
      </c>
    </row>
    <row r="668" spans="1:25" hidden="1">
      <c r="A668" s="1">
        <v>45723.770833333336</v>
      </c>
      <c r="B668" s="1">
        <v>45723.770833333336</v>
      </c>
      <c r="D668" t="s">
        <v>1</v>
      </c>
      <c r="E668" t="s">
        <v>149</v>
      </c>
      <c r="F668" t="s">
        <v>147</v>
      </c>
      <c r="G668" t="s">
        <v>163</v>
      </c>
      <c r="I668" s="4">
        <v>35</v>
      </c>
      <c r="J668" s="4">
        <v>35</v>
      </c>
      <c r="L668" t="s">
        <v>264</v>
      </c>
      <c r="M668" t="s">
        <v>1233</v>
      </c>
      <c r="N668" s="4">
        <f>IF(L668="","",IF(OR(Registro2[[#This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68" t="str">
        <f t="shared" si="10"/>
        <v>mar/25</v>
      </c>
      <c r="P668" t="str">
        <f>IF(Registro2[[#This Row],[Data de Pagamento]]&gt;0,TEXT(A668,"mmm/aa"),"")</f>
        <v>mar/25</v>
      </c>
      <c r="T668" s="4">
        <f>IF(Registro2[[#This Row],[Data de Pagamento]]="",0,IF(Registro2[[#This Row],[Conta Financeira]]=base!$A$6,0,Registro2[[#This Row],[Valor Unitário]]))</f>
        <v>35</v>
      </c>
      <c r="U6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68" t="str">
        <f>VLOOKUP(Registro2[[#This Row],[Categoria]],'Plano de Contas'!$V$3:W703,2,0)</f>
        <v>Receitas Serviços</v>
      </c>
      <c r="X66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68" t="s">
        <v>1536</v>
      </c>
    </row>
    <row r="669" spans="1:25" hidden="1">
      <c r="A669" s="1">
        <v>45723.78125</v>
      </c>
      <c r="B669" s="1">
        <v>45723.78125</v>
      </c>
      <c r="D669" t="s">
        <v>354</v>
      </c>
      <c r="E669" t="s">
        <v>149</v>
      </c>
      <c r="F669" t="s">
        <v>147</v>
      </c>
      <c r="G669" t="s">
        <v>163</v>
      </c>
      <c r="I669" s="4">
        <v>35</v>
      </c>
      <c r="J669" s="4">
        <v>70</v>
      </c>
      <c r="L669" t="s">
        <v>253</v>
      </c>
      <c r="M669" t="s">
        <v>479</v>
      </c>
      <c r="N669" s="4">
        <f>IF(L669="","",IF(OR(Registro2[[#This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69" t="str">
        <f t="shared" si="10"/>
        <v>mar/25</v>
      </c>
      <c r="P669" t="str">
        <f>IF(Registro2[[#This Row],[Data de Pagamento]]&gt;0,TEXT(A669,"mmm/aa"),"")</f>
        <v>mar/25</v>
      </c>
      <c r="T669" s="4">
        <f>IF(Registro2[[#This Row],[Data de Pagamento]]="",0,IF(Registro2[[#This Row],[Conta Financeira]]=base!$A$6,0,Registro2[[#This Row],[Valor Unitário]]))</f>
        <v>35</v>
      </c>
      <c r="U6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69" t="str">
        <f>VLOOKUP(Registro2[[#This Row],[Categoria]],'Plano de Contas'!$V$3:W704,2,0)</f>
        <v>Receitas Serviços</v>
      </c>
      <c r="X66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669" t="s">
        <v>1536</v>
      </c>
    </row>
    <row r="670" spans="1:25" hidden="1">
      <c r="A670" s="1">
        <v>45723.78125</v>
      </c>
      <c r="B670" s="1">
        <v>45723.78125</v>
      </c>
      <c r="D670" t="s">
        <v>354</v>
      </c>
      <c r="E670" t="s">
        <v>149</v>
      </c>
      <c r="F670" t="s">
        <v>147</v>
      </c>
      <c r="G670" t="s">
        <v>163</v>
      </c>
      <c r="I670" s="4">
        <v>35</v>
      </c>
      <c r="J670" s="4"/>
      <c r="L670" t="s">
        <v>252</v>
      </c>
      <c r="M670" t="s">
        <v>479</v>
      </c>
      <c r="N670" s="4">
        <f>IF(L670="","",IF(OR(Registro2[[#This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70" t="str">
        <f t="shared" si="10"/>
        <v>mar/25</v>
      </c>
      <c r="P670" t="str">
        <f>IF(Registro2[[#This Row],[Data de Pagamento]]&gt;0,TEXT(A670,"mmm/aa"),"")</f>
        <v>mar/25</v>
      </c>
      <c r="T670" s="4">
        <f>IF(Registro2[[#This Row],[Data de Pagamento]]="",0,IF(Registro2[[#This Row],[Conta Financeira]]=base!$A$6,0,Registro2[[#This Row],[Valor Unitário]]))</f>
        <v>35</v>
      </c>
      <c r="U6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70" t="str">
        <f>VLOOKUP(Registro2[[#This Row],[Categoria]],'Plano de Contas'!$V$3:W705,2,0)</f>
        <v>Receitas Serviços</v>
      </c>
      <c r="X67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670" t="s">
        <v>1536</v>
      </c>
    </row>
    <row r="671" spans="1:25" hidden="1">
      <c r="A671" s="1">
        <v>45723.791666666664</v>
      </c>
      <c r="B671" s="1">
        <v>45723.791666666664</v>
      </c>
      <c r="D671" t="s">
        <v>1</v>
      </c>
      <c r="E671" t="s">
        <v>149</v>
      </c>
      <c r="F671" t="s">
        <v>147</v>
      </c>
      <c r="G671" t="s">
        <v>163</v>
      </c>
      <c r="I671" s="4">
        <v>35</v>
      </c>
      <c r="J671" s="4">
        <v>70</v>
      </c>
      <c r="L671" t="s">
        <v>253</v>
      </c>
      <c r="M671" t="s">
        <v>16</v>
      </c>
      <c r="N671" s="4">
        <f>IF(L671="","",IF(OR(Registro2[[#This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71" t="str">
        <f t="shared" si="10"/>
        <v>mar/25</v>
      </c>
      <c r="P671" t="str">
        <f>IF(Registro2[[#This Row],[Data de Pagamento]]&gt;0,TEXT(A671,"mmm/aa"),"")</f>
        <v>mar/25</v>
      </c>
      <c r="T671" s="4">
        <f>IF(Registro2[[#This Row],[Data de Pagamento]]="",0,IF(Registro2[[#This Row],[Conta Financeira]]=base!$A$6,0,Registro2[[#This Row],[Valor Unitário]]))</f>
        <v>35</v>
      </c>
      <c r="U6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71" t="str">
        <f>VLOOKUP(Registro2[[#This Row],[Categoria]],'Plano de Contas'!$V$3:W680,2,0)</f>
        <v>Receitas Serviços</v>
      </c>
      <c r="X67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71" t="s">
        <v>1536</v>
      </c>
    </row>
    <row r="672" spans="1:25" hidden="1">
      <c r="A672" s="1">
        <v>45723.791666666664</v>
      </c>
      <c r="B672" s="1">
        <v>45723.791666666664</v>
      </c>
      <c r="D672" t="s">
        <v>1</v>
      </c>
      <c r="E672" t="s">
        <v>149</v>
      </c>
      <c r="F672" t="s">
        <v>147</v>
      </c>
      <c r="G672" t="s">
        <v>163</v>
      </c>
      <c r="I672" s="4">
        <v>35</v>
      </c>
      <c r="J672" s="4"/>
      <c r="L672" t="s">
        <v>252</v>
      </c>
      <c r="M672" t="s">
        <v>16</v>
      </c>
      <c r="N672" s="4">
        <f>IF(L672="","",IF(OR(Registro2[[#This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72" t="str">
        <f t="shared" si="10"/>
        <v>mar/25</v>
      </c>
      <c r="P672" t="str">
        <f>IF(Registro2[[#This Row],[Data de Pagamento]]&gt;0,TEXT(A672,"mmm/aa"),"")</f>
        <v>mar/25</v>
      </c>
      <c r="T672" s="4">
        <f>IF(Registro2[[#This Row],[Data de Pagamento]]="",0,IF(Registro2[[#This Row],[Conta Financeira]]=base!$A$6,0,Registro2[[#This Row],[Valor Unitário]]))</f>
        <v>35</v>
      </c>
      <c r="U6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72" t="str">
        <f>VLOOKUP(Registro2[[#This Row],[Categoria]],'Plano de Contas'!$V$3:W681,2,0)</f>
        <v>Receitas Serviços</v>
      </c>
      <c r="X67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72" t="s">
        <v>1536</v>
      </c>
    </row>
    <row r="673" spans="1:25" hidden="1">
      <c r="A673" s="1">
        <v>45723.791666666664</v>
      </c>
      <c r="B673" s="1">
        <v>45723.791666666664</v>
      </c>
      <c r="D673" t="s">
        <v>1</v>
      </c>
      <c r="E673" t="s">
        <v>149</v>
      </c>
      <c r="F673" t="s">
        <v>147</v>
      </c>
      <c r="G673" t="s">
        <v>163</v>
      </c>
      <c r="I673" s="4">
        <v>35</v>
      </c>
      <c r="J673" s="4">
        <v>35</v>
      </c>
      <c r="L673" t="s">
        <v>264</v>
      </c>
      <c r="M673" t="s">
        <v>289</v>
      </c>
      <c r="N673" s="4">
        <f>IF(L673="","",IF(OR(Registro2[[#This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73" t="str">
        <f t="shared" si="10"/>
        <v>mar/25</v>
      </c>
      <c r="P673" t="str">
        <f>IF(Registro2[[#This Row],[Data de Pagamento]]&gt;0,TEXT(A673,"mmm/aa"),"")</f>
        <v>mar/25</v>
      </c>
      <c r="T673" s="4">
        <f>IF(Registro2[[#This Row],[Data de Pagamento]]="",0,IF(Registro2[[#This Row],[Conta Financeira]]=base!$A$6,0,Registro2[[#This Row],[Valor Unitário]]))</f>
        <v>35</v>
      </c>
      <c r="U6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73" t="str">
        <f>VLOOKUP(Registro2[[#This Row],[Categoria]],'Plano de Contas'!$V$3:W702,2,0)</f>
        <v>Receitas Serviços</v>
      </c>
      <c r="X67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73" t="s">
        <v>1536</v>
      </c>
    </row>
    <row r="674" spans="1:25" hidden="1">
      <c r="A674" s="1">
        <v>45723.8125</v>
      </c>
      <c r="B674" s="1">
        <v>45723.8125</v>
      </c>
      <c r="D674" t="s">
        <v>1</v>
      </c>
      <c r="E674" t="s">
        <v>149</v>
      </c>
      <c r="F674" t="s">
        <v>147</v>
      </c>
      <c r="G674" t="s">
        <v>163</v>
      </c>
      <c r="I674" s="4">
        <v>45</v>
      </c>
      <c r="J674" s="4">
        <v>45</v>
      </c>
      <c r="L674" t="s">
        <v>264</v>
      </c>
      <c r="M674" t="s">
        <v>286</v>
      </c>
      <c r="N674" s="4">
        <f>IF(L674="","",IF(OR(Registro2[[#This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20.25</v>
      </c>
      <c r="O674" t="str">
        <f t="shared" si="10"/>
        <v>mar/25</v>
      </c>
      <c r="P674" t="str">
        <f>IF(Registro2[[#This Row],[Data de Pagamento]]&gt;0,TEXT(A674,"mmm/aa"),"")</f>
        <v>mar/25</v>
      </c>
      <c r="T674" s="4">
        <f>IF(Registro2[[#This Row],[Data de Pagamento]]="",0,IF(Registro2[[#This Row],[Conta Financeira]]=base!$A$6,0,Registro2[[#This Row],[Valor Unitário]]))</f>
        <v>45</v>
      </c>
      <c r="U6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74" t="str">
        <f>VLOOKUP(Registro2[[#This Row],[Categoria]],'Plano de Contas'!$V$3:W1013,2,0)</f>
        <v>Receitas Serviços</v>
      </c>
      <c r="X67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74" t="s">
        <v>1536</v>
      </c>
    </row>
    <row r="675" spans="1:25" hidden="1">
      <c r="A675" s="1">
        <v>45723.822916666664</v>
      </c>
      <c r="B675" s="1">
        <v>45723.822916666664</v>
      </c>
      <c r="D675" t="s">
        <v>354</v>
      </c>
      <c r="E675" t="s">
        <v>149</v>
      </c>
      <c r="F675" t="s">
        <v>152</v>
      </c>
      <c r="G675" t="s">
        <v>353</v>
      </c>
      <c r="I675" s="4">
        <v>60</v>
      </c>
      <c r="J675" s="4">
        <v>55</v>
      </c>
      <c r="L675" t="s">
        <v>252</v>
      </c>
      <c r="M675" t="s">
        <v>1238</v>
      </c>
      <c r="N675" s="4">
        <f>IF(L675="","",IF(OR(Registro2[[#This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675" t="str">
        <f t="shared" si="10"/>
        <v>mar/25</v>
      </c>
      <c r="P675" t="str">
        <f>IF(Registro2[[#This Row],[Data de Pagamento]]&gt;0,TEXT(A675,"mmm/aa"),"")</f>
        <v>mar/25</v>
      </c>
      <c r="T675" s="4">
        <f>IF(Registro2[[#This Row],[Data de Pagamento]]="",0,IF(Registro2[[#This Row],[Conta Financeira]]=base!$A$6,0,Registro2[[#This Row],[Valor Unitário]]))</f>
        <v>60</v>
      </c>
      <c r="U6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75" t="str">
        <f>VLOOKUP(Registro2[[#This Row],[Categoria]],'Plano de Contas'!$V$3:W708,2,0)</f>
        <v>Receitas Serviços</v>
      </c>
      <c r="X67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  <c r="Y675" t="s">
        <v>1536</v>
      </c>
    </row>
    <row r="676" spans="1:25" hidden="1">
      <c r="A676" s="1">
        <v>45723.833333333336</v>
      </c>
      <c r="B676" s="1">
        <v>45723.833333333336</v>
      </c>
      <c r="D676" t="s">
        <v>1</v>
      </c>
      <c r="E676" t="s">
        <v>149</v>
      </c>
      <c r="F676" t="s">
        <v>147</v>
      </c>
      <c r="G676" t="s">
        <v>165</v>
      </c>
      <c r="I676" s="4">
        <v>65</v>
      </c>
      <c r="J676" s="4">
        <v>65</v>
      </c>
      <c r="L676" t="s">
        <v>253</v>
      </c>
      <c r="M676" t="s">
        <v>500</v>
      </c>
      <c r="N676" s="4">
        <f>IF(L676="","",IF(OR(Registro2[[#This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29.25</v>
      </c>
      <c r="O676" t="str">
        <f t="shared" si="10"/>
        <v>mar/25</v>
      </c>
      <c r="P676" t="str">
        <f>IF(Registro2[[#This Row],[Data de Pagamento]]&gt;0,TEXT(A676,"mmm/aa"),"")</f>
        <v>mar/25</v>
      </c>
      <c r="T676" s="4">
        <f>IF(Registro2[[#This Row],[Data de Pagamento]]="",0,IF(Registro2[[#This Row],[Conta Financeira]]=base!$A$6,0,Registro2[[#This Row],[Valor Unitário]]))</f>
        <v>65</v>
      </c>
      <c r="U6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76" t="str">
        <f>VLOOKUP(Registro2[[#This Row],[Categoria]],'Plano de Contas'!$V$3:W709,2,0)</f>
        <v>Receitas Serviços</v>
      </c>
      <c r="X67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76" t="s">
        <v>1536</v>
      </c>
    </row>
    <row r="677" spans="1:25" hidden="1">
      <c r="A677" s="1">
        <v>45723.854166666664</v>
      </c>
      <c r="B677" s="1">
        <v>45723.854166666664</v>
      </c>
      <c r="D677" t="s">
        <v>2</v>
      </c>
      <c r="E677" t="s">
        <v>149</v>
      </c>
      <c r="F677" t="s">
        <v>147</v>
      </c>
      <c r="G677" t="s">
        <v>163</v>
      </c>
      <c r="I677" s="4">
        <v>35</v>
      </c>
      <c r="J677" s="4">
        <v>20</v>
      </c>
      <c r="L677" t="s">
        <v>252</v>
      </c>
      <c r="M677" t="s">
        <v>796</v>
      </c>
      <c r="N677" s="4">
        <f>IF(L677="","",IF(OR(Registro2[[#This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77" t="str">
        <f t="shared" si="10"/>
        <v>mar/25</v>
      </c>
      <c r="P677" t="str">
        <f>IF(Registro2[[#This Row],[Data de Pagamento]]&gt;0,TEXT(A677,"mmm/aa"),"")</f>
        <v>mar/25</v>
      </c>
      <c r="T677" s="4">
        <f>IF(Registro2[[#This Row],[Data de Pagamento]]="",0,IF(Registro2[[#This Row],[Conta Financeira]]=base!$A$6,0,Registro2[[#This Row],[Valor Unitário]]))</f>
        <v>35</v>
      </c>
      <c r="U6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77" t="str">
        <f>VLOOKUP(Registro2[[#This Row],[Categoria]],'Plano de Contas'!$V$3:W1014,2,0)</f>
        <v>Receitas Serviços</v>
      </c>
      <c r="X67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77" t="s">
        <v>1536</v>
      </c>
    </row>
    <row r="678" spans="1:25" hidden="1">
      <c r="A678" s="1">
        <v>45723.90625</v>
      </c>
      <c r="B678" s="1">
        <v>45723.90625</v>
      </c>
      <c r="D678" t="s">
        <v>1</v>
      </c>
      <c r="E678" t="s">
        <v>149</v>
      </c>
      <c r="F678" t="s">
        <v>147</v>
      </c>
      <c r="G678" t="s">
        <v>163</v>
      </c>
      <c r="I678" s="4">
        <v>35</v>
      </c>
      <c r="J678" s="4">
        <v>35</v>
      </c>
      <c r="L678" t="s">
        <v>264</v>
      </c>
      <c r="M678" t="s">
        <v>202</v>
      </c>
      <c r="N678" s="4">
        <f>IF(L678="","",IF(OR(Registro2[[#This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78" t="str">
        <f t="shared" si="10"/>
        <v>mar/25</v>
      </c>
      <c r="P678" t="str">
        <f>IF(Registro2[[#This Row],[Data de Pagamento]]&gt;0,TEXT(A678,"mmm/aa"),"")</f>
        <v>mar/25</v>
      </c>
      <c r="T678" s="4">
        <f>IF(Registro2[[#This Row],[Data de Pagamento]]="",0,IF(Registro2[[#This Row],[Conta Financeira]]=base!$A$6,0,Registro2[[#This Row],[Valor Unitário]]))</f>
        <v>35</v>
      </c>
      <c r="U6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78" t="str">
        <f>VLOOKUP(Registro2[[#This Row],[Categoria]],'Plano de Contas'!$V$3:W1015,2,0)</f>
        <v>Receitas Serviços</v>
      </c>
      <c r="X6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78" t="s">
        <v>1536</v>
      </c>
    </row>
    <row r="679" spans="1:25" hidden="1">
      <c r="A679" s="1">
        <v>45724.375</v>
      </c>
      <c r="B679" s="1">
        <v>45724.375</v>
      </c>
      <c r="D679" t="s">
        <v>1</v>
      </c>
      <c r="E679" t="s">
        <v>149</v>
      </c>
      <c r="F679" t="s">
        <v>147</v>
      </c>
      <c r="G679" t="s">
        <v>163</v>
      </c>
      <c r="I679" s="4">
        <v>35</v>
      </c>
      <c r="J679" s="4">
        <v>35</v>
      </c>
      <c r="L679" t="s">
        <v>253</v>
      </c>
      <c r="M679" t="s">
        <v>384</v>
      </c>
      <c r="N679" s="4">
        <f>IF(L679="","",IF(OR(Registro2[[#This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79" t="str">
        <f t="shared" si="10"/>
        <v>mar/25</v>
      </c>
      <c r="P679" t="str">
        <f>IF(Registro2[[#This Row],[Data de Pagamento]]&gt;0,TEXT(A679,"mmm/aa"),"")</f>
        <v>mar/25</v>
      </c>
      <c r="T679" s="4">
        <f>IF(Registro2[[#This Row],[Data de Pagamento]]="",0,IF(Registro2[[#This Row],[Conta Financeira]]=base!$A$6,0,Registro2[[#This Row],[Valor Unitário]]))</f>
        <v>35</v>
      </c>
      <c r="U6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79" t="str">
        <f>VLOOKUP(Registro2[[#This Row],[Categoria]],'Plano de Contas'!$V$3:W755,2,0)</f>
        <v>Receitas Serviços</v>
      </c>
      <c r="X67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79" t="s">
        <v>1536</v>
      </c>
    </row>
    <row r="680" spans="1:25" hidden="1">
      <c r="A680" s="1">
        <v>45724.375</v>
      </c>
      <c r="B680" s="1">
        <v>45724.375</v>
      </c>
      <c r="D680" t="s">
        <v>310</v>
      </c>
      <c r="E680" t="s">
        <v>149</v>
      </c>
      <c r="F680" t="s">
        <v>147</v>
      </c>
      <c r="G680" t="s">
        <v>163</v>
      </c>
      <c r="I680" s="4">
        <v>20</v>
      </c>
      <c r="J680" s="4">
        <v>25</v>
      </c>
      <c r="L680" t="s">
        <v>264</v>
      </c>
      <c r="M680" t="s">
        <v>1317</v>
      </c>
      <c r="N680" s="4">
        <f>IF(L680="","",IF(OR(Registro2[[#This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680" t="str">
        <f t="shared" si="10"/>
        <v>mar/25</v>
      </c>
      <c r="P680" t="str">
        <f>IF(Registro2[[#This Row],[Data de Pagamento]]&gt;0,TEXT(A680,"mmm/aa"),"")</f>
        <v>mar/25</v>
      </c>
      <c r="T680" s="4">
        <f>IF(Registro2[[#This Row],[Data de Pagamento]]="",0,IF(Registro2[[#This Row],[Conta Financeira]]=base!$A$6,0,Registro2[[#This Row],[Valor Unitário]]))</f>
        <v>20</v>
      </c>
      <c r="U6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80" t="str">
        <f>VLOOKUP(Registro2[[#This Row],[Categoria]],'Plano de Contas'!$V$3:W765,2,0)</f>
        <v>Receitas Serviços</v>
      </c>
      <c r="X68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  <c r="Y680" t="s">
        <v>1536</v>
      </c>
    </row>
    <row r="681" spans="1:25" hidden="1">
      <c r="A681" s="1">
        <v>45724.375</v>
      </c>
      <c r="B681" s="1">
        <v>45724.375</v>
      </c>
      <c r="D681" t="s">
        <v>310</v>
      </c>
      <c r="E681" t="s">
        <v>149</v>
      </c>
      <c r="F681" t="s">
        <v>910</v>
      </c>
      <c r="G681" t="s">
        <v>910</v>
      </c>
      <c r="I681" s="4">
        <v>5</v>
      </c>
      <c r="J681" s="4"/>
      <c r="L681" t="s">
        <v>264</v>
      </c>
      <c r="M681" t="s">
        <v>1317</v>
      </c>
      <c r="N681" s="4" t="str">
        <f>IF(L681="","",IF(OR(Registro2[[#This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681" t="str">
        <f t="shared" si="10"/>
        <v>mar/25</v>
      </c>
      <c r="P681" t="str">
        <f>IF(Registro2[[#This Row],[Data de Pagamento]]&gt;0,TEXT(A681,"mmm/aa"),"")</f>
        <v>mar/25</v>
      </c>
      <c r="T681" s="4">
        <f>IF(Registro2[[#This Row],[Data de Pagamento]]="",0,IF(Registro2[[#This Row],[Conta Financeira]]=base!$A$6,0,Registro2[[#This Row],[Valor Unitário]]))</f>
        <v>5</v>
      </c>
      <c r="U6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81" t="str">
        <f>VLOOKUP(Registro2[[#This Row],[Categoria]],'Plano de Contas'!$V$3:W766,2,0)</f>
        <v>Outras Receitas</v>
      </c>
      <c r="X68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4.4499999999999998E-2</v>
      </c>
      <c r="Y681" t="s">
        <v>1536</v>
      </c>
    </row>
    <row r="682" spans="1:25" hidden="1">
      <c r="A682" s="1">
        <v>45724.40625</v>
      </c>
      <c r="B682" s="1">
        <v>45724.40625</v>
      </c>
      <c r="D682" t="s">
        <v>310</v>
      </c>
      <c r="E682" t="s">
        <v>149</v>
      </c>
      <c r="F682" t="s">
        <v>147</v>
      </c>
      <c r="G682" t="s">
        <v>163</v>
      </c>
      <c r="I682" s="4">
        <v>35</v>
      </c>
      <c r="J682" s="4">
        <v>60</v>
      </c>
      <c r="L682" t="s">
        <v>252</v>
      </c>
      <c r="M682" t="s">
        <v>1310</v>
      </c>
      <c r="N682" s="4">
        <f>IF(L682="","",IF(OR(Registro2[[#This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82" t="str">
        <f t="shared" si="10"/>
        <v>mar/25</v>
      </c>
      <c r="P682" t="str">
        <f>IF(Registro2[[#This Row],[Data de Pagamento]]&gt;0,TEXT(A682,"mmm/aa"),"")</f>
        <v>mar/25</v>
      </c>
      <c r="T682" s="4">
        <f>IF(Registro2[[#This Row],[Data de Pagamento]]="",0,IF(Registro2[[#This Row],[Conta Financeira]]=base!$A$6,0,Registro2[[#This Row],[Valor Unitário]]))</f>
        <v>35</v>
      </c>
      <c r="U6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82" t="str">
        <f>VLOOKUP(Registro2[[#This Row],[Categoria]],'Plano de Contas'!$V$3:W758,2,0)</f>
        <v>Receitas Serviços</v>
      </c>
      <c r="X68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682" t="s">
        <v>1536</v>
      </c>
    </row>
    <row r="683" spans="1:25" hidden="1">
      <c r="A683" s="1">
        <v>45724.40625</v>
      </c>
      <c r="B683" s="1">
        <v>45724.40625</v>
      </c>
      <c r="D683" t="s">
        <v>310</v>
      </c>
      <c r="E683" t="s">
        <v>149</v>
      </c>
      <c r="F683" t="s">
        <v>150</v>
      </c>
      <c r="G683" t="s">
        <v>508</v>
      </c>
      <c r="I683" s="4">
        <v>25</v>
      </c>
      <c r="J683" s="4"/>
      <c r="L683" t="s">
        <v>252</v>
      </c>
      <c r="M683" t="s">
        <v>1310</v>
      </c>
      <c r="N683" s="4">
        <f>IF(L683="","",IF(OR(Registro2[[#This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683" t="str">
        <f t="shared" si="10"/>
        <v>mar/25</v>
      </c>
      <c r="P683" t="str">
        <f>IF(Registro2[[#This Row],[Data de Pagamento]]&gt;0,TEXT(A683,"mmm/aa"),"")</f>
        <v>mar/25</v>
      </c>
      <c r="T683" s="4">
        <f>IF(Registro2[[#This Row],[Data de Pagamento]]="",0,IF(Registro2[[#This Row],[Conta Financeira]]=base!$A$6,0,Registro2[[#This Row],[Valor Unitário]]))</f>
        <v>25</v>
      </c>
      <c r="U6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83" t="str">
        <f>VLOOKUP(Registro2[[#This Row],[Categoria]],'Plano de Contas'!$V$3:W759,2,0)</f>
        <v>Receitas Produtos</v>
      </c>
      <c r="X68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0.2225</v>
      </c>
      <c r="Y683" t="s">
        <v>1536</v>
      </c>
    </row>
    <row r="684" spans="1:25" hidden="1">
      <c r="A684" s="1">
        <v>45724.416666666664</v>
      </c>
      <c r="B684" s="1">
        <v>45724.416666666664</v>
      </c>
      <c r="D684" t="s">
        <v>310</v>
      </c>
      <c r="E684" t="s">
        <v>149</v>
      </c>
      <c r="F684" t="s">
        <v>147</v>
      </c>
      <c r="G684" t="s">
        <v>163</v>
      </c>
      <c r="I684" s="4">
        <v>35</v>
      </c>
      <c r="J684" s="4">
        <v>35</v>
      </c>
      <c r="L684" t="s">
        <v>253</v>
      </c>
      <c r="M684" t="s">
        <v>1306</v>
      </c>
      <c r="N684" s="4">
        <f>IF(L684="","",IF(OR(Registro2[[#This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84" t="str">
        <f t="shared" si="10"/>
        <v>mar/25</v>
      </c>
      <c r="P684" t="str">
        <f>IF(Registro2[[#This Row],[Data de Pagamento]]&gt;0,TEXT(A684,"mmm/aa"),"")</f>
        <v>mar/25</v>
      </c>
      <c r="T684" s="4">
        <f>IF(Registro2[[#This Row],[Data de Pagamento]]="",0,IF(Registro2[[#This Row],[Conta Financeira]]=base!$A$6,0,Registro2[[#This Row],[Valor Unitário]]))</f>
        <v>35</v>
      </c>
      <c r="U6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84" t="str">
        <f>VLOOKUP(Registro2[[#This Row],[Categoria]],'Plano de Contas'!$V$3:W754,2,0)</f>
        <v>Receitas Serviços</v>
      </c>
      <c r="X68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684" t="s">
        <v>1536</v>
      </c>
    </row>
    <row r="685" spans="1:25" hidden="1">
      <c r="A685" s="1">
        <v>45724.427083333336</v>
      </c>
      <c r="B685" s="1">
        <v>45724.427083333336</v>
      </c>
      <c r="D685" t="s">
        <v>1</v>
      </c>
      <c r="E685" t="s">
        <v>149</v>
      </c>
      <c r="F685" t="s">
        <v>152</v>
      </c>
      <c r="G685" t="s">
        <v>353</v>
      </c>
      <c r="I685" s="4">
        <v>60</v>
      </c>
      <c r="J685" s="4">
        <v>55</v>
      </c>
      <c r="L685" t="s">
        <v>252</v>
      </c>
      <c r="M685" t="s">
        <v>1319</v>
      </c>
      <c r="N685" s="4">
        <f>IF(L685="","",IF(OR(Registro2[[#This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685" t="str">
        <f t="shared" si="10"/>
        <v>mar/25</v>
      </c>
      <c r="P685" t="str">
        <f>IF(Registro2[[#This Row],[Data de Pagamento]]&gt;0,TEXT(A685,"mmm/aa"),"")</f>
        <v>mar/25</v>
      </c>
      <c r="T685" s="4">
        <f>IF(Registro2[[#This Row],[Data de Pagamento]]="",0,IF(Registro2[[#This Row],[Conta Financeira]]=base!$A$6,0,Registro2[[#This Row],[Valor Unitário]]))</f>
        <v>60</v>
      </c>
      <c r="U6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85" t="str">
        <f>VLOOKUP(Registro2[[#This Row],[Categoria]],'Plano de Contas'!$V$3:W767,2,0)</f>
        <v>Receitas Serviços</v>
      </c>
      <c r="X68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85" t="s">
        <v>1536</v>
      </c>
    </row>
    <row r="686" spans="1:25" hidden="1">
      <c r="A686" s="1">
        <v>45724.4375</v>
      </c>
      <c r="B686" s="1">
        <v>45724.4375</v>
      </c>
      <c r="D686" t="s">
        <v>310</v>
      </c>
      <c r="E686" t="s">
        <v>149</v>
      </c>
      <c r="F686" t="s">
        <v>147</v>
      </c>
      <c r="G686" t="s">
        <v>163</v>
      </c>
      <c r="I686" s="4">
        <v>35</v>
      </c>
      <c r="J686" s="4">
        <v>35</v>
      </c>
      <c r="L686" t="s">
        <v>253</v>
      </c>
      <c r="M686" t="s">
        <v>87</v>
      </c>
      <c r="N686" s="4">
        <f>IF(L686="","",IF(OR(Registro2[[#This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86" t="str">
        <f t="shared" si="10"/>
        <v>mar/25</v>
      </c>
      <c r="P686" t="str">
        <f>IF(Registro2[[#This Row],[Data de Pagamento]]&gt;0,TEXT(A686,"mmm/aa"),"")</f>
        <v>mar/25</v>
      </c>
      <c r="T686" s="4">
        <f>IF(Registro2[[#This Row],[Data de Pagamento]]="",0,IF(Registro2[[#This Row],[Conta Financeira]]=base!$A$6,0,Registro2[[#This Row],[Valor Unitário]]))</f>
        <v>35</v>
      </c>
      <c r="U6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86" t="str">
        <f>VLOOKUP(Registro2[[#This Row],[Categoria]],'Plano de Contas'!$V$3:W750,2,0)</f>
        <v>Receitas Serviços</v>
      </c>
      <c r="X68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686" t="s">
        <v>1536</v>
      </c>
    </row>
    <row r="687" spans="1:25" hidden="1">
      <c r="A687" s="1">
        <v>45724.458333333336</v>
      </c>
      <c r="B687" s="1">
        <v>45724.458333333336</v>
      </c>
      <c r="D687" t="s">
        <v>1</v>
      </c>
      <c r="E687" t="s">
        <v>149</v>
      </c>
      <c r="F687" t="s">
        <v>147</v>
      </c>
      <c r="G687" t="s">
        <v>163</v>
      </c>
      <c r="I687" s="4">
        <v>35</v>
      </c>
      <c r="J687" s="4">
        <v>55</v>
      </c>
      <c r="L687" t="s">
        <v>253</v>
      </c>
      <c r="M687" t="s">
        <v>88</v>
      </c>
      <c r="N687" s="4">
        <f>IF(L687="","",IF(OR(Registro2[[#This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87" t="str">
        <f t="shared" si="10"/>
        <v>mar/25</v>
      </c>
      <c r="P687" t="str">
        <f>IF(Registro2[[#This Row],[Data de Pagamento]]&gt;0,TEXT(A687,"mmm/aa"),"")</f>
        <v>mar/25</v>
      </c>
      <c r="T687" s="4">
        <f>IF(Registro2[[#This Row],[Data de Pagamento]]="",0,IF(Registro2[[#This Row],[Conta Financeira]]=base!$A$6,0,Registro2[[#This Row],[Valor Unitário]]))</f>
        <v>35</v>
      </c>
      <c r="U6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87" t="str">
        <f>VLOOKUP(Registro2[[#This Row],[Categoria]],'Plano de Contas'!$V$3:W756,2,0)</f>
        <v>Receitas Serviços</v>
      </c>
      <c r="X68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87" t="s">
        <v>1536</v>
      </c>
    </row>
    <row r="688" spans="1:25" hidden="1">
      <c r="A688" s="1">
        <v>45724.458333333336</v>
      </c>
      <c r="B688" s="1">
        <v>45724.458333333336</v>
      </c>
      <c r="D688" t="s">
        <v>1</v>
      </c>
      <c r="E688" t="s">
        <v>149</v>
      </c>
      <c r="F688" t="s">
        <v>147</v>
      </c>
      <c r="G688" t="s">
        <v>1046</v>
      </c>
      <c r="I688" s="4">
        <v>20</v>
      </c>
      <c r="J688" s="4"/>
      <c r="L688" t="s">
        <v>253</v>
      </c>
      <c r="M688" t="s">
        <v>88</v>
      </c>
      <c r="N688" s="4">
        <f>IF(L688="","",IF(OR(Registro2[[#This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688" t="str">
        <f t="shared" si="10"/>
        <v>mar/25</v>
      </c>
      <c r="P688" t="str">
        <f>IF(Registro2[[#This Row],[Data de Pagamento]]&gt;0,TEXT(A688,"mmm/aa"),"")</f>
        <v>mar/25</v>
      </c>
      <c r="T688" s="4">
        <f>IF(Registro2[[#This Row],[Data de Pagamento]]="",0,IF(Registro2[[#This Row],[Conta Financeira]]=base!$A$6,0,Registro2[[#This Row],[Valor Unitário]]))</f>
        <v>20</v>
      </c>
      <c r="U6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88" t="str">
        <f>VLOOKUP(Registro2[[#This Row],[Categoria]],'Plano de Contas'!$V$3:W757,2,0)</f>
        <v>Receitas Serviços</v>
      </c>
      <c r="X68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88" t="s">
        <v>1536</v>
      </c>
    </row>
    <row r="689" spans="1:25" hidden="1">
      <c r="A689" s="1">
        <v>45724.458333333336</v>
      </c>
      <c r="B689" s="1">
        <v>45724.458333333336</v>
      </c>
      <c r="D689" t="s">
        <v>1</v>
      </c>
      <c r="E689" t="s">
        <v>149</v>
      </c>
      <c r="F689" t="s">
        <v>147</v>
      </c>
      <c r="G689" t="s">
        <v>163</v>
      </c>
      <c r="I689" s="4">
        <v>35</v>
      </c>
      <c r="J689" s="4">
        <v>45</v>
      </c>
      <c r="L689" t="s">
        <v>264</v>
      </c>
      <c r="M689" t="s">
        <v>1325</v>
      </c>
      <c r="N689" s="4">
        <f>IF(L689="","",IF(OR(Registro2[[#This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89" t="str">
        <f t="shared" si="10"/>
        <v>mar/25</v>
      </c>
      <c r="P689" t="str">
        <f>IF(Registro2[[#This Row],[Data de Pagamento]]&gt;0,TEXT(A689,"mmm/aa"),"")</f>
        <v>mar/25</v>
      </c>
      <c r="T689" s="4">
        <f>IF(Registro2[[#This Row],[Data de Pagamento]]="",0,IF(Registro2[[#This Row],[Conta Financeira]]=base!$A$6,0,Registro2[[#This Row],[Valor Unitário]]))</f>
        <v>35</v>
      </c>
      <c r="U6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89" t="str">
        <f>VLOOKUP(Registro2[[#This Row],[Categoria]],'Plano de Contas'!$V$3:W772,2,0)</f>
        <v>Receitas Serviços</v>
      </c>
      <c r="X68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89" t="s">
        <v>1536</v>
      </c>
    </row>
    <row r="690" spans="1:25" hidden="1">
      <c r="A690" s="1">
        <v>45724.458333333336</v>
      </c>
      <c r="B690" s="1">
        <v>45724.458333333336</v>
      </c>
      <c r="D690" t="s">
        <v>1</v>
      </c>
      <c r="E690" t="s">
        <v>149</v>
      </c>
      <c r="F690" t="s">
        <v>147</v>
      </c>
      <c r="G690" t="s">
        <v>167</v>
      </c>
      <c r="I690" s="4">
        <v>10</v>
      </c>
      <c r="J690" s="4"/>
      <c r="L690" t="s">
        <v>264</v>
      </c>
      <c r="M690" t="s">
        <v>1325</v>
      </c>
      <c r="N690" s="4">
        <f>IF(L690="","",IF(OR(Registro2[[#This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690" t="str">
        <f t="shared" si="10"/>
        <v>mar/25</v>
      </c>
      <c r="P690" t="str">
        <f>IF(Registro2[[#This Row],[Data de Pagamento]]&gt;0,TEXT(A690,"mmm/aa"),"")</f>
        <v>mar/25</v>
      </c>
      <c r="T690" s="4">
        <f>IF(Registro2[[#This Row],[Data de Pagamento]]="",0,IF(Registro2[[#This Row],[Conta Financeira]]=base!$A$6,0,Registro2[[#This Row],[Valor Unitário]]))</f>
        <v>10</v>
      </c>
      <c r="U6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90" t="str">
        <f>VLOOKUP(Registro2[[#This Row],[Categoria]],'Plano de Contas'!$V$3:W773,2,0)</f>
        <v>Receitas Serviços</v>
      </c>
      <c r="X69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90" t="s">
        <v>1536</v>
      </c>
    </row>
    <row r="691" spans="1:25" hidden="1">
      <c r="A691" s="1">
        <v>45724.465277777781</v>
      </c>
      <c r="B691" s="1">
        <v>45724.465277777781</v>
      </c>
      <c r="D691" t="s">
        <v>1322</v>
      </c>
      <c r="E691" t="s">
        <v>149</v>
      </c>
      <c r="F691" t="s">
        <v>147</v>
      </c>
      <c r="G691" t="s">
        <v>163</v>
      </c>
      <c r="I691" s="4">
        <v>35</v>
      </c>
      <c r="J691" s="4">
        <v>60</v>
      </c>
      <c r="L691" t="s">
        <v>253</v>
      </c>
      <c r="M691" t="s">
        <v>1323</v>
      </c>
      <c r="N691" s="4">
        <f>IF(L691="","",IF(OR(Registro2[[#This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91" t="str">
        <f t="shared" si="10"/>
        <v>mar/25</v>
      </c>
      <c r="P691" t="str">
        <f>IF(Registro2[[#This Row],[Data de Pagamento]]&gt;0,TEXT(A691,"mmm/aa"),"")</f>
        <v>mar/25</v>
      </c>
      <c r="T691" s="4">
        <f>IF(Registro2[[#This Row],[Data de Pagamento]]="",0,IF(Registro2[[#This Row],[Conta Financeira]]=base!$A$6,0,Registro2[[#This Row],[Valor Unitário]]))</f>
        <v>35</v>
      </c>
      <c r="U6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91" t="str">
        <f>VLOOKUP(Registro2[[#This Row],[Categoria]],'Plano de Contas'!$V$3:W770,2,0)</f>
        <v>Receitas Serviços</v>
      </c>
      <c r="X69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91" t="s">
        <v>1536</v>
      </c>
    </row>
    <row r="692" spans="1:25" hidden="1">
      <c r="A692" s="1">
        <v>45724.465277777781</v>
      </c>
      <c r="B692" s="1">
        <v>45724.465277777781</v>
      </c>
      <c r="D692" t="s">
        <v>1322</v>
      </c>
      <c r="E692" t="s">
        <v>149</v>
      </c>
      <c r="F692" t="s">
        <v>150</v>
      </c>
      <c r="G692" t="s">
        <v>508</v>
      </c>
      <c r="I692" s="4">
        <v>25</v>
      </c>
      <c r="J692" s="4"/>
      <c r="L692" t="s">
        <v>253</v>
      </c>
      <c r="M692" t="s">
        <v>1323</v>
      </c>
      <c r="N692" s="4">
        <f>IF(L692="","",IF(OR(Registro2[[#This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692" t="str">
        <f t="shared" si="10"/>
        <v>mar/25</v>
      </c>
      <c r="P692" t="str">
        <f>IF(Registro2[[#This Row],[Data de Pagamento]]&gt;0,TEXT(A692,"mmm/aa"),"")</f>
        <v>mar/25</v>
      </c>
      <c r="T692" s="4">
        <f>IF(Registro2[[#This Row],[Data de Pagamento]]="",0,IF(Registro2[[#This Row],[Conta Financeira]]=base!$A$6,0,Registro2[[#This Row],[Valor Unitário]]))</f>
        <v>25</v>
      </c>
      <c r="U6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92" t="str">
        <f>VLOOKUP(Registro2[[#This Row],[Categoria]],'Plano de Contas'!$V$3:W771,2,0)</f>
        <v>Receitas Produtos</v>
      </c>
      <c r="X69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92" t="s">
        <v>1536</v>
      </c>
    </row>
    <row r="693" spans="1:25" hidden="1">
      <c r="A693" s="1">
        <v>45724.46875</v>
      </c>
      <c r="B693" s="1">
        <v>45724.46875</v>
      </c>
      <c r="D693" t="s">
        <v>1</v>
      </c>
      <c r="E693" t="s">
        <v>149</v>
      </c>
      <c r="F693" t="s">
        <v>147</v>
      </c>
      <c r="G693" t="s">
        <v>163</v>
      </c>
      <c r="I693" s="4">
        <v>35</v>
      </c>
      <c r="J693" s="4">
        <v>35</v>
      </c>
      <c r="L693" t="s">
        <v>252</v>
      </c>
      <c r="M693" t="s">
        <v>302</v>
      </c>
      <c r="N693" s="4">
        <f>IF(L693="","",IF(OR(Registro2[[#This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93" t="str">
        <f t="shared" si="10"/>
        <v>mar/25</v>
      </c>
      <c r="P693" t="str">
        <f>IF(Registro2[[#This Row],[Data de Pagamento]]&gt;0,TEXT(A693,"mmm/aa"),"")</f>
        <v>mar/25</v>
      </c>
      <c r="T693" s="4">
        <f>IF(Registro2[[#This Row],[Data de Pagamento]]="",0,IF(Registro2[[#This Row],[Conta Financeira]]=base!$A$6,0,Registro2[[#This Row],[Valor Unitário]]))</f>
        <v>35</v>
      </c>
      <c r="U6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93" t="str">
        <f>VLOOKUP(Registro2[[#This Row],[Categoria]],'Plano de Contas'!$V$3:W753,2,0)</f>
        <v>Receitas Serviços</v>
      </c>
      <c r="X69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93" t="s">
        <v>1536</v>
      </c>
    </row>
    <row r="694" spans="1:25" hidden="1">
      <c r="A694" s="1">
        <v>45724.472222222219</v>
      </c>
      <c r="B694" s="1">
        <v>45724.472222222219</v>
      </c>
      <c r="D694" t="s">
        <v>1</v>
      </c>
      <c r="E694" t="s">
        <v>149</v>
      </c>
      <c r="F694" t="s">
        <v>147</v>
      </c>
      <c r="G694" t="s">
        <v>163</v>
      </c>
      <c r="I694" s="4">
        <v>35</v>
      </c>
      <c r="J694" s="4">
        <v>35</v>
      </c>
      <c r="L694" t="s">
        <v>253</v>
      </c>
      <c r="M694" t="s">
        <v>1325</v>
      </c>
      <c r="N694" s="4">
        <f>IF(L694="","",IF(OR(Registro2[[#This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94" t="str">
        <f t="shared" si="10"/>
        <v>mar/25</v>
      </c>
      <c r="P694" t="str">
        <f>IF(Registro2[[#This Row],[Data de Pagamento]]&gt;0,TEXT(A694,"mmm/aa"),"")</f>
        <v>mar/25</v>
      </c>
      <c r="T694" s="4">
        <f>IF(Registro2[[#This Row],[Data de Pagamento]]="",0,IF(Registro2[[#This Row],[Conta Financeira]]=base!$A$6,0,Registro2[[#This Row],[Valor Unitário]]))</f>
        <v>35</v>
      </c>
      <c r="U6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94" t="str">
        <f>VLOOKUP(Registro2[[#This Row],[Categoria]],'Plano de Contas'!$V$3:W774,2,0)</f>
        <v>Receitas Serviços</v>
      </c>
      <c r="X69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94" t="s">
        <v>1536</v>
      </c>
    </row>
    <row r="695" spans="1:25" hidden="1">
      <c r="A695" s="1">
        <v>45724.479166666664</v>
      </c>
      <c r="B695" s="1">
        <v>45724.479166666664</v>
      </c>
      <c r="D695" t="s">
        <v>1</v>
      </c>
      <c r="E695" t="s">
        <v>149</v>
      </c>
      <c r="F695" t="s">
        <v>147</v>
      </c>
      <c r="G695" t="s">
        <v>163</v>
      </c>
      <c r="I695" s="4">
        <v>20</v>
      </c>
      <c r="J695" s="4">
        <v>20</v>
      </c>
      <c r="L695" t="s">
        <v>253</v>
      </c>
      <c r="M695" t="s">
        <v>114</v>
      </c>
      <c r="N695" s="4">
        <f>IF(L695="","",IF(OR(Registro2[[#This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695" t="str">
        <f t="shared" si="10"/>
        <v>mar/25</v>
      </c>
      <c r="P695" t="str">
        <f>IF(Registro2[[#This Row],[Data de Pagamento]]&gt;0,TEXT(A695,"mmm/aa"),"")</f>
        <v>mar/25</v>
      </c>
      <c r="T695" s="4">
        <f>IF(Registro2[[#This Row],[Data de Pagamento]]="",0,IF(Registro2[[#This Row],[Conta Financeira]]=base!$A$6,0,Registro2[[#This Row],[Valor Unitário]]))</f>
        <v>20</v>
      </c>
      <c r="U6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95" t="str">
        <f>VLOOKUP(Registro2[[#This Row],[Categoria]],'Plano de Contas'!$V$3:W760,2,0)</f>
        <v>Receitas Serviços</v>
      </c>
      <c r="X69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95" t="s">
        <v>1536</v>
      </c>
    </row>
    <row r="696" spans="1:25" hidden="1">
      <c r="A696" s="1">
        <v>45724.489583333336</v>
      </c>
      <c r="B696" s="1">
        <v>45724.489583333336</v>
      </c>
      <c r="D696" t="s">
        <v>354</v>
      </c>
      <c r="E696" t="s">
        <v>149</v>
      </c>
      <c r="F696" t="s">
        <v>152</v>
      </c>
      <c r="G696" t="s">
        <v>353</v>
      </c>
      <c r="I696" s="4">
        <v>60</v>
      </c>
      <c r="J696" s="4">
        <v>60</v>
      </c>
      <c r="L696" t="s">
        <v>252</v>
      </c>
      <c r="M696" t="s">
        <v>1328</v>
      </c>
      <c r="N696" s="4">
        <f>IF(L696="","",IF(OR(Registro2[[#This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696" t="str">
        <f t="shared" si="10"/>
        <v>mar/25</v>
      </c>
      <c r="P696" t="str">
        <f>IF(Registro2[[#This Row],[Data de Pagamento]]&gt;0,TEXT(A696,"mmm/aa"),"")</f>
        <v>mar/25</v>
      </c>
      <c r="T696" s="4">
        <f>IF(Registro2[[#This Row],[Data de Pagamento]]="",0,IF(Registro2[[#This Row],[Conta Financeira]]=base!$A$6,0,Registro2[[#This Row],[Valor Unitário]]))</f>
        <v>60</v>
      </c>
      <c r="U6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96" t="str">
        <f>VLOOKUP(Registro2[[#This Row],[Categoria]],'Plano de Contas'!$V$3:W775,2,0)</f>
        <v>Receitas Serviços</v>
      </c>
      <c r="X69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  <c r="Y696" t="s">
        <v>1536</v>
      </c>
    </row>
    <row r="697" spans="1:25" hidden="1">
      <c r="A697" s="1">
        <v>45724.53125</v>
      </c>
      <c r="B697" s="1">
        <v>45724.53125</v>
      </c>
      <c r="D697" t="s">
        <v>1</v>
      </c>
      <c r="E697" t="s">
        <v>149</v>
      </c>
      <c r="F697" t="s">
        <v>147</v>
      </c>
      <c r="G697" t="s">
        <v>163</v>
      </c>
      <c r="I697" s="4">
        <v>35</v>
      </c>
      <c r="J697" s="4">
        <v>70</v>
      </c>
      <c r="L697" t="s">
        <v>264</v>
      </c>
      <c r="M697" t="s">
        <v>497</v>
      </c>
      <c r="N697" s="4">
        <f>IF(L697="","",IF(OR(Registro2[[#This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97" t="str">
        <f t="shared" si="10"/>
        <v>mar/25</v>
      </c>
      <c r="P697" t="str">
        <f>IF(Registro2[[#This Row],[Data de Pagamento]]&gt;0,TEXT(A697,"mmm/aa"),"")</f>
        <v>mar/25</v>
      </c>
      <c r="T697" s="4">
        <f>IF(Registro2[[#This Row],[Data de Pagamento]]="",0,IF(Registro2[[#This Row],[Conta Financeira]]=base!$A$6,0,Registro2[[#This Row],[Valor Unitário]]))</f>
        <v>35</v>
      </c>
      <c r="U6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97" t="str">
        <f>VLOOKUP(Registro2[[#This Row],[Categoria]],'Plano de Contas'!$V$3:W779,2,0)</f>
        <v>Receitas Serviços</v>
      </c>
      <c r="X69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97" t="s">
        <v>1536</v>
      </c>
    </row>
    <row r="698" spans="1:25" hidden="1">
      <c r="A698" s="1">
        <v>45724.53125</v>
      </c>
      <c r="B698" s="1">
        <v>45724.53125</v>
      </c>
      <c r="D698" t="s">
        <v>1</v>
      </c>
      <c r="E698" t="s">
        <v>149</v>
      </c>
      <c r="F698" t="s">
        <v>147</v>
      </c>
      <c r="G698" t="s">
        <v>163</v>
      </c>
      <c r="I698" s="4">
        <v>35</v>
      </c>
      <c r="J698" s="4"/>
      <c r="L698" t="s">
        <v>264</v>
      </c>
      <c r="M698" t="s">
        <v>497</v>
      </c>
      <c r="N698" s="4">
        <f>IF(L698="","",IF(OR(Registro2[[#This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98" t="str">
        <f t="shared" si="10"/>
        <v>mar/25</v>
      </c>
      <c r="P698" t="str">
        <f>IF(Registro2[[#This Row],[Data de Pagamento]]&gt;0,TEXT(A698,"mmm/aa"),"")</f>
        <v>mar/25</v>
      </c>
      <c r="T698" s="4">
        <f>IF(Registro2[[#This Row],[Data de Pagamento]]="",0,IF(Registro2[[#This Row],[Conta Financeira]]=base!$A$6,0,Registro2[[#This Row],[Valor Unitário]]))</f>
        <v>35</v>
      </c>
      <c r="U6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98" t="str">
        <f>VLOOKUP(Registro2[[#This Row],[Categoria]],'Plano de Contas'!$V$3:W780,2,0)</f>
        <v>Receitas Serviços</v>
      </c>
      <c r="X69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698" t="s">
        <v>1536</v>
      </c>
    </row>
    <row r="699" spans="1:25" hidden="1">
      <c r="A699" s="1">
        <v>45724.541666666664</v>
      </c>
      <c r="B699" s="1">
        <v>45724.541666666664</v>
      </c>
      <c r="D699" t="s">
        <v>354</v>
      </c>
      <c r="E699" t="s">
        <v>149</v>
      </c>
      <c r="F699" t="s">
        <v>147</v>
      </c>
      <c r="G699" t="s">
        <v>163</v>
      </c>
      <c r="I699" s="4">
        <v>35</v>
      </c>
      <c r="J699" s="4">
        <v>45</v>
      </c>
      <c r="L699" t="s">
        <v>252</v>
      </c>
      <c r="M699" t="s">
        <v>1331</v>
      </c>
      <c r="N699" s="4">
        <f>IF(L699="","",IF(OR(Registro2[[#This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699" t="str">
        <f t="shared" si="10"/>
        <v>mar/25</v>
      </c>
      <c r="P699" t="str">
        <f>IF(Registro2[[#This Row],[Data de Pagamento]]&gt;0,TEXT(A699,"mmm/aa"),"")</f>
        <v>mar/25</v>
      </c>
      <c r="T699" s="4">
        <f>IF(Registro2[[#This Row],[Data de Pagamento]]="",0,IF(Registro2[[#This Row],[Conta Financeira]]=base!$A$6,0,Registro2[[#This Row],[Valor Unitário]]))</f>
        <v>35</v>
      </c>
      <c r="U6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699" t="str">
        <f>VLOOKUP(Registro2[[#This Row],[Categoria]],'Plano de Contas'!$V$3:W777,2,0)</f>
        <v>Receitas Serviços</v>
      </c>
      <c r="X69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699" t="s">
        <v>1536</v>
      </c>
    </row>
    <row r="700" spans="1:25" hidden="1">
      <c r="A700" s="1">
        <v>45724.541666666664</v>
      </c>
      <c r="B700" s="1">
        <v>45724.541666666664</v>
      </c>
      <c r="D700" t="s">
        <v>354</v>
      </c>
      <c r="E700" t="s">
        <v>149</v>
      </c>
      <c r="F700" t="s">
        <v>147</v>
      </c>
      <c r="G700" t="s">
        <v>167</v>
      </c>
      <c r="I700" s="4">
        <v>10</v>
      </c>
      <c r="J700" s="4"/>
      <c r="L700" t="s">
        <v>252</v>
      </c>
      <c r="M700" t="s">
        <v>1331</v>
      </c>
      <c r="N700" s="4">
        <f>IF(L700="","",IF(OR(Registro2[[#This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700" t="str">
        <f t="shared" si="10"/>
        <v>mar/25</v>
      </c>
      <c r="P700" t="str">
        <f>IF(Registro2[[#This Row],[Data de Pagamento]]&gt;0,TEXT(A700,"mmm/aa"),"")</f>
        <v>mar/25</v>
      </c>
      <c r="T700" s="4">
        <f>IF(Registro2[[#This Row],[Data de Pagamento]]="",0,IF(Registro2[[#This Row],[Conta Financeira]]=base!$A$6,0,Registro2[[#This Row],[Valor Unitário]]))</f>
        <v>10</v>
      </c>
      <c r="U7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00" t="str">
        <f>VLOOKUP(Registro2[[#This Row],[Categoria]],'Plano de Contas'!$V$3:W778,2,0)</f>
        <v>Receitas Serviços</v>
      </c>
      <c r="X70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  <c r="Y700" t="s">
        <v>1536</v>
      </c>
    </row>
    <row r="701" spans="1:25" hidden="1">
      <c r="A701" s="1">
        <v>45724.5625</v>
      </c>
      <c r="B701" s="1">
        <v>45724.5625</v>
      </c>
      <c r="D701" t="s">
        <v>1</v>
      </c>
      <c r="E701" t="s">
        <v>149</v>
      </c>
      <c r="F701" t="s">
        <v>147</v>
      </c>
      <c r="G701" t="s">
        <v>163</v>
      </c>
      <c r="I701" s="4">
        <v>40</v>
      </c>
      <c r="J701" s="4">
        <v>50</v>
      </c>
      <c r="L701" t="s">
        <v>253</v>
      </c>
      <c r="M701" t="s">
        <v>12</v>
      </c>
      <c r="N701" s="4">
        <f>IF(L701="","",IF(OR(Registro2[[#This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701" t="str">
        <f t="shared" si="10"/>
        <v>mar/25</v>
      </c>
      <c r="P701" t="str">
        <f>IF(Registro2[[#This Row],[Data de Pagamento]]&gt;0,TEXT(A701,"mmm/aa"),"")</f>
        <v>mar/25</v>
      </c>
      <c r="T701" s="4">
        <f>IF(Registro2[[#This Row],[Data de Pagamento]]="",0,IF(Registro2[[#This Row],[Conta Financeira]]=base!$A$6,0,Registro2[[#This Row],[Valor Unitário]]))</f>
        <v>40</v>
      </c>
      <c r="U7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01" t="str">
        <f>VLOOKUP(Registro2[[#This Row],[Categoria]],'Plano de Contas'!$V$3:W768,2,0)</f>
        <v>Receitas Serviços</v>
      </c>
      <c r="X70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01" t="s">
        <v>1536</v>
      </c>
    </row>
    <row r="702" spans="1:25" hidden="1">
      <c r="A702" s="1">
        <v>45724.5625</v>
      </c>
      <c r="B702" s="1">
        <v>45724.5625</v>
      </c>
      <c r="D702" t="s">
        <v>1</v>
      </c>
      <c r="E702" t="s">
        <v>149</v>
      </c>
      <c r="F702" t="s">
        <v>147</v>
      </c>
      <c r="G702" t="s">
        <v>167</v>
      </c>
      <c r="I702" s="4">
        <v>10</v>
      </c>
      <c r="J702" s="4"/>
      <c r="L702" t="s">
        <v>253</v>
      </c>
      <c r="M702" t="s">
        <v>12</v>
      </c>
      <c r="N702" s="4">
        <f>IF(L702="","",IF(OR(Registro2[[#This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702" t="str">
        <f t="shared" si="10"/>
        <v>mar/25</v>
      </c>
      <c r="P702" t="str">
        <f>IF(Registro2[[#This Row],[Data de Pagamento]]&gt;0,TEXT(A702,"mmm/aa"),"")</f>
        <v>mar/25</v>
      </c>
      <c r="T702" s="4">
        <f>IF(Registro2[[#This Row],[Data de Pagamento]]="",0,IF(Registro2[[#This Row],[Conta Financeira]]=base!$A$6,0,Registro2[[#This Row],[Valor Unitário]]))</f>
        <v>10</v>
      </c>
      <c r="U7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02" t="str">
        <f>VLOOKUP(Registro2[[#This Row],[Categoria]],'Plano de Contas'!$V$3:W769,2,0)</f>
        <v>Receitas Serviços</v>
      </c>
      <c r="X70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02" t="s">
        <v>1536</v>
      </c>
    </row>
    <row r="703" spans="1:25" hidden="1">
      <c r="A703" s="1">
        <v>45724.604166666664</v>
      </c>
      <c r="B703" s="1">
        <v>45724.604166666664</v>
      </c>
      <c r="D703" t="s">
        <v>1</v>
      </c>
      <c r="E703" t="s">
        <v>149</v>
      </c>
      <c r="F703" t="s">
        <v>147</v>
      </c>
      <c r="G703" t="s">
        <v>163</v>
      </c>
      <c r="I703" s="4">
        <v>35</v>
      </c>
      <c r="J703" s="4">
        <v>45</v>
      </c>
      <c r="L703" t="s">
        <v>252</v>
      </c>
      <c r="M703" t="s">
        <v>31</v>
      </c>
      <c r="N703" s="4">
        <f>IF(L703="","",IF(OR(Registro2[[#This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03" t="str">
        <f t="shared" si="10"/>
        <v>mar/25</v>
      </c>
      <c r="P703" t="str">
        <f>IF(Registro2[[#This Row],[Data de Pagamento]]&gt;0,TEXT(A703,"mmm/aa"),"")</f>
        <v>mar/25</v>
      </c>
      <c r="T703" s="4">
        <f>IF(Registro2[[#This Row],[Data de Pagamento]]="",0,IF(Registro2[[#This Row],[Conta Financeira]]=base!$A$6,0,Registro2[[#This Row],[Valor Unitário]]))</f>
        <v>35</v>
      </c>
      <c r="U7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03" t="str">
        <f>VLOOKUP(Registro2[[#This Row],[Categoria]],'Plano de Contas'!$V$3:W751,2,0)</f>
        <v>Receitas Serviços</v>
      </c>
      <c r="X7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03" t="s">
        <v>1536</v>
      </c>
    </row>
    <row r="704" spans="1:25" hidden="1">
      <c r="A704" s="1">
        <v>45724.604166666664</v>
      </c>
      <c r="B704" s="1">
        <v>45724.604166666664</v>
      </c>
      <c r="D704" t="s">
        <v>1</v>
      </c>
      <c r="E704" t="s">
        <v>149</v>
      </c>
      <c r="F704" t="s">
        <v>147</v>
      </c>
      <c r="G704" t="s">
        <v>167</v>
      </c>
      <c r="I704" s="4">
        <v>10</v>
      </c>
      <c r="J704" s="4"/>
      <c r="L704" t="s">
        <v>252</v>
      </c>
      <c r="M704" t="s">
        <v>31</v>
      </c>
      <c r="N704" s="4">
        <f>IF(L704="","",IF(OR(Registro2[[#This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704" t="str">
        <f t="shared" si="10"/>
        <v>mar/25</v>
      </c>
      <c r="P704" t="str">
        <f>IF(Registro2[[#This Row],[Data de Pagamento]]&gt;0,TEXT(A704,"mmm/aa"),"")</f>
        <v>mar/25</v>
      </c>
      <c r="T704" s="4">
        <f>IF(Registro2[[#This Row],[Data de Pagamento]]="",0,IF(Registro2[[#This Row],[Conta Financeira]]=base!$A$6,0,Registro2[[#This Row],[Valor Unitário]]))</f>
        <v>10</v>
      </c>
      <c r="U7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04" t="str">
        <f>VLOOKUP(Registro2[[#This Row],[Categoria]],'Plano de Contas'!$V$3:W752,2,0)</f>
        <v>Receitas Serviços</v>
      </c>
      <c r="X7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04" t="s">
        <v>1536</v>
      </c>
    </row>
    <row r="705" spans="1:25" hidden="1">
      <c r="A705" s="1">
        <v>45724.614583333336</v>
      </c>
      <c r="B705" s="1">
        <v>45724.614583333336</v>
      </c>
      <c r="D705" t="s">
        <v>1</v>
      </c>
      <c r="E705" t="s">
        <v>149</v>
      </c>
      <c r="F705" t="s">
        <v>147</v>
      </c>
      <c r="G705" t="s">
        <v>163</v>
      </c>
      <c r="I705" s="4">
        <v>35</v>
      </c>
      <c r="J705" s="4">
        <v>35</v>
      </c>
      <c r="L705" t="s">
        <v>253</v>
      </c>
      <c r="M705" t="s">
        <v>38</v>
      </c>
      <c r="N705" s="4">
        <f>IF(L705="","",IF(OR(Registro2[[#This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05" t="str">
        <f t="shared" si="10"/>
        <v>mar/25</v>
      </c>
      <c r="P705" t="str">
        <f>IF(Registro2[[#This Row],[Data de Pagamento]]&gt;0,TEXT(A705,"mmm/aa"),"")</f>
        <v>mar/25</v>
      </c>
      <c r="T705" s="4">
        <f>IF(Registro2[[#This Row],[Data de Pagamento]]="",0,IF(Registro2[[#This Row],[Conta Financeira]]=base!$A$6,0,Registro2[[#This Row],[Valor Unitário]]))</f>
        <v>35</v>
      </c>
      <c r="U7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05" t="str">
        <f>VLOOKUP(Registro2[[#This Row],[Categoria]],'Plano de Contas'!$V$3:W776,2,0)</f>
        <v>Receitas Serviços</v>
      </c>
      <c r="X7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05" t="s">
        <v>1536</v>
      </c>
    </row>
    <row r="706" spans="1:25" hidden="1">
      <c r="A706" s="1">
        <v>45724.625</v>
      </c>
      <c r="B706" s="1">
        <v>45724.625</v>
      </c>
      <c r="D706" t="s">
        <v>310</v>
      </c>
      <c r="E706" t="s">
        <v>149</v>
      </c>
      <c r="F706" t="s">
        <v>152</v>
      </c>
      <c r="G706" t="s">
        <v>353</v>
      </c>
      <c r="I706" s="4">
        <v>60</v>
      </c>
      <c r="J706" s="4">
        <v>60</v>
      </c>
      <c r="L706" t="s">
        <v>252</v>
      </c>
      <c r="M706" t="s">
        <v>192</v>
      </c>
      <c r="N706" s="4">
        <f>IF(L706="","",IF(OR(Registro2[[#This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706" t="str">
        <f t="shared" ref="O706:O769" si="11">TEXT(B706,"mmm/aa")</f>
        <v>mar/25</v>
      </c>
      <c r="P706" t="str">
        <f>IF(Registro2[[#This Row],[Data de Pagamento]]&gt;0,TEXT(A706,"mmm/aa"),"")</f>
        <v>mar/25</v>
      </c>
      <c r="T706" s="4">
        <f>IF(Registro2[[#This Row],[Data de Pagamento]]="",0,IF(Registro2[[#This Row],[Conta Financeira]]=base!$A$6,0,Registro2[[#This Row],[Valor Unitário]]))</f>
        <v>60</v>
      </c>
      <c r="U7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06" t="str">
        <f>VLOOKUP(Registro2[[#This Row],[Categoria]],'Plano de Contas'!$V$3:W781,2,0)</f>
        <v>Receitas Serviços</v>
      </c>
      <c r="X70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  <c r="Y706" t="s">
        <v>1536</v>
      </c>
    </row>
    <row r="707" spans="1:25" hidden="1">
      <c r="A707" s="1">
        <v>45724.625</v>
      </c>
      <c r="B707" s="1">
        <v>45724.625</v>
      </c>
      <c r="D707" t="s">
        <v>1</v>
      </c>
      <c r="E707" t="s">
        <v>149</v>
      </c>
      <c r="F707" t="s">
        <v>147</v>
      </c>
      <c r="G707" t="s">
        <v>163</v>
      </c>
      <c r="I707" s="4">
        <v>35</v>
      </c>
      <c r="J707" s="4">
        <v>35</v>
      </c>
      <c r="L707" t="s">
        <v>264</v>
      </c>
      <c r="M707" t="s">
        <v>407</v>
      </c>
      <c r="N707" s="4">
        <f>IF(L707="","",IF(OR(Registro2[[#This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07" t="str">
        <f t="shared" si="11"/>
        <v>mar/25</v>
      </c>
      <c r="P707" t="str">
        <f>IF(Registro2[[#This Row],[Data de Pagamento]]&gt;0,TEXT(A707,"mmm/aa"),"")</f>
        <v>mar/25</v>
      </c>
      <c r="T707" s="4">
        <f>IF(Registro2[[#This Row],[Data de Pagamento]]="",0,IF(Registro2[[#This Row],[Conta Financeira]]=base!$A$6,0,Registro2[[#This Row],[Valor Unitário]]))</f>
        <v>35</v>
      </c>
      <c r="U7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07" t="str">
        <f>VLOOKUP(Registro2[[#This Row],[Categoria]],'Plano de Contas'!$V$3:W782,2,0)</f>
        <v>Receitas Serviços</v>
      </c>
      <c r="X70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07" t="s">
        <v>1536</v>
      </c>
    </row>
    <row r="708" spans="1:25" hidden="1">
      <c r="A708" s="1">
        <v>45724.625</v>
      </c>
      <c r="B708" s="1">
        <v>45724.625</v>
      </c>
      <c r="D708" t="s">
        <v>1</v>
      </c>
      <c r="E708" t="s">
        <v>149</v>
      </c>
      <c r="F708" t="s">
        <v>147</v>
      </c>
      <c r="G708" t="s">
        <v>163</v>
      </c>
      <c r="I708" s="4">
        <v>35</v>
      </c>
      <c r="J708" s="4">
        <v>55</v>
      </c>
      <c r="L708" t="s">
        <v>253</v>
      </c>
      <c r="M708" t="s">
        <v>281</v>
      </c>
      <c r="N708" s="4">
        <f>IF(L708="","",IF(OR(Registro2[[#This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08" t="str">
        <f t="shared" si="11"/>
        <v>mar/25</v>
      </c>
      <c r="P708" t="str">
        <f>IF(Registro2[[#This Row],[Data de Pagamento]]&gt;0,TEXT(A708,"mmm/aa"),"")</f>
        <v>mar/25</v>
      </c>
      <c r="T708" s="4">
        <f>IF(Registro2[[#This Row],[Data de Pagamento]]="",0,IF(Registro2[[#This Row],[Conta Financeira]]=base!$A$6,0,Registro2[[#This Row],[Valor Unitário]]))</f>
        <v>35</v>
      </c>
      <c r="U7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08" t="str">
        <f>VLOOKUP(Registro2[[#This Row],[Categoria]],'Plano de Contas'!$V$3:W786,2,0)</f>
        <v>Receitas Serviços</v>
      </c>
      <c r="X70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08" t="s">
        <v>1536</v>
      </c>
    </row>
    <row r="709" spans="1:25" hidden="1">
      <c r="A709" s="1">
        <v>45724.625</v>
      </c>
      <c r="B709" s="1">
        <v>45724.625</v>
      </c>
      <c r="D709" t="s">
        <v>1</v>
      </c>
      <c r="E709" t="s">
        <v>149</v>
      </c>
      <c r="F709" t="s">
        <v>147</v>
      </c>
      <c r="G709" t="s">
        <v>166</v>
      </c>
      <c r="I709" s="4">
        <v>20</v>
      </c>
      <c r="J709" s="4"/>
      <c r="L709" t="s">
        <v>253</v>
      </c>
      <c r="M709" t="s">
        <v>281</v>
      </c>
      <c r="N709" s="4">
        <f>IF(L709="","",IF(OR(Registro2[[#This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709" t="str">
        <f t="shared" si="11"/>
        <v>mar/25</v>
      </c>
      <c r="P709" t="str">
        <f>IF(Registro2[[#This Row],[Data de Pagamento]]&gt;0,TEXT(A709,"mmm/aa"),"")</f>
        <v>mar/25</v>
      </c>
      <c r="T709" s="4">
        <f>IF(Registro2[[#This Row],[Data de Pagamento]]="",0,IF(Registro2[[#This Row],[Conta Financeira]]=base!$A$6,0,Registro2[[#This Row],[Valor Unitário]]))</f>
        <v>20</v>
      </c>
      <c r="U7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09" t="str">
        <f>VLOOKUP(Registro2[[#This Row],[Categoria]],'Plano de Contas'!$V$3:W787,2,0)</f>
        <v>Receitas Serviços</v>
      </c>
      <c r="X70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09" t="s">
        <v>1536</v>
      </c>
    </row>
    <row r="710" spans="1:25" hidden="1">
      <c r="A710" s="1">
        <v>45724.645833333336</v>
      </c>
      <c r="B710" s="1">
        <v>45724.645833333336</v>
      </c>
      <c r="D710" t="s">
        <v>354</v>
      </c>
      <c r="E710" t="s">
        <v>149</v>
      </c>
      <c r="F710" t="s">
        <v>152</v>
      </c>
      <c r="G710" t="s">
        <v>353</v>
      </c>
      <c r="I710" s="4">
        <v>60</v>
      </c>
      <c r="J710" s="4">
        <v>60</v>
      </c>
      <c r="L710" t="s">
        <v>264</v>
      </c>
      <c r="M710" t="s">
        <v>1343</v>
      </c>
      <c r="N710" s="4">
        <f>IF(L710="","",IF(OR(Registro2[[#This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710" t="str">
        <f t="shared" si="11"/>
        <v>mar/25</v>
      </c>
      <c r="P710" t="str">
        <f>IF(Registro2[[#This Row],[Data de Pagamento]]&gt;0,TEXT(A710,"mmm/aa"),"")</f>
        <v>mar/25</v>
      </c>
      <c r="T710" s="4">
        <f>IF(Registro2[[#This Row],[Data de Pagamento]]="",0,IF(Registro2[[#This Row],[Conta Financeira]]=base!$A$6,0,Registro2[[#This Row],[Valor Unitário]]))</f>
        <v>60</v>
      </c>
      <c r="U7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10" t="str">
        <f>VLOOKUP(Registro2[[#This Row],[Categoria]],'Plano de Contas'!$V$3:W791,2,0)</f>
        <v>Receitas Serviços</v>
      </c>
      <c r="X71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  <c r="Y710" t="s">
        <v>1536</v>
      </c>
    </row>
    <row r="711" spans="1:25" hidden="1">
      <c r="A711" s="1">
        <v>45724.659722222219</v>
      </c>
      <c r="B711" s="1">
        <v>45724.659722222219</v>
      </c>
      <c r="D711" t="s">
        <v>1</v>
      </c>
      <c r="E711" t="s">
        <v>149</v>
      </c>
      <c r="F711" t="s">
        <v>147</v>
      </c>
      <c r="G711" t="s">
        <v>163</v>
      </c>
      <c r="I711" s="4">
        <v>35</v>
      </c>
      <c r="J711" s="4">
        <v>35</v>
      </c>
      <c r="L711" t="s">
        <v>253</v>
      </c>
      <c r="M711" t="s">
        <v>1345</v>
      </c>
      <c r="N711" s="4">
        <f>IF(L711="","",IF(OR(Registro2[[#This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11" t="str">
        <f t="shared" si="11"/>
        <v>mar/25</v>
      </c>
      <c r="P711" t="str">
        <f>IF(Registro2[[#This Row],[Data de Pagamento]]&gt;0,TEXT(A711,"mmm/aa"),"")</f>
        <v>mar/25</v>
      </c>
      <c r="T711" s="4">
        <f>IF(Registro2[[#This Row],[Data de Pagamento]]="",0,IF(Registro2[[#This Row],[Conta Financeira]]=base!$A$6,0,Registro2[[#This Row],[Valor Unitário]]))</f>
        <v>35</v>
      </c>
      <c r="U7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11" t="str">
        <f>VLOOKUP(Registro2[[#This Row],[Categoria]],'Plano de Contas'!$V$3:W792,2,0)</f>
        <v>Receitas Serviços</v>
      </c>
      <c r="X7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11" t="s">
        <v>1536</v>
      </c>
    </row>
    <row r="712" spans="1:25" hidden="1">
      <c r="A712" s="1">
        <v>45724.666666666664</v>
      </c>
      <c r="B712" s="1">
        <v>45724.666666666664</v>
      </c>
      <c r="D712" t="s">
        <v>2</v>
      </c>
      <c r="E712" t="s">
        <v>149</v>
      </c>
      <c r="F712" t="s">
        <v>147</v>
      </c>
      <c r="G712" t="s">
        <v>163</v>
      </c>
      <c r="I712" s="4">
        <v>35</v>
      </c>
      <c r="J712" s="4">
        <v>35</v>
      </c>
      <c r="L712" t="s">
        <v>253</v>
      </c>
      <c r="M712" t="s">
        <v>200</v>
      </c>
      <c r="N712" s="4">
        <f>IF(L712="","",IF(OR(Registro2[[#This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12" t="str">
        <f t="shared" si="11"/>
        <v>mar/25</v>
      </c>
      <c r="P712" t="str">
        <f>IF(Registro2[[#This Row],[Data de Pagamento]]&gt;0,TEXT(A712,"mmm/aa"),"")</f>
        <v>mar/25</v>
      </c>
      <c r="T712" s="4">
        <f>IF(Registro2[[#This Row],[Data de Pagamento]]="",0,IF(Registro2[[#This Row],[Conta Financeira]]=base!$A$6,0,Registro2[[#This Row],[Valor Unitário]]))</f>
        <v>35</v>
      </c>
      <c r="U7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12" t="str">
        <f>VLOOKUP(Registro2[[#This Row],[Categoria]],'Plano de Contas'!$V$3:W783,2,0)</f>
        <v>Receitas Serviços</v>
      </c>
      <c r="X71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12" t="s">
        <v>1536</v>
      </c>
    </row>
    <row r="713" spans="1:25" hidden="1">
      <c r="A713" s="1">
        <v>45724.666666666664</v>
      </c>
      <c r="B713" s="1">
        <v>45724.666666666664</v>
      </c>
      <c r="D713" t="s">
        <v>354</v>
      </c>
      <c r="E713" t="s">
        <v>149</v>
      </c>
      <c r="F713" t="s">
        <v>147</v>
      </c>
      <c r="G713" t="s">
        <v>163</v>
      </c>
      <c r="I713" s="4">
        <v>35</v>
      </c>
      <c r="J713" s="4">
        <v>45</v>
      </c>
      <c r="L713" t="s">
        <v>252</v>
      </c>
      <c r="M713" t="s">
        <v>1337</v>
      </c>
      <c r="N713" s="4">
        <f>IF(L713="","",IF(OR(Registro2[[#This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13" t="str">
        <f t="shared" si="11"/>
        <v>mar/25</v>
      </c>
      <c r="P713" t="str">
        <f>IF(Registro2[[#This Row],[Data de Pagamento]]&gt;0,TEXT(A713,"mmm/aa"),"")</f>
        <v>mar/25</v>
      </c>
      <c r="T713" s="4">
        <f>IF(Registro2[[#This Row],[Data de Pagamento]]="",0,IF(Registro2[[#This Row],[Conta Financeira]]=base!$A$6,0,Registro2[[#This Row],[Valor Unitário]]))</f>
        <v>35</v>
      </c>
      <c r="U7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13" t="str">
        <f>VLOOKUP(Registro2[[#This Row],[Categoria]],'Plano de Contas'!$V$3:W784,2,0)</f>
        <v>Receitas Serviços</v>
      </c>
      <c r="X71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713" t="s">
        <v>1536</v>
      </c>
    </row>
    <row r="714" spans="1:25" hidden="1">
      <c r="A714" s="1">
        <v>45724.666666666664</v>
      </c>
      <c r="B714" s="1">
        <v>45724.666666666664</v>
      </c>
      <c r="D714" t="s">
        <v>354</v>
      </c>
      <c r="E714" t="s">
        <v>149</v>
      </c>
      <c r="F714" t="s">
        <v>147</v>
      </c>
      <c r="G714" t="s">
        <v>160</v>
      </c>
      <c r="I714" s="4">
        <v>10</v>
      </c>
      <c r="J714" s="4"/>
      <c r="L714" t="s">
        <v>252</v>
      </c>
      <c r="M714" t="s">
        <v>1337</v>
      </c>
      <c r="N714" s="4">
        <f>IF(L714="","",IF(OR(Registro2[[#This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714" t="str">
        <f t="shared" si="11"/>
        <v>mar/25</v>
      </c>
      <c r="P714" t="str">
        <f>IF(Registro2[[#This Row],[Data de Pagamento]]&gt;0,TEXT(A714,"mmm/aa"),"")</f>
        <v>mar/25</v>
      </c>
      <c r="T714" s="4">
        <f>IF(Registro2[[#This Row],[Data de Pagamento]]="",0,IF(Registro2[[#This Row],[Conta Financeira]]=base!$A$6,0,Registro2[[#This Row],[Valor Unitário]]))</f>
        <v>10</v>
      </c>
      <c r="U7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14" t="str">
        <f>VLOOKUP(Registro2[[#This Row],[Categoria]],'Plano de Contas'!$V$3:W785,2,0)</f>
        <v>Receitas Serviços</v>
      </c>
      <c r="X71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  <c r="Y714" t="s">
        <v>1536</v>
      </c>
    </row>
    <row r="715" spans="1:25" hidden="1">
      <c r="A715" s="1">
        <v>45724.6875</v>
      </c>
      <c r="B715" s="1">
        <v>45724.6875</v>
      </c>
      <c r="D715" t="s">
        <v>1</v>
      </c>
      <c r="E715" t="s">
        <v>149</v>
      </c>
      <c r="F715" t="s">
        <v>147</v>
      </c>
      <c r="G715" t="s">
        <v>163</v>
      </c>
      <c r="I715" s="4">
        <v>35</v>
      </c>
      <c r="J715" s="4">
        <v>35</v>
      </c>
      <c r="L715" t="s">
        <v>252</v>
      </c>
      <c r="M715" t="s">
        <v>270</v>
      </c>
      <c r="N715" s="4">
        <f>IF(L715="","",IF(OR(Registro2[[#This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15" t="str">
        <f t="shared" si="11"/>
        <v>mar/25</v>
      </c>
      <c r="P715" t="str">
        <f>IF(Registro2[[#This Row],[Data de Pagamento]]&gt;0,TEXT(A715,"mmm/aa"),"")</f>
        <v>mar/25</v>
      </c>
      <c r="T715" s="4">
        <f>IF(Registro2[[#This Row],[Data de Pagamento]]="",0,IF(Registro2[[#This Row],[Conta Financeira]]=base!$A$6,0,Registro2[[#This Row],[Valor Unitário]]))</f>
        <v>35</v>
      </c>
      <c r="U7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15" t="str">
        <f>VLOOKUP(Registro2[[#This Row],[Categoria]],'Plano de Contas'!$V$3:W788,2,0)</f>
        <v>Receitas Serviços</v>
      </c>
      <c r="X71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15" t="s">
        <v>1536</v>
      </c>
    </row>
    <row r="716" spans="1:25" hidden="1">
      <c r="A716" s="1">
        <v>45724.6875</v>
      </c>
      <c r="B716" s="1">
        <v>45724.6875</v>
      </c>
      <c r="D716" t="s">
        <v>1</v>
      </c>
      <c r="E716" t="s">
        <v>149</v>
      </c>
      <c r="F716" t="s">
        <v>147</v>
      </c>
      <c r="G716" t="s">
        <v>163</v>
      </c>
      <c r="I716" s="4">
        <v>35</v>
      </c>
      <c r="J716" s="4">
        <v>35</v>
      </c>
      <c r="L716" t="s">
        <v>253</v>
      </c>
      <c r="M716" t="s">
        <v>83</v>
      </c>
      <c r="N716" s="4">
        <f>IF(L716="","",IF(OR(Registro2[[#This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16" t="str">
        <f t="shared" si="11"/>
        <v>mar/25</v>
      </c>
      <c r="P716" t="str">
        <f>IF(Registro2[[#This Row],[Data de Pagamento]]&gt;0,TEXT(A716,"mmm/aa"),"")</f>
        <v>mar/25</v>
      </c>
      <c r="T716" s="4">
        <f>IF(Registro2[[#This Row],[Data de Pagamento]]="",0,IF(Registro2[[#This Row],[Conta Financeira]]=base!$A$6,0,Registro2[[#This Row],[Valor Unitário]]))</f>
        <v>35</v>
      </c>
      <c r="U7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16" t="str">
        <f>VLOOKUP(Registro2[[#This Row],[Categoria]],'Plano de Contas'!$V$3:W790,2,0)</f>
        <v>Receitas Serviços</v>
      </c>
      <c r="X71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16" t="s">
        <v>1536</v>
      </c>
    </row>
    <row r="717" spans="1:25" hidden="1">
      <c r="A717" s="1">
        <v>45724.6875</v>
      </c>
      <c r="B717" s="1">
        <v>45724.6875</v>
      </c>
      <c r="D717" t="s">
        <v>1</v>
      </c>
      <c r="E717" t="s">
        <v>149</v>
      </c>
      <c r="F717" t="s">
        <v>147</v>
      </c>
      <c r="G717" t="s">
        <v>163</v>
      </c>
      <c r="I717" s="4">
        <v>35</v>
      </c>
      <c r="J717" s="4">
        <v>35</v>
      </c>
      <c r="L717" t="s">
        <v>264</v>
      </c>
      <c r="M717" t="s">
        <v>1348</v>
      </c>
      <c r="N717" s="4">
        <f>IF(L717="","",IF(OR(Registro2[[#This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17" t="str">
        <f t="shared" si="11"/>
        <v>mar/25</v>
      </c>
      <c r="P717" t="str">
        <f>IF(Registro2[[#This Row],[Data de Pagamento]]&gt;0,TEXT(A717,"mmm/aa"),"")</f>
        <v>mar/25</v>
      </c>
      <c r="T717" s="4">
        <f>IF(Registro2[[#This Row],[Data de Pagamento]]="",0,IF(Registro2[[#This Row],[Conta Financeira]]=base!$A$6,0,Registro2[[#This Row],[Valor Unitário]]))</f>
        <v>35</v>
      </c>
      <c r="U7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17" t="str">
        <f>VLOOKUP(Registro2[[#This Row],[Categoria]],'Plano de Contas'!$V$3:W796,2,0)</f>
        <v>Receitas Serviços</v>
      </c>
      <c r="X71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17" t="s">
        <v>1536</v>
      </c>
    </row>
    <row r="718" spans="1:25" hidden="1">
      <c r="A718" s="1">
        <v>45724.708333333336</v>
      </c>
      <c r="B718" s="1">
        <v>45724.708333333336</v>
      </c>
      <c r="D718" t="s">
        <v>1</v>
      </c>
      <c r="E718" t="s">
        <v>149</v>
      </c>
      <c r="F718" t="s">
        <v>147</v>
      </c>
      <c r="G718" t="s">
        <v>163</v>
      </c>
      <c r="I718" s="4">
        <v>30</v>
      </c>
      <c r="J718" s="4">
        <v>0</v>
      </c>
      <c r="L718" t="s">
        <v>253</v>
      </c>
      <c r="M718" t="s">
        <v>185</v>
      </c>
      <c r="N718" s="4">
        <f>IF(L718="","",IF(OR(Registro2[[#This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718" t="str">
        <f t="shared" si="11"/>
        <v>mar/25</v>
      </c>
      <c r="P718" t="str">
        <f>IF(Registro2[[#This Row],[Data de Pagamento]]&gt;0,TEXT(A718,"mmm/aa"),"")</f>
        <v>mar/25</v>
      </c>
      <c r="T718" s="4">
        <f>IF(Registro2[[#This Row],[Data de Pagamento]]="",0,IF(Registro2[[#This Row],[Conta Financeira]]=base!$A$6,0,Registro2[[#This Row],[Valor Unitário]]))</f>
        <v>30</v>
      </c>
      <c r="U7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718" t="str">
        <f>VLOOKUP(Registro2[[#This Row],[Categoria]],'Plano de Contas'!$V$3:W763,2,0)</f>
        <v>Receitas Serviços</v>
      </c>
      <c r="X7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18" t="s">
        <v>1536</v>
      </c>
    </row>
    <row r="719" spans="1:25" hidden="1">
      <c r="A719" s="1">
        <v>45724.708333333336</v>
      </c>
      <c r="B719" s="1">
        <v>45724.708333333336</v>
      </c>
      <c r="D719" t="s">
        <v>1</v>
      </c>
      <c r="E719" t="s">
        <v>149</v>
      </c>
      <c r="F719" t="s">
        <v>147</v>
      </c>
      <c r="G719" t="s">
        <v>163</v>
      </c>
      <c r="I719" s="4">
        <v>40</v>
      </c>
      <c r="J719" s="4">
        <v>40</v>
      </c>
      <c r="L719" t="s">
        <v>252</v>
      </c>
      <c r="M719" t="s">
        <v>110</v>
      </c>
      <c r="N719" s="4">
        <f>IF(L719="","",IF(OR(Registro2[[#This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719" t="str">
        <f t="shared" si="11"/>
        <v>mar/25</v>
      </c>
      <c r="P719" t="str">
        <f>IF(Registro2[[#This Row],[Data de Pagamento]]&gt;0,TEXT(A719,"mmm/aa"),"")</f>
        <v>mar/25</v>
      </c>
      <c r="T719" s="4">
        <f>IF(Registro2[[#This Row],[Data de Pagamento]]="",0,IF(Registro2[[#This Row],[Conta Financeira]]=base!$A$6,0,Registro2[[#This Row],[Valor Unitário]]))</f>
        <v>40</v>
      </c>
      <c r="U7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19" t="str">
        <f>VLOOKUP(Registro2[[#This Row],[Categoria]],'Plano de Contas'!$V$3:W789,2,0)</f>
        <v>Receitas Serviços</v>
      </c>
      <c r="X71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19" t="s">
        <v>1536</v>
      </c>
    </row>
    <row r="720" spans="1:25" hidden="1">
      <c r="A720" s="1">
        <v>45724.739583333336</v>
      </c>
      <c r="B720" s="1">
        <v>45724.739583333336</v>
      </c>
      <c r="D720" t="s">
        <v>1</v>
      </c>
      <c r="E720" t="s">
        <v>149</v>
      </c>
      <c r="F720" t="s">
        <v>147</v>
      </c>
      <c r="G720" t="s">
        <v>163</v>
      </c>
      <c r="I720" s="4">
        <v>35</v>
      </c>
      <c r="J720" s="4">
        <v>60</v>
      </c>
      <c r="L720" t="s">
        <v>253</v>
      </c>
      <c r="M720" t="s">
        <v>28</v>
      </c>
      <c r="N720" s="4">
        <f>IF(L720="","",IF(OR(Registro2[[#This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20" t="str">
        <f t="shared" si="11"/>
        <v>mar/25</v>
      </c>
      <c r="P720" t="str">
        <f>IF(Registro2[[#This Row],[Data de Pagamento]]&gt;0,TEXT(A720,"mmm/aa"),"")</f>
        <v>mar/25</v>
      </c>
      <c r="T720" s="4">
        <f>IF(Registro2[[#This Row],[Data de Pagamento]]="",0,IF(Registro2[[#This Row],[Conta Financeira]]=base!$A$6,0,Registro2[[#This Row],[Valor Unitário]]))</f>
        <v>35</v>
      </c>
      <c r="U7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20" t="str">
        <f>VLOOKUP(Registro2[[#This Row],[Categoria]],'Plano de Contas'!$V$3:W793,2,0)</f>
        <v>Receitas Serviços</v>
      </c>
      <c r="X72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20" t="s">
        <v>1536</v>
      </c>
    </row>
    <row r="721" spans="1:25" hidden="1">
      <c r="A721" s="1">
        <v>45724.739583333336</v>
      </c>
      <c r="B721" s="1">
        <v>45724.739583333336</v>
      </c>
      <c r="D721" t="s">
        <v>1</v>
      </c>
      <c r="E721" t="s">
        <v>149</v>
      </c>
      <c r="F721" t="s">
        <v>147</v>
      </c>
      <c r="G721" t="s">
        <v>1046</v>
      </c>
      <c r="I721" s="4">
        <v>15</v>
      </c>
      <c r="J721" s="4"/>
      <c r="L721" t="s">
        <v>253</v>
      </c>
      <c r="M721" t="s">
        <v>28</v>
      </c>
      <c r="N721" s="4">
        <f>IF(L721="","",IF(OR(Registro2[[#This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721" t="str">
        <f t="shared" si="11"/>
        <v>mar/25</v>
      </c>
      <c r="P721" t="str">
        <f>IF(Registro2[[#This Row],[Data de Pagamento]]&gt;0,TEXT(A721,"mmm/aa"),"")</f>
        <v>mar/25</v>
      </c>
      <c r="T721" s="4">
        <f>IF(Registro2[[#This Row],[Data de Pagamento]]="",0,IF(Registro2[[#This Row],[Conta Financeira]]=base!$A$6,0,Registro2[[#This Row],[Valor Unitário]]))</f>
        <v>15</v>
      </c>
      <c r="U7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21" t="str">
        <f>VLOOKUP(Registro2[[#This Row],[Categoria]],'Plano de Contas'!$V$3:W794,2,0)</f>
        <v>Receitas Serviços</v>
      </c>
      <c r="X72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21" t="s">
        <v>1536</v>
      </c>
    </row>
    <row r="722" spans="1:25" hidden="1">
      <c r="A722" s="1">
        <v>45724.739583333336</v>
      </c>
      <c r="B722" s="1">
        <v>45724.739583333336</v>
      </c>
      <c r="D722" t="s">
        <v>1</v>
      </c>
      <c r="E722" t="s">
        <v>149</v>
      </c>
      <c r="F722" t="s">
        <v>147</v>
      </c>
      <c r="G722" t="s">
        <v>1187</v>
      </c>
      <c r="I722" s="4">
        <v>10</v>
      </c>
      <c r="J722" s="4"/>
      <c r="L722" t="s">
        <v>253</v>
      </c>
      <c r="M722" t="s">
        <v>28</v>
      </c>
      <c r="N722" s="4">
        <f>IF(L722="","",IF(OR(Registro2[[#This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722" t="str">
        <f t="shared" si="11"/>
        <v>mar/25</v>
      </c>
      <c r="P722" t="str">
        <f>IF(Registro2[[#This Row],[Data de Pagamento]]&gt;0,TEXT(A722,"mmm/aa"),"")</f>
        <v>mar/25</v>
      </c>
      <c r="T722" s="4">
        <f>IF(Registro2[[#This Row],[Data de Pagamento]]="",0,IF(Registro2[[#This Row],[Conta Financeira]]=base!$A$6,0,Registro2[[#This Row],[Valor Unitário]]))</f>
        <v>10</v>
      </c>
      <c r="U7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22" t="str">
        <f>VLOOKUP(Registro2[[#This Row],[Categoria]],'Plano de Contas'!$V$3:W795,2,0)</f>
        <v>Receitas Serviços</v>
      </c>
      <c r="X72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22" t="s">
        <v>1536</v>
      </c>
    </row>
    <row r="723" spans="1:25" hidden="1">
      <c r="A723" s="1">
        <v>45724.75</v>
      </c>
      <c r="B723" s="1">
        <v>45724.75</v>
      </c>
      <c r="D723" t="s">
        <v>1</v>
      </c>
      <c r="E723" t="s">
        <v>149</v>
      </c>
      <c r="F723" t="s">
        <v>147</v>
      </c>
      <c r="G723" t="s">
        <v>163</v>
      </c>
      <c r="I723" s="4">
        <v>35</v>
      </c>
      <c r="J723" s="4">
        <v>35</v>
      </c>
      <c r="L723" t="s">
        <v>264</v>
      </c>
      <c r="M723" t="s">
        <v>370</v>
      </c>
      <c r="N723" s="4">
        <f>IF(L723="","",IF(OR(Registro2[[#This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23" t="str">
        <f t="shared" si="11"/>
        <v>mar/25</v>
      </c>
      <c r="P723" t="str">
        <f>IF(Registro2[[#This Row],[Data de Pagamento]]&gt;0,TEXT(A723,"mmm/aa"),"")</f>
        <v>mar/25</v>
      </c>
      <c r="T723" s="4">
        <f>IF(Registro2[[#This Row],[Data de Pagamento]]="",0,IF(Registro2[[#This Row],[Conta Financeira]]=base!$A$6,0,Registro2[[#This Row],[Valor Unitário]]))</f>
        <v>35</v>
      </c>
      <c r="U7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23" t="str">
        <f>VLOOKUP(Registro2[[#This Row],[Categoria]],'Plano de Contas'!$V$3:W801,2,0)</f>
        <v>Receitas Serviços</v>
      </c>
      <c r="X72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23" t="s">
        <v>1536</v>
      </c>
    </row>
    <row r="724" spans="1:25" hidden="1">
      <c r="A724" s="1">
        <v>45724.75</v>
      </c>
      <c r="B724" s="1">
        <v>45724.75</v>
      </c>
      <c r="D724" t="s">
        <v>1</v>
      </c>
      <c r="E724" t="s">
        <v>149</v>
      </c>
      <c r="F724" t="s">
        <v>147</v>
      </c>
      <c r="G724" t="s">
        <v>163</v>
      </c>
      <c r="I724" s="4">
        <v>35</v>
      </c>
      <c r="J724" s="4">
        <v>35</v>
      </c>
      <c r="L724" t="s">
        <v>252</v>
      </c>
      <c r="M724" t="s">
        <v>370</v>
      </c>
      <c r="N724" s="4">
        <f>IF(L724="","",IF(OR(Registro2[[#This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24" t="str">
        <f t="shared" si="11"/>
        <v>mar/25</v>
      </c>
      <c r="P724" t="str">
        <f>IF(Registro2[[#This Row],[Data de Pagamento]]&gt;0,TEXT(A724,"mmm/aa"),"")</f>
        <v>mar/25</v>
      </c>
      <c r="T724" s="4">
        <f>IF(Registro2[[#This Row],[Data de Pagamento]]="",0,IF(Registro2[[#This Row],[Conta Financeira]]=base!$A$6,0,Registro2[[#This Row],[Valor Unitário]]))</f>
        <v>35</v>
      </c>
      <c r="U7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24" t="str">
        <f>VLOOKUP(Registro2[[#This Row],[Categoria]],'Plano de Contas'!$V$3:W804,2,0)</f>
        <v>Receitas Serviços</v>
      </c>
      <c r="X72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24" t="s">
        <v>1536</v>
      </c>
    </row>
    <row r="725" spans="1:25" hidden="1">
      <c r="A725" s="1">
        <v>45724.78125</v>
      </c>
      <c r="B725" s="1">
        <v>45724.78125</v>
      </c>
      <c r="D725" t="s">
        <v>356</v>
      </c>
      <c r="E725" t="s">
        <v>149</v>
      </c>
      <c r="F725" t="s">
        <v>147</v>
      </c>
      <c r="G725" t="s">
        <v>163</v>
      </c>
      <c r="I725" s="4">
        <v>35</v>
      </c>
      <c r="J725" s="4">
        <v>55</v>
      </c>
      <c r="L725" t="s">
        <v>253</v>
      </c>
      <c r="M725" t="s">
        <v>97</v>
      </c>
      <c r="N725" s="4">
        <f>IF(L725="","",IF(OR(Registro2[[#This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25" t="str">
        <f t="shared" si="11"/>
        <v>mar/25</v>
      </c>
      <c r="P725" t="str">
        <f>IF(Registro2[[#This Row],[Data de Pagamento]]&gt;0,TEXT(A725,"mmm/aa"),"")</f>
        <v>mar/25</v>
      </c>
      <c r="T725" s="4">
        <f>IF(Registro2[[#This Row],[Data de Pagamento]]="",0,IF(Registro2[[#This Row],[Conta Financeira]]=base!$A$6,0,Registro2[[#This Row],[Valor Unitário]]))</f>
        <v>35</v>
      </c>
      <c r="U7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25" t="str">
        <f>VLOOKUP(Registro2[[#This Row],[Categoria]],'Plano de Contas'!$V$3:W799,2,0)</f>
        <v>Receitas Serviços</v>
      </c>
      <c r="X72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25" t="s">
        <v>1536</v>
      </c>
    </row>
    <row r="726" spans="1:25" hidden="1">
      <c r="A726" s="1">
        <v>45724.78125</v>
      </c>
      <c r="B726" s="1">
        <v>45724.78125</v>
      </c>
      <c r="D726" t="s">
        <v>356</v>
      </c>
      <c r="E726" t="s">
        <v>149</v>
      </c>
      <c r="F726" t="s">
        <v>147</v>
      </c>
      <c r="G726" t="s">
        <v>166</v>
      </c>
      <c r="I726" s="4">
        <v>20</v>
      </c>
      <c r="J726" s="4"/>
      <c r="L726" t="s">
        <v>253</v>
      </c>
      <c r="M726" t="s">
        <v>97</v>
      </c>
      <c r="N726" s="4">
        <f>IF(L726="","",IF(OR(Registro2[[#This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726" t="str">
        <f t="shared" si="11"/>
        <v>mar/25</v>
      </c>
      <c r="P726" t="str">
        <f>IF(Registro2[[#This Row],[Data de Pagamento]]&gt;0,TEXT(A726,"mmm/aa"),"")</f>
        <v>mar/25</v>
      </c>
      <c r="T726" s="4">
        <f>IF(Registro2[[#This Row],[Data de Pagamento]]="",0,IF(Registro2[[#This Row],[Conta Financeira]]=base!$A$6,0,Registro2[[#This Row],[Valor Unitário]]))</f>
        <v>20</v>
      </c>
      <c r="U7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26" t="str">
        <f>VLOOKUP(Registro2[[#This Row],[Categoria]],'Plano de Contas'!$V$3:W800,2,0)</f>
        <v>Receitas Serviços</v>
      </c>
      <c r="X72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26" t="s">
        <v>1536</v>
      </c>
    </row>
    <row r="727" spans="1:25" hidden="1">
      <c r="A727" s="1">
        <v>45724.78125</v>
      </c>
      <c r="B727" s="1">
        <v>45724.78125</v>
      </c>
      <c r="D727" t="s">
        <v>1</v>
      </c>
      <c r="E727" t="s">
        <v>149</v>
      </c>
      <c r="F727" t="s">
        <v>147</v>
      </c>
      <c r="G727" t="s">
        <v>163</v>
      </c>
      <c r="I727" s="4">
        <v>20</v>
      </c>
      <c r="J727" s="4">
        <v>22.5</v>
      </c>
      <c r="L727" t="s">
        <v>264</v>
      </c>
      <c r="M727" t="s">
        <v>93</v>
      </c>
      <c r="N727" s="4">
        <f>IF(L727="","",IF(OR(Registro2[[#This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727" t="str">
        <f t="shared" si="11"/>
        <v>mar/25</v>
      </c>
      <c r="P727" t="str">
        <f>IF(Registro2[[#This Row],[Data de Pagamento]]&gt;0,TEXT(A727,"mmm/aa"),"")</f>
        <v>mar/25</v>
      </c>
      <c r="T727" s="4">
        <f>IF(Registro2[[#This Row],[Data de Pagamento]]="",0,IF(Registro2[[#This Row],[Conta Financeira]]=base!$A$6,0,Registro2[[#This Row],[Valor Unitário]]))</f>
        <v>20</v>
      </c>
      <c r="U7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27" t="str">
        <f>VLOOKUP(Registro2[[#This Row],[Categoria]],'Plano de Contas'!$V$3:W802,2,0)</f>
        <v>Receitas Serviços</v>
      </c>
      <c r="X7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27" t="s">
        <v>1536</v>
      </c>
    </row>
    <row r="728" spans="1:25" hidden="1">
      <c r="A728" s="1">
        <v>45724.78125</v>
      </c>
      <c r="B728" s="1">
        <v>45724.78125</v>
      </c>
      <c r="D728" t="s">
        <v>1</v>
      </c>
      <c r="E728" t="s">
        <v>149</v>
      </c>
      <c r="F728" t="s">
        <v>910</v>
      </c>
      <c r="G728" t="s">
        <v>910</v>
      </c>
      <c r="I728" s="4">
        <v>2.5</v>
      </c>
      <c r="J728" s="4"/>
      <c r="L728" t="s">
        <v>264</v>
      </c>
      <c r="M728" t="s">
        <v>93</v>
      </c>
      <c r="N728" s="4" t="str">
        <f>IF(L728="","",IF(OR(Registro2[[#This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728" t="str">
        <f t="shared" si="11"/>
        <v>mar/25</v>
      </c>
      <c r="P728" t="str">
        <f>IF(Registro2[[#This Row],[Data de Pagamento]]&gt;0,TEXT(A728,"mmm/aa"),"")</f>
        <v>mar/25</v>
      </c>
      <c r="T728" s="4">
        <f>IF(Registro2[[#This Row],[Data de Pagamento]]="",0,IF(Registro2[[#This Row],[Conta Financeira]]=base!$A$6,0,Registro2[[#This Row],[Valor Unitário]]))</f>
        <v>2.5</v>
      </c>
      <c r="U7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28" t="str">
        <f>VLOOKUP(Registro2[[#This Row],[Categoria]],'Plano de Contas'!$V$3:W803,2,0)</f>
        <v>Outras Receitas</v>
      </c>
      <c r="X72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28" t="s">
        <v>1536</v>
      </c>
    </row>
    <row r="729" spans="1:25" hidden="1">
      <c r="A729" s="1">
        <v>45724.78125</v>
      </c>
      <c r="B729" s="1">
        <v>45724.78125</v>
      </c>
      <c r="D729" t="s">
        <v>1</v>
      </c>
      <c r="E729" t="s">
        <v>149</v>
      </c>
      <c r="F729" t="s">
        <v>147</v>
      </c>
      <c r="G729" t="s">
        <v>163</v>
      </c>
      <c r="I729" s="4">
        <v>35</v>
      </c>
      <c r="J729" s="4">
        <v>37.5</v>
      </c>
      <c r="L729" t="s">
        <v>252</v>
      </c>
      <c r="M729" t="s">
        <v>93</v>
      </c>
      <c r="N729" s="4">
        <f>IF(L729="","",IF(OR(Registro2[[#This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29" t="str">
        <f t="shared" si="11"/>
        <v>mar/25</v>
      </c>
      <c r="P729" t="str">
        <f>IF(Registro2[[#This Row],[Data de Pagamento]]&gt;0,TEXT(A729,"mmm/aa"),"")</f>
        <v>mar/25</v>
      </c>
      <c r="T729" s="4">
        <f>IF(Registro2[[#This Row],[Data de Pagamento]]="",0,IF(Registro2[[#This Row],[Conta Financeira]]=base!$A$6,0,Registro2[[#This Row],[Valor Unitário]]))</f>
        <v>35</v>
      </c>
      <c r="U7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29" t="str">
        <f>VLOOKUP(Registro2[[#This Row],[Categoria]],'Plano de Contas'!$V$3:W805,2,0)</f>
        <v>Receitas Serviços</v>
      </c>
      <c r="X7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29" t="s">
        <v>1536</v>
      </c>
    </row>
    <row r="730" spans="1:25" hidden="1">
      <c r="A730" s="1">
        <v>45724.78125</v>
      </c>
      <c r="B730" s="1">
        <v>45724.78125</v>
      </c>
      <c r="D730" t="s">
        <v>1</v>
      </c>
      <c r="E730" t="s">
        <v>149</v>
      </c>
      <c r="F730" t="s">
        <v>910</v>
      </c>
      <c r="G730" t="s">
        <v>910</v>
      </c>
      <c r="I730" s="4">
        <v>2.5</v>
      </c>
      <c r="J730" s="4"/>
      <c r="L730" t="s">
        <v>252</v>
      </c>
      <c r="M730" t="s">
        <v>93</v>
      </c>
      <c r="N730" s="4" t="str">
        <f>IF(L730="","",IF(OR(Registro2[[#This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730" t="str">
        <f t="shared" si="11"/>
        <v>mar/25</v>
      </c>
      <c r="P730" t="str">
        <f>IF(Registro2[[#This Row],[Data de Pagamento]]&gt;0,TEXT(A730,"mmm/aa"),"")</f>
        <v>mar/25</v>
      </c>
      <c r="T730" s="4">
        <f>IF(Registro2[[#This Row],[Data de Pagamento]]="",0,IF(Registro2[[#This Row],[Conta Financeira]]=base!$A$6,0,Registro2[[#This Row],[Valor Unitário]]))</f>
        <v>2.5</v>
      </c>
      <c r="U7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30" t="str">
        <f>VLOOKUP(Registro2[[#This Row],[Categoria]],'Plano de Contas'!$V$3:W806,2,0)</f>
        <v>Outras Receitas</v>
      </c>
      <c r="X73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30" t="s">
        <v>1536</v>
      </c>
    </row>
    <row r="731" spans="1:25" hidden="1">
      <c r="A731" s="1">
        <v>45724.802083333336</v>
      </c>
      <c r="B731" s="1">
        <v>45724.802083333336</v>
      </c>
      <c r="D731" t="s">
        <v>354</v>
      </c>
      <c r="E731" t="s">
        <v>149</v>
      </c>
      <c r="F731" t="s">
        <v>147</v>
      </c>
      <c r="G731" t="s">
        <v>163</v>
      </c>
      <c r="I731" s="4">
        <v>35</v>
      </c>
      <c r="J731" s="4">
        <v>55</v>
      </c>
      <c r="L731" t="s">
        <v>253</v>
      </c>
      <c r="M731" t="s">
        <v>277</v>
      </c>
      <c r="N731" s="4">
        <f>IF(L731="","",IF(OR(Registro2[[#This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31" t="str">
        <f t="shared" si="11"/>
        <v>mar/25</v>
      </c>
      <c r="P731" t="str">
        <f>IF(Registro2[[#This Row],[Data de Pagamento]]&gt;0,TEXT(A731,"mmm/aa"),"")</f>
        <v>mar/25</v>
      </c>
      <c r="T731" s="4">
        <f>IF(Registro2[[#This Row],[Data de Pagamento]]="",0,IF(Registro2[[#This Row],[Conta Financeira]]=base!$A$6,0,Registro2[[#This Row],[Valor Unitário]]))</f>
        <v>35</v>
      </c>
      <c r="U7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31" t="str">
        <f>VLOOKUP(Registro2[[#This Row],[Categoria]],'Plano de Contas'!$V$3:W797,2,0)</f>
        <v>Receitas Serviços</v>
      </c>
      <c r="X73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731" t="s">
        <v>1536</v>
      </c>
    </row>
    <row r="732" spans="1:25" hidden="1">
      <c r="A732" s="1">
        <v>45724.802083333336</v>
      </c>
      <c r="B732" s="1">
        <v>45724.802083333336</v>
      </c>
      <c r="D732" t="s">
        <v>354</v>
      </c>
      <c r="E732" t="s">
        <v>149</v>
      </c>
      <c r="F732" t="s">
        <v>147</v>
      </c>
      <c r="G732" t="s">
        <v>166</v>
      </c>
      <c r="I732" s="4">
        <v>20</v>
      </c>
      <c r="J732" s="4"/>
      <c r="L732" t="s">
        <v>253</v>
      </c>
      <c r="M732" t="s">
        <v>277</v>
      </c>
      <c r="N732" s="4">
        <f>IF(L732="","",IF(OR(Registro2[[#This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732" t="str">
        <f t="shared" si="11"/>
        <v>mar/25</v>
      </c>
      <c r="P732" t="str">
        <f>IF(Registro2[[#This Row],[Data de Pagamento]]&gt;0,TEXT(A732,"mmm/aa"),"")</f>
        <v>mar/25</v>
      </c>
      <c r="T732" s="4">
        <f>IF(Registro2[[#This Row],[Data de Pagamento]]="",0,IF(Registro2[[#This Row],[Conta Financeira]]=base!$A$6,0,Registro2[[#This Row],[Valor Unitário]]))</f>
        <v>20</v>
      </c>
      <c r="U7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32" t="str">
        <f>VLOOKUP(Registro2[[#This Row],[Categoria]],'Plano de Contas'!$V$3:W798,2,0)</f>
        <v>Receitas Serviços</v>
      </c>
      <c r="X73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0.63</v>
      </c>
      <c r="Y732" t="s">
        <v>1536</v>
      </c>
    </row>
    <row r="733" spans="1:25" hidden="1">
      <c r="A733" s="1">
        <v>45724.8125</v>
      </c>
      <c r="B733" s="1">
        <v>45724.8125</v>
      </c>
      <c r="D733" t="s">
        <v>1</v>
      </c>
      <c r="E733" t="s">
        <v>149</v>
      </c>
      <c r="F733" t="s">
        <v>147</v>
      </c>
      <c r="G733" t="s">
        <v>163</v>
      </c>
      <c r="I733" s="4">
        <v>35</v>
      </c>
      <c r="J733" s="4">
        <v>45</v>
      </c>
      <c r="L733" t="s">
        <v>252</v>
      </c>
      <c r="M733" t="s">
        <v>1099</v>
      </c>
      <c r="N733" s="4">
        <f>IF(L733="","",IF(OR(Registro2[[#This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33" t="str">
        <f t="shared" si="11"/>
        <v>mar/25</v>
      </c>
      <c r="P733" t="str">
        <f>IF(Registro2[[#This Row],[Data de Pagamento]]&gt;0,TEXT(A733,"mmm/aa"),"")</f>
        <v>mar/25</v>
      </c>
      <c r="T733" s="4">
        <f>IF(Registro2[[#This Row],[Data de Pagamento]]="",0,IF(Registro2[[#This Row],[Conta Financeira]]=base!$A$6,0,Registro2[[#This Row],[Valor Unitário]]))</f>
        <v>35</v>
      </c>
      <c r="U7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33" t="str">
        <f>VLOOKUP(Registro2[[#This Row],[Categoria]],'Plano de Contas'!$V$3:W761,2,0)</f>
        <v>Receitas Serviços</v>
      </c>
      <c r="X73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33" t="s">
        <v>1536</v>
      </c>
    </row>
    <row r="734" spans="1:25" hidden="1">
      <c r="A734" s="1">
        <v>45724.8125</v>
      </c>
      <c r="B734" s="1">
        <v>45724.8125</v>
      </c>
      <c r="D734" t="s">
        <v>1</v>
      </c>
      <c r="E734" t="s">
        <v>149</v>
      </c>
      <c r="F734" t="s">
        <v>147</v>
      </c>
      <c r="G734" t="s">
        <v>167</v>
      </c>
      <c r="I734" s="4">
        <v>10</v>
      </c>
      <c r="J734" s="4"/>
      <c r="L734" t="s">
        <v>252</v>
      </c>
      <c r="M734" t="s">
        <v>1099</v>
      </c>
      <c r="N734" s="4">
        <f>IF(L734="","",IF(OR(Registro2[[#This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734" t="str">
        <f t="shared" si="11"/>
        <v>mar/25</v>
      </c>
      <c r="P734" t="str">
        <f>IF(Registro2[[#This Row],[Data de Pagamento]]&gt;0,TEXT(A734,"mmm/aa"),"")</f>
        <v>mar/25</v>
      </c>
      <c r="T734" s="4">
        <f>IF(Registro2[[#This Row],[Data de Pagamento]]="",0,IF(Registro2[[#This Row],[Conta Financeira]]=base!$A$6,0,Registro2[[#This Row],[Valor Unitário]]))</f>
        <v>10</v>
      </c>
      <c r="U7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34" t="str">
        <f>VLOOKUP(Registro2[[#This Row],[Categoria]],'Plano de Contas'!$V$3:W762,2,0)</f>
        <v>Receitas Serviços</v>
      </c>
      <c r="X73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34" t="s">
        <v>1536</v>
      </c>
    </row>
    <row r="735" spans="1:25" hidden="1">
      <c r="A735" s="1">
        <v>45724.8125</v>
      </c>
      <c r="B735" s="1">
        <v>45724.8125</v>
      </c>
      <c r="D735" t="s">
        <v>310</v>
      </c>
      <c r="E735" t="s">
        <v>149</v>
      </c>
      <c r="F735" t="s">
        <v>147</v>
      </c>
      <c r="G735" t="s">
        <v>163</v>
      </c>
      <c r="I735" s="4">
        <v>35</v>
      </c>
      <c r="J735" s="4">
        <v>35</v>
      </c>
      <c r="L735" t="s">
        <v>264</v>
      </c>
      <c r="M735" t="s">
        <v>1315</v>
      </c>
      <c r="N735" s="4">
        <f>IF(L735="","",IF(OR(Registro2[[#This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35" t="str">
        <f t="shared" si="11"/>
        <v>mar/25</v>
      </c>
      <c r="P735" t="str">
        <f>IF(Registro2[[#This Row],[Data de Pagamento]]&gt;0,TEXT(A735,"mmm/aa"),"")</f>
        <v>mar/25</v>
      </c>
      <c r="T735" s="4">
        <f>IF(Registro2[[#This Row],[Data de Pagamento]]="",0,IF(Registro2[[#This Row],[Conta Financeira]]=base!$A$6,0,Registro2[[#This Row],[Valor Unitário]]))</f>
        <v>35</v>
      </c>
      <c r="U7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35" t="str">
        <f>VLOOKUP(Registro2[[#This Row],[Categoria]],'Plano de Contas'!$V$3:W764,2,0)</f>
        <v>Receitas Serviços</v>
      </c>
      <c r="X73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735" t="s">
        <v>1536</v>
      </c>
    </row>
    <row r="736" spans="1:25" hidden="1">
      <c r="A736" s="1">
        <v>45724.881944444445</v>
      </c>
      <c r="B736" s="1">
        <v>45724.881944444445</v>
      </c>
      <c r="D736" t="s">
        <v>1</v>
      </c>
      <c r="E736" t="s">
        <v>149</v>
      </c>
      <c r="F736" t="s">
        <v>147</v>
      </c>
      <c r="G736" t="s">
        <v>163</v>
      </c>
      <c r="I736" s="4">
        <v>35</v>
      </c>
      <c r="J736" s="4">
        <v>95</v>
      </c>
      <c r="L736" t="s">
        <v>264</v>
      </c>
      <c r="M736" t="s">
        <v>1356</v>
      </c>
      <c r="N736" s="4">
        <f>IF(L736="","",IF(OR(Registro2[[#This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36" t="str">
        <f t="shared" si="11"/>
        <v>mar/25</v>
      </c>
      <c r="P736" t="str">
        <f>IF(Registro2[[#This Row],[Data de Pagamento]]&gt;0,TEXT(A736,"mmm/aa"),"")</f>
        <v>mar/25</v>
      </c>
      <c r="T736" s="4">
        <f>IF(Registro2[[#This Row],[Data de Pagamento]]="",0,IF(Registro2[[#This Row],[Conta Financeira]]=base!$A$6,0,Registro2[[#This Row],[Valor Unitário]]))</f>
        <v>35</v>
      </c>
      <c r="U7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36" t="str">
        <f>VLOOKUP(Registro2[[#This Row],[Categoria]],'Plano de Contas'!$V$3:W807,2,0)</f>
        <v>Receitas Serviços</v>
      </c>
      <c r="X73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36" t="s">
        <v>1536</v>
      </c>
    </row>
    <row r="737" spans="1:25" hidden="1">
      <c r="A737" s="1">
        <v>45724.881944444445</v>
      </c>
      <c r="B737" s="1">
        <v>45724.881944444445</v>
      </c>
      <c r="D737" t="s">
        <v>1</v>
      </c>
      <c r="E737" t="s">
        <v>149</v>
      </c>
      <c r="F737" t="s">
        <v>152</v>
      </c>
      <c r="G737" t="s">
        <v>353</v>
      </c>
      <c r="I737" s="4">
        <v>60</v>
      </c>
      <c r="J737" s="4"/>
      <c r="L737" t="s">
        <v>252</v>
      </c>
      <c r="M737" t="s">
        <v>1356</v>
      </c>
      <c r="N737" s="4">
        <f>IF(L737="","",IF(OR(Registro2[[#This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737" t="str">
        <f t="shared" si="11"/>
        <v>mar/25</v>
      </c>
      <c r="P737" t="str">
        <f>IF(Registro2[[#This Row],[Data de Pagamento]]&gt;0,TEXT(A737,"mmm/aa"),"")</f>
        <v>mar/25</v>
      </c>
      <c r="T737" s="4">
        <f>IF(Registro2[[#This Row],[Data de Pagamento]]="",0,IF(Registro2[[#This Row],[Conta Financeira]]=base!$A$6,0,Registro2[[#This Row],[Valor Unitário]]))</f>
        <v>60</v>
      </c>
      <c r="U7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37" t="str">
        <f>VLOOKUP(Registro2[[#This Row],[Categoria]],'Plano de Contas'!$V$3:W808,2,0)</f>
        <v>Receitas Serviços</v>
      </c>
      <c r="X73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37" t="s">
        <v>1536</v>
      </c>
    </row>
    <row r="738" spans="1:25" hidden="1">
      <c r="A738" s="1">
        <v>45724.902777777781</v>
      </c>
      <c r="B738" s="1">
        <v>45724.902777777781</v>
      </c>
      <c r="D738" t="s">
        <v>1</v>
      </c>
      <c r="E738" t="s">
        <v>149</v>
      </c>
      <c r="F738" t="s">
        <v>147</v>
      </c>
      <c r="G738" t="s">
        <v>160</v>
      </c>
      <c r="I738" s="4">
        <v>12</v>
      </c>
      <c r="J738" s="4">
        <v>12</v>
      </c>
      <c r="L738" t="s">
        <v>252</v>
      </c>
      <c r="M738" t="s">
        <v>273</v>
      </c>
      <c r="N738" s="4">
        <f>IF(L738="","",IF(OR(Registro2[[#This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738" t="str">
        <f t="shared" si="11"/>
        <v>mar/25</v>
      </c>
      <c r="P738" t="str">
        <f>IF(Registro2[[#This Row],[Data de Pagamento]]&gt;0,TEXT(A738,"mmm/aa"),"")</f>
        <v>mar/25</v>
      </c>
      <c r="T738" s="4">
        <f>IF(Registro2[[#This Row],[Data de Pagamento]]="",0,IF(Registro2[[#This Row],[Conta Financeira]]=base!$A$6,0,Registro2[[#This Row],[Valor Unitário]]))</f>
        <v>12</v>
      </c>
      <c r="U7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38" t="str">
        <f>VLOOKUP(Registro2[[#This Row],[Categoria]],'Plano de Contas'!$V$3:W809,2,0)</f>
        <v>Receitas Serviços</v>
      </c>
      <c r="X73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38" t="s">
        <v>1536</v>
      </c>
    </row>
    <row r="739" spans="1:25" hidden="1">
      <c r="A739" s="1">
        <v>45725</v>
      </c>
      <c r="B739" s="1">
        <v>45725</v>
      </c>
      <c r="D739" t="s">
        <v>947</v>
      </c>
      <c r="E739" t="s">
        <v>137</v>
      </c>
      <c r="F739" t="s">
        <v>146</v>
      </c>
      <c r="G739" t="s">
        <v>315</v>
      </c>
      <c r="H739" t="s">
        <v>438</v>
      </c>
      <c r="I739" s="4">
        <v>128.62</v>
      </c>
      <c r="J739" s="4"/>
      <c r="N739" s="4" t="str">
        <f>IF(L739="","",IF(OR(Registro2[[#This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739" t="str">
        <f t="shared" si="11"/>
        <v>mar/25</v>
      </c>
      <c r="P739" t="str">
        <f>IF(Registro2[[#This Row],[Data de Pagamento]]&gt;0,TEXT(A739,"mmm/aa"),"")</f>
        <v>mar/25</v>
      </c>
      <c r="T739" s="4">
        <f>IF(Registro2[[#This Row],[Data de Pagamento]]="",0,IF(Registro2[[#This Row],[Conta Financeira]]=base!$A$6,0,Registro2[[#This Row],[Valor Unitário]]))</f>
        <v>128.62</v>
      </c>
      <c r="U7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39" t="str">
        <f>VLOOKUP(Registro2[[#This Row],[Categoria]],'Plano de Contas'!$V$3:W730,2,0)</f>
        <v>Despesas Operacionais</v>
      </c>
      <c r="X73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39" t="s">
        <v>1536</v>
      </c>
    </row>
    <row r="740" spans="1:25" hidden="1">
      <c r="A740" s="1">
        <v>45725</v>
      </c>
      <c r="B740" s="1">
        <v>45725</v>
      </c>
      <c r="D740" t="s">
        <v>947</v>
      </c>
      <c r="E740" t="s">
        <v>137</v>
      </c>
      <c r="F740" t="s">
        <v>139</v>
      </c>
      <c r="G740" t="s">
        <v>332</v>
      </c>
      <c r="H740" t="s">
        <v>1264</v>
      </c>
      <c r="I740" s="4">
        <v>120</v>
      </c>
      <c r="J740" s="4"/>
      <c r="N740" s="4" t="str">
        <f>IF(L740="","",IF(OR(Registro2[[#This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740" t="str">
        <f t="shared" si="11"/>
        <v>mar/25</v>
      </c>
      <c r="P740" t="str">
        <f>IF(Registro2[[#This Row],[Data de Pagamento]]&gt;0,TEXT(A740,"mmm/aa"),"")</f>
        <v>mar/25</v>
      </c>
      <c r="T740" s="4">
        <f>IF(Registro2[[#This Row],[Data de Pagamento]]="",0,IF(Registro2[[#This Row],[Conta Financeira]]=base!$A$6,0,Registro2[[#This Row],[Valor Unitário]]))</f>
        <v>120</v>
      </c>
      <c r="U7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40" t="str">
        <f>VLOOKUP(Registro2[[#This Row],[Categoria]],'Plano de Contas'!$V$3:W731,2,0)</f>
        <v>Custos Operacionais</v>
      </c>
      <c r="X74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40" t="s">
        <v>1536</v>
      </c>
    </row>
    <row r="741" spans="1:25" hidden="1">
      <c r="A741" s="1">
        <v>45725</v>
      </c>
      <c r="B741" s="1">
        <v>45725</v>
      </c>
      <c r="D741" t="s">
        <v>947</v>
      </c>
      <c r="E741" t="s">
        <v>137</v>
      </c>
      <c r="F741" t="s">
        <v>139</v>
      </c>
      <c r="G741" t="s">
        <v>337</v>
      </c>
      <c r="H741" t="s">
        <v>1265</v>
      </c>
      <c r="I741" s="4">
        <v>200</v>
      </c>
      <c r="J741" s="4"/>
      <c r="N741" s="4" t="str">
        <f>IF(L741="","",IF(OR(Registro2[[#This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741" t="str">
        <f t="shared" si="11"/>
        <v>mar/25</v>
      </c>
      <c r="P741" t="str">
        <f>IF(Registro2[[#This Row],[Data de Pagamento]]&gt;0,TEXT(A741,"mmm/aa"),"")</f>
        <v>mar/25</v>
      </c>
      <c r="T741" s="4">
        <f>IF(Registro2[[#This Row],[Data de Pagamento]]="",0,IF(Registro2[[#This Row],[Conta Financeira]]=base!$A$6,0,Registro2[[#This Row],[Valor Unitário]]))</f>
        <v>200</v>
      </c>
      <c r="U7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41" t="str">
        <f>VLOOKUP(Registro2[[#This Row],[Categoria]],'Plano de Contas'!$V$3:W732,2,0)</f>
        <v>Despesas Gerias &amp; Vendas</v>
      </c>
      <c r="X74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41" t="s">
        <v>1536</v>
      </c>
    </row>
    <row r="742" spans="1:25" hidden="1">
      <c r="A742" s="1">
        <v>45726</v>
      </c>
      <c r="B742" s="1">
        <v>45726</v>
      </c>
      <c r="D742" t="s">
        <v>947</v>
      </c>
      <c r="E742" t="s">
        <v>137</v>
      </c>
      <c r="F742" t="s">
        <v>139</v>
      </c>
      <c r="G742" t="s">
        <v>332</v>
      </c>
      <c r="H742" t="s">
        <v>1266</v>
      </c>
      <c r="I742" s="4">
        <v>37</v>
      </c>
      <c r="J742" s="4"/>
      <c r="N742" s="4" t="str">
        <f>IF(L742="","",IF(OR(Registro2[[#This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742" t="str">
        <f t="shared" si="11"/>
        <v>mar/25</v>
      </c>
      <c r="P742" t="str">
        <f>IF(Registro2[[#This Row],[Data de Pagamento]]&gt;0,TEXT(A742,"mmm/aa"),"")</f>
        <v>mar/25</v>
      </c>
      <c r="T742" s="4">
        <f>IF(Registro2[[#This Row],[Data de Pagamento]]="",0,IF(Registro2[[#This Row],[Conta Financeira]]=base!$A$6,0,Registro2[[#This Row],[Valor Unitário]]))</f>
        <v>37</v>
      </c>
      <c r="U7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42" t="str">
        <f>VLOOKUP(Registro2[[#This Row],[Categoria]],'Plano de Contas'!$V$3:W733,2,0)</f>
        <v>Custos Operacionais</v>
      </c>
      <c r="X74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42" t="s">
        <v>1536</v>
      </c>
    </row>
    <row r="743" spans="1:25" hidden="1">
      <c r="A743" s="1">
        <v>45726</v>
      </c>
      <c r="B743" s="1">
        <v>45726</v>
      </c>
      <c r="D743" t="s">
        <v>947</v>
      </c>
      <c r="E743" t="s">
        <v>137</v>
      </c>
      <c r="F743" t="s">
        <v>967</v>
      </c>
      <c r="G743" t="s">
        <v>144</v>
      </c>
      <c r="H743" t="s">
        <v>1267</v>
      </c>
      <c r="I743" s="4">
        <v>31</v>
      </c>
      <c r="J743" s="4"/>
      <c r="N743" s="4" t="str">
        <f>IF(L743="","",IF(OR(Registro2[[#This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743" t="str">
        <f t="shared" si="11"/>
        <v>mar/25</v>
      </c>
      <c r="P743" t="str">
        <f>IF(Registro2[[#This Row],[Data de Pagamento]]&gt;0,TEXT(A743,"mmm/aa"),"")</f>
        <v>mar/25</v>
      </c>
      <c r="T743" s="4">
        <f>IF(Registro2[[#This Row],[Data de Pagamento]]="",0,IF(Registro2[[#This Row],[Conta Financeira]]=base!$A$6,0,Registro2[[#This Row],[Valor Unitário]]))</f>
        <v>31</v>
      </c>
      <c r="U7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43" t="str">
        <f>VLOOKUP(Registro2[[#This Row],[Categoria]],'Plano de Contas'!$V$3:W734,2,0)</f>
        <v>Despesas Administrativas</v>
      </c>
      <c r="X74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43" t="s">
        <v>1536</v>
      </c>
    </row>
    <row r="744" spans="1:25" hidden="1">
      <c r="A744" s="1">
        <v>45726</v>
      </c>
      <c r="B744" s="1">
        <v>45726</v>
      </c>
      <c r="D744" t="s">
        <v>947</v>
      </c>
      <c r="E744" t="s">
        <v>137</v>
      </c>
      <c r="F744" t="s">
        <v>139</v>
      </c>
      <c r="G744" t="s">
        <v>336</v>
      </c>
      <c r="H744" t="s">
        <v>1262</v>
      </c>
      <c r="I744" s="4">
        <v>130</v>
      </c>
      <c r="J744" s="4"/>
      <c r="L744" t="s">
        <v>253</v>
      </c>
      <c r="N744" s="4" t="str">
        <f>IF(L744="","",IF(OR(Registro2[[#This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744" t="str">
        <f t="shared" si="11"/>
        <v>mar/25</v>
      </c>
      <c r="P744" t="str">
        <f>IF(Registro2[[#This Row],[Data de Pagamento]]&gt;0,TEXT(A744,"mmm/aa"),"")</f>
        <v>mar/25</v>
      </c>
      <c r="T744" s="4">
        <f>IF(Registro2[[#This Row],[Data de Pagamento]]="",0,IF(Registro2[[#This Row],[Conta Financeira]]=base!$A$6,0,Registro2[[#This Row],[Valor Unitário]]))</f>
        <v>130</v>
      </c>
      <c r="U7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44" t="str">
        <f>VLOOKUP(Registro2[[#This Row],[Categoria]],'Plano de Contas'!$V$3:W735,2,0)</f>
        <v>Custos Operacionais</v>
      </c>
      <c r="X74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44" t="s">
        <v>1536</v>
      </c>
    </row>
    <row r="745" spans="1:25" hidden="1">
      <c r="A745" s="1">
        <v>45726</v>
      </c>
      <c r="B745" s="1">
        <v>45726</v>
      </c>
      <c r="D745" t="s">
        <v>947</v>
      </c>
      <c r="E745" t="s">
        <v>137</v>
      </c>
      <c r="F745" t="s">
        <v>138</v>
      </c>
      <c r="G745" t="s">
        <v>145</v>
      </c>
      <c r="H745" t="s">
        <v>1268</v>
      </c>
      <c r="I745" s="4">
        <v>86.52</v>
      </c>
      <c r="J745" s="4"/>
      <c r="N745" s="4" t="str">
        <f>IF(L745="","",IF(OR(Registro2[[#This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745" t="str">
        <f t="shared" si="11"/>
        <v>mar/25</v>
      </c>
      <c r="P745" t="str">
        <f>IF(Registro2[[#This Row],[Data de Pagamento]]&gt;0,TEXT(A745,"mmm/aa"),"")</f>
        <v>mar/25</v>
      </c>
      <c r="T745" s="4">
        <f>IF(Registro2[[#This Row],[Data de Pagamento]]="",0,IF(Registro2[[#This Row],[Conta Financeira]]=base!$A$6,0,Registro2[[#This Row],[Valor Unitário]]))</f>
        <v>86.52</v>
      </c>
      <c r="U7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45" t="str">
        <f>VLOOKUP(Registro2[[#This Row],[Categoria]],'Plano de Contas'!$V$3:W736,2,0)</f>
        <v>Imposto de Renda</v>
      </c>
      <c r="X7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45" t="s">
        <v>1536</v>
      </c>
    </row>
    <row r="746" spans="1:25" hidden="1">
      <c r="A746" s="1">
        <v>45726.416666666664</v>
      </c>
      <c r="B746" s="1">
        <v>45726.416666666664</v>
      </c>
      <c r="D746" t="s">
        <v>1</v>
      </c>
      <c r="E746" t="s">
        <v>149</v>
      </c>
      <c r="F746" t="s">
        <v>147</v>
      </c>
      <c r="G746" t="s">
        <v>163</v>
      </c>
      <c r="I746" s="4">
        <v>35</v>
      </c>
      <c r="J746" s="4">
        <v>45</v>
      </c>
      <c r="L746" t="s">
        <v>252</v>
      </c>
      <c r="M746" t="s">
        <v>80</v>
      </c>
      <c r="N746" s="4">
        <f>IF(L746="","",IF(OR(Registro2[[#This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46" t="str">
        <f t="shared" si="11"/>
        <v>mar/25</v>
      </c>
      <c r="P746" t="str">
        <f>IF(Registro2[[#This Row],[Data de Pagamento]]&gt;0,TEXT(A746,"mmm/aa"),"")</f>
        <v>mar/25</v>
      </c>
      <c r="T746" s="4">
        <f>IF(Registro2[[#This Row],[Data de Pagamento]]="",0,IF(Registro2[[#This Row],[Conta Financeira]]=base!$A$6,0,Registro2[[#This Row],[Valor Unitário]]))</f>
        <v>35</v>
      </c>
      <c r="U7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46" t="str">
        <f>VLOOKUP(Registro2[[#This Row],[Categoria]],'Plano de Contas'!$V$3:W813,2,0)</f>
        <v>Receitas Serviços</v>
      </c>
      <c r="X74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46" t="s">
        <v>1536</v>
      </c>
    </row>
    <row r="747" spans="1:25" hidden="1">
      <c r="A747" s="1">
        <v>45726.416666666664</v>
      </c>
      <c r="B747" s="1">
        <v>45726.416666666664</v>
      </c>
      <c r="D747" t="s">
        <v>1</v>
      </c>
      <c r="E747" t="s">
        <v>149</v>
      </c>
      <c r="F747" t="s">
        <v>147</v>
      </c>
      <c r="G747" t="s">
        <v>167</v>
      </c>
      <c r="I747" s="4">
        <v>10</v>
      </c>
      <c r="J747" s="4"/>
      <c r="L747" t="s">
        <v>252</v>
      </c>
      <c r="M747" t="s">
        <v>80</v>
      </c>
      <c r="N747" s="4">
        <f>IF(L747="","",IF(OR(Registro2[[#This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747" t="str">
        <f t="shared" si="11"/>
        <v>mar/25</v>
      </c>
      <c r="P747" t="str">
        <f>IF(Registro2[[#This Row],[Data de Pagamento]]&gt;0,TEXT(A747,"mmm/aa"),"")</f>
        <v>mar/25</v>
      </c>
      <c r="T747" s="4">
        <f>IF(Registro2[[#This Row],[Data de Pagamento]]="",0,IF(Registro2[[#This Row],[Conta Financeira]]=base!$A$6,0,Registro2[[#This Row],[Valor Unitário]]))</f>
        <v>10</v>
      </c>
      <c r="U7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47" t="str">
        <f>VLOOKUP(Registro2[[#This Row],[Categoria]],'Plano de Contas'!$V$3:W814,2,0)</f>
        <v>Receitas Serviços</v>
      </c>
      <c r="X74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47" t="s">
        <v>1536</v>
      </c>
    </row>
    <row r="748" spans="1:25" hidden="1">
      <c r="A748" s="1">
        <v>45726.416666666664</v>
      </c>
      <c r="B748" s="1">
        <v>45726.416666666664</v>
      </c>
      <c r="D748" t="s">
        <v>2</v>
      </c>
      <c r="E748" t="s">
        <v>149</v>
      </c>
      <c r="F748" t="s">
        <v>147</v>
      </c>
      <c r="G748" t="s">
        <v>163</v>
      </c>
      <c r="I748" s="4">
        <v>35</v>
      </c>
      <c r="J748" s="4">
        <v>35</v>
      </c>
      <c r="L748" t="s">
        <v>253</v>
      </c>
      <c r="M748" t="s">
        <v>288</v>
      </c>
      <c r="N748" s="4">
        <f>IF(L748="","",IF(OR(Registro2[[#This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48" t="str">
        <f t="shared" si="11"/>
        <v>mar/25</v>
      </c>
      <c r="P748" t="str">
        <f>IF(Registro2[[#This Row],[Data de Pagamento]]&gt;0,TEXT(A748,"mmm/aa"),"")</f>
        <v>mar/25</v>
      </c>
      <c r="T748" s="4">
        <f>IF(Registro2[[#This Row],[Data de Pagamento]]="",0,IF(Registro2[[#This Row],[Conta Financeira]]=base!$A$6,0,Registro2[[#This Row],[Valor Unitário]]))</f>
        <v>35</v>
      </c>
      <c r="U7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48" t="str">
        <f>VLOOKUP(Registro2[[#This Row],[Categoria]],'Plano de Contas'!$V$3:W815,2,0)</f>
        <v>Receitas Serviços</v>
      </c>
      <c r="X74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48" t="s">
        <v>1536</v>
      </c>
    </row>
    <row r="749" spans="1:25" hidden="1">
      <c r="A749" s="1">
        <v>45726.71875</v>
      </c>
      <c r="B749" s="1">
        <v>45726.71875</v>
      </c>
      <c r="D749" t="s">
        <v>354</v>
      </c>
      <c r="E749" t="s">
        <v>149</v>
      </c>
      <c r="F749" t="s">
        <v>147</v>
      </c>
      <c r="G749" t="s">
        <v>163</v>
      </c>
      <c r="I749" s="4">
        <v>35</v>
      </c>
      <c r="J749" s="4">
        <v>35</v>
      </c>
      <c r="L749" t="s">
        <v>252</v>
      </c>
      <c r="M749" t="s">
        <v>781</v>
      </c>
      <c r="N749" s="4">
        <f>IF(L749="","",IF(OR(Registro2[[#This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49" t="str">
        <f t="shared" si="11"/>
        <v>mar/25</v>
      </c>
      <c r="P749" t="str">
        <f>IF(Registro2[[#This Row],[Data de Pagamento]]&gt;0,TEXT(A749,"mmm/aa"),"")</f>
        <v>mar/25</v>
      </c>
      <c r="T749" s="4">
        <f>IF(Registro2[[#This Row],[Data de Pagamento]]="",0,IF(Registro2[[#This Row],[Conta Financeira]]=base!$A$6,0,Registro2[[#This Row],[Valor Unitário]]))</f>
        <v>35</v>
      </c>
      <c r="U7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49" t="str">
        <f>VLOOKUP(Registro2[[#This Row],[Categoria]],'Plano de Contas'!$V$3:W819,2,0)</f>
        <v>Receitas Serviços</v>
      </c>
      <c r="X74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749" t="s">
        <v>1536</v>
      </c>
    </row>
    <row r="750" spans="1:25" hidden="1">
      <c r="A750" s="1">
        <v>45726.729166666664</v>
      </c>
      <c r="B750" s="1">
        <v>45726.729166666664</v>
      </c>
      <c r="D750" t="s">
        <v>1</v>
      </c>
      <c r="E750" t="s">
        <v>149</v>
      </c>
      <c r="F750" t="s">
        <v>147</v>
      </c>
      <c r="G750" t="s">
        <v>163</v>
      </c>
      <c r="I750" s="4">
        <v>35</v>
      </c>
      <c r="J750" s="4">
        <v>80</v>
      </c>
      <c r="L750" t="s">
        <v>253</v>
      </c>
      <c r="M750" t="s">
        <v>372</v>
      </c>
      <c r="N750" s="4">
        <f>IF(L750="","",IF(OR(Registro2[[#This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50" t="str">
        <f t="shared" si="11"/>
        <v>mar/25</v>
      </c>
      <c r="P750" t="str">
        <f>IF(Registro2[[#This Row],[Data de Pagamento]]&gt;0,TEXT(A750,"mmm/aa"),"")</f>
        <v>mar/25</v>
      </c>
      <c r="T750" s="4">
        <f>IF(Registro2[[#This Row],[Data de Pagamento]]="",0,IF(Registro2[[#This Row],[Conta Financeira]]=base!$A$6,0,Registro2[[#This Row],[Valor Unitário]]))</f>
        <v>35</v>
      </c>
      <c r="U7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50" t="str">
        <f>VLOOKUP(Registro2[[#This Row],[Categoria]],'Plano de Contas'!$V$3:W810,2,0)</f>
        <v>Receitas Serviços</v>
      </c>
      <c r="X75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50" t="s">
        <v>1536</v>
      </c>
    </row>
    <row r="751" spans="1:25" hidden="1">
      <c r="A751" s="1">
        <v>45726.729166666664</v>
      </c>
      <c r="B751" s="1">
        <v>45726.729166666664</v>
      </c>
      <c r="D751" t="s">
        <v>1</v>
      </c>
      <c r="E751" t="s">
        <v>149</v>
      </c>
      <c r="F751" t="s">
        <v>147</v>
      </c>
      <c r="G751" t="s">
        <v>163</v>
      </c>
      <c r="I751" s="4">
        <v>35</v>
      </c>
      <c r="J751" s="4"/>
      <c r="L751" t="s">
        <v>252</v>
      </c>
      <c r="M751" t="s">
        <v>372</v>
      </c>
      <c r="N751" s="4">
        <f>IF(L751="","",IF(OR(Registro2[[#This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51" t="str">
        <f t="shared" si="11"/>
        <v>mar/25</v>
      </c>
      <c r="P751" t="str">
        <f>IF(Registro2[[#This Row],[Data de Pagamento]]&gt;0,TEXT(A751,"mmm/aa"),"")</f>
        <v>mar/25</v>
      </c>
      <c r="T751" s="4">
        <f>IF(Registro2[[#This Row],[Data de Pagamento]]="",0,IF(Registro2[[#This Row],[Conta Financeira]]=base!$A$6,0,Registro2[[#This Row],[Valor Unitário]]))</f>
        <v>35</v>
      </c>
      <c r="U7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51" t="str">
        <f>VLOOKUP(Registro2[[#This Row],[Categoria]],'Plano de Contas'!$V$3:W811,2,0)</f>
        <v>Receitas Serviços</v>
      </c>
      <c r="X75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51" t="s">
        <v>1536</v>
      </c>
    </row>
    <row r="752" spans="1:25" hidden="1">
      <c r="A752" s="1">
        <v>45726.729166666664</v>
      </c>
      <c r="B752" s="1">
        <v>45726.729166666664</v>
      </c>
      <c r="D752" t="s">
        <v>1</v>
      </c>
      <c r="E752" t="s">
        <v>149</v>
      </c>
      <c r="F752" t="s">
        <v>147</v>
      </c>
      <c r="G752" t="s">
        <v>167</v>
      </c>
      <c r="I752" s="4">
        <v>10</v>
      </c>
      <c r="J752" s="4"/>
      <c r="L752" t="s">
        <v>252</v>
      </c>
      <c r="M752" t="s">
        <v>372</v>
      </c>
      <c r="N752" s="4">
        <f>IF(L752="","",IF(OR(Registro2[[#This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752" t="str">
        <f t="shared" si="11"/>
        <v>mar/25</v>
      </c>
      <c r="P752" t="str">
        <f>IF(Registro2[[#This Row],[Data de Pagamento]]&gt;0,TEXT(A752,"mmm/aa"),"")</f>
        <v>mar/25</v>
      </c>
      <c r="T752" s="4">
        <f>IF(Registro2[[#This Row],[Data de Pagamento]]="",0,IF(Registro2[[#This Row],[Conta Financeira]]=base!$A$6,0,Registro2[[#This Row],[Valor Unitário]]))</f>
        <v>10</v>
      </c>
      <c r="U7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52" t="str">
        <f>VLOOKUP(Registro2[[#This Row],[Categoria]],'Plano de Contas'!$V$3:W812,2,0)</f>
        <v>Receitas Serviços</v>
      </c>
      <c r="X75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52" t="s">
        <v>1536</v>
      </c>
    </row>
    <row r="753" spans="1:25" hidden="1">
      <c r="A753" s="1">
        <v>45726.729166666664</v>
      </c>
      <c r="B753" s="1">
        <v>45726.729166666664</v>
      </c>
      <c r="D753" t="s">
        <v>1</v>
      </c>
      <c r="E753" t="s">
        <v>149</v>
      </c>
      <c r="F753" t="s">
        <v>147</v>
      </c>
      <c r="G753" t="s">
        <v>163</v>
      </c>
      <c r="I753" s="4">
        <v>35</v>
      </c>
      <c r="J753" s="4">
        <v>60</v>
      </c>
      <c r="L753" t="s">
        <v>252</v>
      </c>
      <c r="M753" t="s">
        <v>24</v>
      </c>
      <c r="N753" s="4">
        <f>IF(L753="","",IF(OR(Registro2[[#This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53" t="str">
        <f t="shared" si="11"/>
        <v>mar/25</v>
      </c>
      <c r="P753" t="str">
        <f>IF(Registro2[[#This Row],[Data de Pagamento]]&gt;0,TEXT(A753,"mmm/aa"),"")</f>
        <v>mar/25</v>
      </c>
      <c r="T753" s="4">
        <f>IF(Registro2[[#This Row],[Data de Pagamento]]="",0,IF(Registro2[[#This Row],[Conta Financeira]]=base!$A$6,0,Registro2[[#This Row],[Valor Unitário]]))</f>
        <v>35</v>
      </c>
      <c r="U7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53" t="str">
        <f>VLOOKUP(Registro2[[#This Row],[Categoria]],'Plano de Contas'!$V$3:W816,2,0)</f>
        <v>Receitas Serviços</v>
      </c>
      <c r="X75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53" t="s">
        <v>1536</v>
      </c>
    </row>
    <row r="754" spans="1:25" hidden="1">
      <c r="A754" s="1">
        <v>45726.729166666664</v>
      </c>
      <c r="B754" s="1">
        <v>45726.729166666664</v>
      </c>
      <c r="D754" t="s">
        <v>1</v>
      </c>
      <c r="E754" t="s">
        <v>149</v>
      </c>
      <c r="F754" t="s">
        <v>150</v>
      </c>
      <c r="G754" t="s">
        <v>508</v>
      </c>
      <c r="I754" s="4">
        <v>25</v>
      </c>
      <c r="J754" s="4"/>
      <c r="L754" t="s">
        <v>252</v>
      </c>
      <c r="M754" t="s">
        <v>24</v>
      </c>
      <c r="N754" s="4">
        <f>IF(L754="","",IF(OR(Registro2[[#This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754" t="str">
        <f t="shared" si="11"/>
        <v>mar/25</v>
      </c>
      <c r="P754" t="str">
        <f>IF(Registro2[[#This Row],[Data de Pagamento]]&gt;0,TEXT(A754,"mmm/aa"),"")</f>
        <v>mar/25</v>
      </c>
      <c r="T754" s="4">
        <f>IF(Registro2[[#This Row],[Data de Pagamento]]="",0,IF(Registro2[[#This Row],[Conta Financeira]]=base!$A$6,0,Registro2[[#This Row],[Valor Unitário]]))</f>
        <v>25</v>
      </c>
      <c r="U7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54" t="str">
        <f>VLOOKUP(Registro2[[#This Row],[Categoria]],'Plano de Contas'!$V$3:W817,2,0)</f>
        <v>Receitas Produtos</v>
      </c>
      <c r="X75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54" t="s">
        <v>1536</v>
      </c>
    </row>
    <row r="755" spans="1:25" hidden="1">
      <c r="A755" s="1">
        <v>45726.78125</v>
      </c>
      <c r="B755" s="1">
        <v>45726.78125</v>
      </c>
      <c r="D755" t="s">
        <v>1</v>
      </c>
      <c r="E755" t="s">
        <v>149</v>
      </c>
      <c r="F755" t="s">
        <v>147</v>
      </c>
      <c r="G755" t="s">
        <v>163</v>
      </c>
      <c r="I755" s="4">
        <v>35</v>
      </c>
      <c r="J755" s="4">
        <v>35</v>
      </c>
      <c r="L755" t="s">
        <v>253</v>
      </c>
      <c r="M755" t="s">
        <v>52</v>
      </c>
      <c r="N755" s="4">
        <f>IF(L755="","",IF(OR(Registro2[[#This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55" t="str">
        <f t="shared" si="11"/>
        <v>mar/25</v>
      </c>
      <c r="P755" t="str">
        <f>IF(Registro2[[#This Row],[Data de Pagamento]]&gt;0,TEXT(A755,"mmm/aa"),"")</f>
        <v>mar/25</v>
      </c>
      <c r="T755" s="4">
        <f>IF(Registro2[[#This Row],[Data de Pagamento]]="",0,IF(Registro2[[#This Row],[Conta Financeira]]=base!$A$6,0,Registro2[[#This Row],[Valor Unitário]]))</f>
        <v>35</v>
      </c>
      <c r="U7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55" t="str">
        <f>VLOOKUP(Registro2[[#This Row],[Categoria]],'Plano de Contas'!$V$3:W820,2,0)</f>
        <v>Receitas Serviços</v>
      </c>
      <c r="X7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55" t="s">
        <v>1536</v>
      </c>
    </row>
    <row r="756" spans="1:25" hidden="1">
      <c r="A756" s="1">
        <v>45726.795138888891</v>
      </c>
      <c r="B756" s="1">
        <v>45726.795138888891</v>
      </c>
      <c r="D756" t="s">
        <v>1</v>
      </c>
      <c r="E756" t="s">
        <v>149</v>
      </c>
      <c r="F756" t="s">
        <v>147</v>
      </c>
      <c r="G756" t="s">
        <v>163</v>
      </c>
      <c r="I756" s="4">
        <v>35</v>
      </c>
      <c r="J756" s="4">
        <v>35</v>
      </c>
      <c r="L756" t="s">
        <v>253</v>
      </c>
      <c r="M756" t="s">
        <v>191</v>
      </c>
      <c r="N756" s="4">
        <f>IF(L756="","",IF(OR(Registro2[[#This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56" t="str">
        <f t="shared" si="11"/>
        <v>mar/25</v>
      </c>
      <c r="P756" t="str">
        <f>IF(Registro2[[#This Row],[Data de Pagamento]]&gt;0,TEXT(A756,"mmm/aa"),"")</f>
        <v>mar/25</v>
      </c>
      <c r="T756" s="4">
        <f>IF(Registro2[[#This Row],[Data de Pagamento]]="",0,IF(Registro2[[#This Row],[Conta Financeira]]=base!$A$6,0,Registro2[[#This Row],[Valor Unitário]]))</f>
        <v>35</v>
      </c>
      <c r="U7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56" t="str">
        <f>VLOOKUP(Registro2[[#This Row],[Categoria]],'Plano de Contas'!$V$3:W821,2,0)</f>
        <v>Receitas Serviços</v>
      </c>
      <c r="X75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56" t="s">
        <v>1536</v>
      </c>
    </row>
    <row r="757" spans="1:25" hidden="1">
      <c r="A757" s="1">
        <v>45726.809027777781</v>
      </c>
      <c r="B757" s="1">
        <v>45726.809027777781</v>
      </c>
      <c r="D757" t="s">
        <v>354</v>
      </c>
      <c r="E757" t="s">
        <v>149</v>
      </c>
      <c r="F757" t="s">
        <v>147</v>
      </c>
      <c r="G757" t="s">
        <v>163</v>
      </c>
      <c r="I757" s="4">
        <v>35</v>
      </c>
      <c r="J757" s="4">
        <v>35</v>
      </c>
      <c r="L757" t="s">
        <v>252</v>
      </c>
      <c r="M757" t="s">
        <v>783</v>
      </c>
      <c r="N757" s="4">
        <f>IF(L757="","",IF(OR(Registro2[[#This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57" t="str">
        <f t="shared" si="11"/>
        <v>mar/25</v>
      </c>
      <c r="P757" t="str">
        <f>IF(Registro2[[#This Row],[Data de Pagamento]]&gt;0,TEXT(A757,"mmm/aa"),"")</f>
        <v>mar/25</v>
      </c>
      <c r="T757" s="4">
        <f>IF(Registro2[[#This Row],[Data de Pagamento]]="",0,IF(Registro2[[#This Row],[Conta Financeira]]=base!$A$6,0,Registro2[[#This Row],[Valor Unitário]]))</f>
        <v>35</v>
      </c>
      <c r="U7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57" t="str">
        <f>VLOOKUP(Registro2[[#This Row],[Categoria]],'Plano de Contas'!$V$3:W822,2,0)</f>
        <v>Receitas Serviços</v>
      </c>
      <c r="X75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757" t="s">
        <v>1536</v>
      </c>
    </row>
    <row r="758" spans="1:25" hidden="1">
      <c r="A758" s="1">
        <v>45727</v>
      </c>
      <c r="B758" s="1">
        <v>45727</v>
      </c>
      <c r="D758" t="s">
        <v>947</v>
      </c>
      <c r="E758" t="s">
        <v>137</v>
      </c>
      <c r="F758" t="s">
        <v>146</v>
      </c>
      <c r="G758" t="s">
        <v>314</v>
      </c>
      <c r="H758" t="s">
        <v>1296</v>
      </c>
      <c r="I758" s="4">
        <v>288</v>
      </c>
      <c r="J758" s="4"/>
      <c r="N758" s="4" t="str">
        <f>IF(L758="","",IF(OR(Registro2[[#This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758" t="str">
        <f t="shared" si="11"/>
        <v>mar/25</v>
      </c>
      <c r="P758" t="str">
        <f>IF(Registro2[[#This Row],[Data de Pagamento]]&gt;0,TEXT(A758,"mmm/aa"),"")</f>
        <v>mar/25</v>
      </c>
      <c r="T758" s="4">
        <f>IF(Registro2[[#This Row],[Data de Pagamento]]="",0,IF(Registro2[[#This Row],[Conta Financeira]]=base!$A$6,0,Registro2[[#This Row],[Valor Unitário]]))</f>
        <v>288</v>
      </c>
      <c r="U7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58" t="str">
        <f>VLOOKUP(Registro2[[#This Row],[Categoria]],'Plano de Contas'!$V$3:W737,2,0)</f>
        <v>Despesas Operacionais</v>
      </c>
      <c r="X7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58" t="s">
        <v>1536</v>
      </c>
    </row>
    <row r="759" spans="1:25" hidden="1">
      <c r="A759" s="1">
        <v>45727.427083333336</v>
      </c>
      <c r="B759" s="1">
        <v>45727.427083333336</v>
      </c>
      <c r="D759" t="s">
        <v>2</v>
      </c>
      <c r="E759" t="s">
        <v>149</v>
      </c>
      <c r="F759" t="s">
        <v>147</v>
      </c>
      <c r="G759" t="s">
        <v>163</v>
      </c>
      <c r="I759" s="4">
        <v>35</v>
      </c>
      <c r="J759" s="4">
        <v>20</v>
      </c>
      <c r="L759" t="s">
        <v>252</v>
      </c>
      <c r="M759" t="s">
        <v>1368</v>
      </c>
      <c r="N759" s="4">
        <f>IF(L759="","",IF(OR(Registro2[[#This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59" t="str">
        <f t="shared" si="11"/>
        <v>mar/25</v>
      </c>
      <c r="P759" t="str">
        <f>IF(Registro2[[#This Row],[Data de Pagamento]]&gt;0,TEXT(A759,"mmm/aa"),"")</f>
        <v>mar/25</v>
      </c>
      <c r="T759" s="4">
        <f>IF(Registro2[[#This Row],[Data de Pagamento]]="",0,IF(Registro2[[#This Row],[Conta Financeira]]=base!$A$6,0,Registro2[[#This Row],[Valor Unitário]]))</f>
        <v>35</v>
      </c>
      <c r="U7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59" t="str">
        <f>VLOOKUP(Registro2[[#This Row],[Categoria]],'Plano de Contas'!$V$3:W823,2,0)</f>
        <v>Receitas Serviços</v>
      </c>
      <c r="X75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59" t="s">
        <v>1536</v>
      </c>
    </row>
    <row r="760" spans="1:25" hidden="1">
      <c r="A760" s="1">
        <v>45727.427083333336</v>
      </c>
      <c r="B760" s="1">
        <v>45727.427083333336</v>
      </c>
      <c r="D760" t="s">
        <v>1</v>
      </c>
      <c r="E760" t="s">
        <v>149</v>
      </c>
      <c r="F760" t="s">
        <v>147</v>
      </c>
      <c r="G760" t="s">
        <v>163</v>
      </c>
      <c r="I760" s="4">
        <v>20</v>
      </c>
      <c r="J760" s="4">
        <v>20</v>
      </c>
      <c r="L760" t="s">
        <v>264</v>
      </c>
      <c r="M760" t="s">
        <v>206</v>
      </c>
      <c r="N760" s="4">
        <f>IF(L760="","",IF(OR(Registro2[[#This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760" t="str">
        <f t="shared" si="11"/>
        <v>mar/25</v>
      </c>
      <c r="P760" t="str">
        <f>IF(Registro2[[#This Row],[Data de Pagamento]]&gt;0,TEXT(A760,"mmm/aa"),"")</f>
        <v>mar/25</v>
      </c>
      <c r="T760" s="4">
        <f>IF(Registro2[[#This Row],[Data de Pagamento]]="",0,IF(Registro2[[#This Row],[Conta Financeira]]=base!$A$6,0,Registro2[[#This Row],[Valor Unitário]]))</f>
        <v>20</v>
      </c>
      <c r="U7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60" t="str">
        <f>VLOOKUP(Registro2[[#This Row],[Categoria]],'Plano de Contas'!$V$3:W824,2,0)</f>
        <v>Receitas Serviços</v>
      </c>
      <c r="X7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60" t="s">
        <v>1536</v>
      </c>
    </row>
    <row r="761" spans="1:25" hidden="1">
      <c r="A761" s="1">
        <v>45727.458333333336</v>
      </c>
      <c r="B761" s="1">
        <v>45727.458333333336</v>
      </c>
      <c r="D761" t="s">
        <v>1</v>
      </c>
      <c r="E761" t="s">
        <v>149</v>
      </c>
      <c r="F761" t="s">
        <v>147</v>
      </c>
      <c r="G761" t="s">
        <v>163</v>
      </c>
      <c r="I761" s="4">
        <v>45</v>
      </c>
      <c r="J761" s="4">
        <v>45</v>
      </c>
      <c r="L761" t="s">
        <v>264</v>
      </c>
      <c r="M761" t="s">
        <v>1371</v>
      </c>
      <c r="N761" s="4">
        <f>IF(L761="","",IF(OR(Registro2[[#This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20.25</v>
      </c>
      <c r="O761" t="str">
        <f t="shared" si="11"/>
        <v>mar/25</v>
      </c>
      <c r="P761" t="str">
        <f>IF(Registro2[[#This Row],[Data de Pagamento]]&gt;0,TEXT(A761,"mmm/aa"),"")</f>
        <v>mar/25</v>
      </c>
      <c r="T761" s="4">
        <f>IF(Registro2[[#This Row],[Data de Pagamento]]="",0,IF(Registro2[[#This Row],[Conta Financeira]]=base!$A$6,0,Registro2[[#This Row],[Valor Unitário]]))</f>
        <v>45</v>
      </c>
      <c r="U7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61" t="str">
        <f>VLOOKUP(Registro2[[#This Row],[Categoria]],'Plano de Contas'!$V$3:W825,2,0)</f>
        <v>Receitas Serviços</v>
      </c>
      <c r="X7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61" t="s">
        <v>1536</v>
      </c>
    </row>
    <row r="762" spans="1:25" hidden="1">
      <c r="A762" s="1">
        <v>45727.46875</v>
      </c>
      <c r="B762" s="1">
        <v>45727.46875</v>
      </c>
      <c r="D762" t="s">
        <v>2</v>
      </c>
      <c r="E762" t="s">
        <v>149</v>
      </c>
      <c r="F762" t="s">
        <v>147</v>
      </c>
      <c r="G762" t="s">
        <v>163</v>
      </c>
      <c r="I762" s="4">
        <v>35</v>
      </c>
      <c r="J762" s="4">
        <v>60</v>
      </c>
      <c r="L762" t="s">
        <v>252</v>
      </c>
      <c r="M762" t="s">
        <v>789</v>
      </c>
      <c r="N762" s="4">
        <f>IF(L762="","",IF(OR(Registro2[[#This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62" t="str">
        <f t="shared" si="11"/>
        <v>mar/25</v>
      </c>
      <c r="P762" t="str">
        <f>IF(Registro2[[#This Row],[Data de Pagamento]]&gt;0,TEXT(A762,"mmm/aa"),"")</f>
        <v>mar/25</v>
      </c>
      <c r="T762" s="4">
        <f>IF(Registro2[[#This Row],[Data de Pagamento]]="",0,IF(Registro2[[#This Row],[Conta Financeira]]=base!$A$6,0,Registro2[[#This Row],[Valor Unitário]]))</f>
        <v>35</v>
      </c>
      <c r="U7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62" t="str">
        <f>VLOOKUP(Registro2[[#This Row],[Categoria]],'Plano de Contas'!$V$3:W826,2,0)</f>
        <v>Receitas Serviços</v>
      </c>
      <c r="X76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62" t="s">
        <v>1536</v>
      </c>
    </row>
    <row r="763" spans="1:25" hidden="1">
      <c r="A763" s="1">
        <v>45727.46875</v>
      </c>
      <c r="B763" s="1">
        <v>45727.46875</v>
      </c>
      <c r="D763" t="s">
        <v>2</v>
      </c>
      <c r="E763" t="s">
        <v>149</v>
      </c>
      <c r="F763" t="s">
        <v>150</v>
      </c>
      <c r="G763" t="s">
        <v>509</v>
      </c>
      <c r="I763" s="4">
        <v>25</v>
      </c>
      <c r="J763" s="4"/>
      <c r="L763" t="s">
        <v>252</v>
      </c>
      <c r="M763" t="s">
        <v>789</v>
      </c>
      <c r="N763" s="4">
        <f>IF(L763="","",IF(OR(Registro2[[#This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763" t="str">
        <f t="shared" si="11"/>
        <v>mar/25</v>
      </c>
      <c r="P763" t="str">
        <f>IF(Registro2[[#This Row],[Data de Pagamento]]&gt;0,TEXT(A763,"mmm/aa"),"")</f>
        <v>mar/25</v>
      </c>
      <c r="T763" s="4">
        <f>IF(Registro2[[#This Row],[Data de Pagamento]]="",0,IF(Registro2[[#This Row],[Conta Financeira]]=base!$A$6,0,Registro2[[#This Row],[Valor Unitário]]))</f>
        <v>25</v>
      </c>
      <c r="U7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63" t="str">
        <f>VLOOKUP(Registro2[[#This Row],[Categoria]],'Plano de Contas'!$V$3:W827,2,0)</f>
        <v>Receitas Produtos</v>
      </c>
      <c r="X76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63" t="s">
        <v>1536</v>
      </c>
    </row>
    <row r="764" spans="1:25" hidden="1">
      <c r="A764" s="1">
        <v>45727.53125</v>
      </c>
      <c r="B764" s="1">
        <v>45727.53125</v>
      </c>
      <c r="D764" t="s">
        <v>1</v>
      </c>
      <c r="E764" t="s">
        <v>149</v>
      </c>
      <c r="F764" t="s">
        <v>147</v>
      </c>
      <c r="G764" t="s">
        <v>163</v>
      </c>
      <c r="I764" s="4">
        <v>35</v>
      </c>
      <c r="J764" s="4">
        <v>35</v>
      </c>
      <c r="L764" t="s">
        <v>252</v>
      </c>
      <c r="M764" t="s">
        <v>122</v>
      </c>
      <c r="N764" s="4">
        <f>IF(L764="","",IF(OR(Registro2[[#This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64" t="str">
        <f t="shared" si="11"/>
        <v>mar/25</v>
      </c>
      <c r="P764" t="str">
        <f>IF(Registro2[[#This Row],[Data de Pagamento]]&gt;0,TEXT(A764,"mmm/aa"),"")</f>
        <v>mar/25</v>
      </c>
      <c r="T764" s="4">
        <f>IF(Registro2[[#This Row],[Data de Pagamento]]="",0,IF(Registro2[[#This Row],[Conta Financeira]]=base!$A$6,0,Registro2[[#This Row],[Valor Unitário]]))</f>
        <v>35</v>
      </c>
      <c r="U7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64" t="str">
        <f>VLOOKUP(Registro2[[#This Row],[Categoria]],'Plano de Contas'!$V$3:W828,2,0)</f>
        <v>Receitas Serviços</v>
      </c>
      <c r="X76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64" t="s">
        <v>1536</v>
      </c>
    </row>
    <row r="765" spans="1:25" hidden="1">
      <c r="A765" s="1">
        <v>45727.53125</v>
      </c>
      <c r="B765" s="1">
        <v>45727.53125</v>
      </c>
      <c r="D765" t="s">
        <v>2</v>
      </c>
      <c r="E765" t="s">
        <v>149</v>
      </c>
      <c r="F765" t="s">
        <v>150</v>
      </c>
      <c r="G765" t="s">
        <v>472</v>
      </c>
      <c r="I765" s="4">
        <v>40</v>
      </c>
      <c r="J765" s="4">
        <v>40</v>
      </c>
      <c r="L765" t="s">
        <v>264</v>
      </c>
      <c r="M765" t="s">
        <v>1381</v>
      </c>
      <c r="N765" s="4">
        <f>IF(L765="","",IF(OR(Registro2[[#This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765" t="str">
        <f t="shared" si="11"/>
        <v>mar/25</v>
      </c>
      <c r="P765" t="str">
        <f>IF(Registro2[[#This Row],[Data de Pagamento]]&gt;0,TEXT(A765,"mmm/aa"),"")</f>
        <v>mar/25</v>
      </c>
      <c r="T765" s="4">
        <f>IF(Registro2[[#This Row],[Data de Pagamento]]="",0,IF(Registro2[[#This Row],[Conta Financeira]]=base!$A$6,0,Registro2[[#This Row],[Valor Unitário]]))</f>
        <v>40</v>
      </c>
      <c r="U7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65" t="str">
        <f>VLOOKUP(Registro2[[#This Row],[Categoria]],'Plano de Contas'!$V$3:W833,2,0)</f>
        <v>Receitas Produtos</v>
      </c>
      <c r="X76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65" t="s">
        <v>1536</v>
      </c>
    </row>
    <row r="766" spans="1:25" hidden="1">
      <c r="A766" s="1">
        <v>45727.569444444445</v>
      </c>
      <c r="B766" s="1">
        <v>45727.569444444445</v>
      </c>
      <c r="D766" t="s">
        <v>1</v>
      </c>
      <c r="E766" t="s">
        <v>149</v>
      </c>
      <c r="F766" t="s">
        <v>147</v>
      </c>
      <c r="G766" t="s">
        <v>163</v>
      </c>
      <c r="I766" s="4">
        <v>35</v>
      </c>
      <c r="J766" s="4">
        <v>35</v>
      </c>
      <c r="L766" t="s">
        <v>253</v>
      </c>
      <c r="M766" t="s">
        <v>1375</v>
      </c>
      <c r="N766" s="4">
        <f>IF(L766="","",IF(OR(Registro2[[#This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66" t="str">
        <f t="shared" si="11"/>
        <v>mar/25</v>
      </c>
      <c r="P766" t="str">
        <f>IF(Registro2[[#This Row],[Data de Pagamento]]&gt;0,TEXT(A766,"mmm/aa"),"")</f>
        <v>mar/25</v>
      </c>
      <c r="T766" s="4">
        <f>IF(Registro2[[#This Row],[Data de Pagamento]]="",0,IF(Registro2[[#This Row],[Conta Financeira]]=base!$A$6,0,Registro2[[#This Row],[Valor Unitário]]))</f>
        <v>35</v>
      </c>
      <c r="U7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66" t="str">
        <f>VLOOKUP(Registro2[[#This Row],[Categoria]],'Plano de Contas'!$V$3:W829,2,0)</f>
        <v>Receitas Serviços</v>
      </c>
      <c r="X7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66" t="s">
        <v>1536</v>
      </c>
    </row>
    <row r="767" spans="1:25" hidden="1">
      <c r="A767" s="1">
        <v>45727.604166666664</v>
      </c>
      <c r="B767" s="1">
        <v>45727.604166666664</v>
      </c>
      <c r="D767" t="s">
        <v>1377</v>
      </c>
      <c r="E767" t="s">
        <v>149</v>
      </c>
      <c r="F767" t="s">
        <v>147</v>
      </c>
      <c r="G767" t="s">
        <v>163</v>
      </c>
      <c r="I767" s="4">
        <v>35</v>
      </c>
      <c r="J767" s="4">
        <v>55</v>
      </c>
      <c r="L767" t="s">
        <v>252</v>
      </c>
      <c r="M767" t="s">
        <v>276</v>
      </c>
      <c r="N767" s="4">
        <f>IF(L767="","",IF(OR(Registro2[[#This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67" t="str">
        <f t="shared" si="11"/>
        <v>mar/25</v>
      </c>
      <c r="P767" t="str">
        <f>IF(Registro2[[#This Row],[Data de Pagamento]]&gt;0,TEXT(A767,"mmm/aa"),"")</f>
        <v>mar/25</v>
      </c>
      <c r="T767" s="4">
        <f>IF(Registro2[[#This Row],[Data de Pagamento]]="",0,IF(Registro2[[#This Row],[Conta Financeira]]=base!$A$6,0,Registro2[[#This Row],[Valor Unitário]]))</f>
        <v>35</v>
      </c>
      <c r="U7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67" t="str">
        <f>VLOOKUP(Registro2[[#This Row],[Categoria]],'Plano de Contas'!$V$3:W830,2,0)</f>
        <v>Receitas Serviços</v>
      </c>
      <c r="X76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67" t="s">
        <v>1536</v>
      </c>
    </row>
    <row r="768" spans="1:25" hidden="1">
      <c r="A768" s="1">
        <v>45727.604166666664</v>
      </c>
      <c r="B768" s="1">
        <v>45727.604166666664</v>
      </c>
      <c r="D768" t="s">
        <v>1377</v>
      </c>
      <c r="E768" t="s">
        <v>149</v>
      </c>
      <c r="F768" t="s">
        <v>147</v>
      </c>
      <c r="G768" t="s">
        <v>166</v>
      </c>
      <c r="I768" s="4">
        <v>20</v>
      </c>
      <c r="J768" s="4"/>
      <c r="L768" t="s">
        <v>252</v>
      </c>
      <c r="M768" t="s">
        <v>276</v>
      </c>
      <c r="N768" s="4">
        <f>IF(L768="","",IF(OR(Registro2[[#This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768" t="str">
        <f t="shared" si="11"/>
        <v>mar/25</v>
      </c>
      <c r="P768" t="str">
        <f>IF(Registro2[[#This Row],[Data de Pagamento]]&gt;0,TEXT(A768,"mmm/aa"),"")</f>
        <v>mar/25</v>
      </c>
      <c r="T768" s="4">
        <f>IF(Registro2[[#This Row],[Data de Pagamento]]="",0,IF(Registro2[[#This Row],[Conta Financeira]]=base!$A$6,0,Registro2[[#This Row],[Valor Unitário]]))</f>
        <v>20</v>
      </c>
      <c r="U7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68" t="str">
        <f>VLOOKUP(Registro2[[#This Row],[Categoria]],'Plano de Contas'!$V$3:W831,2,0)</f>
        <v>Receitas Serviços</v>
      </c>
      <c r="X76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68" t="s">
        <v>1536</v>
      </c>
    </row>
    <row r="769" spans="1:25" hidden="1">
      <c r="A769" s="1">
        <v>45727.78125</v>
      </c>
      <c r="B769" s="1">
        <v>45727.78125</v>
      </c>
      <c r="D769" t="s">
        <v>2</v>
      </c>
      <c r="E769" t="s">
        <v>149</v>
      </c>
      <c r="F769" t="s">
        <v>147</v>
      </c>
      <c r="G769" t="s">
        <v>163</v>
      </c>
      <c r="I769" s="4">
        <v>35</v>
      </c>
      <c r="J769" s="4">
        <v>45</v>
      </c>
      <c r="L769" t="s">
        <v>253</v>
      </c>
      <c r="M769" t="s">
        <v>77</v>
      </c>
      <c r="N769" s="4">
        <f>IF(L769="","",IF(OR(Registro2[[#This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69" t="str">
        <f t="shared" si="11"/>
        <v>mar/25</v>
      </c>
      <c r="P769" t="str">
        <f>IF(Registro2[[#This Row],[Data de Pagamento]]&gt;0,TEXT(A769,"mmm/aa"),"")</f>
        <v>mar/25</v>
      </c>
      <c r="T769" s="4">
        <f>IF(Registro2[[#This Row],[Data de Pagamento]]="",0,IF(Registro2[[#This Row],[Conta Financeira]]=base!$A$6,0,Registro2[[#This Row],[Valor Unitário]]))</f>
        <v>35</v>
      </c>
      <c r="U7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69" t="str">
        <f>VLOOKUP(Registro2[[#This Row],[Categoria]],'Plano de Contas'!$V$3:W834,2,0)</f>
        <v>Receitas Serviços</v>
      </c>
      <c r="X76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69" t="s">
        <v>1536</v>
      </c>
    </row>
    <row r="770" spans="1:25" hidden="1">
      <c r="A770" s="1">
        <v>45727.78125</v>
      </c>
      <c r="B770" s="1">
        <v>45727.78125</v>
      </c>
      <c r="D770" t="s">
        <v>2</v>
      </c>
      <c r="E770" t="s">
        <v>149</v>
      </c>
      <c r="F770" t="s">
        <v>147</v>
      </c>
      <c r="G770" t="s">
        <v>167</v>
      </c>
      <c r="I770" s="4">
        <v>10</v>
      </c>
      <c r="J770" s="4"/>
      <c r="L770" t="s">
        <v>253</v>
      </c>
      <c r="M770" t="s">
        <v>77</v>
      </c>
      <c r="N770" s="4">
        <f>IF(L770="","",IF(OR(Registro2[[#This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770" t="str">
        <f t="shared" ref="O770:O833" si="12">TEXT(B770,"mmm/aa")</f>
        <v>mar/25</v>
      </c>
      <c r="P770" t="str">
        <f>IF(Registro2[[#This Row],[Data de Pagamento]]&gt;0,TEXT(A770,"mmm/aa"),"")</f>
        <v>mar/25</v>
      </c>
      <c r="T770" s="4">
        <f>IF(Registro2[[#This Row],[Data de Pagamento]]="",0,IF(Registro2[[#This Row],[Conta Financeira]]=base!$A$6,0,Registro2[[#This Row],[Valor Unitário]]))</f>
        <v>10</v>
      </c>
      <c r="U7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70" t="str">
        <f>VLOOKUP(Registro2[[#This Row],[Categoria]],'Plano de Contas'!$V$3:W835,2,0)</f>
        <v>Receitas Serviços</v>
      </c>
      <c r="X77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70" t="s">
        <v>1536</v>
      </c>
    </row>
    <row r="771" spans="1:25" hidden="1">
      <c r="A771" s="1">
        <v>45727.791666666664</v>
      </c>
      <c r="B771" s="1">
        <v>45727.791666666664</v>
      </c>
      <c r="D771" t="s">
        <v>1</v>
      </c>
      <c r="E771" t="s">
        <v>149</v>
      </c>
      <c r="F771" t="s">
        <v>147</v>
      </c>
      <c r="G771" t="s">
        <v>1046</v>
      </c>
      <c r="I771" s="4">
        <v>35</v>
      </c>
      <c r="J771" s="4">
        <v>55</v>
      </c>
      <c r="L771" t="s">
        <v>264</v>
      </c>
      <c r="M771" t="s">
        <v>502</v>
      </c>
      <c r="N771" s="4">
        <f>IF(L771="","",IF(OR(Registro2[[#This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71" t="str">
        <f t="shared" si="12"/>
        <v>mar/25</v>
      </c>
      <c r="P771" t="str">
        <f>IF(Registro2[[#This Row],[Data de Pagamento]]&gt;0,TEXT(A771,"mmm/aa"),"")</f>
        <v>mar/25</v>
      </c>
      <c r="T771" s="4">
        <f>IF(Registro2[[#This Row],[Data de Pagamento]]="",0,IF(Registro2[[#This Row],[Conta Financeira]]=base!$A$6,0,Registro2[[#This Row],[Valor Unitário]]))</f>
        <v>35</v>
      </c>
      <c r="U7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71" t="str">
        <f>VLOOKUP(Registro2[[#This Row],[Categoria]],'Plano de Contas'!$V$3:W836,2,0)</f>
        <v>Receitas Serviços</v>
      </c>
      <c r="X77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71" t="s">
        <v>1536</v>
      </c>
    </row>
    <row r="772" spans="1:25" hidden="1">
      <c r="A772" s="1">
        <v>45727.791666666664</v>
      </c>
      <c r="B772" s="1">
        <v>45727.791666666664</v>
      </c>
      <c r="D772" t="s">
        <v>1</v>
      </c>
      <c r="E772" t="s">
        <v>149</v>
      </c>
      <c r="F772" t="s">
        <v>147</v>
      </c>
      <c r="G772" t="s">
        <v>160</v>
      </c>
      <c r="I772" s="4">
        <v>12</v>
      </c>
      <c r="J772" s="4"/>
      <c r="L772" t="s">
        <v>264</v>
      </c>
      <c r="M772" t="s">
        <v>502</v>
      </c>
      <c r="N772" s="4">
        <f>IF(L772="","",IF(OR(Registro2[[#This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772" t="str">
        <f t="shared" si="12"/>
        <v>mar/25</v>
      </c>
      <c r="P772" t="str">
        <f>IF(Registro2[[#This Row],[Data de Pagamento]]&gt;0,TEXT(A772,"mmm/aa"),"")</f>
        <v>mar/25</v>
      </c>
      <c r="T772" s="4">
        <f>IF(Registro2[[#This Row],[Data de Pagamento]]="",0,IF(Registro2[[#This Row],[Conta Financeira]]=base!$A$6,0,Registro2[[#This Row],[Valor Unitário]]))</f>
        <v>12</v>
      </c>
      <c r="U7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72" t="str">
        <f>VLOOKUP(Registro2[[#This Row],[Categoria]],'Plano de Contas'!$V$3:W837,2,0)</f>
        <v>Receitas Serviços</v>
      </c>
      <c r="X77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72" t="s">
        <v>1536</v>
      </c>
    </row>
    <row r="773" spans="1:25" hidden="1">
      <c r="A773" s="1">
        <v>45727.791666666664</v>
      </c>
      <c r="B773" s="1">
        <v>45727.791666666664</v>
      </c>
      <c r="D773" t="s">
        <v>1</v>
      </c>
      <c r="E773" t="s">
        <v>149</v>
      </c>
      <c r="F773" t="s">
        <v>910</v>
      </c>
      <c r="G773" t="s">
        <v>910</v>
      </c>
      <c r="I773" s="4">
        <v>8</v>
      </c>
      <c r="J773" s="4"/>
      <c r="L773" t="s">
        <v>264</v>
      </c>
      <c r="M773" t="s">
        <v>502</v>
      </c>
      <c r="N773" s="4" t="str">
        <f>IF(L773="","",IF(OR(Registro2[[#This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773" t="str">
        <f t="shared" si="12"/>
        <v>mar/25</v>
      </c>
      <c r="P773" t="str">
        <f>IF(Registro2[[#This Row],[Data de Pagamento]]&gt;0,TEXT(A773,"mmm/aa"),"")</f>
        <v>mar/25</v>
      </c>
      <c r="T773" s="4">
        <f>IF(Registro2[[#This Row],[Data de Pagamento]]="",0,IF(Registro2[[#This Row],[Conta Financeira]]=base!$A$6,0,Registro2[[#This Row],[Valor Unitário]]))</f>
        <v>8</v>
      </c>
      <c r="U7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73" t="str">
        <f>VLOOKUP(Registro2[[#This Row],[Categoria]],'Plano de Contas'!$V$3:W838,2,0)</f>
        <v>Outras Receitas</v>
      </c>
      <c r="X77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73" t="s">
        <v>1536</v>
      </c>
    </row>
    <row r="774" spans="1:25" hidden="1">
      <c r="A774" s="1">
        <v>45727.802083333336</v>
      </c>
      <c r="B774" s="1">
        <v>45727.802083333336</v>
      </c>
      <c r="D774" t="s">
        <v>354</v>
      </c>
      <c r="E774" t="s">
        <v>149</v>
      </c>
      <c r="F774" t="s">
        <v>147</v>
      </c>
      <c r="G774" t="s">
        <v>163</v>
      </c>
      <c r="I774" s="4">
        <v>35</v>
      </c>
      <c r="J774" s="4">
        <v>70</v>
      </c>
      <c r="L774" t="s">
        <v>253</v>
      </c>
      <c r="M774" t="s">
        <v>187</v>
      </c>
      <c r="N774" s="4">
        <f>IF(L774="","",IF(OR(Registro2[[#This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74" t="str">
        <f t="shared" si="12"/>
        <v>mar/25</v>
      </c>
      <c r="P774" t="str">
        <f>IF(Registro2[[#This Row],[Data de Pagamento]]&gt;0,TEXT(A774,"mmm/aa"),"")</f>
        <v>mar/25</v>
      </c>
      <c r="T774" s="4">
        <f>IF(Registro2[[#This Row],[Data de Pagamento]]="",0,IF(Registro2[[#This Row],[Conta Financeira]]=base!$A$6,0,Registro2[[#This Row],[Valor Unitário]]))</f>
        <v>35</v>
      </c>
      <c r="U7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74" t="str">
        <f>VLOOKUP(Registro2[[#This Row],[Categoria]],'Plano de Contas'!$V$3:W839,2,0)</f>
        <v>Receitas Serviços</v>
      </c>
      <c r="X77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774" t="s">
        <v>1536</v>
      </c>
    </row>
    <row r="775" spans="1:25" hidden="1">
      <c r="A775" s="1">
        <v>45727.802083333336</v>
      </c>
      <c r="B775" s="1">
        <v>45727.802083333336</v>
      </c>
      <c r="D775" t="s">
        <v>354</v>
      </c>
      <c r="E775" t="s">
        <v>149</v>
      </c>
      <c r="F775" t="s">
        <v>147</v>
      </c>
      <c r="G775" t="s">
        <v>163</v>
      </c>
      <c r="I775" s="4">
        <v>35</v>
      </c>
      <c r="J775" s="4"/>
      <c r="L775" t="s">
        <v>252</v>
      </c>
      <c r="M775" t="s">
        <v>187</v>
      </c>
      <c r="N775" s="4">
        <f>IF(L775="","",IF(OR(Registro2[[#This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75" t="str">
        <f t="shared" si="12"/>
        <v>mar/25</v>
      </c>
      <c r="P775" t="str">
        <f>IF(Registro2[[#This Row],[Data de Pagamento]]&gt;0,TEXT(A775,"mmm/aa"),"")</f>
        <v>mar/25</v>
      </c>
      <c r="T775" s="4">
        <f>IF(Registro2[[#This Row],[Data de Pagamento]]="",0,IF(Registro2[[#This Row],[Conta Financeira]]=base!$A$6,0,Registro2[[#This Row],[Valor Unitário]]))</f>
        <v>35</v>
      </c>
      <c r="U7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75" t="str">
        <f>VLOOKUP(Registro2[[#This Row],[Categoria]],'Plano de Contas'!$V$3:W840,2,0)</f>
        <v>Receitas Serviços</v>
      </c>
      <c r="X77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775" t="s">
        <v>1536</v>
      </c>
    </row>
    <row r="776" spans="1:25" hidden="1">
      <c r="A776" s="1">
        <v>45727.826388888891</v>
      </c>
      <c r="B776" s="1">
        <v>45727.826388888891</v>
      </c>
      <c r="D776" t="s">
        <v>310</v>
      </c>
      <c r="E776" t="s">
        <v>149</v>
      </c>
      <c r="F776" t="s">
        <v>147</v>
      </c>
      <c r="G776" t="s">
        <v>1046</v>
      </c>
      <c r="I776" s="4">
        <v>20</v>
      </c>
      <c r="J776" s="4">
        <v>20</v>
      </c>
      <c r="L776" t="s">
        <v>264</v>
      </c>
      <c r="M776" t="s">
        <v>376</v>
      </c>
      <c r="N776" s="4">
        <f>IF(L776="","",IF(OR(Registro2[[#This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776" t="str">
        <f t="shared" si="12"/>
        <v>mar/25</v>
      </c>
      <c r="P776" t="str">
        <f>IF(Registro2[[#This Row],[Data de Pagamento]]&gt;0,TEXT(A776,"mmm/aa"),"")</f>
        <v>mar/25</v>
      </c>
      <c r="T776" s="4">
        <f>IF(Registro2[[#This Row],[Data de Pagamento]]="",0,IF(Registro2[[#This Row],[Conta Financeira]]=base!$A$6,0,Registro2[[#This Row],[Valor Unitário]]))</f>
        <v>20</v>
      </c>
      <c r="U7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76" t="str">
        <f>VLOOKUP(Registro2[[#This Row],[Categoria]],'Plano de Contas'!$V$3:W841,2,0)</f>
        <v>Receitas Serviços</v>
      </c>
      <c r="X77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  <c r="Y776" t="s">
        <v>1536</v>
      </c>
    </row>
    <row r="777" spans="1:25" hidden="1">
      <c r="A777" s="1">
        <v>45727.847222222219</v>
      </c>
      <c r="B777" s="1">
        <v>45727.847222222219</v>
      </c>
      <c r="D777" t="s">
        <v>1</v>
      </c>
      <c r="E777" t="s">
        <v>149</v>
      </c>
      <c r="F777" t="s">
        <v>147</v>
      </c>
      <c r="G777" t="s">
        <v>163</v>
      </c>
      <c r="I777" s="4">
        <v>35</v>
      </c>
      <c r="J777" s="4">
        <v>35</v>
      </c>
      <c r="L777" t="s">
        <v>253</v>
      </c>
      <c r="M777" t="s">
        <v>1387</v>
      </c>
      <c r="N777" s="4">
        <f>IF(L777="","",IF(OR(Registro2[[#This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77" t="str">
        <f t="shared" si="12"/>
        <v>mar/25</v>
      </c>
      <c r="P777" t="str">
        <f>IF(Registro2[[#This Row],[Data de Pagamento]]&gt;0,TEXT(A777,"mmm/aa"),"")</f>
        <v>mar/25</v>
      </c>
      <c r="T777" s="4">
        <f>IF(Registro2[[#This Row],[Data de Pagamento]]="",0,IF(Registro2[[#This Row],[Conta Financeira]]=base!$A$6,0,Registro2[[#This Row],[Valor Unitário]]))</f>
        <v>35</v>
      </c>
      <c r="U7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77" t="str">
        <f>VLOOKUP(Registro2[[#This Row],[Categoria]],'Plano de Contas'!$V$3:W842,2,0)</f>
        <v>Receitas Serviços</v>
      </c>
      <c r="X77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77" t="s">
        <v>1536</v>
      </c>
    </row>
    <row r="778" spans="1:25" hidden="1">
      <c r="A778" s="1">
        <v>45727.892361111109</v>
      </c>
      <c r="B778" s="1">
        <v>45727.892361111109</v>
      </c>
      <c r="D778" t="s">
        <v>136</v>
      </c>
      <c r="E778" t="s">
        <v>137</v>
      </c>
      <c r="F778" t="s">
        <v>139</v>
      </c>
      <c r="G778" t="s">
        <v>336</v>
      </c>
      <c r="H778" t="s">
        <v>1918</v>
      </c>
      <c r="I778" s="4">
        <v>102</v>
      </c>
      <c r="J778" s="4"/>
      <c r="N778" s="4" t="str">
        <f>IF(L778="","",IF(OR(Registro2[[#This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778" t="str">
        <f t="shared" si="12"/>
        <v>mar/25</v>
      </c>
      <c r="P778" t="str">
        <f>IF(Registro2[[#This Row],[Data de Pagamento]]&gt;0,TEXT(A778,"mmm/aa"),"")</f>
        <v>mar/25</v>
      </c>
      <c r="T778" s="4">
        <f>IF(Registro2[[#This Row],[Data de Pagamento]]="",0,IF(Registro2[[#This Row],[Conta Financeira]]=base!$A$6,0,Registro2[[#This Row],[Valor Unitário]]))</f>
        <v>102</v>
      </c>
      <c r="U7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78" t="str">
        <f>VLOOKUP(Registro2[[#This Row],[Categoria]],'Plano de Contas'!$V$3:W738,2,0)</f>
        <v>Custos Operacionais</v>
      </c>
      <c r="X7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78" t="s">
        <v>1536</v>
      </c>
    </row>
    <row r="779" spans="1:25" hidden="1">
      <c r="A779" s="1">
        <v>45727.916666666664</v>
      </c>
      <c r="B779" s="1">
        <v>45727.916666666664</v>
      </c>
      <c r="D779" t="s">
        <v>1</v>
      </c>
      <c r="E779" t="s">
        <v>149</v>
      </c>
      <c r="F779" t="s">
        <v>147</v>
      </c>
      <c r="G779" t="s">
        <v>163</v>
      </c>
      <c r="I779" s="4">
        <v>35</v>
      </c>
      <c r="J779" s="4">
        <v>75</v>
      </c>
      <c r="L779" t="s">
        <v>264</v>
      </c>
      <c r="M779" t="s">
        <v>1083</v>
      </c>
      <c r="N779" s="4">
        <f>IF(L779="","",IF(OR(Registro2[[#This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79" t="str">
        <f t="shared" si="12"/>
        <v>mar/25</v>
      </c>
      <c r="P779" t="str">
        <f>IF(Registro2[[#This Row],[Data de Pagamento]]&gt;0,TEXT(A779,"mmm/aa"),"")</f>
        <v>mar/25</v>
      </c>
      <c r="T779" s="4">
        <f>IF(Registro2[[#This Row],[Data de Pagamento]]="",0,IF(Registro2[[#This Row],[Conta Financeira]]=base!$A$6,0,Registro2[[#This Row],[Valor Unitário]]))</f>
        <v>35</v>
      </c>
      <c r="U7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79" t="str">
        <f>VLOOKUP(Registro2[[#This Row],[Categoria]],'Plano de Contas'!$V$3:W843,2,0)</f>
        <v>Receitas Serviços</v>
      </c>
      <c r="X77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79" t="s">
        <v>1536</v>
      </c>
    </row>
    <row r="780" spans="1:25" hidden="1">
      <c r="A780" s="1">
        <v>45727.916666666664</v>
      </c>
      <c r="B780" s="1">
        <v>45727.916666666664</v>
      </c>
      <c r="D780" t="s">
        <v>1</v>
      </c>
      <c r="E780" t="s">
        <v>149</v>
      </c>
      <c r="F780" t="s">
        <v>150</v>
      </c>
      <c r="G780" t="s">
        <v>472</v>
      </c>
      <c r="I780" s="4">
        <v>40</v>
      </c>
      <c r="J780" s="4"/>
      <c r="L780" t="s">
        <v>264</v>
      </c>
      <c r="M780" t="s">
        <v>1083</v>
      </c>
      <c r="N780" s="4">
        <f>IF(L780="","",IF(OR(Registro2[[#This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780" t="str">
        <f t="shared" si="12"/>
        <v>mar/25</v>
      </c>
      <c r="P780" t="str">
        <f>IF(Registro2[[#This Row],[Data de Pagamento]]&gt;0,TEXT(A780,"mmm/aa"),"")</f>
        <v>mar/25</v>
      </c>
      <c r="T780" s="4">
        <f>IF(Registro2[[#This Row],[Data de Pagamento]]="",0,IF(Registro2[[#This Row],[Conta Financeira]]=base!$A$6,0,Registro2[[#This Row],[Valor Unitário]]))</f>
        <v>40</v>
      </c>
      <c r="U7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80" t="str">
        <f>VLOOKUP(Registro2[[#This Row],[Categoria]],'Plano de Contas'!$V$3:W844,2,0)</f>
        <v>Receitas Produtos</v>
      </c>
      <c r="X78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80" t="s">
        <v>1536</v>
      </c>
    </row>
    <row r="781" spans="1:25" hidden="1">
      <c r="A781" s="1">
        <v>45728.416666666664</v>
      </c>
      <c r="B781" s="1">
        <v>45728.416666666664</v>
      </c>
      <c r="D781" t="s">
        <v>1</v>
      </c>
      <c r="E781" t="s">
        <v>149</v>
      </c>
      <c r="F781" t="s">
        <v>147</v>
      </c>
      <c r="G781" t="s">
        <v>163</v>
      </c>
      <c r="I781" s="4">
        <v>35</v>
      </c>
      <c r="J781" s="4">
        <v>50</v>
      </c>
      <c r="L781" t="s">
        <v>253</v>
      </c>
      <c r="M781" t="s">
        <v>473</v>
      </c>
      <c r="N781" s="4">
        <f>IF(L781="","",IF(OR(Registro2[[#This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81" t="str">
        <f t="shared" si="12"/>
        <v>mar/25</v>
      </c>
      <c r="P781" t="str">
        <f>IF(Registro2[[#This Row],[Data de Pagamento]]&gt;0,TEXT(A781,"mmm/aa"),"")</f>
        <v>mar/25</v>
      </c>
      <c r="T781" s="4">
        <f>IF(Registro2[[#This Row],[Data de Pagamento]]="",0,IF(Registro2[[#This Row],[Conta Financeira]]=base!$A$6,0,Registro2[[#This Row],[Valor Unitário]]))</f>
        <v>35</v>
      </c>
      <c r="U7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81" t="str">
        <f>VLOOKUP(Registro2[[#This Row],[Categoria]],'Plano de Contas'!$V$3:W845,2,0)</f>
        <v>Receitas Serviços</v>
      </c>
      <c r="X78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81" t="s">
        <v>1536</v>
      </c>
    </row>
    <row r="782" spans="1:25" hidden="1">
      <c r="A782" s="1">
        <v>45728.416666666664</v>
      </c>
      <c r="B782" s="1">
        <v>45728.416666666664</v>
      </c>
      <c r="D782" t="s">
        <v>1</v>
      </c>
      <c r="E782" t="s">
        <v>149</v>
      </c>
      <c r="F782" t="s">
        <v>147</v>
      </c>
      <c r="G782" t="s">
        <v>1187</v>
      </c>
      <c r="I782" s="4">
        <v>15</v>
      </c>
      <c r="J782" s="4"/>
      <c r="L782" t="s">
        <v>253</v>
      </c>
      <c r="M782" t="s">
        <v>473</v>
      </c>
      <c r="N782" s="4">
        <f>IF(L782="","",IF(OR(Registro2[[#This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782" t="str">
        <f t="shared" si="12"/>
        <v>mar/25</v>
      </c>
      <c r="P782" t="str">
        <f>IF(Registro2[[#This Row],[Data de Pagamento]]&gt;0,TEXT(A782,"mmm/aa"),"")</f>
        <v>mar/25</v>
      </c>
      <c r="T782" s="4">
        <f>IF(Registro2[[#This Row],[Data de Pagamento]]="",0,IF(Registro2[[#This Row],[Conta Financeira]]=base!$A$6,0,Registro2[[#This Row],[Valor Unitário]]))</f>
        <v>15</v>
      </c>
      <c r="U7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82" t="str">
        <f>VLOOKUP(Registro2[[#This Row],[Categoria]],'Plano de Contas'!$V$3:W846,2,0)</f>
        <v>Receitas Serviços</v>
      </c>
      <c r="X7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82" t="s">
        <v>1536</v>
      </c>
    </row>
    <row r="783" spans="1:25" hidden="1">
      <c r="A783" s="1">
        <v>45728.416666666664</v>
      </c>
      <c r="B783" s="1">
        <v>45728.416666666664</v>
      </c>
      <c r="D783" t="s">
        <v>1</v>
      </c>
      <c r="E783" t="s">
        <v>149</v>
      </c>
      <c r="F783" t="s">
        <v>147</v>
      </c>
      <c r="G783" t="s">
        <v>1046</v>
      </c>
      <c r="I783" s="4">
        <v>35</v>
      </c>
      <c r="J783" s="4">
        <v>70</v>
      </c>
      <c r="L783" t="s">
        <v>264</v>
      </c>
      <c r="M783" t="s">
        <v>1198</v>
      </c>
      <c r="N783" s="4">
        <f>IF(L783="","",IF(OR(Registro2[[#This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83" t="str">
        <f t="shared" si="12"/>
        <v>mar/25</v>
      </c>
      <c r="P783" t="str">
        <f>IF(Registro2[[#This Row],[Data de Pagamento]]&gt;0,TEXT(A783,"mmm/aa"),"")</f>
        <v>mar/25</v>
      </c>
      <c r="T783" s="4">
        <f>IF(Registro2[[#This Row],[Data de Pagamento]]="",0,IF(Registro2[[#This Row],[Conta Financeira]]=base!$A$6,0,Registro2[[#This Row],[Valor Unitário]]))</f>
        <v>35</v>
      </c>
      <c r="U7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83" t="str">
        <f>VLOOKUP(Registro2[[#This Row],[Categoria]],'Plano de Contas'!$V$3:W847,2,0)</f>
        <v>Receitas Serviços</v>
      </c>
      <c r="X7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83" t="s">
        <v>1536</v>
      </c>
    </row>
    <row r="784" spans="1:25" hidden="1">
      <c r="A784" s="1">
        <v>45728.416666666664</v>
      </c>
      <c r="B784" s="1">
        <v>45728.416666666664</v>
      </c>
      <c r="D784" t="s">
        <v>1</v>
      </c>
      <c r="E784" t="s">
        <v>149</v>
      </c>
      <c r="F784" t="s">
        <v>150</v>
      </c>
      <c r="G784" t="s">
        <v>513</v>
      </c>
      <c r="I784" s="4">
        <v>35</v>
      </c>
      <c r="J784" s="4"/>
      <c r="L784" t="s">
        <v>264</v>
      </c>
      <c r="M784" t="s">
        <v>1198</v>
      </c>
      <c r="N784" s="4">
        <f>IF(L784="","",IF(OR(Registro2[[#This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14</v>
      </c>
      <c r="O784" t="str">
        <f t="shared" si="12"/>
        <v>mar/25</v>
      </c>
      <c r="P784" t="str">
        <f>IF(Registro2[[#This Row],[Data de Pagamento]]&gt;0,TEXT(A784,"mmm/aa"),"")</f>
        <v>mar/25</v>
      </c>
      <c r="T784" s="4">
        <f>IF(Registro2[[#This Row],[Data de Pagamento]]="",0,IF(Registro2[[#This Row],[Conta Financeira]]=base!$A$6,0,Registro2[[#This Row],[Valor Unitário]]))</f>
        <v>35</v>
      </c>
      <c r="U7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84" t="str">
        <f>VLOOKUP(Registro2[[#This Row],[Categoria]],'Plano de Contas'!$V$3:W848,2,0)</f>
        <v>Receitas Produtos</v>
      </c>
      <c r="X78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84" t="s">
        <v>1536</v>
      </c>
    </row>
    <row r="785" spans="1:25" hidden="1">
      <c r="A785" s="1">
        <v>45728.583333333336</v>
      </c>
      <c r="B785" s="1">
        <v>45728.583333333336</v>
      </c>
      <c r="D785" t="s">
        <v>1</v>
      </c>
      <c r="E785" t="s">
        <v>149</v>
      </c>
      <c r="F785" t="s">
        <v>147</v>
      </c>
      <c r="G785" t="s">
        <v>163</v>
      </c>
      <c r="I785" s="4">
        <v>35</v>
      </c>
      <c r="J785" s="4">
        <v>35</v>
      </c>
      <c r="L785" t="s">
        <v>253</v>
      </c>
      <c r="M785" t="s">
        <v>1379</v>
      </c>
      <c r="N785" s="4">
        <f>IF(L785="","",IF(OR(Registro2[[#This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85" t="str">
        <f t="shared" si="12"/>
        <v>mar/25</v>
      </c>
      <c r="P785" t="str">
        <f>IF(Registro2[[#This Row],[Data de Pagamento]]&gt;0,TEXT(A785,"mmm/aa"),"")</f>
        <v>mar/25</v>
      </c>
      <c r="T785" s="4">
        <f>IF(Registro2[[#This Row],[Data de Pagamento]]="",0,IF(Registro2[[#This Row],[Conta Financeira]]=base!$A$6,0,Registro2[[#This Row],[Valor Unitário]]))</f>
        <v>35</v>
      </c>
      <c r="U7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85" t="str">
        <f>VLOOKUP(Registro2[[#This Row],[Categoria]],'Plano de Contas'!$V$3:W832,2,0)</f>
        <v>Receitas Serviços</v>
      </c>
      <c r="X78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85" t="s">
        <v>1536</v>
      </c>
    </row>
    <row r="786" spans="1:25" hidden="1">
      <c r="A786" s="1">
        <v>45728.625</v>
      </c>
      <c r="B786" s="1">
        <v>45728.625</v>
      </c>
      <c r="D786" t="s">
        <v>1</v>
      </c>
      <c r="E786" t="s">
        <v>149</v>
      </c>
      <c r="F786" t="s">
        <v>147</v>
      </c>
      <c r="G786" t="s">
        <v>163</v>
      </c>
      <c r="I786" s="4">
        <v>35</v>
      </c>
      <c r="J786" s="4">
        <v>35</v>
      </c>
      <c r="L786" t="s">
        <v>264</v>
      </c>
      <c r="M786" t="s">
        <v>1127</v>
      </c>
      <c r="N786" s="4">
        <f>IF(L786="","",IF(OR(Registro2[[#This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86" t="str">
        <f t="shared" si="12"/>
        <v>mar/25</v>
      </c>
      <c r="P786" t="str">
        <f>IF(Registro2[[#This Row],[Data de Pagamento]]&gt;0,TEXT(A786,"mmm/aa"),"")</f>
        <v>mar/25</v>
      </c>
      <c r="T786" s="4">
        <f>IF(Registro2[[#This Row],[Data de Pagamento]]="",0,IF(Registro2[[#This Row],[Conta Financeira]]=base!$A$6,0,Registro2[[#This Row],[Valor Unitário]]))</f>
        <v>35</v>
      </c>
      <c r="U7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86" t="str">
        <f>VLOOKUP(Registro2[[#This Row],[Categoria]],'Plano de Contas'!$V$3:W850,2,0)</f>
        <v>Receitas Serviços</v>
      </c>
      <c r="X78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86" t="s">
        <v>1536</v>
      </c>
    </row>
    <row r="787" spans="1:25" hidden="1">
      <c r="A787" s="1">
        <v>45728.71875</v>
      </c>
      <c r="B787" s="1">
        <v>45728.71875</v>
      </c>
      <c r="D787" t="s">
        <v>1</v>
      </c>
      <c r="E787" t="s">
        <v>149</v>
      </c>
      <c r="F787" t="s">
        <v>147</v>
      </c>
      <c r="G787" t="s">
        <v>163</v>
      </c>
      <c r="I787" s="4">
        <v>35</v>
      </c>
      <c r="J787" s="4">
        <v>45</v>
      </c>
      <c r="L787" t="s">
        <v>264</v>
      </c>
      <c r="M787" t="s">
        <v>1134</v>
      </c>
      <c r="N787" s="4">
        <f>IF(L787="","",IF(OR(Registro2[[#This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87" t="str">
        <f t="shared" si="12"/>
        <v>mar/25</v>
      </c>
      <c r="P787" t="str">
        <f>IF(Registro2[[#This Row],[Data de Pagamento]]&gt;0,TEXT(A787,"mmm/aa"),"")</f>
        <v>mar/25</v>
      </c>
      <c r="T787" s="4">
        <f>IF(Registro2[[#This Row],[Data de Pagamento]]="",0,IF(Registro2[[#This Row],[Conta Financeira]]=base!$A$6,0,Registro2[[#This Row],[Valor Unitário]]))</f>
        <v>35</v>
      </c>
      <c r="U7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87" t="str">
        <f>VLOOKUP(Registro2[[#This Row],[Categoria]],'Plano de Contas'!$V$3:W851,2,0)</f>
        <v>Receitas Serviços</v>
      </c>
      <c r="X78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87" t="s">
        <v>1536</v>
      </c>
    </row>
    <row r="788" spans="1:25" hidden="1">
      <c r="A788" s="1">
        <v>45728.71875</v>
      </c>
      <c r="B788" s="1">
        <v>45728.71875</v>
      </c>
      <c r="D788" t="s">
        <v>1</v>
      </c>
      <c r="E788" t="s">
        <v>149</v>
      </c>
      <c r="F788" t="s">
        <v>147</v>
      </c>
      <c r="G788" t="s">
        <v>167</v>
      </c>
      <c r="I788" s="4">
        <v>10</v>
      </c>
      <c r="J788" s="4"/>
      <c r="L788" t="s">
        <v>264</v>
      </c>
      <c r="M788" t="s">
        <v>1134</v>
      </c>
      <c r="N788" s="4">
        <f>IF(L788="","",IF(OR(Registro2[[#This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788" t="str">
        <f t="shared" si="12"/>
        <v>mar/25</v>
      </c>
      <c r="P788" t="str">
        <f>IF(Registro2[[#This Row],[Data de Pagamento]]&gt;0,TEXT(A788,"mmm/aa"),"")</f>
        <v>mar/25</v>
      </c>
      <c r="T788" s="4">
        <f>IF(Registro2[[#This Row],[Data de Pagamento]]="",0,IF(Registro2[[#This Row],[Conta Financeira]]=base!$A$6,0,Registro2[[#This Row],[Valor Unitário]]))</f>
        <v>10</v>
      </c>
      <c r="U7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88" t="str">
        <f>VLOOKUP(Registro2[[#This Row],[Categoria]],'Plano de Contas'!$V$3:W852,2,0)</f>
        <v>Receitas Serviços</v>
      </c>
      <c r="X78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88" t="s">
        <v>1536</v>
      </c>
    </row>
    <row r="789" spans="1:25" hidden="1">
      <c r="A789" s="1">
        <v>45728.729166666664</v>
      </c>
      <c r="B789" s="1">
        <v>45728.729166666664</v>
      </c>
      <c r="D789" t="s">
        <v>1</v>
      </c>
      <c r="E789" t="s">
        <v>149</v>
      </c>
      <c r="F789" t="s">
        <v>147</v>
      </c>
      <c r="G789" t="s">
        <v>163</v>
      </c>
      <c r="I789" s="4">
        <v>35</v>
      </c>
      <c r="J789" s="4">
        <v>35</v>
      </c>
      <c r="L789" t="s">
        <v>253</v>
      </c>
      <c r="M789" t="s">
        <v>37</v>
      </c>
      <c r="N789" s="4">
        <f>IF(L789="","",IF(OR(Registro2[[#This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89" t="str">
        <f t="shared" si="12"/>
        <v>mar/25</v>
      </c>
      <c r="P789" t="str">
        <f>IF(Registro2[[#This Row],[Data de Pagamento]]&gt;0,TEXT(A789,"mmm/aa"),"")</f>
        <v>mar/25</v>
      </c>
      <c r="T789" s="4">
        <f>IF(Registro2[[#This Row],[Data de Pagamento]]="",0,IF(Registro2[[#This Row],[Conta Financeira]]=base!$A$6,0,Registro2[[#This Row],[Valor Unitário]]))</f>
        <v>35</v>
      </c>
      <c r="U7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89" t="str">
        <f>VLOOKUP(Registro2[[#This Row],[Categoria]],'Plano de Contas'!$V$3:W849,2,0)</f>
        <v>Receitas Serviços</v>
      </c>
      <c r="X78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89" t="s">
        <v>1536</v>
      </c>
    </row>
    <row r="790" spans="1:25" hidden="1">
      <c r="A790" s="1">
        <v>45728.770833333336</v>
      </c>
      <c r="B790" s="1">
        <v>45728.770833333336</v>
      </c>
      <c r="D790" t="s">
        <v>1</v>
      </c>
      <c r="E790" t="s">
        <v>149</v>
      </c>
      <c r="F790" t="s">
        <v>147</v>
      </c>
      <c r="G790" t="s">
        <v>163</v>
      </c>
      <c r="I790" s="4">
        <v>35</v>
      </c>
      <c r="J790" s="4">
        <v>35</v>
      </c>
      <c r="L790" t="s">
        <v>264</v>
      </c>
      <c r="M790" t="s">
        <v>1397</v>
      </c>
      <c r="N790" s="4">
        <f>IF(L790="","",IF(OR(Registro2[[#This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90" t="str">
        <f t="shared" si="12"/>
        <v>mar/25</v>
      </c>
      <c r="P790" t="str">
        <f>IF(Registro2[[#This Row],[Data de Pagamento]]&gt;0,TEXT(A790,"mmm/aa"),"")</f>
        <v>mar/25</v>
      </c>
      <c r="T790" s="4">
        <f>IF(Registro2[[#This Row],[Data de Pagamento]]="",0,IF(Registro2[[#This Row],[Conta Financeira]]=base!$A$6,0,Registro2[[#This Row],[Valor Unitário]]))</f>
        <v>35</v>
      </c>
      <c r="U7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90" t="str">
        <f>VLOOKUP(Registro2[[#This Row],[Categoria]],'Plano de Contas'!$V$3:W856,2,0)</f>
        <v>Receitas Serviços</v>
      </c>
      <c r="X79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90" t="s">
        <v>1536</v>
      </c>
    </row>
    <row r="791" spans="1:25" hidden="1">
      <c r="A791" s="1">
        <v>45728.78125</v>
      </c>
      <c r="B791" s="1">
        <v>45728.78125</v>
      </c>
      <c r="D791" t="s">
        <v>2</v>
      </c>
      <c r="E791" t="s">
        <v>149</v>
      </c>
      <c r="F791" t="s">
        <v>147</v>
      </c>
      <c r="G791" t="s">
        <v>163</v>
      </c>
      <c r="I791" s="4">
        <v>20</v>
      </c>
      <c r="J791" s="4">
        <v>20</v>
      </c>
      <c r="L791" t="s">
        <v>253</v>
      </c>
      <c r="M791" t="s">
        <v>208</v>
      </c>
      <c r="N791" s="4">
        <f>IF(L791="","",IF(OR(Registro2[[#This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791" t="str">
        <f t="shared" si="12"/>
        <v>mar/25</v>
      </c>
      <c r="P791" t="str">
        <f>IF(Registro2[[#This Row],[Data de Pagamento]]&gt;0,TEXT(A791,"mmm/aa"),"")</f>
        <v>mar/25</v>
      </c>
      <c r="T791" s="4">
        <f>IF(Registro2[[#This Row],[Data de Pagamento]]="",0,IF(Registro2[[#This Row],[Conta Financeira]]=base!$A$6,0,Registro2[[#This Row],[Valor Unitário]]))</f>
        <v>20</v>
      </c>
      <c r="U7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91" t="str">
        <f>VLOOKUP(Registro2[[#This Row],[Categoria]],'Plano de Contas'!$V$3:W860,2,0)</f>
        <v>Receitas Serviços</v>
      </c>
      <c r="X79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91" t="s">
        <v>1536</v>
      </c>
    </row>
    <row r="792" spans="1:25" hidden="1">
      <c r="A792" s="1">
        <v>45728.791666666664</v>
      </c>
      <c r="B792" s="1">
        <v>45728.791666666664</v>
      </c>
      <c r="D792" t="s">
        <v>2</v>
      </c>
      <c r="E792" t="s">
        <v>149</v>
      </c>
      <c r="F792" t="s">
        <v>147</v>
      </c>
      <c r="G792" t="s">
        <v>163</v>
      </c>
      <c r="I792" s="4">
        <v>35</v>
      </c>
      <c r="J792" s="4">
        <v>40</v>
      </c>
      <c r="L792" t="s">
        <v>264</v>
      </c>
      <c r="M792" t="s">
        <v>856</v>
      </c>
      <c r="N792" s="4">
        <f>IF(L792="","",IF(OR(Registro2[[#This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92" t="str">
        <f t="shared" si="12"/>
        <v>mar/25</v>
      </c>
      <c r="P792" t="str">
        <f>IF(Registro2[[#This Row],[Data de Pagamento]]&gt;0,TEXT(A792,"mmm/aa"),"")</f>
        <v>mar/25</v>
      </c>
      <c r="T792" s="4">
        <f>IF(Registro2[[#This Row],[Data de Pagamento]]="",0,IF(Registro2[[#This Row],[Conta Financeira]]=base!$A$6,0,Registro2[[#This Row],[Valor Unitário]]))</f>
        <v>35</v>
      </c>
      <c r="U7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92" t="str">
        <f>VLOOKUP(Registro2[[#This Row],[Categoria]],'Plano de Contas'!$V$3:W853,2,0)</f>
        <v>Receitas Serviços</v>
      </c>
      <c r="X79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92" t="s">
        <v>1536</v>
      </c>
    </row>
    <row r="793" spans="1:25" hidden="1">
      <c r="A793" s="1">
        <v>45728.791666666664</v>
      </c>
      <c r="B793" s="1">
        <v>45728.791666666664</v>
      </c>
      <c r="D793" t="s">
        <v>2</v>
      </c>
      <c r="E793" t="s">
        <v>149</v>
      </c>
      <c r="F793" t="s">
        <v>910</v>
      </c>
      <c r="G793" t="s">
        <v>910</v>
      </c>
      <c r="I793" s="4">
        <v>5</v>
      </c>
      <c r="J793" s="4"/>
      <c r="L793" t="s">
        <v>264</v>
      </c>
      <c r="M793" t="s">
        <v>856</v>
      </c>
      <c r="N793" s="4" t="str">
        <f>IF(L793="","",IF(OR(Registro2[[#This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793" t="str">
        <f t="shared" si="12"/>
        <v>mar/25</v>
      </c>
      <c r="P793" t="str">
        <f>IF(Registro2[[#This Row],[Data de Pagamento]]&gt;0,TEXT(A793,"mmm/aa"),"")</f>
        <v>mar/25</v>
      </c>
      <c r="T793" s="4">
        <f>IF(Registro2[[#This Row],[Data de Pagamento]]="",0,IF(Registro2[[#This Row],[Conta Financeira]]=base!$A$6,0,Registro2[[#This Row],[Valor Unitário]]))</f>
        <v>5</v>
      </c>
      <c r="U7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93" t="str">
        <f>VLOOKUP(Registro2[[#This Row],[Categoria]],'Plano de Contas'!$V$3:W854,2,0)</f>
        <v>Outras Receitas</v>
      </c>
      <c r="X79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93" t="s">
        <v>1536</v>
      </c>
    </row>
    <row r="794" spans="1:25" hidden="1">
      <c r="A794" s="1">
        <v>45728.802083333336</v>
      </c>
      <c r="B794" s="1">
        <v>45728.802083333336</v>
      </c>
      <c r="D794" t="s">
        <v>1</v>
      </c>
      <c r="E794" t="s">
        <v>149</v>
      </c>
      <c r="F794" t="s">
        <v>147</v>
      </c>
      <c r="G794" t="s">
        <v>163</v>
      </c>
      <c r="I794" s="4">
        <v>35</v>
      </c>
      <c r="J794" s="4">
        <v>35</v>
      </c>
      <c r="L794" t="s">
        <v>253</v>
      </c>
      <c r="M794" t="s">
        <v>53</v>
      </c>
      <c r="N794" s="4">
        <f>IF(L794="","",IF(OR(Registro2[[#This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94" t="str">
        <f t="shared" si="12"/>
        <v>mar/25</v>
      </c>
      <c r="P794" t="str">
        <f>IF(Registro2[[#This Row],[Data de Pagamento]]&gt;0,TEXT(A794,"mmm/aa"),"")</f>
        <v>mar/25</v>
      </c>
      <c r="T794" s="4">
        <f>IF(Registro2[[#This Row],[Data de Pagamento]]="",0,IF(Registro2[[#This Row],[Conta Financeira]]=base!$A$6,0,Registro2[[#This Row],[Valor Unitário]]))</f>
        <v>35</v>
      </c>
      <c r="U7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94" t="str">
        <f>VLOOKUP(Registro2[[#This Row],[Categoria]],'Plano de Contas'!$V$3:W855,2,0)</f>
        <v>Receitas Serviços</v>
      </c>
      <c r="X79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94" t="s">
        <v>1536</v>
      </c>
    </row>
    <row r="795" spans="1:25" hidden="1">
      <c r="A795" s="1">
        <v>45728.819444444445</v>
      </c>
      <c r="B795" s="1">
        <v>45728.819444444445</v>
      </c>
      <c r="D795" t="s">
        <v>2</v>
      </c>
      <c r="E795" t="s">
        <v>149</v>
      </c>
      <c r="F795" t="s">
        <v>147</v>
      </c>
      <c r="G795" t="s">
        <v>163</v>
      </c>
      <c r="I795" s="4">
        <v>35</v>
      </c>
      <c r="J795" s="4">
        <v>50</v>
      </c>
      <c r="L795" t="s">
        <v>253</v>
      </c>
      <c r="M795" t="s">
        <v>278</v>
      </c>
      <c r="N795" s="4">
        <f>IF(L795="","",IF(OR(Registro2[[#This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95" t="str">
        <f t="shared" si="12"/>
        <v>mar/25</v>
      </c>
      <c r="P795" t="str">
        <f>IF(Registro2[[#This Row],[Data de Pagamento]]&gt;0,TEXT(A795,"mmm/aa"),"")</f>
        <v>mar/25</v>
      </c>
      <c r="T795" s="4">
        <f>IF(Registro2[[#This Row],[Data de Pagamento]]="",0,IF(Registro2[[#This Row],[Conta Financeira]]=base!$A$6,0,Registro2[[#This Row],[Valor Unitário]]))</f>
        <v>35</v>
      </c>
      <c r="U7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95" t="str">
        <f>VLOOKUP(Registro2[[#This Row],[Categoria]],'Plano de Contas'!$V$3:W857,2,0)</f>
        <v>Receitas Serviços</v>
      </c>
      <c r="X79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95" t="s">
        <v>1536</v>
      </c>
    </row>
    <row r="796" spans="1:25" hidden="1">
      <c r="A796" s="1">
        <v>45728.819444444445</v>
      </c>
      <c r="B796" s="1">
        <v>45728.819444444445</v>
      </c>
      <c r="D796" t="s">
        <v>2</v>
      </c>
      <c r="E796" t="s">
        <v>149</v>
      </c>
      <c r="F796" t="s">
        <v>147</v>
      </c>
      <c r="G796" t="s">
        <v>1046</v>
      </c>
      <c r="I796" s="4">
        <v>15</v>
      </c>
      <c r="J796" s="4"/>
      <c r="L796" t="s">
        <v>253</v>
      </c>
      <c r="M796" t="s">
        <v>278</v>
      </c>
      <c r="N796" s="4">
        <f>IF(L796="","",IF(OR(Registro2[[#This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796" t="str">
        <f t="shared" si="12"/>
        <v>mar/25</v>
      </c>
      <c r="P796" t="str">
        <f>IF(Registro2[[#This Row],[Data de Pagamento]]&gt;0,TEXT(A796,"mmm/aa"),"")</f>
        <v>mar/25</v>
      </c>
      <c r="T796" s="4">
        <f>IF(Registro2[[#This Row],[Data de Pagamento]]="",0,IF(Registro2[[#This Row],[Conta Financeira]]=base!$A$6,0,Registro2[[#This Row],[Valor Unitário]]))</f>
        <v>15</v>
      </c>
      <c r="U7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96" t="str">
        <f>VLOOKUP(Registro2[[#This Row],[Categoria]],'Plano de Contas'!$V$3:W858,2,0)</f>
        <v>Receitas Serviços</v>
      </c>
      <c r="X79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96" t="s">
        <v>1536</v>
      </c>
    </row>
    <row r="797" spans="1:25" hidden="1">
      <c r="A797" s="1">
        <v>45728.836805555555</v>
      </c>
      <c r="B797" s="1">
        <v>45728.836805555555</v>
      </c>
      <c r="D797" t="s">
        <v>354</v>
      </c>
      <c r="E797" t="s">
        <v>149</v>
      </c>
      <c r="F797" t="s">
        <v>147</v>
      </c>
      <c r="G797" t="s">
        <v>163</v>
      </c>
      <c r="I797" s="4">
        <v>35</v>
      </c>
      <c r="J797" s="4">
        <v>35</v>
      </c>
      <c r="L797" t="s">
        <v>253</v>
      </c>
      <c r="M797" t="s">
        <v>1081</v>
      </c>
      <c r="N797" s="4">
        <f>IF(L797="","",IF(OR(Registro2[[#This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797" t="str">
        <f t="shared" si="12"/>
        <v>mar/25</v>
      </c>
      <c r="P797" t="str">
        <f>IF(Registro2[[#This Row],[Data de Pagamento]]&gt;0,TEXT(A797,"mmm/aa"),"")</f>
        <v>mar/25</v>
      </c>
      <c r="T797" s="4">
        <f>IF(Registro2[[#This Row],[Data de Pagamento]]="",0,IF(Registro2[[#This Row],[Conta Financeira]]=base!$A$6,0,Registro2[[#This Row],[Valor Unitário]]))</f>
        <v>35</v>
      </c>
      <c r="U7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97" t="str">
        <f>VLOOKUP(Registro2[[#This Row],[Categoria]],'Plano de Contas'!$V$3:W859,2,0)</f>
        <v>Receitas Serviços</v>
      </c>
      <c r="X79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797" t="s">
        <v>1536</v>
      </c>
    </row>
    <row r="798" spans="1:25" hidden="1">
      <c r="A798" s="1">
        <v>45729</v>
      </c>
      <c r="B798" s="1">
        <v>45729</v>
      </c>
      <c r="D798" t="s">
        <v>947</v>
      </c>
      <c r="E798" t="s">
        <v>137</v>
      </c>
      <c r="F798" t="s">
        <v>146</v>
      </c>
      <c r="G798" t="s">
        <v>315</v>
      </c>
      <c r="H798" t="s">
        <v>445</v>
      </c>
      <c r="I798" s="4">
        <v>375.29</v>
      </c>
      <c r="J798" s="4"/>
      <c r="N798" s="4" t="str">
        <f>IF(L798="","",IF(OR(Registro2[[#This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798" t="str">
        <f t="shared" si="12"/>
        <v>mar/25</v>
      </c>
      <c r="P798" t="str">
        <f>IF(Registro2[[#This Row],[Data de Pagamento]]&gt;0,TEXT(A798,"mmm/aa"),"")</f>
        <v>mar/25</v>
      </c>
      <c r="T798" s="4">
        <f>IF(Registro2[[#This Row],[Data de Pagamento]]="",0,IF(Registro2[[#This Row],[Conta Financeira]]=base!$A$6,0,Registro2[[#This Row],[Valor Unitário]]))</f>
        <v>375.29</v>
      </c>
      <c r="U7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98" t="str">
        <f>VLOOKUP(Registro2[[#This Row],[Categoria]],'Plano de Contas'!$V$3:W740,2,0)</f>
        <v>Despesas Operacionais</v>
      </c>
      <c r="X79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98" t="s">
        <v>1536</v>
      </c>
    </row>
    <row r="799" spans="1:25" hidden="1">
      <c r="A799" s="1">
        <v>45729</v>
      </c>
      <c r="B799" s="1">
        <v>45729</v>
      </c>
      <c r="D799" t="s">
        <v>947</v>
      </c>
      <c r="E799" t="s">
        <v>137</v>
      </c>
      <c r="F799" t="s">
        <v>139</v>
      </c>
      <c r="G799" t="s">
        <v>332</v>
      </c>
      <c r="H799" t="s">
        <v>953</v>
      </c>
      <c r="I799" s="4">
        <v>50</v>
      </c>
      <c r="J799" s="4"/>
      <c r="N799" s="4" t="str">
        <f>IF(L799="","",IF(OR(Registro2[[#This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799" t="str">
        <f t="shared" si="12"/>
        <v>mar/25</v>
      </c>
      <c r="P799" t="str">
        <f>IF(Registro2[[#This Row],[Data de Pagamento]]&gt;0,TEXT(A799,"mmm/aa"),"")</f>
        <v>mar/25</v>
      </c>
      <c r="T799" s="4">
        <f>IF(Registro2[[#This Row],[Data de Pagamento]]="",0,IF(Registro2[[#This Row],[Conta Financeira]]=base!$A$6,0,Registro2[[#This Row],[Valor Unitário]]))</f>
        <v>50</v>
      </c>
      <c r="U7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799" t="str">
        <f>VLOOKUP(Registro2[[#This Row],[Categoria]],'Plano de Contas'!$V$3:W741,2,0)</f>
        <v>Custos Operacionais</v>
      </c>
      <c r="X79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799" t="s">
        <v>1536</v>
      </c>
    </row>
    <row r="800" spans="1:25" hidden="1">
      <c r="A800" s="1">
        <v>45729</v>
      </c>
      <c r="B800" s="1">
        <v>45729</v>
      </c>
      <c r="D800" t="s">
        <v>947</v>
      </c>
      <c r="E800" t="s">
        <v>137</v>
      </c>
      <c r="F800" t="s">
        <v>138</v>
      </c>
      <c r="G800" t="s">
        <v>141</v>
      </c>
      <c r="H800" t="s">
        <v>1261</v>
      </c>
      <c r="I800" s="4">
        <v>60</v>
      </c>
      <c r="J800" s="4"/>
      <c r="N800" s="4" t="str">
        <f>IF(L800="","",IF(OR(Registro2[[#This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800" t="str">
        <f t="shared" si="12"/>
        <v>mar/25</v>
      </c>
      <c r="P800" t="str">
        <f>IF(Registro2[[#This Row],[Data de Pagamento]]&gt;0,TEXT(A800,"mmm/aa"),"")</f>
        <v>mar/25</v>
      </c>
      <c r="T800" s="4">
        <f>IF(Registro2[[#This Row],[Data de Pagamento]]="",0,IF(Registro2[[#This Row],[Conta Financeira]]=base!$A$6,0,Registro2[[#This Row],[Valor Unitário]]))</f>
        <v>60</v>
      </c>
      <c r="U8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00" t="str">
        <f>VLOOKUP(Registro2[[#This Row],[Categoria]],'Plano de Contas'!$V$3:W742,2,0)</f>
        <v>Custos Operacionais</v>
      </c>
      <c r="X80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00" t="s">
        <v>1536</v>
      </c>
    </row>
    <row r="801" spans="1:25" hidden="1">
      <c r="A801" s="1">
        <v>45729.416666666664</v>
      </c>
      <c r="B801" s="1">
        <v>45729.416666666664</v>
      </c>
      <c r="D801" t="s">
        <v>1</v>
      </c>
      <c r="E801" t="s">
        <v>149</v>
      </c>
      <c r="F801" t="s">
        <v>147</v>
      </c>
      <c r="G801" t="s">
        <v>163</v>
      </c>
      <c r="I801" s="4">
        <v>35</v>
      </c>
      <c r="J801" s="4">
        <v>35</v>
      </c>
      <c r="L801" t="s">
        <v>264</v>
      </c>
      <c r="M801" t="s">
        <v>1403</v>
      </c>
      <c r="N801" s="4">
        <f>IF(L801="","",IF(OR(Registro2[[#This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01" t="str">
        <f t="shared" si="12"/>
        <v>mar/25</v>
      </c>
      <c r="P801" t="str">
        <f>IF(Registro2[[#This Row],[Data de Pagamento]]&gt;0,TEXT(A801,"mmm/aa"),"")</f>
        <v>mar/25</v>
      </c>
      <c r="T801" s="4">
        <f>IF(Registro2[[#This Row],[Data de Pagamento]]="",0,IF(Registro2[[#This Row],[Conta Financeira]]=base!$A$6,0,Registro2[[#This Row],[Valor Unitário]]))</f>
        <v>35</v>
      </c>
      <c r="U8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01" t="str">
        <f>VLOOKUP(Registro2[[#This Row],[Categoria]],'Plano de Contas'!$V$3:W862,2,0)</f>
        <v>Receitas Serviços</v>
      </c>
      <c r="X80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01" t="s">
        <v>1536</v>
      </c>
    </row>
    <row r="802" spans="1:25" hidden="1">
      <c r="A802" s="1">
        <v>45729.458333333336</v>
      </c>
      <c r="B802" s="1">
        <v>45729.458333333336</v>
      </c>
      <c r="D802" t="s">
        <v>354</v>
      </c>
      <c r="E802" t="s">
        <v>149</v>
      </c>
      <c r="F802" t="s">
        <v>152</v>
      </c>
      <c r="G802" t="s">
        <v>353</v>
      </c>
      <c r="I802" s="4">
        <v>60</v>
      </c>
      <c r="J802" s="4">
        <v>60</v>
      </c>
      <c r="L802" t="s">
        <v>253</v>
      </c>
      <c r="M802" t="s">
        <v>1405</v>
      </c>
      <c r="N802" s="4">
        <f>IF(L802="","",IF(OR(Registro2[[#This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802" t="str">
        <f t="shared" si="12"/>
        <v>mar/25</v>
      </c>
      <c r="P802" t="str">
        <f>IF(Registro2[[#This Row],[Data de Pagamento]]&gt;0,TEXT(A802,"mmm/aa"),"")</f>
        <v>mar/25</v>
      </c>
      <c r="T802" s="4">
        <f>IF(Registro2[[#This Row],[Data de Pagamento]]="",0,IF(Registro2[[#This Row],[Conta Financeira]]=base!$A$6,0,Registro2[[#This Row],[Valor Unitário]]))</f>
        <v>60</v>
      </c>
      <c r="U8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02" t="str">
        <f>VLOOKUP(Registro2[[#This Row],[Categoria]],'Plano de Contas'!$V$3:W863,2,0)</f>
        <v>Receitas Serviços</v>
      </c>
      <c r="X80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  <c r="Y802" t="s">
        <v>1536</v>
      </c>
    </row>
    <row r="803" spans="1:25" hidden="1">
      <c r="A803" s="1">
        <v>45729.510416666664</v>
      </c>
      <c r="B803" s="1">
        <v>45729.510416666664</v>
      </c>
      <c r="D803" t="s">
        <v>1</v>
      </c>
      <c r="E803" t="s">
        <v>149</v>
      </c>
      <c r="F803" t="s">
        <v>147</v>
      </c>
      <c r="G803" t="s">
        <v>163</v>
      </c>
      <c r="I803" s="4">
        <v>35</v>
      </c>
      <c r="J803" s="4">
        <v>35</v>
      </c>
      <c r="L803" t="s">
        <v>252</v>
      </c>
      <c r="M803" t="s">
        <v>403</v>
      </c>
      <c r="N803" s="4">
        <f>IF(L803="","",IF(OR(Registro2[[#This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03" t="str">
        <f t="shared" si="12"/>
        <v>mar/25</v>
      </c>
      <c r="P803" t="str">
        <f>IF(Registro2[[#This Row],[Data de Pagamento]]&gt;0,TEXT(A803,"mmm/aa"),"")</f>
        <v>mar/25</v>
      </c>
      <c r="T803" s="4">
        <f>IF(Registro2[[#This Row],[Data de Pagamento]]="",0,IF(Registro2[[#This Row],[Conta Financeira]]=base!$A$6,0,Registro2[[#This Row],[Valor Unitário]]))</f>
        <v>35</v>
      </c>
      <c r="U8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03" t="str">
        <f>VLOOKUP(Registro2[[#This Row],[Categoria]],'Plano de Contas'!$V$3:W864,2,0)</f>
        <v>Receitas Serviços</v>
      </c>
      <c r="X8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03" t="s">
        <v>1536</v>
      </c>
    </row>
    <row r="804" spans="1:25" hidden="1">
      <c r="A804" s="1">
        <v>45729.53125</v>
      </c>
      <c r="B804" s="1">
        <v>45729.53125</v>
      </c>
      <c r="D804" t="s">
        <v>1</v>
      </c>
      <c r="E804" t="s">
        <v>149</v>
      </c>
      <c r="F804" t="s">
        <v>147</v>
      </c>
      <c r="G804" t="s">
        <v>160</v>
      </c>
      <c r="I804" s="4">
        <v>12</v>
      </c>
      <c r="J804" s="4">
        <v>12</v>
      </c>
      <c r="L804" t="s">
        <v>252</v>
      </c>
      <c r="M804" t="s">
        <v>13</v>
      </c>
      <c r="N804" s="4">
        <f>IF(L804="","",IF(OR(Registro2[[#This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804" t="str">
        <f t="shared" si="12"/>
        <v>mar/25</v>
      </c>
      <c r="P804" t="str">
        <f>IF(Registro2[[#This Row],[Data de Pagamento]]&gt;0,TEXT(A804,"mmm/aa"),"")</f>
        <v>mar/25</v>
      </c>
      <c r="T804" s="4">
        <f>IF(Registro2[[#This Row],[Data de Pagamento]]="",0,IF(Registro2[[#This Row],[Conta Financeira]]=base!$A$6,0,Registro2[[#This Row],[Valor Unitário]]))</f>
        <v>12</v>
      </c>
      <c r="U8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04" t="str">
        <f>VLOOKUP(Registro2[[#This Row],[Categoria]],'Plano de Contas'!$V$3:W865,2,0)</f>
        <v>Receitas Serviços</v>
      </c>
      <c r="X8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04" t="s">
        <v>1536</v>
      </c>
    </row>
    <row r="805" spans="1:25" hidden="1">
      <c r="A805" s="1">
        <v>45729.579861111109</v>
      </c>
      <c r="B805" s="1">
        <v>45729.579861111109</v>
      </c>
      <c r="D805" t="s">
        <v>1</v>
      </c>
      <c r="E805" t="s">
        <v>149</v>
      </c>
      <c r="F805" t="s">
        <v>152</v>
      </c>
      <c r="G805" t="s">
        <v>353</v>
      </c>
      <c r="I805" s="4">
        <v>50</v>
      </c>
      <c r="J805" s="4">
        <v>50</v>
      </c>
      <c r="L805" t="s">
        <v>253</v>
      </c>
      <c r="M805" t="s">
        <v>467</v>
      </c>
      <c r="N805" s="4">
        <f>IF(L805="","",IF(OR(Registro2[[#This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805" t="str">
        <f t="shared" si="12"/>
        <v>mar/25</v>
      </c>
      <c r="P805" t="str">
        <f>IF(Registro2[[#This Row],[Data de Pagamento]]&gt;0,TEXT(A805,"mmm/aa"),"")</f>
        <v>mar/25</v>
      </c>
      <c r="T805" s="4">
        <f>IF(Registro2[[#This Row],[Data de Pagamento]]="",0,IF(Registro2[[#This Row],[Conta Financeira]]=base!$A$6,0,Registro2[[#This Row],[Valor Unitário]]))</f>
        <v>50</v>
      </c>
      <c r="U8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05" t="str">
        <f>VLOOKUP(Registro2[[#This Row],[Categoria]],'Plano de Contas'!$V$3:W867,2,0)</f>
        <v>Receitas Serviços</v>
      </c>
      <c r="X8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05" t="s">
        <v>1536</v>
      </c>
    </row>
    <row r="806" spans="1:25" hidden="1">
      <c r="A806" s="1">
        <v>45729.583333333336</v>
      </c>
      <c r="B806" s="1">
        <v>45729.583333333336</v>
      </c>
      <c r="D806" t="s">
        <v>2</v>
      </c>
      <c r="E806" t="s">
        <v>149</v>
      </c>
      <c r="F806" t="s">
        <v>147</v>
      </c>
      <c r="G806" t="s">
        <v>163</v>
      </c>
      <c r="I806" s="4">
        <v>35</v>
      </c>
      <c r="J806" s="4">
        <v>35</v>
      </c>
      <c r="L806" t="s">
        <v>264</v>
      </c>
      <c r="M806" t="s">
        <v>1089</v>
      </c>
      <c r="N806" s="4">
        <f>IF(L806="","",IF(OR(Registro2[[#This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06" t="str">
        <f t="shared" si="12"/>
        <v>mar/25</v>
      </c>
      <c r="P806" t="str">
        <f>IF(Registro2[[#This Row],[Data de Pagamento]]&gt;0,TEXT(A806,"mmm/aa"),"")</f>
        <v>mar/25</v>
      </c>
      <c r="T806" s="4">
        <f>IF(Registro2[[#This Row],[Data de Pagamento]]="",0,IF(Registro2[[#This Row],[Conta Financeira]]=base!$A$6,0,Registro2[[#This Row],[Valor Unitário]]))</f>
        <v>35</v>
      </c>
      <c r="U8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06" t="str">
        <f>VLOOKUP(Registro2[[#This Row],[Categoria]],'Plano de Contas'!$V$3:W868,2,0)</f>
        <v>Receitas Serviços</v>
      </c>
      <c r="X80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06" t="s">
        <v>1536</v>
      </c>
    </row>
    <row r="807" spans="1:25" hidden="1">
      <c r="A807" s="1">
        <v>45729.604166666664</v>
      </c>
      <c r="B807" s="1">
        <v>45729.604166666664</v>
      </c>
      <c r="D807" t="s">
        <v>1</v>
      </c>
      <c r="E807" t="s">
        <v>149</v>
      </c>
      <c r="F807" t="s">
        <v>147</v>
      </c>
      <c r="G807" t="s">
        <v>163</v>
      </c>
      <c r="I807" s="4">
        <v>35</v>
      </c>
      <c r="J807" s="4">
        <v>35</v>
      </c>
      <c r="L807" t="s">
        <v>252</v>
      </c>
      <c r="M807" t="s">
        <v>1409</v>
      </c>
      <c r="N807" s="4">
        <f>IF(L807="","",IF(OR(Registro2[[#This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07" t="str">
        <f t="shared" si="12"/>
        <v>mar/25</v>
      </c>
      <c r="P807" t="str">
        <f>IF(Registro2[[#This Row],[Data de Pagamento]]&gt;0,TEXT(A807,"mmm/aa"),"")</f>
        <v>mar/25</v>
      </c>
      <c r="T807" s="4">
        <f>IF(Registro2[[#This Row],[Data de Pagamento]]="",0,IF(Registro2[[#This Row],[Conta Financeira]]=base!$A$6,0,Registro2[[#This Row],[Valor Unitário]]))</f>
        <v>35</v>
      </c>
      <c r="U8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07" t="str">
        <f>VLOOKUP(Registro2[[#This Row],[Categoria]],'Plano de Contas'!$V$3:W866,2,0)</f>
        <v>Receitas Serviços</v>
      </c>
      <c r="X80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07" t="s">
        <v>1536</v>
      </c>
    </row>
    <row r="808" spans="1:25" hidden="1">
      <c r="A808" s="1">
        <v>45729.614583333336</v>
      </c>
      <c r="B808" s="1">
        <v>45729.614583333336</v>
      </c>
      <c r="D808" t="s">
        <v>1</v>
      </c>
      <c r="E808" t="s">
        <v>149</v>
      </c>
      <c r="F808" t="s">
        <v>147</v>
      </c>
      <c r="G808" t="s">
        <v>163</v>
      </c>
      <c r="I808" s="4">
        <v>35</v>
      </c>
      <c r="J808" s="4">
        <v>35</v>
      </c>
      <c r="L808" t="s">
        <v>253</v>
      </c>
      <c r="M808" t="s">
        <v>850</v>
      </c>
      <c r="N808" s="4">
        <f>IF(L808="","",IF(OR(Registro2[[#This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08" t="str">
        <f t="shared" si="12"/>
        <v>mar/25</v>
      </c>
      <c r="P808" t="str">
        <f>IF(Registro2[[#This Row],[Data de Pagamento]]&gt;0,TEXT(A808,"mmm/aa"),"")</f>
        <v>mar/25</v>
      </c>
      <c r="T808" s="4">
        <f>IF(Registro2[[#This Row],[Data de Pagamento]]="",0,IF(Registro2[[#This Row],[Conta Financeira]]=base!$A$6,0,Registro2[[#This Row],[Valor Unitário]]))</f>
        <v>35</v>
      </c>
      <c r="U8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08" t="str">
        <f>VLOOKUP(Registro2[[#This Row],[Categoria]],'Plano de Contas'!$V$3:W869,2,0)</f>
        <v>Receitas Serviços</v>
      </c>
      <c r="X80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08" t="s">
        <v>1536</v>
      </c>
    </row>
    <row r="809" spans="1:25" hidden="1">
      <c r="A809" s="1">
        <v>45729.6875</v>
      </c>
      <c r="B809" s="1">
        <v>45729.6875</v>
      </c>
      <c r="D809" t="s">
        <v>1</v>
      </c>
      <c r="E809" t="s">
        <v>149</v>
      </c>
      <c r="F809" t="s">
        <v>147</v>
      </c>
      <c r="G809" t="s">
        <v>163</v>
      </c>
      <c r="I809" s="4">
        <v>35</v>
      </c>
      <c r="J809" s="4">
        <v>35</v>
      </c>
      <c r="L809" t="s">
        <v>253</v>
      </c>
      <c r="M809" t="s">
        <v>71</v>
      </c>
      <c r="N809" s="4">
        <f>IF(L809="","",IF(OR(Registro2[[#This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09" t="str">
        <f t="shared" si="12"/>
        <v>mar/25</v>
      </c>
      <c r="P809" t="str">
        <f>IF(Registro2[[#This Row],[Data de Pagamento]]&gt;0,TEXT(A809,"mmm/aa"),"")</f>
        <v>mar/25</v>
      </c>
      <c r="T809" s="4">
        <f>IF(Registro2[[#This Row],[Data de Pagamento]]="",0,IF(Registro2[[#This Row],[Conta Financeira]]=base!$A$6,0,Registro2[[#This Row],[Valor Unitário]]))</f>
        <v>35</v>
      </c>
      <c r="U8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09" t="str">
        <f>VLOOKUP(Registro2[[#This Row],[Categoria]],'Plano de Contas'!$V$3:W871,2,0)</f>
        <v>Receitas Serviços</v>
      </c>
      <c r="X80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09" t="s">
        <v>1536</v>
      </c>
    </row>
    <row r="810" spans="1:25" hidden="1">
      <c r="A810" s="1">
        <v>45729.729166666664</v>
      </c>
      <c r="B810" s="1">
        <v>45729.729166666664</v>
      </c>
      <c r="D810" t="s">
        <v>354</v>
      </c>
      <c r="E810" t="s">
        <v>149</v>
      </c>
      <c r="F810" t="s">
        <v>147</v>
      </c>
      <c r="G810" t="s">
        <v>163</v>
      </c>
      <c r="I810" s="4">
        <v>35</v>
      </c>
      <c r="J810" s="4">
        <v>35</v>
      </c>
      <c r="L810" t="s">
        <v>252</v>
      </c>
      <c r="M810" t="s">
        <v>400</v>
      </c>
      <c r="N810" s="4">
        <f>IF(L810="","",IF(OR(Registro2[[#This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10" t="str">
        <f t="shared" si="12"/>
        <v>mar/25</v>
      </c>
      <c r="P810" t="str">
        <f>IF(Registro2[[#This Row],[Data de Pagamento]]&gt;0,TEXT(A810,"mmm/aa"),"")</f>
        <v>mar/25</v>
      </c>
      <c r="T810" s="4">
        <f>IF(Registro2[[#This Row],[Data de Pagamento]]="",0,IF(Registro2[[#This Row],[Conta Financeira]]=base!$A$6,0,Registro2[[#This Row],[Valor Unitário]]))</f>
        <v>35</v>
      </c>
      <c r="U8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10" t="str">
        <f>VLOOKUP(Registro2[[#This Row],[Categoria]],'Plano de Contas'!$V$3:W870,2,0)</f>
        <v>Receitas Serviços</v>
      </c>
      <c r="X81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810" t="s">
        <v>1536</v>
      </c>
    </row>
    <row r="811" spans="1:25" hidden="1">
      <c r="A811" s="1">
        <v>45729.739583333336</v>
      </c>
      <c r="B811" s="1">
        <v>45729.739583333336</v>
      </c>
      <c r="D811" t="s">
        <v>1</v>
      </c>
      <c r="E811" t="s">
        <v>149</v>
      </c>
      <c r="F811" t="s">
        <v>147</v>
      </c>
      <c r="G811" t="s">
        <v>163</v>
      </c>
      <c r="I811" s="4">
        <v>35</v>
      </c>
      <c r="J811" s="4">
        <v>45</v>
      </c>
      <c r="L811" t="s">
        <v>253</v>
      </c>
      <c r="M811" t="s">
        <v>1416</v>
      </c>
      <c r="N811" s="4">
        <f>IF(L811="","",IF(OR(Registro2[[#This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11" t="str">
        <f t="shared" si="12"/>
        <v>mar/25</v>
      </c>
      <c r="P811" t="str">
        <f>IF(Registro2[[#This Row],[Data de Pagamento]]&gt;0,TEXT(A811,"mmm/aa"),"")</f>
        <v>mar/25</v>
      </c>
      <c r="T811" s="4">
        <f>IF(Registro2[[#This Row],[Data de Pagamento]]="",0,IF(Registro2[[#This Row],[Conta Financeira]]=base!$A$6,0,Registro2[[#This Row],[Valor Unitário]]))</f>
        <v>35</v>
      </c>
      <c r="U8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11" t="str">
        <f>VLOOKUP(Registro2[[#This Row],[Categoria]],'Plano de Contas'!$V$3:W872,2,0)</f>
        <v>Receitas Serviços</v>
      </c>
      <c r="X8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11" t="s">
        <v>1536</v>
      </c>
    </row>
    <row r="812" spans="1:25" hidden="1">
      <c r="A812" s="1">
        <v>45729.739583333336</v>
      </c>
      <c r="B812" s="1">
        <v>45729.739583333336</v>
      </c>
      <c r="D812" t="s">
        <v>1</v>
      </c>
      <c r="E812" t="s">
        <v>149</v>
      </c>
      <c r="F812" t="s">
        <v>147</v>
      </c>
      <c r="G812" t="s">
        <v>167</v>
      </c>
      <c r="I812" s="4">
        <v>10</v>
      </c>
      <c r="J812" s="4"/>
      <c r="L812" t="s">
        <v>253</v>
      </c>
      <c r="M812" t="s">
        <v>1416</v>
      </c>
      <c r="N812" s="4">
        <f>IF(L812="","",IF(OR(Registro2[[#This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812" t="str">
        <f t="shared" si="12"/>
        <v>mar/25</v>
      </c>
      <c r="P812" t="str">
        <f>IF(Registro2[[#This Row],[Data de Pagamento]]&gt;0,TEXT(A812,"mmm/aa"),"")</f>
        <v>mar/25</v>
      </c>
      <c r="T812" s="4">
        <f>IF(Registro2[[#This Row],[Data de Pagamento]]="",0,IF(Registro2[[#This Row],[Conta Financeira]]=base!$A$6,0,Registro2[[#This Row],[Valor Unitário]]))</f>
        <v>10</v>
      </c>
      <c r="U8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12" t="str">
        <f>VLOOKUP(Registro2[[#This Row],[Categoria]],'Plano de Contas'!$V$3:W873,2,0)</f>
        <v>Receitas Serviços</v>
      </c>
      <c r="X81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12" t="s">
        <v>1536</v>
      </c>
    </row>
    <row r="813" spans="1:25" hidden="1">
      <c r="A813" s="1">
        <v>45729.770833333336</v>
      </c>
      <c r="B813" s="1">
        <v>45729.770833333336</v>
      </c>
      <c r="D813" t="s">
        <v>1</v>
      </c>
      <c r="E813" t="s">
        <v>149</v>
      </c>
      <c r="F813" t="s">
        <v>152</v>
      </c>
      <c r="G813" t="s">
        <v>353</v>
      </c>
      <c r="I813" s="4">
        <v>48.33</v>
      </c>
      <c r="J813" s="4">
        <v>0</v>
      </c>
      <c r="L813" t="s">
        <v>253</v>
      </c>
      <c r="M813" t="s">
        <v>183</v>
      </c>
      <c r="N813" s="4">
        <f>IF(L813="","",IF(OR(Registro2[[#This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21.7485</v>
      </c>
      <c r="O813" t="str">
        <f t="shared" si="12"/>
        <v>mar/25</v>
      </c>
      <c r="P813" t="str">
        <f>IF(Registro2[[#This Row],[Data de Pagamento]]&gt;0,TEXT(A813,"mmm/aa"),"")</f>
        <v>mar/25</v>
      </c>
      <c r="T813" s="4">
        <f>IF(Registro2[[#This Row],[Data de Pagamento]]="",0,IF(Registro2[[#This Row],[Conta Financeira]]=base!$A$6,0,Registro2[[#This Row],[Valor Unitário]]))</f>
        <v>48.33</v>
      </c>
      <c r="U8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813" t="str">
        <f>VLOOKUP(Registro2[[#This Row],[Categoria]],'Plano de Contas'!$V$3:W861,2,0)</f>
        <v>Receitas Serviços</v>
      </c>
      <c r="X81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13" t="s">
        <v>1536</v>
      </c>
    </row>
    <row r="814" spans="1:25" hidden="1">
      <c r="A814" s="1">
        <v>45729.78125</v>
      </c>
      <c r="B814" s="1">
        <v>45729.78125</v>
      </c>
      <c r="D814" t="s">
        <v>1</v>
      </c>
      <c r="E814" t="s">
        <v>149</v>
      </c>
      <c r="F814" t="s">
        <v>147</v>
      </c>
      <c r="G814" t="s">
        <v>163</v>
      </c>
      <c r="I814" s="4">
        <v>35</v>
      </c>
      <c r="J814" s="4">
        <v>35</v>
      </c>
      <c r="L814" t="s">
        <v>252</v>
      </c>
      <c r="M814" t="s">
        <v>1077</v>
      </c>
      <c r="N814" s="4">
        <f>IF(L814="","",IF(OR(Registro2[[#This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14" t="str">
        <f t="shared" si="12"/>
        <v>mar/25</v>
      </c>
      <c r="P814" t="str">
        <f>IF(Registro2[[#This Row],[Data de Pagamento]]&gt;0,TEXT(A814,"mmm/aa"),"")</f>
        <v>mar/25</v>
      </c>
      <c r="T814" s="4">
        <f>IF(Registro2[[#This Row],[Data de Pagamento]]="",0,IF(Registro2[[#This Row],[Conta Financeira]]=base!$A$6,0,Registro2[[#This Row],[Valor Unitário]]))</f>
        <v>35</v>
      </c>
      <c r="U8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14" t="str">
        <f>VLOOKUP(Registro2[[#This Row],[Categoria]],'Plano de Contas'!$V$3:W875,2,0)</f>
        <v>Receitas Serviços</v>
      </c>
      <c r="X81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14" t="s">
        <v>1536</v>
      </c>
    </row>
    <row r="815" spans="1:25" hidden="1">
      <c r="A815" s="1">
        <v>45729.802083333336</v>
      </c>
      <c r="B815" s="1">
        <v>45729.802083333336</v>
      </c>
      <c r="D815" t="s">
        <v>2</v>
      </c>
      <c r="E815" t="s">
        <v>149</v>
      </c>
      <c r="F815" t="s">
        <v>147</v>
      </c>
      <c r="G815" t="s">
        <v>163</v>
      </c>
      <c r="I815" s="4">
        <v>50</v>
      </c>
      <c r="J815" s="4">
        <v>50</v>
      </c>
      <c r="L815" t="s">
        <v>264</v>
      </c>
      <c r="M815" t="s">
        <v>1184</v>
      </c>
      <c r="N815" s="4">
        <f>IF(L815="","",IF(OR(Registro2[[#This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815" t="str">
        <f t="shared" si="12"/>
        <v>mar/25</v>
      </c>
      <c r="P815" t="str">
        <f>IF(Registro2[[#This Row],[Data de Pagamento]]&gt;0,TEXT(A815,"mmm/aa"),"")</f>
        <v>mar/25</v>
      </c>
      <c r="T815" s="4">
        <f>IF(Registro2[[#This Row],[Data de Pagamento]]="",0,IF(Registro2[[#This Row],[Conta Financeira]]=base!$A$6,0,Registro2[[#This Row],[Valor Unitário]]))</f>
        <v>50</v>
      </c>
      <c r="U8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15" t="str">
        <f>VLOOKUP(Registro2[[#This Row],[Categoria]],'Plano de Contas'!$V$3:W876,2,0)</f>
        <v>Receitas Serviços</v>
      </c>
      <c r="X81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15" t="s">
        <v>1536</v>
      </c>
    </row>
    <row r="816" spans="1:25" hidden="1">
      <c r="A816" s="1">
        <v>45729.868055555555</v>
      </c>
      <c r="B816" s="1">
        <v>45729.868055555555</v>
      </c>
      <c r="D816" t="s">
        <v>1</v>
      </c>
      <c r="E816" t="s">
        <v>149</v>
      </c>
      <c r="F816" t="s">
        <v>147</v>
      </c>
      <c r="G816" t="s">
        <v>163</v>
      </c>
      <c r="I816" s="4">
        <v>35</v>
      </c>
      <c r="J816" s="4">
        <v>45</v>
      </c>
      <c r="L816" t="s">
        <v>252</v>
      </c>
      <c r="M816" t="s">
        <v>794</v>
      </c>
      <c r="N816" s="4">
        <f>IF(L816="","",IF(OR(Registro2[[#This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16" t="str">
        <f t="shared" si="12"/>
        <v>mar/25</v>
      </c>
      <c r="P816" t="str">
        <f>IF(Registro2[[#This Row],[Data de Pagamento]]&gt;0,TEXT(A816,"mmm/aa"),"")</f>
        <v>mar/25</v>
      </c>
      <c r="T816" s="4">
        <f>IF(Registro2[[#This Row],[Data de Pagamento]]="",0,IF(Registro2[[#This Row],[Conta Financeira]]=base!$A$6,0,Registro2[[#This Row],[Valor Unitário]]))</f>
        <v>35</v>
      </c>
      <c r="U8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16" t="str">
        <f>VLOOKUP(Registro2[[#This Row],[Categoria]],'Plano de Contas'!$V$3:W877,2,0)</f>
        <v>Receitas Serviços</v>
      </c>
      <c r="X81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16" t="s">
        <v>1536</v>
      </c>
    </row>
    <row r="817" spans="1:25" hidden="1">
      <c r="A817" s="1">
        <v>45729.868055555555</v>
      </c>
      <c r="B817" s="1">
        <v>45729.868055555555</v>
      </c>
      <c r="D817" t="s">
        <v>1</v>
      </c>
      <c r="E817" t="s">
        <v>149</v>
      </c>
      <c r="F817" t="s">
        <v>147</v>
      </c>
      <c r="G817" t="s">
        <v>167</v>
      </c>
      <c r="I817" s="4">
        <v>10</v>
      </c>
      <c r="J817" s="4"/>
      <c r="L817" t="s">
        <v>252</v>
      </c>
      <c r="M817" t="s">
        <v>794</v>
      </c>
      <c r="N817" s="4">
        <f>IF(L817="","",IF(OR(Registro2[[#This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817" t="str">
        <f t="shared" si="12"/>
        <v>mar/25</v>
      </c>
      <c r="P817" t="str">
        <f>IF(Registro2[[#This Row],[Data de Pagamento]]&gt;0,TEXT(A817,"mmm/aa"),"")</f>
        <v>mar/25</v>
      </c>
      <c r="T817" s="4">
        <f>IF(Registro2[[#This Row],[Data de Pagamento]]="",0,IF(Registro2[[#This Row],[Conta Financeira]]=base!$A$6,0,Registro2[[#This Row],[Valor Unitário]]))</f>
        <v>10</v>
      </c>
      <c r="U8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17" t="str">
        <f>VLOOKUP(Registro2[[#This Row],[Categoria]],'Plano de Contas'!$V$3:W878,2,0)</f>
        <v>Receitas Serviços</v>
      </c>
      <c r="X81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17" t="s">
        <v>1536</v>
      </c>
    </row>
    <row r="818" spans="1:25" hidden="1">
      <c r="A818" s="1">
        <v>45730.416666666664</v>
      </c>
      <c r="B818" s="1">
        <v>45730.416666666664</v>
      </c>
      <c r="D818" t="s">
        <v>1</v>
      </c>
      <c r="E818" t="s">
        <v>149</v>
      </c>
      <c r="F818" t="s">
        <v>147</v>
      </c>
      <c r="G818" t="s">
        <v>163</v>
      </c>
      <c r="I818" s="4">
        <v>35</v>
      </c>
      <c r="J818" s="4">
        <v>35</v>
      </c>
      <c r="L818" t="s">
        <v>252</v>
      </c>
      <c r="M818" t="s">
        <v>364</v>
      </c>
      <c r="N818" s="4">
        <f>IF(L818="","",IF(OR(Registro2[[#This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18" t="str">
        <f t="shared" si="12"/>
        <v>mar/25</v>
      </c>
      <c r="P818" t="str">
        <f>IF(Registro2[[#This Row],[Data de Pagamento]]&gt;0,TEXT(A818,"mmm/aa"),"")</f>
        <v>mar/25</v>
      </c>
      <c r="T818" s="4">
        <f>IF(Registro2[[#This Row],[Data de Pagamento]]="",0,IF(Registro2[[#This Row],[Conta Financeira]]=base!$A$6,0,Registro2[[#This Row],[Valor Unitário]]))</f>
        <v>35</v>
      </c>
      <c r="U8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18" t="str">
        <f>VLOOKUP(Registro2[[#This Row],[Categoria]],'Plano de Contas'!$V$3:W818,2,0)</f>
        <v>Receitas Serviços</v>
      </c>
      <c r="X8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18" t="s">
        <v>1536</v>
      </c>
    </row>
    <row r="819" spans="1:25" hidden="1">
      <c r="A819" s="1">
        <v>45730.4375</v>
      </c>
      <c r="B819" s="1">
        <v>45730.4375</v>
      </c>
      <c r="D819" t="s">
        <v>1</v>
      </c>
      <c r="E819" t="s">
        <v>149</v>
      </c>
      <c r="F819" t="s">
        <v>147</v>
      </c>
      <c r="G819" t="s">
        <v>163</v>
      </c>
      <c r="I819" s="4">
        <v>35</v>
      </c>
      <c r="J819" s="4">
        <v>35</v>
      </c>
      <c r="L819" t="s">
        <v>252</v>
      </c>
      <c r="M819" t="s">
        <v>414</v>
      </c>
      <c r="N819" s="4">
        <f>IF(L819="","",IF(OR(Registro2[[#This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19" t="str">
        <f t="shared" si="12"/>
        <v>mar/25</v>
      </c>
      <c r="P819" t="str">
        <f>IF(Registro2[[#This Row],[Data de Pagamento]]&gt;0,TEXT(A819,"mmm/aa"),"")</f>
        <v>mar/25</v>
      </c>
      <c r="T819" s="4">
        <f>IF(Registro2[[#This Row],[Data de Pagamento]]="",0,IF(Registro2[[#This Row],[Conta Financeira]]=base!$A$6,0,Registro2[[#This Row],[Valor Unitário]]))</f>
        <v>35</v>
      </c>
      <c r="U8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19" t="str">
        <f>VLOOKUP(Registro2[[#This Row],[Categoria]],'Plano de Contas'!$V$3:W874,2,0)</f>
        <v>Receitas Serviços</v>
      </c>
      <c r="X81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19" t="s">
        <v>1536</v>
      </c>
    </row>
    <row r="820" spans="1:25" hidden="1">
      <c r="A820" s="1">
        <v>45730.447916666664</v>
      </c>
      <c r="B820" s="1">
        <v>45730.447916666664</v>
      </c>
      <c r="D820" t="s">
        <v>529</v>
      </c>
      <c r="E820" t="s">
        <v>149</v>
      </c>
      <c r="F820" t="s">
        <v>152</v>
      </c>
      <c r="G820" t="s">
        <v>353</v>
      </c>
      <c r="I820" s="4">
        <v>50</v>
      </c>
      <c r="J820" s="4">
        <v>50</v>
      </c>
      <c r="L820" t="s">
        <v>253</v>
      </c>
      <c r="M820" t="s">
        <v>414</v>
      </c>
      <c r="N820" s="4">
        <f>IF(L820="","",IF(OR(Registro2[[#This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820" t="str">
        <f t="shared" si="12"/>
        <v>mar/25</v>
      </c>
      <c r="P820" t="str">
        <f>IF(Registro2[[#This Row],[Data de Pagamento]]&gt;0,TEXT(A820,"mmm/aa"),"")</f>
        <v>mar/25</v>
      </c>
      <c r="T820" s="4">
        <f>IF(Registro2[[#This Row],[Data de Pagamento]]="",0,IF(Registro2[[#This Row],[Conta Financeira]]=base!$A$6,0,Registro2[[#This Row],[Valor Unitário]]))</f>
        <v>50</v>
      </c>
      <c r="U8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20" t="str">
        <f>VLOOKUP(Registro2[[#This Row],[Categoria]],'Plano de Contas'!$V$3:W887,2,0)</f>
        <v>Receitas Serviços</v>
      </c>
      <c r="X82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20" t="s">
        <v>1536</v>
      </c>
    </row>
    <row r="821" spans="1:25" hidden="1">
      <c r="A821" s="1">
        <v>45730.479166666664</v>
      </c>
      <c r="B821" s="1">
        <v>45730.479166666664</v>
      </c>
      <c r="D821" t="s">
        <v>1120</v>
      </c>
      <c r="E821" t="s">
        <v>149</v>
      </c>
      <c r="F821" t="s">
        <v>147</v>
      </c>
      <c r="G821" t="s">
        <v>163</v>
      </c>
      <c r="I821" s="4">
        <v>35</v>
      </c>
      <c r="J821" s="4">
        <v>45</v>
      </c>
      <c r="L821" t="s">
        <v>253</v>
      </c>
      <c r="M821" t="s">
        <v>14</v>
      </c>
      <c r="N821" s="4">
        <f>IF(L821="","",IF(OR(Registro2[[#This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21" t="str">
        <f t="shared" si="12"/>
        <v>mar/25</v>
      </c>
      <c r="P821" t="str">
        <f>IF(Registro2[[#This Row],[Data de Pagamento]]&gt;0,TEXT(A821,"mmm/aa"),"")</f>
        <v>mar/25</v>
      </c>
      <c r="T821" s="4">
        <f>IF(Registro2[[#This Row],[Data de Pagamento]]="",0,IF(Registro2[[#This Row],[Conta Financeira]]=base!$A$6,0,Registro2[[#This Row],[Valor Unitário]]))</f>
        <v>35</v>
      </c>
      <c r="U8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21" t="str">
        <f>VLOOKUP(Registro2[[#This Row],[Categoria]],'Plano de Contas'!$V$3:W881,2,0)</f>
        <v>Receitas Serviços</v>
      </c>
      <c r="X82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21" t="s">
        <v>1536</v>
      </c>
    </row>
    <row r="822" spans="1:25" hidden="1">
      <c r="A822" s="1">
        <v>45730.479166666664</v>
      </c>
      <c r="B822" s="1">
        <v>45730.479166666664</v>
      </c>
      <c r="D822" t="s">
        <v>1120</v>
      </c>
      <c r="E822" t="s">
        <v>149</v>
      </c>
      <c r="F822" t="s">
        <v>147</v>
      </c>
      <c r="G822" t="s">
        <v>167</v>
      </c>
      <c r="I822" s="4">
        <v>10</v>
      </c>
      <c r="J822" s="4"/>
      <c r="L822" t="s">
        <v>253</v>
      </c>
      <c r="M822" t="s">
        <v>14</v>
      </c>
      <c r="N822" s="4">
        <f>IF(L822="","",IF(OR(Registro2[[#This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822" t="str">
        <f t="shared" si="12"/>
        <v>mar/25</v>
      </c>
      <c r="P822" t="str">
        <f>IF(Registro2[[#This Row],[Data de Pagamento]]&gt;0,TEXT(A822,"mmm/aa"),"")</f>
        <v>mar/25</v>
      </c>
      <c r="T822" s="4">
        <f>IF(Registro2[[#This Row],[Data de Pagamento]]="",0,IF(Registro2[[#This Row],[Conta Financeira]]=base!$A$6,0,Registro2[[#This Row],[Valor Unitário]]))</f>
        <v>10</v>
      </c>
      <c r="U8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22" t="str">
        <f>VLOOKUP(Registro2[[#This Row],[Categoria]],'Plano de Contas'!$V$3:W882,2,0)</f>
        <v>Receitas Serviços</v>
      </c>
      <c r="X82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22" t="s">
        <v>1536</v>
      </c>
    </row>
    <row r="823" spans="1:25" hidden="1">
      <c r="A823" s="1">
        <v>45730.506944444445</v>
      </c>
      <c r="B823" s="1">
        <v>45730.506944444445</v>
      </c>
      <c r="D823" t="s">
        <v>1</v>
      </c>
      <c r="E823" t="s">
        <v>149</v>
      </c>
      <c r="F823" t="s">
        <v>147</v>
      </c>
      <c r="G823" t="s">
        <v>163</v>
      </c>
      <c r="I823" s="4">
        <v>35</v>
      </c>
      <c r="J823" s="4">
        <v>35</v>
      </c>
      <c r="L823" t="s">
        <v>252</v>
      </c>
      <c r="M823" t="s">
        <v>83</v>
      </c>
      <c r="N823" s="4">
        <f>IF(L823="","",IF(OR(Registro2[[#This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23" t="str">
        <f t="shared" si="12"/>
        <v>mar/25</v>
      </c>
      <c r="P823" t="str">
        <f>IF(Registro2[[#This Row],[Data de Pagamento]]&gt;0,TEXT(A823,"mmm/aa"),"")</f>
        <v>mar/25</v>
      </c>
      <c r="T823" s="4">
        <f>IF(Registro2[[#This Row],[Data de Pagamento]]="",0,IF(Registro2[[#This Row],[Conta Financeira]]=base!$A$6,0,Registro2[[#This Row],[Valor Unitário]]))</f>
        <v>35</v>
      </c>
      <c r="U8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23" t="str">
        <f>VLOOKUP(Registro2[[#This Row],[Categoria]],'Plano de Contas'!$V$3:W891,2,0)</f>
        <v>Receitas Serviços</v>
      </c>
      <c r="X82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23" t="s">
        <v>1536</v>
      </c>
    </row>
    <row r="824" spans="1:25" hidden="1">
      <c r="A824" s="1">
        <v>45730.513888888891</v>
      </c>
      <c r="B824" s="1">
        <v>45730.513888888891</v>
      </c>
      <c r="D824" t="s">
        <v>354</v>
      </c>
      <c r="E824" t="s">
        <v>149</v>
      </c>
      <c r="F824" t="s">
        <v>152</v>
      </c>
      <c r="G824" t="s">
        <v>353</v>
      </c>
      <c r="I824" s="4">
        <v>50</v>
      </c>
      <c r="J824" s="4">
        <v>50</v>
      </c>
      <c r="L824" t="s">
        <v>253</v>
      </c>
      <c r="M824" t="s">
        <v>490</v>
      </c>
      <c r="N824" s="4">
        <f>IF(L824="","",IF(OR(Registro2[[#This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824" t="str">
        <f t="shared" si="12"/>
        <v>mar/25</v>
      </c>
      <c r="P824" t="str">
        <f>IF(Registro2[[#This Row],[Data de Pagamento]]&gt;0,TEXT(A824,"mmm/aa"),"")</f>
        <v>mar/25</v>
      </c>
      <c r="T824" s="4">
        <f>IF(Registro2[[#This Row],[Data de Pagamento]]="",0,IF(Registro2[[#This Row],[Conta Financeira]]=base!$A$6,0,Registro2[[#This Row],[Valor Unitário]]))</f>
        <v>50</v>
      </c>
      <c r="U8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24" t="str">
        <f>VLOOKUP(Registro2[[#This Row],[Categoria]],'Plano de Contas'!$V$3:W889,2,0)</f>
        <v>Receitas Serviços</v>
      </c>
      <c r="X82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1.575</v>
      </c>
      <c r="Y824" t="s">
        <v>1536</v>
      </c>
    </row>
    <row r="825" spans="1:25" hidden="1">
      <c r="A825" s="1">
        <v>45730.5625</v>
      </c>
      <c r="B825" s="1">
        <v>45730.5625</v>
      </c>
      <c r="D825" t="s">
        <v>310</v>
      </c>
      <c r="E825" t="s">
        <v>149</v>
      </c>
      <c r="F825" t="s">
        <v>147</v>
      </c>
      <c r="G825" t="s">
        <v>163</v>
      </c>
      <c r="I825" s="4">
        <v>35</v>
      </c>
      <c r="J825" s="4">
        <v>50</v>
      </c>
      <c r="L825" t="s">
        <v>253</v>
      </c>
      <c r="M825" t="s">
        <v>880</v>
      </c>
      <c r="N825" s="4">
        <f>IF(L825="","",IF(OR(Registro2[[#This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25" t="str">
        <f t="shared" si="12"/>
        <v>mar/25</v>
      </c>
      <c r="P825" t="str">
        <f>IF(Registro2[[#This Row],[Data de Pagamento]]&gt;0,TEXT(A825,"mmm/aa"),"")</f>
        <v>mar/25</v>
      </c>
      <c r="T825" s="4">
        <f>IF(Registro2[[#This Row],[Data de Pagamento]]="",0,IF(Registro2[[#This Row],[Conta Financeira]]=base!$A$6,0,Registro2[[#This Row],[Valor Unitário]]))</f>
        <v>35</v>
      </c>
      <c r="U8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25" t="str">
        <f>VLOOKUP(Registro2[[#This Row],[Categoria]],'Plano de Contas'!$V$3:W879,2,0)</f>
        <v>Receitas Serviços</v>
      </c>
      <c r="X82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825" t="s">
        <v>1536</v>
      </c>
    </row>
    <row r="826" spans="1:25" hidden="1">
      <c r="A826" s="1">
        <v>45730.5625</v>
      </c>
      <c r="B826" s="1">
        <v>45730.5625</v>
      </c>
      <c r="D826" t="s">
        <v>310</v>
      </c>
      <c r="E826" t="s">
        <v>149</v>
      </c>
      <c r="F826" t="s">
        <v>147</v>
      </c>
      <c r="G826" t="s">
        <v>1046</v>
      </c>
      <c r="I826" s="4">
        <v>15</v>
      </c>
      <c r="J826" s="4"/>
      <c r="L826" t="s">
        <v>253</v>
      </c>
      <c r="M826" t="s">
        <v>880</v>
      </c>
      <c r="N826" s="4">
        <f>IF(L826="","",IF(OR(Registro2[[#This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826" t="str">
        <f t="shared" si="12"/>
        <v>mar/25</v>
      </c>
      <c r="P826" t="str">
        <f>IF(Registro2[[#This Row],[Data de Pagamento]]&gt;0,TEXT(A826,"mmm/aa"),"")</f>
        <v>mar/25</v>
      </c>
      <c r="T826" s="4">
        <f>IF(Registro2[[#This Row],[Data de Pagamento]]="",0,IF(Registro2[[#This Row],[Conta Financeira]]=base!$A$6,0,Registro2[[#This Row],[Valor Unitário]]))</f>
        <v>15</v>
      </c>
      <c r="U8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26" t="str">
        <f>VLOOKUP(Registro2[[#This Row],[Categoria]],'Plano de Contas'!$V$3:W880,2,0)</f>
        <v>Receitas Serviços</v>
      </c>
      <c r="X82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  <c r="Y826" t="s">
        <v>1536</v>
      </c>
    </row>
    <row r="827" spans="1:25" hidden="1">
      <c r="A827" s="1">
        <v>45730.583333333336</v>
      </c>
      <c r="B827" s="1">
        <v>45730.583333333336</v>
      </c>
      <c r="D827" t="s">
        <v>529</v>
      </c>
      <c r="E827" t="s">
        <v>149</v>
      </c>
      <c r="F827" t="s">
        <v>147</v>
      </c>
      <c r="G827" t="s">
        <v>163</v>
      </c>
      <c r="I827" s="4">
        <v>35</v>
      </c>
      <c r="J827" s="4">
        <v>75</v>
      </c>
      <c r="L827" t="s">
        <v>253</v>
      </c>
      <c r="M827" t="s">
        <v>182</v>
      </c>
      <c r="N827" s="4">
        <f>IF(L827="","",IF(OR(Registro2[[#This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27" t="str">
        <f t="shared" si="12"/>
        <v>mar/25</v>
      </c>
      <c r="P827" t="str">
        <f>IF(Registro2[[#This Row],[Data de Pagamento]]&gt;0,TEXT(A827,"mmm/aa"),"")</f>
        <v>mar/25</v>
      </c>
      <c r="T827" s="4">
        <f>IF(Registro2[[#This Row],[Data de Pagamento]]="",0,IF(Registro2[[#This Row],[Conta Financeira]]=base!$A$6,0,Registro2[[#This Row],[Valor Unitário]]))</f>
        <v>35</v>
      </c>
      <c r="U8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27" t="str">
        <f>VLOOKUP(Registro2[[#This Row],[Categoria]],'Plano de Contas'!$V$3:W884,2,0)</f>
        <v>Receitas Serviços</v>
      </c>
      <c r="X8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27" t="s">
        <v>1536</v>
      </c>
    </row>
    <row r="828" spans="1:25" hidden="1">
      <c r="A828" s="1">
        <v>45730.583333333336</v>
      </c>
      <c r="B828" s="1">
        <v>45730.583333333336</v>
      </c>
      <c r="D828" t="s">
        <v>529</v>
      </c>
      <c r="E828" t="s">
        <v>149</v>
      </c>
      <c r="F828" t="s">
        <v>147</v>
      </c>
      <c r="G828" t="s">
        <v>1046</v>
      </c>
      <c r="I828" s="4">
        <v>25</v>
      </c>
      <c r="J828" s="4"/>
      <c r="L828" t="s">
        <v>253</v>
      </c>
      <c r="M828" t="s">
        <v>182</v>
      </c>
      <c r="N828" s="4">
        <f>IF(L828="","",IF(OR(Registro2[[#This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828" t="str">
        <f t="shared" si="12"/>
        <v>mar/25</v>
      </c>
      <c r="P828" t="str">
        <f>IF(Registro2[[#This Row],[Data de Pagamento]]&gt;0,TEXT(A828,"mmm/aa"),"")</f>
        <v>mar/25</v>
      </c>
      <c r="T828" s="4">
        <f>IF(Registro2[[#This Row],[Data de Pagamento]]="",0,IF(Registro2[[#This Row],[Conta Financeira]]=base!$A$6,0,Registro2[[#This Row],[Valor Unitário]]))</f>
        <v>25</v>
      </c>
      <c r="U8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28" t="str">
        <f>VLOOKUP(Registro2[[#This Row],[Categoria]],'Plano de Contas'!$V$3:W885,2,0)</f>
        <v>Receitas Serviços</v>
      </c>
      <c r="X82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28" t="s">
        <v>1536</v>
      </c>
    </row>
    <row r="829" spans="1:25" hidden="1">
      <c r="A829" s="1">
        <v>45730.583333333336</v>
      </c>
      <c r="B829" s="1">
        <v>45730.583333333336</v>
      </c>
      <c r="D829" t="s">
        <v>529</v>
      </c>
      <c r="E829" t="s">
        <v>149</v>
      </c>
      <c r="F829" t="s">
        <v>147</v>
      </c>
      <c r="G829" t="s">
        <v>1187</v>
      </c>
      <c r="I829" s="4">
        <v>15</v>
      </c>
      <c r="J829" s="4"/>
      <c r="L829" t="s">
        <v>253</v>
      </c>
      <c r="M829" t="s">
        <v>182</v>
      </c>
      <c r="N829" s="4">
        <f>IF(L829="","",IF(OR(Registro2[[#This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829" t="str">
        <f t="shared" si="12"/>
        <v>mar/25</v>
      </c>
      <c r="P829" t="str">
        <f>IF(Registro2[[#This Row],[Data de Pagamento]]&gt;0,TEXT(A829,"mmm/aa"),"")</f>
        <v>mar/25</v>
      </c>
      <c r="T829" s="4">
        <f>IF(Registro2[[#This Row],[Data de Pagamento]]="",0,IF(Registro2[[#This Row],[Conta Financeira]]=base!$A$6,0,Registro2[[#This Row],[Valor Unitário]]))</f>
        <v>15</v>
      </c>
      <c r="U8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29" t="str">
        <f>VLOOKUP(Registro2[[#This Row],[Categoria]],'Plano de Contas'!$V$3:W886,2,0)</f>
        <v>Receitas Serviços</v>
      </c>
      <c r="X8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29" t="s">
        <v>1536</v>
      </c>
    </row>
    <row r="830" spans="1:25" hidden="1">
      <c r="A830" s="1">
        <v>45730.618055555555</v>
      </c>
      <c r="B830" s="1">
        <v>45730.618055555555</v>
      </c>
      <c r="D830" t="s">
        <v>1</v>
      </c>
      <c r="E830" t="s">
        <v>149</v>
      </c>
      <c r="F830" t="s">
        <v>147</v>
      </c>
      <c r="G830" t="s">
        <v>163</v>
      </c>
      <c r="I830" s="4">
        <v>20</v>
      </c>
      <c r="J830" s="4">
        <v>40</v>
      </c>
      <c r="L830" t="s">
        <v>253</v>
      </c>
      <c r="M830" t="s">
        <v>46</v>
      </c>
      <c r="N830" s="4">
        <f>IF(L830="","",IF(OR(Registro2[[#This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830" t="str">
        <f t="shared" si="12"/>
        <v>mar/25</v>
      </c>
      <c r="P830" t="str">
        <f>IF(Registro2[[#This Row],[Data de Pagamento]]&gt;0,TEXT(A830,"mmm/aa"),"")</f>
        <v>mar/25</v>
      </c>
      <c r="T830" s="4">
        <f>IF(Registro2[[#This Row],[Data de Pagamento]]="",0,IF(Registro2[[#This Row],[Conta Financeira]]=base!$A$6,0,Registro2[[#This Row],[Valor Unitário]]))</f>
        <v>20</v>
      </c>
      <c r="U8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30" t="str">
        <f>VLOOKUP(Registro2[[#This Row],[Categoria]],'Plano de Contas'!$V$3:W898,2,0)</f>
        <v>Receitas Serviços</v>
      </c>
      <c r="X83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30" t="s">
        <v>1536</v>
      </c>
    </row>
    <row r="831" spans="1:25" hidden="1">
      <c r="A831" s="1">
        <v>45730.618055555555</v>
      </c>
      <c r="B831" s="1">
        <v>45730.618055555555</v>
      </c>
      <c r="D831" t="s">
        <v>1</v>
      </c>
      <c r="E831" t="s">
        <v>149</v>
      </c>
      <c r="F831" t="s">
        <v>147</v>
      </c>
      <c r="G831" t="s">
        <v>166</v>
      </c>
      <c r="I831" s="4">
        <v>20</v>
      </c>
      <c r="J831" s="4"/>
      <c r="L831" t="s">
        <v>253</v>
      </c>
      <c r="M831" t="s">
        <v>46</v>
      </c>
      <c r="N831" s="4">
        <f>IF(L831="","",IF(OR(Registro2[[#This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831" t="str">
        <f t="shared" si="12"/>
        <v>mar/25</v>
      </c>
      <c r="P831" t="str">
        <f>IF(Registro2[[#This Row],[Data de Pagamento]]&gt;0,TEXT(A831,"mmm/aa"),"")</f>
        <v>mar/25</v>
      </c>
      <c r="T831" s="4">
        <f>IF(Registro2[[#This Row],[Data de Pagamento]]="",0,IF(Registro2[[#This Row],[Conta Financeira]]=base!$A$6,0,Registro2[[#This Row],[Valor Unitário]]))</f>
        <v>20</v>
      </c>
      <c r="U8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31" t="str">
        <f>VLOOKUP(Registro2[[#This Row],[Categoria]],'Plano de Contas'!$V$3:W899,2,0)</f>
        <v>Receitas Serviços</v>
      </c>
      <c r="X83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31" t="s">
        <v>1536</v>
      </c>
    </row>
    <row r="832" spans="1:25" hidden="1">
      <c r="A832" s="1">
        <v>45730.631944444445</v>
      </c>
      <c r="B832" s="1">
        <v>45730.631944444445</v>
      </c>
      <c r="D832" t="s">
        <v>354</v>
      </c>
      <c r="E832" t="s">
        <v>149</v>
      </c>
      <c r="F832" t="s">
        <v>152</v>
      </c>
      <c r="G832" t="s">
        <v>353</v>
      </c>
      <c r="I832" s="4">
        <v>60</v>
      </c>
      <c r="J832" s="4">
        <v>60</v>
      </c>
      <c r="L832" t="s">
        <v>264</v>
      </c>
      <c r="M832" t="s">
        <v>1431</v>
      </c>
      <c r="N832" s="4">
        <f>IF(L832="","",IF(OR(Registro2[[#This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832" t="str">
        <f t="shared" si="12"/>
        <v>mar/25</v>
      </c>
      <c r="P832" t="str">
        <f>IF(Registro2[[#This Row],[Data de Pagamento]]&gt;0,TEXT(A832,"mmm/aa"),"")</f>
        <v>mar/25</v>
      </c>
      <c r="T832" s="4">
        <f>IF(Registro2[[#This Row],[Data de Pagamento]]="",0,IF(Registro2[[#This Row],[Conta Financeira]]=base!$A$6,0,Registro2[[#This Row],[Valor Unitário]]))</f>
        <v>60</v>
      </c>
      <c r="U8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32" t="str">
        <f>VLOOKUP(Registro2[[#This Row],[Categoria]],'Plano de Contas'!$V$3:W892,2,0)</f>
        <v>Receitas Serviços</v>
      </c>
      <c r="X83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  <c r="Y832" t="s">
        <v>1536</v>
      </c>
    </row>
    <row r="833" spans="1:25" hidden="1">
      <c r="A833" s="1">
        <v>45730.666666666664</v>
      </c>
      <c r="B833" s="1">
        <v>45730.666666666664</v>
      </c>
      <c r="D833" t="s">
        <v>310</v>
      </c>
      <c r="E833" t="s">
        <v>149</v>
      </c>
      <c r="F833" t="s">
        <v>147</v>
      </c>
      <c r="G833" t="s">
        <v>163</v>
      </c>
      <c r="I833" s="4">
        <v>35</v>
      </c>
      <c r="J833" s="4">
        <v>60</v>
      </c>
      <c r="L833" t="s">
        <v>252</v>
      </c>
      <c r="M833" t="s">
        <v>1435</v>
      </c>
      <c r="N833" s="4">
        <f>IF(L833="","",IF(OR(Registro2[[#This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33" t="str">
        <f t="shared" si="12"/>
        <v>mar/25</v>
      </c>
      <c r="P833" t="str">
        <f>IF(Registro2[[#This Row],[Data de Pagamento]]&gt;0,TEXT(A833,"mmm/aa"),"")</f>
        <v>mar/25</v>
      </c>
      <c r="T833" s="4">
        <f>IF(Registro2[[#This Row],[Data de Pagamento]]="",0,IF(Registro2[[#This Row],[Conta Financeira]]=base!$A$6,0,Registro2[[#This Row],[Valor Unitário]]))</f>
        <v>35</v>
      </c>
      <c r="U8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33" t="str">
        <f>VLOOKUP(Registro2[[#This Row],[Categoria]],'Plano de Contas'!$V$3:W896,2,0)</f>
        <v>Receitas Serviços</v>
      </c>
      <c r="X83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833" t="s">
        <v>1536</v>
      </c>
    </row>
    <row r="834" spans="1:25" hidden="1">
      <c r="A834" s="1">
        <v>45730.666666666664</v>
      </c>
      <c r="B834" s="1">
        <v>45730.666666666664</v>
      </c>
      <c r="D834" t="s">
        <v>310</v>
      </c>
      <c r="E834" t="s">
        <v>149</v>
      </c>
      <c r="F834" t="s">
        <v>150</v>
      </c>
      <c r="G834" t="s">
        <v>509</v>
      </c>
      <c r="I834" s="4">
        <v>25</v>
      </c>
      <c r="J834" s="4"/>
      <c r="L834" t="s">
        <v>252</v>
      </c>
      <c r="M834" t="s">
        <v>1435</v>
      </c>
      <c r="N834" s="4">
        <f>IF(L834="","",IF(OR(Registro2[[#This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834" t="str">
        <f t="shared" ref="O834:O897" si="13">TEXT(B834,"mmm/aa")</f>
        <v>mar/25</v>
      </c>
      <c r="P834" t="str">
        <f>IF(Registro2[[#This Row],[Data de Pagamento]]&gt;0,TEXT(A834,"mmm/aa"),"")</f>
        <v>mar/25</v>
      </c>
      <c r="T834" s="4">
        <f>IF(Registro2[[#This Row],[Data de Pagamento]]="",0,IF(Registro2[[#This Row],[Conta Financeira]]=base!$A$6,0,Registro2[[#This Row],[Valor Unitário]]))</f>
        <v>25</v>
      </c>
      <c r="U8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34" t="str">
        <f>VLOOKUP(Registro2[[#This Row],[Categoria]],'Plano de Contas'!$V$3:W897,2,0)</f>
        <v>Receitas Produtos</v>
      </c>
      <c r="X83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0.2225</v>
      </c>
      <c r="Y834" t="s">
        <v>1536</v>
      </c>
    </row>
    <row r="835" spans="1:25" hidden="1">
      <c r="A835" s="1">
        <v>45730.6875</v>
      </c>
      <c r="B835" s="1">
        <v>45730.6875</v>
      </c>
      <c r="D835" t="s">
        <v>1</v>
      </c>
      <c r="E835" t="s">
        <v>149</v>
      </c>
      <c r="F835" t="s">
        <v>147</v>
      </c>
      <c r="G835" t="s">
        <v>1046</v>
      </c>
      <c r="I835" s="4">
        <v>35</v>
      </c>
      <c r="J835" s="4">
        <v>25</v>
      </c>
      <c r="L835" t="s">
        <v>252</v>
      </c>
      <c r="M835" t="s">
        <v>120</v>
      </c>
      <c r="N835" s="4">
        <f>IF(L835="","",IF(OR(Registro2[[#This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35" t="str">
        <f t="shared" si="13"/>
        <v>mar/25</v>
      </c>
      <c r="P835" t="str">
        <f>IF(Registro2[[#This Row],[Data de Pagamento]]&gt;0,TEXT(A835,"mmm/aa"),"")</f>
        <v>mar/25</v>
      </c>
      <c r="T835" s="4">
        <f>IF(Registro2[[#This Row],[Data de Pagamento]]="",0,IF(Registro2[[#This Row],[Conta Financeira]]=base!$A$6,0,Registro2[[#This Row],[Valor Unitário]]))</f>
        <v>35</v>
      </c>
      <c r="U8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35" t="str">
        <f>VLOOKUP(Registro2[[#This Row],[Categoria]],'Plano de Contas'!$V$3:W900,2,0)</f>
        <v>Receitas Serviços</v>
      </c>
      <c r="X83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35" t="s">
        <v>1536</v>
      </c>
    </row>
    <row r="836" spans="1:25" hidden="1">
      <c r="A836" s="1">
        <v>45730.697916666664</v>
      </c>
      <c r="B836" s="1">
        <v>45730.697916666664</v>
      </c>
      <c r="D836" t="s">
        <v>354</v>
      </c>
      <c r="E836" t="s">
        <v>149</v>
      </c>
      <c r="F836" t="s">
        <v>147</v>
      </c>
      <c r="G836" t="s">
        <v>1046</v>
      </c>
      <c r="I836" s="4">
        <v>35</v>
      </c>
      <c r="J836" s="4">
        <v>50</v>
      </c>
      <c r="L836" t="s">
        <v>252</v>
      </c>
      <c r="M836" t="s">
        <v>908</v>
      </c>
      <c r="N836" s="4">
        <f>IF(L836="","",IF(OR(Registro2[[#This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36" t="str">
        <f t="shared" si="13"/>
        <v>mar/25</v>
      </c>
      <c r="P836" t="str">
        <f>IF(Registro2[[#This Row],[Data de Pagamento]]&gt;0,TEXT(A836,"mmm/aa"),"")</f>
        <v>mar/25</v>
      </c>
      <c r="T836" s="4">
        <f>IF(Registro2[[#This Row],[Data de Pagamento]]="",0,IF(Registro2[[#This Row],[Conta Financeira]]=base!$A$6,0,Registro2[[#This Row],[Valor Unitário]]))</f>
        <v>35</v>
      </c>
      <c r="U8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36" t="str">
        <f>VLOOKUP(Registro2[[#This Row],[Categoria]],'Plano de Contas'!$V$3:W893,2,0)</f>
        <v>Receitas Serviços</v>
      </c>
      <c r="X83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836" t="s">
        <v>1536</v>
      </c>
    </row>
    <row r="837" spans="1:25" hidden="1">
      <c r="A837" s="1">
        <v>45730.697916666664</v>
      </c>
      <c r="B837" s="1">
        <v>45730.697916666664</v>
      </c>
      <c r="D837" t="s">
        <v>354</v>
      </c>
      <c r="E837" t="s">
        <v>149</v>
      </c>
      <c r="F837" t="s">
        <v>147</v>
      </c>
      <c r="G837" t="s">
        <v>1187</v>
      </c>
      <c r="I837" s="4">
        <v>15</v>
      </c>
      <c r="J837" s="4"/>
      <c r="L837" t="s">
        <v>252</v>
      </c>
      <c r="M837" t="s">
        <v>908</v>
      </c>
      <c r="N837" s="4">
        <f>IF(L837="","",IF(OR(Registro2[[#This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837" t="str">
        <f t="shared" si="13"/>
        <v>mar/25</v>
      </c>
      <c r="P837" t="str">
        <f>IF(Registro2[[#This Row],[Data de Pagamento]]&gt;0,TEXT(A837,"mmm/aa"),"")</f>
        <v>mar/25</v>
      </c>
      <c r="T837" s="4">
        <f>IF(Registro2[[#This Row],[Data de Pagamento]]="",0,IF(Registro2[[#This Row],[Conta Financeira]]=base!$A$6,0,Registro2[[#This Row],[Valor Unitário]]))</f>
        <v>15</v>
      </c>
      <c r="U8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37" t="str">
        <f>VLOOKUP(Registro2[[#This Row],[Categoria]],'Plano de Contas'!$V$3:W894,2,0)</f>
        <v>Receitas Serviços</v>
      </c>
      <c r="X83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0.47250000000000003</v>
      </c>
      <c r="Y837" t="s">
        <v>1536</v>
      </c>
    </row>
    <row r="838" spans="1:25" hidden="1">
      <c r="A838" s="1">
        <v>45730.71875</v>
      </c>
      <c r="B838" s="1">
        <v>45730.71875</v>
      </c>
      <c r="D838" t="s">
        <v>310</v>
      </c>
      <c r="E838" t="s">
        <v>149</v>
      </c>
      <c r="F838" t="s">
        <v>147</v>
      </c>
      <c r="G838" t="s">
        <v>163</v>
      </c>
      <c r="I838" s="4">
        <v>35</v>
      </c>
      <c r="J838" s="4">
        <v>35</v>
      </c>
      <c r="L838" t="s">
        <v>264</v>
      </c>
      <c r="M838" t="s">
        <v>845</v>
      </c>
      <c r="N838" s="4">
        <f>IF(L838="","",IF(OR(Registro2[[#This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38" t="str">
        <f t="shared" si="13"/>
        <v>mar/25</v>
      </c>
      <c r="P838" t="str">
        <f>IF(Registro2[[#This Row],[Data de Pagamento]]&gt;0,TEXT(A838,"mmm/aa"),"")</f>
        <v>mar/25</v>
      </c>
      <c r="T838" s="4">
        <f>IF(Registro2[[#This Row],[Data de Pagamento]]="",0,IF(Registro2[[#This Row],[Conta Financeira]]=base!$A$6,0,Registro2[[#This Row],[Valor Unitário]]))</f>
        <v>35</v>
      </c>
      <c r="U8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38" t="str">
        <f>VLOOKUP(Registro2[[#This Row],[Categoria]],'Plano de Contas'!$V$3:W902,2,0)</f>
        <v>Receitas Serviços</v>
      </c>
      <c r="X83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838" t="s">
        <v>1536</v>
      </c>
    </row>
    <row r="839" spans="1:25" hidden="1">
      <c r="A839" s="1">
        <v>45730.725694444445</v>
      </c>
      <c r="B839" s="1">
        <v>45730.725694444445</v>
      </c>
      <c r="D839" t="s">
        <v>354</v>
      </c>
      <c r="E839" t="s">
        <v>149</v>
      </c>
      <c r="F839" t="s">
        <v>147</v>
      </c>
      <c r="G839" t="s">
        <v>163</v>
      </c>
      <c r="I839" s="4">
        <v>35</v>
      </c>
      <c r="J839" s="4">
        <v>35</v>
      </c>
      <c r="L839" t="s">
        <v>253</v>
      </c>
      <c r="M839" t="s">
        <v>291</v>
      </c>
      <c r="N839" s="4">
        <f>IF(L839="","",IF(OR(Registro2[[#This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39" t="str">
        <f t="shared" si="13"/>
        <v>mar/25</v>
      </c>
      <c r="P839" t="str">
        <f>IF(Registro2[[#This Row],[Data de Pagamento]]&gt;0,TEXT(A839,"mmm/aa"),"")</f>
        <v>mar/25</v>
      </c>
      <c r="T839" s="4">
        <f>IF(Registro2[[#This Row],[Data de Pagamento]]="",0,IF(Registro2[[#This Row],[Conta Financeira]]=base!$A$6,0,Registro2[[#This Row],[Valor Unitário]]))</f>
        <v>35</v>
      </c>
      <c r="U8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39" t="str">
        <f>VLOOKUP(Registro2[[#This Row],[Categoria]],'Plano de Contas'!$V$3:W903,2,0)</f>
        <v>Receitas Serviços</v>
      </c>
      <c r="X83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839" t="s">
        <v>1536</v>
      </c>
    </row>
    <row r="840" spans="1:25" hidden="1">
      <c r="A840" s="1">
        <v>45730.729166666664</v>
      </c>
      <c r="B840" s="1">
        <v>45730.729166666664</v>
      </c>
      <c r="D840" t="s">
        <v>310</v>
      </c>
      <c r="E840" t="s">
        <v>149</v>
      </c>
      <c r="F840" t="s">
        <v>147</v>
      </c>
      <c r="G840" t="s">
        <v>163</v>
      </c>
      <c r="I840" s="4">
        <v>35</v>
      </c>
      <c r="J840" s="4">
        <v>45</v>
      </c>
      <c r="L840" t="s">
        <v>252</v>
      </c>
      <c r="M840" t="s">
        <v>499</v>
      </c>
      <c r="N840" s="4">
        <f>IF(L840="","",IF(OR(Registro2[[#This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40" t="str">
        <f t="shared" si="13"/>
        <v>mar/25</v>
      </c>
      <c r="P840" t="str">
        <f>IF(Registro2[[#This Row],[Data de Pagamento]]&gt;0,TEXT(A840,"mmm/aa"),"")</f>
        <v>mar/25</v>
      </c>
      <c r="T840" s="4">
        <f>IF(Registro2[[#This Row],[Data de Pagamento]]="",0,IF(Registro2[[#This Row],[Conta Financeira]]=base!$A$6,0,Registro2[[#This Row],[Valor Unitário]]))</f>
        <v>35</v>
      </c>
      <c r="U8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40" t="str">
        <f>VLOOKUP(Registro2[[#This Row],[Categoria]],'Plano de Contas'!$V$3:W895,2,0)</f>
        <v>Receitas Serviços</v>
      </c>
      <c r="X84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840" t="s">
        <v>1536</v>
      </c>
    </row>
    <row r="841" spans="1:25" hidden="1">
      <c r="A841" s="1">
        <v>45730.75</v>
      </c>
      <c r="B841" s="1">
        <v>45730.75</v>
      </c>
      <c r="D841" t="s">
        <v>2</v>
      </c>
      <c r="E841" t="s">
        <v>149</v>
      </c>
      <c r="F841" t="s">
        <v>147</v>
      </c>
      <c r="G841" t="s">
        <v>163</v>
      </c>
      <c r="I841" s="4">
        <v>35</v>
      </c>
      <c r="J841" s="4">
        <v>35</v>
      </c>
      <c r="L841" t="s">
        <v>264</v>
      </c>
      <c r="M841" t="s">
        <v>375</v>
      </c>
      <c r="N841" s="4">
        <f>IF(L841="","",IF(OR(Registro2[[#This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41" t="str">
        <f t="shared" si="13"/>
        <v>mar/25</v>
      </c>
      <c r="P841" t="str">
        <f>IF(Registro2[[#This Row],[Data de Pagamento]]&gt;0,TEXT(A841,"mmm/aa"),"")</f>
        <v>mar/25</v>
      </c>
      <c r="T841" s="4">
        <f>IF(Registro2[[#This Row],[Data de Pagamento]]="",0,IF(Registro2[[#This Row],[Conta Financeira]]=base!$A$6,0,Registro2[[#This Row],[Valor Unitário]]))</f>
        <v>35</v>
      </c>
      <c r="U8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41" t="str">
        <f>VLOOKUP(Registro2[[#This Row],[Categoria]],'Plano de Contas'!$V$3:W901,2,0)</f>
        <v>Receitas Serviços</v>
      </c>
      <c r="X84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41" t="s">
        <v>1536</v>
      </c>
    </row>
    <row r="842" spans="1:25" hidden="1">
      <c r="A842" s="1">
        <v>45730.760416666664</v>
      </c>
      <c r="B842" s="1">
        <v>45730.760416666664</v>
      </c>
      <c r="D842" t="s">
        <v>1120</v>
      </c>
      <c r="E842" t="s">
        <v>149</v>
      </c>
      <c r="F842" t="s">
        <v>147</v>
      </c>
      <c r="G842" t="s">
        <v>163</v>
      </c>
      <c r="I842" s="4">
        <v>35</v>
      </c>
      <c r="J842" s="4">
        <v>35</v>
      </c>
      <c r="L842" t="s">
        <v>253</v>
      </c>
      <c r="M842" t="s">
        <v>20</v>
      </c>
      <c r="N842" s="4">
        <f>IF(L842="","",IF(OR(Registro2[[#This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42" t="str">
        <f t="shared" si="13"/>
        <v>mar/25</v>
      </c>
      <c r="P842" t="str">
        <f>IF(Registro2[[#This Row],[Data de Pagamento]]&gt;0,TEXT(A842,"mmm/aa"),"")</f>
        <v>mar/25</v>
      </c>
      <c r="T842" s="4">
        <f>IF(Registro2[[#This Row],[Data de Pagamento]]="",0,IF(Registro2[[#This Row],[Conta Financeira]]=base!$A$6,0,Registro2[[#This Row],[Valor Unitário]]))</f>
        <v>35</v>
      </c>
      <c r="U8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42" t="str">
        <f>VLOOKUP(Registro2[[#This Row],[Categoria]],'Plano de Contas'!$V$3:W888,2,0)</f>
        <v>Receitas Serviços</v>
      </c>
      <c r="X84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42" t="s">
        <v>1536</v>
      </c>
    </row>
    <row r="843" spans="1:25" hidden="1">
      <c r="A843" s="1">
        <v>45730.760416666664</v>
      </c>
      <c r="B843" s="1">
        <v>45730.760416666664</v>
      </c>
      <c r="D843" t="s">
        <v>2</v>
      </c>
      <c r="E843" t="s">
        <v>149</v>
      </c>
      <c r="F843" t="s">
        <v>147</v>
      </c>
      <c r="G843" t="s">
        <v>163</v>
      </c>
      <c r="I843" s="4">
        <v>20</v>
      </c>
      <c r="J843" s="4">
        <v>30</v>
      </c>
      <c r="L843" t="s">
        <v>253</v>
      </c>
      <c r="M843" t="s">
        <v>914</v>
      </c>
      <c r="N843" s="4">
        <f>IF(L843="","",IF(OR(Registro2[[#This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843" t="str">
        <f t="shared" si="13"/>
        <v>mar/25</v>
      </c>
      <c r="P843" t="str">
        <f>IF(Registro2[[#This Row],[Data de Pagamento]]&gt;0,TEXT(A843,"mmm/aa"),"")</f>
        <v>mar/25</v>
      </c>
      <c r="T843" s="4">
        <f>IF(Registro2[[#This Row],[Data de Pagamento]]="",0,IF(Registro2[[#This Row],[Conta Financeira]]=base!$A$6,0,Registro2[[#This Row],[Valor Unitário]]))</f>
        <v>20</v>
      </c>
      <c r="U8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43" t="str">
        <f>VLOOKUP(Registro2[[#This Row],[Categoria]],'Plano de Contas'!$V$3:W906,2,0)</f>
        <v>Receitas Serviços</v>
      </c>
      <c r="X84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43" t="s">
        <v>1536</v>
      </c>
    </row>
    <row r="844" spans="1:25" hidden="1">
      <c r="A844" s="1">
        <v>45730.760416666664</v>
      </c>
      <c r="B844" s="1">
        <v>45730.760416666664</v>
      </c>
      <c r="D844" t="s">
        <v>2</v>
      </c>
      <c r="E844" t="s">
        <v>149</v>
      </c>
      <c r="F844" t="s">
        <v>147</v>
      </c>
      <c r="G844" t="s">
        <v>167</v>
      </c>
      <c r="I844" s="4">
        <v>10</v>
      </c>
      <c r="J844" s="4"/>
      <c r="L844" t="s">
        <v>253</v>
      </c>
      <c r="M844" t="s">
        <v>914</v>
      </c>
      <c r="N844" s="4">
        <f>IF(L844="","",IF(OR(Registro2[[#This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844" t="str">
        <f t="shared" si="13"/>
        <v>mar/25</v>
      </c>
      <c r="P844" t="str">
        <f>IF(Registro2[[#This Row],[Data de Pagamento]]&gt;0,TEXT(A844,"mmm/aa"),"")</f>
        <v>mar/25</v>
      </c>
      <c r="T844" s="4">
        <f>IF(Registro2[[#This Row],[Data de Pagamento]]="",0,IF(Registro2[[#This Row],[Conta Financeira]]=base!$A$6,0,Registro2[[#This Row],[Valor Unitário]]))</f>
        <v>10</v>
      </c>
      <c r="U8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44" t="str">
        <f>VLOOKUP(Registro2[[#This Row],[Categoria]],'Plano de Contas'!$V$3:W907,2,0)</f>
        <v>Receitas Serviços</v>
      </c>
      <c r="X84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44" t="s">
        <v>1536</v>
      </c>
    </row>
    <row r="845" spans="1:25" hidden="1">
      <c r="A845" s="1">
        <v>45730.770833333336</v>
      </c>
      <c r="B845" s="1">
        <v>45730.770833333336</v>
      </c>
      <c r="D845" t="s">
        <v>1</v>
      </c>
      <c r="E845" t="s">
        <v>149</v>
      </c>
      <c r="F845" t="s">
        <v>152</v>
      </c>
      <c r="G845" t="s">
        <v>306</v>
      </c>
      <c r="I845" s="4">
        <v>55</v>
      </c>
      <c r="J845" s="4">
        <v>65</v>
      </c>
      <c r="L845" t="s">
        <v>252</v>
      </c>
      <c r="M845" t="s">
        <v>79</v>
      </c>
      <c r="N845" s="4">
        <f>IF(L845="","",IF(OR(Registro2[[#This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845" t="str">
        <f t="shared" si="13"/>
        <v>mar/25</v>
      </c>
      <c r="P845" t="str">
        <f>IF(Registro2[[#This Row],[Data de Pagamento]]&gt;0,TEXT(A845,"mmm/aa"),"")</f>
        <v>mar/25</v>
      </c>
      <c r="T845" s="4">
        <f>IF(Registro2[[#This Row],[Data de Pagamento]]="",0,IF(Registro2[[#This Row],[Conta Financeira]]=base!$A$6,0,Registro2[[#This Row],[Valor Unitário]]))</f>
        <v>55</v>
      </c>
      <c r="U8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45" t="str">
        <f>VLOOKUP(Registro2[[#This Row],[Categoria]],'Plano de Contas'!$V$3:W890,2,0)</f>
        <v>Receitas Serviços</v>
      </c>
      <c r="X8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45" t="s">
        <v>1536</v>
      </c>
    </row>
    <row r="846" spans="1:25" hidden="1">
      <c r="A846" s="1">
        <v>45730.78125</v>
      </c>
      <c r="B846" s="1">
        <v>45730.78125</v>
      </c>
      <c r="D846" t="s">
        <v>1</v>
      </c>
      <c r="E846" t="s">
        <v>149</v>
      </c>
      <c r="F846" t="s">
        <v>147</v>
      </c>
      <c r="G846" t="s">
        <v>163</v>
      </c>
      <c r="I846" s="4">
        <v>35</v>
      </c>
      <c r="J846" s="4">
        <v>35</v>
      </c>
      <c r="L846" t="s">
        <v>253</v>
      </c>
      <c r="M846" t="s">
        <v>485</v>
      </c>
      <c r="N846" s="4">
        <f>IF(L846="","",IF(OR(Registro2[[#This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46" t="str">
        <f t="shared" si="13"/>
        <v>mar/25</v>
      </c>
      <c r="P846" t="str">
        <f>IF(Registro2[[#This Row],[Data de Pagamento]]&gt;0,TEXT(A846,"mmm/aa"),"")</f>
        <v>mar/25</v>
      </c>
      <c r="T846" s="4">
        <f>IF(Registro2[[#This Row],[Data de Pagamento]]="",0,IF(Registro2[[#This Row],[Conta Financeira]]=base!$A$6,0,Registro2[[#This Row],[Valor Unitário]]))</f>
        <v>35</v>
      </c>
      <c r="U8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46" t="str">
        <f>VLOOKUP(Registro2[[#This Row],[Categoria]],'Plano de Contas'!$V$3:W883,2,0)</f>
        <v>Receitas Serviços</v>
      </c>
      <c r="X84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46" t="s">
        <v>1536</v>
      </c>
    </row>
    <row r="847" spans="1:25" hidden="1">
      <c r="A847" s="1">
        <v>45730.84375</v>
      </c>
      <c r="B847" s="1">
        <v>45730.84375</v>
      </c>
      <c r="D847" t="s">
        <v>1</v>
      </c>
      <c r="E847" t="s">
        <v>149</v>
      </c>
      <c r="F847" t="s">
        <v>152</v>
      </c>
      <c r="G847" t="s">
        <v>353</v>
      </c>
      <c r="I847" s="4">
        <v>60</v>
      </c>
      <c r="J847" s="4">
        <v>95</v>
      </c>
      <c r="L847" t="s">
        <v>253</v>
      </c>
      <c r="M847" t="s">
        <v>1444</v>
      </c>
      <c r="N847" s="4">
        <f>IF(L847="","",IF(OR(Registro2[[#This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847" t="str">
        <f t="shared" si="13"/>
        <v>mar/25</v>
      </c>
      <c r="P847" t="str">
        <f>IF(Registro2[[#This Row],[Data de Pagamento]]&gt;0,TEXT(A847,"mmm/aa"),"")</f>
        <v>mar/25</v>
      </c>
      <c r="T847" s="4">
        <f>IF(Registro2[[#This Row],[Data de Pagamento]]="",0,IF(Registro2[[#This Row],[Conta Financeira]]=base!$A$6,0,Registro2[[#This Row],[Valor Unitário]]))</f>
        <v>60</v>
      </c>
      <c r="U8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47" t="str">
        <f>VLOOKUP(Registro2[[#This Row],[Categoria]],'Plano de Contas'!$V$3:W908,2,0)</f>
        <v>Receitas Serviços</v>
      </c>
      <c r="X84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47" t="s">
        <v>1536</v>
      </c>
    </row>
    <row r="848" spans="1:25" hidden="1">
      <c r="A848" s="1">
        <v>45730.84375</v>
      </c>
      <c r="B848" s="1">
        <v>45730.84375</v>
      </c>
      <c r="D848" t="s">
        <v>1</v>
      </c>
      <c r="E848" t="s">
        <v>149</v>
      </c>
      <c r="F848" t="s">
        <v>147</v>
      </c>
      <c r="G848" t="s">
        <v>163</v>
      </c>
      <c r="I848" s="4">
        <v>35</v>
      </c>
      <c r="J848" s="4"/>
      <c r="L848" t="s">
        <v>264</v>
      </c>
      <c r="M848" t="s">
        <v>1444</v>
      </c>
      <c r="N848" s="4">
        <f>IF(L848="","",IF(OR(Registro2[[#This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48" t="str">
        <f t="shared" si="13"/>
        <v>mar/25</v>
      </c>
      <c r="P848" t="str">
        <f>IF(Registro2[[#This Row],[Data de Pagamento]]&gt;0,TEXT(A848,"mmm/aa"),"")</f>
        <v>mar/25</v>
      </c>
      <c r="T848" s="4">
        <f>IF(Registro2[[#This Row],[Data de Pagamento]]="",0,IF(Registro2[[#This Row],[Conta Financeira]]=base!$A$6,0,Registro2[[#This Row],[Valor Unitário]]))</f>
        <v>35</v>
      </c>
      <c r="U8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48" t="str">
        <f>VLOOKUP(Registro2[[#This Row],[Categoria]],'Plano de Contas'!$V$3:W909,2,0)</f>
        <v>Receitas Serviços</v>
      </c>
      <c r="X84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48" t="s">
        <v>1536</v>
      </c>
    </row>
    <row r="849" spans="1:25" hidden="1">
      <c r="A849" s="1">
        <v>45730.864583333336</v>
      </c>
      <c r="B849" s="1">
        <v>45730.864583333336</v>
      </c>
      <c r="D849" t="s">
        <v>1</v>
      </c>
      <c r="E849" t="s">
        <v>149</v>
      </c>
      <c r="F849" t="s">
        <v>147</v>
      </c>
      <c r="G849" t="s">
        <v>1046</v>
      </c>
      <c r="I849" s="4">
        <v>35</v>
      </c>
      <c r="J849" s="4">
        <v>70</v>
      </c>
      <c r="L849" t="s">
        <v>252</v>
      </c>
      <c r="M849" t="s">
        <v>105</v>
      </c>
      <c r="N849" s="4">
        <f>IF(L849="","",IF(OR(Registro2[[#This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49" t="str">
        <f t="shared" si="13"/>
        <v>mar/25</v>
      </c>
      <c r="P849" t="str">
        <f>IF(Registro2[[#This Row],[Data de Pagamento]]&gt;0,TEXT(A849,"mmm/aa"),"")</f>
        <v>mar/25</v>
      </c>
      <c r="T849" s="4">
        <f>IF(Registro2[[#This Row],[Data de Pagamento]]="",0,IF(Registro2[[#This Row],[Conta Financeira]]=base!$A$6,0,Registro2[[#This Row],[Valor Unitário]]))</f>
        <v>35</v>
      </c>
      <c r="U8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49" t="str">
        <f>VLOOKUP(Registro2[[#This Row],[Categoria]],'Plano de Contas'!$V$3:W910,2,0)</f>
        <v>Receitas Serviços</v>
      </c>
      <c r="X84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49" t="s">
        <v>1536</v>
      </c>
    </row>
    <row r="850" spans="1:25" hidden="1">
      <c r="A850" s="1">
        <v>45730.864583333336</v>
      </c>
      <c r="B850" s="1">
        <v>45730.864583333336</v>
      </c>
      <c r="D850" t="s">
        <v>1</v>
      </c>
      <c r="E850" t="s">
        <v>149</v>
      </c>
      <c r="F850" t="s">
        <v>152</v>
      </c>
      <c r="G850" t="s">
        <v>304</v>
      </c>
      <c r="I850" s="4">
        <v>15</v>
      </c>
      <c r="J850" s="4"/>
      <c r="L850" t="s">
        <v>252</v>
      </c>
      <c r="M850" t="s">
        <v>105</v>
      </c>
      <c r="N850" s="4">
        <f>IF(L850="","",IF(OR(Registro2[[#This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850" t="str">
        <f t="shared" si="13"/>
        <v>mar/25</v>
      </c>
      <c r="P850" t="str">
        <f>IF(Registro2[[#This Row],[Data de Pagamento]]&gt;0,TEXT(A850,"mmm/aa"),"")</f>
        <v>mar/25</v>
      </c>
      <c r="T850" s="4">
        <f>IF(Registro2[[#This Row],[Data de Pagamento]]="",0,IF(Registro2[[#This Row],[Conta Financeira]]=base!$A$6,0,Registro2[[#This Row],[Valor Unitário]]))</f>
        <v>15</v>
      </c>
      <c r="U8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50" t="str">
        <f>VLOOKUP(Registro2[[#This Row],[Categoria]],'Plano de Contas'!$V$3:W911,2,0)</f>
        <v>Receitas Serviços</v>
      </c>
      <c r="X85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50" t="s">
        <v>1536</v>
      </c>
    </row>
    <row r="851" spans="1:25" hidden="1">
      <c r="A851" s="1">
        <v>45730.864583333336</v>
      </c>
      <c r="B851" s="1">
        <v>45730.864583333336</v>
      </c>
      <c r="D851" t="s">
        <v>1</v>
      </c>
      <c r="E851" t="s">
        <v>149</v>
      </c>
      <c r="F851" t="s">
        <v>147</v>
      </c>
      <c r="G851" t="s">
        <v>163</v>
      </c>
      <c r="I851" s="4">
        <v>20</v>
      </c>
      <c r="J851" s="4"/>
      <c r="L851" t="s">
        <v>252</v>
      </c>
      <c r="M851" t="s">
        <v>105</v>
      </c>
      <c r="N851" s="4">
        <f>IF(L851="","",IF(OR(Registro2[[#This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851" t="str">
        <f t="shared" si="13"/>
        <v>mar/25</v>
      </c>
      <c r="P851" t="str">
        <f>IF(Registro2[[#This Row],[Data de Pagamento]]&gt;0,TEXT(A851,"mmm/aa"),"")</f>
        <v>mar/25</v>
      </c>
      <c r="T851" s="4">
        <f>IF(Registro2[[#This Row],[Data de Pagamento]]="",0,IF(Registro2[[#This Row],[Conta Financeira]]=base!$A$6,0,Registro2[[#This Row],[Valor Unitário]]))</f>
        <v>20</v>
      </c>
      <c r="U8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51" t="str">
        <f>VLOOKUP(Registro2[[#This Row],[Categoria]],'Plano de Contas'!$V$3:W912,2,0)</f>
        <v>Receitas Serviços</v>
      </c>
      <c r="X85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51" t="s">
        <v>1536</v>
      </c>
    </row>
    <row r="852" spans="1:25" hidden="1">
      <c r="A852" s="1">
        <v>45730.864583333336</v>
      </c>
      <c r="B852" s="1">
        <v>45730.864583333336</v>
      </c>
      <c r="D852" t="s">
        <v>1</v>
      </c>
      <c r="E852" t="s">
        <v>149</v>
      </c>
      <c r="F852" t="s">
        <v>147</v>
      </c>
      <c r="G852" t="s">
        <v>163</v>
      </c>
      <c r="I852" s="4">
        <v>20</v>
      </c>
      <c r="J852" s="4">
        <v>30</v>
      </c>
      <c r="L852" t="s">
        <v>264</v>
      </c>
      <c r="M852" t="s">
        <v>271</v>
      </c>
      <c r="N852" s="4">
        <f>IF(L852="","",IF(OR(Registro2[[#This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852" t="str">
        <f t="shared" si="13"/>
        <v>mar/25</v>
      </c>
      <c r="P852" t="str">
        <f>IF(Registro2[[#This Row],[Data de Pagamento]]&gt;0,TEXT(A852,"mmm/aa"),"")</f>
        <v>mar/25</v>
      </c>
      <c r="T852" s="4">
        <f>IF(Registro2[[#This Row],[Data de Pagamento]]="",0,IF(Registro2[[#This Row],[Conta Financeira]]=base!$A$6,0,Registro2[[#This Row],[Valor Unitário]]))</f>
        <v>20</v>
      </c>
      <c r="U8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52" t="str">
        <f>VLOOKUP(Registro2[[#This Row],[Categoria]],'Plano de Contas'!$V$3:W913,2,0)</f>
        <v>Receitas Serviços</v>
      </c>
      <c r="X85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52" t="s">
        <v>1536</v>
      </c>
    </row>
    <row r="853" spans="1:25" hidden="1">
      <c r="A853" s="1">
        <v>45730.864583333336</v>
      </c>
      <c r="B853" s="1">
        <v>45730.864583333336</v>
      </c>
      <c r="D853" t="s">
        <v>1</v>
      </c>
      <c r="E853" t="s">
        <v>149</v>
      </c>
      <c r="F853" t="s">
        <v>147</v>
      </c>
      <c r="G853" t="s">
        <v>167</v>
      </c>
      <c r="I853" s="4">
        <v>10</v>
      </c>
      <c r="J853" s="4"/>
      <c r="L853" t="s">
        <v>264</v>
      </c>
      <c r="M853" t="s">
        <v>271</v>
      </c>
      <c r="N853" s="4">
        <f>IF(L853="","",IF(OR(Registro2[[#This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853" t="str">
        <f t="shared" si="13"/>
        <v>mar/25</v>
      </c>
      <c r="P853" t="str">
        <f>IF(Registro2[[#This Row],[Data de Pagamento]]&gt;0,TEXT(A853,"mmm/aa"),"")</f>
        <v>mar/25</v>
      </c>
      <c r="T853" s="4">
        <f>IF(Registro2[[#This Row],[Data de Pagamento]]="",0,IF(Registro2[[#This Row],[Conta Financeira]]=base!$A$6,0,Registro2[[#This Row],[Valor Unitário]]))</f>
        <v>10</v>
      </c>
      <c r="U8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53" t="str">
        <f>VLOOKUP(Registro2[[#This Row],[Categoria]],'Plano de Contas'!$V$3:W914,2,0)</f>
        <v>Receitas Serviços</v>
      </c>
      <c r="X85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53" t="s">
        <v>1536</v>
      </c>
    </row>
    <row r="854" spans="1:25" hidden="1">
      <c r="A854" s="1">
        <v>45730.871527777781</v>
      </c>
      <c r="B854" s="1">
        <v>45730.871527777781</v>
      </c>
      <c r="D854" t="s">
        <v>2</v>
      </c>
      <c r="E854" t="s">
        <v>149</v>
      </c>
      <c r="F854" t="s">
        <v>152</v>
      </c>
      <c r="G854" t="s">
        <v>353</v>
      </c>
      <c r="I854" s="4">
        <v>45</v>
      </c>
      <c r="J854" s="4">
        <v>45</v>
      </c>
      <c r="L854" t="s">
        <v>253</v>
      </c>
      <c r="M854" t="s">
        <v>475</v>
      </c>
      <c r="N854" s="4">
        <f>IF(L854="","",IF(OR(Registro2[[#This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20.25</v>
      </c>
      <c r="O854" t="str">
        <f t="shared" si="13"/>
        <v>mar/25</v>
      </c>
      <c r="P854" t="str">
        <f>IF(Registro2[[#This Row],[Data de Pagamento]]&gt;0,TEXT(A854,"mmm/aa"),"")</f>
        <v>mar/25</v>
      </c>
      <c r="T854" s="4">
        <f>IF(Registro2[[#This Row],[Data de Pagamento]]="",0,IF(Registro2[[#This Row],[Conta Financeira]]=base!$A$6,0,Registro2[[#This Row],[Valor Unitário]]))</f>
        <v>45</v>
      </c>
      <c r="U8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54" t="str">
        <f>VLOOKUP(Registro2[[#This Row],[Categoria]],'Plano de Contas'!$V$3:W915,2,0)</f>
        <v>Receitas Serviços</v>
      </c>
      <c r="X85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54" t="s">
        <v>1536</v>
      </c>
    </row>
    <row r="855" spans="1:25" hidden="1">
      <c r="A855" s="1">
        <v>45730.885416666664</v>
      </c>
      <c r="B855" s="1">
        <v>45730.885416666664</v>
      </c>
      <c r="D855" t="s">
        <v>1</v>
      </c>
      <c r="E855" t="s">
        <v>149</v>
      </c>
      <c r="F855" t="s">
        <v>147</v>
      </c>
      <c r="G855" t="s">
        <v>163</v>
      </c>
      <c r="I855" s="4">
        <v>35</v>
      </c>
      <c r="J855" s="4">
        <v>35</v>
      </c>
      <c r="L855" t="s">
        <v>253</v>
      </c>
      <c r="M855" t="s">
        <v>1450</v>
      </c>
      <c r="N855" s="4">
        <f>IF(L855="","",IF(OR(Registro2[[#This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55" t="str">
        <f t="shared" si="13"/>
        <v>mar/25</v>
      </c>
      <c r="P855" t="str">
        <f>IF(Registro2[[#This Row],[Data de Pagamento]]&gt;0,TEXT(A855,"mmm/aa"),"")</f>
        <v>mar/25</v>
      </c>
      <c r="T855" s="4">
        <f>IF(Registro2[[#This Row],[Data de Pagamento]]="",0,IF(Registro2[[#This Row],[Conta Financeira]]=base!$A$6,0,Registro2[[#This Row],[Valor Unitário]]))</f>
        <v>35</v>
      </c>
      <c r="U8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55" t="str">
        <f>VLOOKUP(Registro2[[#This Row],[Categoria]],'Plano de Contas'!$V$3:W916,2,0)</f>
        <v>Receitas Serviços</v>
      </c>
      <c r="X8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55" t="s">
        <v>1536</v>
      </c>
    </row>
    <row r="856" spans="1:25" hidden="1">
      <c r="A856" s="1">
        <v>45731</v>
      </c>
      <c r="B856" s="1">
        <v>45731</v>
      </c>
      <c r="D856" t="s">
        <v>947</v>
      </c>
      <c r="E856" t="s">
        <v>137</v>
      </c>
      <c r="F856" t="s">
        <v>139</v>
      </c>
      <c r="G856" t="s">
        <v>337</v>
      </c>
      <c r="H856" t="s">
        <v>1299</v>
      </c>
      <c r="I856" s="4">
        <v>150</v>
      </c>
      <c r="J856" s="4"/>
      <c r="N856" s="4" t="str">
        <f>IF(L856="","",IF(OR(Registro2[[#This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856" t="str">
        <f t="shared" si="13"/>
        <v>mar/25</v>
      </c>
      <c r="P856" t="str">
        <f>IF(Registro2[[#This Row],[Data de Pagamento]]&gt;0,TEXT(A856,"mmm/aa"),"")</f>
        <v>mar/25</v>
      </c>
      <c r="T856" s="4">
        <f>IF(Registro2[[#This Row],[Data de Pagamento]]="",0,IF(Registro2[[#This Row],[Conta Financeira]]=base!$A$6,0,Registro2[[#This Row],[Valor Unitário]]))</f>
        <v>150</v>
      </c>
      <c r="U8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56" t="str">
        <f>VLOOKUP(Registro2[[#This Row],[Categoria]],'Plano de Contas'!$V$3:W743,2,0)</f>
        <v>Despesas Gerias &amp; Vendas</v>
      </c>
      <c r="X85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56" t="s">
        <v>1536</v>
      </c>
    </row>
    <row r="857" spans="1:25" hidden="1">
      <c r="A857" s="1">
        <v>45731.395833333336</v>
      </c>
      <c r="B857" s="1">
        <v>45731.395833333336</v>
      </c>
      <c r="D857" t="s">
        <v>1</v>
      </c>
      <c r="E857" t="s">
        <v>149</v>
      </c>
      <c r="F857" t="s">
        <v>147</v>
      </c>
      <c r="G857" t="s">
        <v>163</v>
      </c>
      <c r="I857" s="4">
        <v>35</v>
      </c>
      <c r="J857" s="4">
        <v>45</v>
      </c>
      <c r="L857" t="s">
        <v>253</v>
      </c>
      <c r="M857" t="s">
        <v>62</v>
      </c>
      <c r="N857" s="4">
        <f>IF(L857="","",IF(OR(Registro2[[#This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57" t="str">
        <f t="shared" si="13"/>
        <v>mar/25</v>
      </c>
      <c r="P857" t="str">
        <f>IF(Registro2[[#This Row],[Data de Pagamento]]&gt;0,TEXT(A857,"mmm/aa"),"")</f>
        <v>mar/25</v>
      </c>
      <c r="T857" s="4">
        <f>IF(Registro2[[#This Row],[Data de Pagamento]]="",0,IF(Registro2[[#This Row],[Conta Financeira]]=base!$A$6,0,Registro2[[#This Row],[Valor Unitário]]))</f>
        <v>35</v>
      </c>
      <c r="U8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57" t="str">
        <f>VLOOKUP(Registro2[[#This Row],[Categoria]],'Plano de Contas'!$V$3:W917,2,0)</f>
        <v>Receitas Serviços</v>
      </c>
      <c r="X8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57" t="s">
        <v>1536</v>
      </c>
    </row>
    <row r="858" spans="1:25" hidden="1">
      <c r="A858" s="1">
        <v>45731.395833333336</v>
      </c>
      <c r="B858" s="1">
        <v>45731.395833333336</v>
      </c>
      <c r="D858" t="s">
        <v>1</v>
      </c>
      <c r="E858" t="s">
        <v>149</v>
      </c>
      <c r="F858" t="s">
        <v>147</v>
      </c>
      <c r="G858" t="s">
        <v>167</v>
      </c>
      <c r="I858" s="4">
        <v>10</v>
      </c>
      <c r="J858" s="4"/>
      <c r="L858" t="s">
        <v>253</v>
      </c>
      <c r="M858" t="s">
        <v>62</v>
      </c>
      <c r="N858" s="4">
        <f>IF(L858="","",IF(OR(Registro2[[#This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858" t="str">
        <f t="shared" si="13"/>
        <v>mar/25</v>
      </c>
      <c r="P858" t="str">
        <f>IF(Registro2[[#This Row],[Data de Pagamento]]&gt;0,TEXT(A858,"mmm/aa"),"")</f>
        <v>mar/25</v>
      </c>
      <c r="T858" s="4">
        <f>IF(Registro2[[#This Row],[Data de Pagamento]]="",0,IF(Registro2[[#This Row],[Conta Financeira]]=base!$A$6,0,Registro2[[#This Row],[Valor Unitário]]))</f>
        <v>10</v>
      </c>
      <c r="U8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58" t="str">
        <f>VLOOKUP(Registro2[[#This Row],[Categoria]],'Plano de Contas'!$V$3:W918,2,0)</f>
        <v>Receitas Serviços</v>
      </c>
      <c r="X8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58" t="s">
        <v>1536</v>
      </c>
    </row>
    <row r="859" spans="1:25" hidden="1">
      <c r="A859" s="1">
        <v>45731.427083333336</v>
      </c>
      <c r="B859" s="1">
        <v>45731.427083333336</v>
      </c>
      <c r="D859" t="s">
        <v>2</v>
      </c>
      <c r="E859" t="s">
        <v>149</v>
      </c>
      <c r="F859" t="s">
        <v>147</v>
      </c>
      <c r="G859" t="s">
        <v>163</v>
      </c>
      <c r="I859" s="4">
        <v>35</v>
      </c>
      <c r="J859" s="4">
        <v>35</v>
      </c>
      <c r="L859" t="s">
        <v>264</v>
      </c>
      <c r="M859" t="s">
        <v>274</v>
      </c>
      <c r="N859" s="4">
        <f>IF(L859="","",IF(OR(Registro2[[#This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59" t="str">
        <f t="shared" si="13"/>
        <v>mar/25</v>
      </c>
      <c r="P859" t="str">
        <f>IF(Registro2[[#This Row],[Data de Pagamento]]&gt;0,TEXT(A859,"mmm/aa"),"")</f>
        <v>mar/25</v>
      </c>
      <c r="T859" s="4">
        <f>IF(Registro2[[#This Row],[Data de Pagamento]]="",0,IF(Registro2[[#This Row],[Conta Financeira]]=base!$A$6,0,Registro2[[#This Row],[Valor Unitário]]))</f>
        <v>35</v>
      </c>
      <c r="U8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59" t="str">
        <f>VLOOKUP(Registro2[[#This Row],[Categoria]],'Plano de Contas'!$V$3:W920,2,0)</f>
        <v>Receitas Serviços</v>
      </c>
      <c r="X85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59" t="s">
        <v>1536</v>
      </c>
    </row>
    <row r="860" spans="1:25" hidden="1">
      <c r="A860" s="1">
        <v>45731.4375</v>
      </c>
      <c r="B860" s="1">
        <v>45731.4375</v>
      </c>
      <c r="D860" t="s">
        <v>1</v>
      </c>
      <c r="E860" t="s">
        <v>149</v>
      </c>
      <c r="F860" t="s">
        <v>147</v>
      </c>
      <c r="G860" t="s">
        <v>163</v>
      </c>
      <c r="I860" s="4">
        <v>35</v>
      </c>
      <c r="J860" s="4">
        <v>35</v>
      </c>
      <c r="L860" t="s">
        <v>252</v>
      </c>
      <c r="M860" t="s">
        <v>22</v>
      </c>
      <c r="N860" s="4">
        <f>IF(L860="","",IF(OR(Registro2[[#This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60" t="str">
        <f t="shared" si="13"/>
        <v>mar/25</v>
      </c>
      <c r="P860" t="str">
        <f>IF(Registro2[[#This Row],[Data de Pagamento]]&gt;0,TEXT(A860,"mmm/aa"),"")</f>
        <v>mar/25</v>
      </c>
      <c r="T860" s="4">
        <f>IF(Registro2[[#This Row],[Data de Pagamento]]="",0,IF(Registro2[[#This Row],[Conta Financeira]]=base!$A$6,0,Registro2[[#This Row],[Valor Unitário]]))</f>
        <v>35</v>
      </c>
      <c r="U8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60" t="str">
        <f>VLOOKUP(Registro2[[#This Row],[Categoria]],'Plano de Contas'!$V$3:W919,2,0)</f>
        <v>Receitas Serviços</v>
      </c>
      <c r="X8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60" t="s">
        <v>1536</v>
      </c>
    </row>
    <row r="861" spans="1:25" hidden="1">
      <c r="A861" s="1">
        <v>45731.447916666664</v>
      </c>
      <c r="B861" s="1">
        <v>45731.447916666664</v>
      </c>
      <c r="D861" t="s">
        <v>1</v>
      </c>
      <c r="E861" t="s">
        <v>149</v>
      </c>
      <c r="F861" t="s">
        <v>147</v>
      </c>
      <c r="G861" t="s">
        <v>163</v>
      </c>
      <c r="I861" s="4">
        <v>35</v>
      </c>
      <c r="J861" s="4">
        <v>50</v>
      </c>
      <c r="L861" t="s">
        <v>252</v>
      </c>
      <c r="M861" t="s">
        <v>42</v>
      </c>
      <c r="N861" s="4">
        <f>IF(L861="","",IF(OR(Registro2[[#This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61" t="str">
        <f t="shared" si="13"/>
        <v>mar/25</v>
      </c>
      <c r="P861" t="str">
        <f>IF(Registro2[[#This Row],[Data de Pagamento]]&gt;0,TEXT(A861,"mmm/aa"),"")</f>
        <v>mar/25</v>
      </c>
      <c r="T861" s="4">
        <f>IF(Registro2[[#This Row],[Data de Pagamento]]="",0,IF(Registro2[[#This Row],[Conta Financeira]]=base!$A$6,0,Registro2[[#This Row],[Valor Unitário]]))</f>
        <v>35</v>
      </c>
      <c r="U8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61" t="str">
        <f>VLOOKUP(Registro2[[#This Row],[Categoria]],'Plano de Contas'!$V$3:W922,2,0)</f>
        <v>Receitas Serviços</v>
      </c>
      <c r="X8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61" t="s">
        <v>1536</v>
      </c>
    </row>
    <row r="862" spans="1:25" hidden="1">
      <c r="A862" s="1">
        <v>45731.447916666664</v>
      </c>
      <c r="B862" s="1">
        <v>45731.447916666664</v>
      </c>
      <c r="D862" t="s">
        <v>1</v>
      </c>
      <c r="E862" t="s">
        <v>149</v>
      </c>
      <c r="F862" t="s">
        <v>147</v>
      </c>
      <c r="G862" t="s">
        <v>1187</v>
      </c>
      <c r="I862" s="4">
        <v>15</v>
      </c>
      <c r="J862" s="4"/>
      <c r="L862" t="s">
        <v>252</v>
      </c>
      <c r="M862" t="s">
        <v>42</v>
      </c>
      <c r="N862" s="4">
        <f>IF(L862="","",IF(OR(Registro2[[#This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862" t="str">
        <f t="shared" si="13"/>
        <v>mar/25</v>
      </c>
      <c r="P862" t="str">
        <f>IF(Registro2[[#This Row],[Data de Pagamento]]&gt;0,TEXT(A862,"mmm/aa"),"")</f>
        <v>mar/25</v>
      </c>
      <c r="T862" s="4">
        <f>IF(Registro2[[#This Row],[Data de Pagamento]]="",0,IF(Registro2[[#This Row],[Conta Financeira]]=base!$A$6,0,Registro2[[#This Row],[Valor Unitário]]))</f>
        <v>15</v>
      </c>
      <c r="U8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62" t="str">
        <f>VLOOKUP(Registro2[[#This Row],[Categoria]],'Plano de Contas'!$V$3:W923,2,0)</f>
        <v>Receitas Serviços</v>
      </c>
      <c r="X86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62" t="s">
        <v>1536</v>
      </c>
    </row>
    <row r="863" spans="1:25" hidden="1">
      <c r="A863" s="1">
        <v>45731.458333333336</v>
      </c>
      <c r="B863" s="1">
        <v>45731.458333333336</v>
      </c>
      <c r="D863" t="s">
        <v>1</v>
      </c>
      <c r="E863" t="s">
        <v>149</v>
      </c>
      <c r="F863" t="s">
        <v>147</v>
      </c>
      <c r="G863" t="s">
        <v>163</v>
      </c>
      <c r="I863" s="4">
        <v>35</v>
      </c>
      <c r="J863" s="4">
        <v>35</v>
      </c>
      <c r="L863" t="s">
        <v>253</v>
      </c>
      <c r="M863" t="s">
        <v>1457</v>
      </c>
      <c r="N863" s="4">
        <f>IF(L863="","",IF(OR(Registro2[[#This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63" t="str">
        <f t="shared" si="13"/>
        <v>mar/25</v>
      </c>
      <c r="P863" t="str">
        <f>IF(Registro2[[#This Row],[Data de Pagamento]]&gt;0,TEXT(A863,"mmm/aa"),"")</f>
        <v>mar/25</v>
      </c>
      <c r="T863" s="4">
        <f>IF(Registro2[[#This Row],[Data de Pagamento]]="",0,IF(Registro2[[#This Row],[Conta Financeira]]=base!$A$6,0,Registro2[[#This Row],[Valor Unitário]]))</f>
        <v>35</v>
      </c>
      <c r="U8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63" t="str">
        <f>VLOOKUP(Registro2[[#This Row],[Categoria]],'Plano de Contas'!$V$3:W924,2,0)</f>
        <v>Receitas Serviços</v>
      </c>
      <c r="X86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63" t="s">
        <v>1536</v>
      </c>
    </row>
    <row r="864" spans="1:25" hidden="1">
      <c r="A864" s="1">
        <v>45731.458333333336</v>
      </c>
      <c r="B864" s="1">
        <v>45731.458333333336</v>
      </c>
      <c r="D864" t="s">
        <v>1</v>
      </c>
      <c r="E864" t="s">
        <v>149</v>
      </c>
      <c r="F864" t="s">
        <v>147</v>
      </c>
      <c r="G864" t="s">
        <v>163</v>
      </c>
      <c r="I864" s="4">
        <v>40</v>
      </c>
      <c r="J864" s="4">
        <v>40</v>
      </c>
      <c r="L864" t="s">
        <v>264</v>
      </c>
      <c r="M864" t="s">
        <v>373</v>
      </c>
      <c r="N864" s="4">
        <f>IF(L864="","",IF(OR(Registro2[[#This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864" t="str">
        <f t="shared" si="13"/>
        <v>mar/25</v>
      </c>
      <c r="P864" t="str">
        <f>IF(Registro2[[#This Row],[Data de Pagamento]]&gt;0,TEXT(A864,"mmm/aa"),"")</f>
        <v>mar/25</v>
      </c>
      <c r="T864" s="4">
        <f>IF(Registro2[[#This Row],[Data de Pagamento]]="",0,IF(Registro2[[#This Row],[Conta Financeira]]=base!$A$6,0,Registro2[[#This Row],[Valor Unitário]]))</f>
        <v>40</v>
      </c>
      <c r="U8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64" t="str">
        <f>VLOOKUP(Registro2[[#This Row],[Categoria]],'Plano de Contas'!$V$3:W925,2,0)</f>
        <v>Receitas Serviços</v>
      </c>
      <c r="X86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64" t="s">
        <v>1536</v>
      </c>
    </row>
    <row r="865" spans="1:25" hidden="1">
      <c r="A865" s="1">
        <v>45731.479166666664</v>
      </c>
      <c r="B865" s="1">
        <v>45731.479166666664</v>
      </c>
      <c r="D865" t="s">
        <v>1</v>
      </c>
      <c r="E865" t="s">
        <v>149</v>
      </c>
      <c r="F865" t="s">
        <v>147</v>
      </c>
      <c r="G865" t="s">
        <v>163</v>
      </c>
      <c r="I865" s="4">
        <v>35</v>
      </c>
      <c r="J865" s="4">
        <v>130</v>
      </c>
      <c r="L865" t="s">
        <v>253</v>
      </c>
      <c r="M865" t="s">
        <v>895</v>
      </c>
      <c r="N865" s="4">
        <f>IF(L865="","",IF(OR(Registro2[[#This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65" t="str">
        <f t="shared" si="13"/>
        <v>mar/25</v>
      </c>
      <c r="P865" t="str">
        <f>IF(Registro2[[#This Row],[Data de Pagamento]]&gt;0,TEXT(A865,"mmm/aa"),"")</f>
        <v>mar/25</v>
      </c>
      <c r="T865" s="4">
        <f>IF(Registro2[[#This Row],[Data de Pagamento]]="",0,IF(Registro2[[#This Row],[Conta Financeira]]=base!$A$6,0,Registro2[[#This Row],[Valor Unitário]]))</f>
        <v>35</v>
      </c>
      <c r="U8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65" t="str">
        <f>VLOOKUP(Registro2[[#This Row],[Categoria]],'Plano de Contas'!$V$3:W926,2,0)</f>
        <v>Receitas Serviços</v>
      </c>
      <c r="X86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65" t="s">
        <v>1536</v>
      </c>
    </row>
    <row r="866" spans="1:25" hidden="1">
      <c r="A866" s="1">
        <v>45731.479166666664</v>
      </c>
      <c r="B866" s="1">
        <v>45731.479166666664</v>
      </c>
      <c r="D866" t="s">
        <v>1</v>
      </c>
      <c r="E866" t="s">
        <v>149</v>
      </c>
      <c r="F866" t="s">
        <v>147</v>
      </c>
      <c r="G866" t="s">
        <v>163</v>
      </c>
      <c r="I866" s="4">
        <v>35</v>
      </c>
      <c r="J866" s="4"/>
      <c r="L866" t="s">
        <v>252</v>
      </c>
      <c r="M866" t="s">
        <v>895</v>
      </c>
      <c r="N866" s="4">
        <f>IF(L866="","",IF(OR(Registro2[[#This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66" t="str">
        <f t="shared" si="13"/>
        <v>mar/25</v>
      </c>
      <c r="P866" t="str">
        <f>IF(Registro2[[#This Row],[Data de Pagamento]]&gt;0,TEXT(A866,"mmm/aa"),"")</f>
        <v>mar/25</v>
      </c>
      <c r="T866" s="4">
        <f>IF(Registro2[[#This Row],[Data de Pagamento]]="",0,IF(Registro2[[#This Row],[Conta Financeira]]=base!$A$6,0,Registro2[[#This Row],[Valor Unitário]]))</f>
        <v>35</v>
      </c>
      <c r="U8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66" t="str">
        <f>VLOOKUP(Registro2[[#This Row],[Categoria]],'Plano de Contas'!$V$3:W927,2,0)</f>
        <v>Receitas Serviços</v>
      </c>
      <c r="X8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66" t="s">
        <v>1536</v>
      </c>
    </row>
    <row r="867" spans="1:25" hidden="1">
      <c r="A867" s="1">
        <v>45731.479166666664</v>
      </c>
      <c r="B867" s="1">
        <v>45731.479166666664</v>
      </c>
      <c r="D867" t="s">
        <v>1</v>
      </c>
      <c r="E867" t="s">
        <v>149</v>
      </c>
      <c r="F867" t="s">
        <v>147</v>
      </c>
      <c r="G867" t="s">
        <v>163</v>
      </c>
      <c r="I867" s="4">
        <v>35</v>
      </c>
      <c r="J867" s="4"/>
      <c r="L867" t="s">
        <v>264</v>
      </c>
      <c r="M867" t="s">
        <v>895</v>
      </c>
      <c r="N867" s="4">
        <f>IF(L867="","",IF(OR(Registro2[[#This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67" t="str">
        <f t="shared" si="13"/>
        <v>mar/25</v>
      </c>
      <c r="P867" t="str">
        <f>IF(Registro2[[#This Row],[Data de Pagamento]]&gt;0,TEXT(A867,"mmm/aa"),"")</f>
        <v>mar/25</v>
      </c>
      <c r="T867" s="4">
        <f>IF(Registro2[[#This Row],[Data de Pagamento]]="",0,IF(Registro2[[#This Row],[Conta Financeira]]=base!$A$6,0,Registro2[[#This Row],[Valor Unitário]]))</f>
        <v>35</v>
      </c>
      <c r="U8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67" t="str">
        <f>VLOOKUP(Registro2[[#This Row],[Categoria]],'Plano de Contas'!$V$3:W928,2,0)</f>
        <v>Receitas Serviços</v>
      </c>
      <c r="X86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67" t="s">
        <v>1536</v>
      </c>
    </row>
    <row r="868" spans="1:25" hidden="1">
      <c r="A868" s="1">
        <v>45731.479166666664</v>
      </c>
      <c r="B868" s="1">
        <v>45731.479166666664</v>
      </c>
      <c r="D868" t="s">
        <v>1</v>
      </c>
      <c r="E868" t="s">
        <v>149</v>
      </c>
      <c r="F868" t="s">
        <v>150</v>
      </c>
      <c r="G868" t="s">
        <v>510</v>
      </c>
      <c r="I868" s="4">
        <v>25</v>
      </c>
      <c r="J868" s="4"/>
      <c r="L868" t="s">
        <v>253</v>
      </c>
      <c r="M868" t="s">
        <v>895</v>
      </c>
      <c r="N868" s="4">
        <f>IF(L868="","",IF(OR(Registro2[[#This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868" t="str">
        <f t="shared" si="13"/>
        <v>mar/25</v>
      </c>
      <c r="P868" t="str">
        <f>IF(Registro2[[#This Row],[Data de Pagamento]]&gt;0,TEXT(A868,"mmm/aa"),"")</f>
        <v>mar/25</v>
      </c>
      <c r="T868" s="4">
        <f>IF(Registro2[[#This Row],[Data de Pagamento]]="",0,IF(Registro2[[#This Row],[Conta Financeira]]=base!$A$6,0,Registro2[[#This Row],[Valor Unitário]]))</f>
        <v>25</v>
      </c>
      <c r="U8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68" t="str">
        <f>VLOOKUP(Registro2[[#This Row],[Categoria]],'Plano de Contas'!$V$3:W929,2,0)</f>
        <v>Receitas Produtos</v>
      </c>
      <c r="X86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68" t="s">
        <v>1536</v>
      </c>
    </row>
    <row r="869" spans="1:25" hidden="1">
      <c r="A869" s="1">
        <v>45731.506944444445</v>
      </c>
      <c r="B869" s="1">
        <v>45731.506944444445</v>
      </c>
      <c r="D869" t="s">
        <v>1</v>
      </c>
      <c r="E869" t="s">
        <v>149</v>
      </c>
      <c r="F869" t="s">
        <v>147</v>
      </c>
      <c r="G869" t="s">
        <v>163</v>
      </c>
      <c r="I869" s="4">
        <v>35</v>
      </c>
      <c r="J869" s="4">
        <v>45</v>
      </c>
      <c r="L869" t="s">
        <v>252</v>
      </c>
      <c r="M869" t="s">
        <v>487</v>
      </c>
      <c r="N869" s="4">
        <f>IF(L869="","",IF(OR(Registro2[[#This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69" t="str">
        <f t="shared" si="13"/>
        <v>mar/25</v>
      </c>
      <c r="P869" t="str">
        <f>IF(Registro2[[#This Row],[Data de Pagamento]]&gt;0,TEXT(A869,"mmm/aa"),"")</f>
        <v>mar/25</v>
      </c>
      <c r="T869" s="4">
        <f>IF(Registro2[[#This Row],[Data de Pagamento]]="",0,IF(Registro2[[#This Row],[Conta Financeira]]=base!$A$6,0,Registro2[[#This Row],[Valor Unitário]]))</f>
        <v>35</v>
      </c>
      <c r="U8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69" t="str">
        <f>VLOOKUP(Registro2[[#This Row],[Categoria]],'Plano de Contas'!$V$3:W930,2,0)</f>
        <v>Receitas Serviços</v>
      </c>
      <c r="X86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69" t="s">
        <v>1536</v>
      </c>
    </row>
    <row r="870" spans="1:25" hidden="1">
      <c r="A870" s="1">
        <v>45731.506944444445</v>
      </c>
      <c r="B870" s="1">
        <v>45731.506944444445</v>
      </c>
      <c r="D870" t="s">
        <v>1</v>
      </c>
      <c r="E870" t="s">
        <v>149</v>
      </c>
      <c r="F870" t="s">
        <v>147</v>
      </c>
      <c r="G870" t="s">
        <v>167</v>
      </c>
      <c r="I870" s="4">
        <v>10</v>
      </c>
      <c r="J870" s="4"/>
      <c r="L870" t="s">
        <v>252</v>
      </c>
      <c r="M870" t="s">
        <v>487</v>
      </c>
      <c r="N870" s="4">
        <f>IF(L870="","",IF(OR(Registro2[[#This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870" t="str">
        <f t="shared" si="13"/>
        <v>mar/25</v>
      </c>
      <c r="P870" t="str">
        <f>IF(Registro2[[#This Row],[Data de Pagamento]]&gt;0,TEXT(A870,"mmm/aa"),"")</f>
        <v>mar/25</v>
      </c>
      <c r="T870" s="4">
        <f>IF(Registro2[[#This Row],[Data de Pagamento]]="",0,IF(Registro2[[#This Row],[Conta Financeira]]=base!$A$6,0,Registro2[[#This Row],[Valor Unitário]]))</f>
        <v>10</v>
      </c>
      <c r="U8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70" t="str">
        <f>VLOOKUP(Registro2[[#This Row],[Categoria]],'Plano de Contas'!$V$3:W931,2,0)</f>
        <v>Receitas Serviços</v>
      </c>
      <c r="X87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70" t="s">
        <v>1536</v>
      </c>
    </row>
    <row r="871" spans="1:25" hidden="1">
      <c r="A871" s="1">
        <v>45731.520833333336</v>
      </c>
      <c r="B871" s="1">
        <v>45731.520833333336</v>
      </c>
      <c r="D871" t="s">
        <v>310</v>
      </c>
      <c r="E871" t="s">
        <v>149</v>
      </c>
      <c r="F871" t="s">
        <v>147</v>
      </c>
      <c r="G871" t="s">
        <v>163</v>
      </c>
      <c r="I871" s="4">
        <v>35</v>
      </c>
      <c r="J871" s="4">
        <v>45</v>
      </c>
      <c r="L871" t="s">
        <v>252</v>
      </c>
      <c r="M871" t="s">
        <v>96</v>
      </c>
      <c r="N871" s="4">
        <f>IF(L871="","",IF(OR(Registro2[[#This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71" t="str">
        <f t="shared" si="13"/>
        <v>mar/25</v>
      </c>
      <c r="P871" t="str">
        <f>IF(Registro2[[#This Row],[Data de Pagamento]]&gt;0,TEXT(A871,"mmm/aa"),"")</f>
        <v>mar/25</v>
      </c>
      <c r="T871" s="4">
        <f>IF(Registro2[[#This Row],[Data de Pagamento]]="",0,IF(Registro2[[#This Row],[Conta Financeira]]=base!$A$6,0,Registro2[[#This Row],[Valor Unitário]]))</f>
        <v>35</v>
      </c>
      <c r="U8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71" t="str">
        <f>VLOOKUP(Registro2[[#This Row],[Categoria]],'Plano de Contas'!$V$3:W904,2,0)</f>
        <v>Receitas Serviços</v>
      </c>
      <c r="X87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871" t="s">
        <v>1536</v>
      </c>
    </row>
    <row r="872" spans="1:25" hidden="1">
      <c r="A872" s="1">
        <v>45731.520833333336</v>
      </c>
      <c r="B872" s="1">
        <v>45731.520833333336</v>
      </c>
      <c r="D872" t="s">
        <v>310</v>
      </c>
      <c r="E872" t="s">
        <v>149</v>
      </c>
      <c r="F872" t="s">
        <v>147</v>
      </c>
      <c r="G872" t="s">
        <v>167</v>
      </c>
      <c r="I872" s="4">
        <v>10</v>
      </c>
      <c r="J872" s="4"/>
      <c r="L872" t="s">
        <v>252</v>
      </c>
      <c r="M872" t="s">
        <v>96</v>
      </c>
      <c r="N872" s="4">
        <f>IF(L872="","",IF(OR(Registro2[[#This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872" t="str">
        <f t="shared" si="13"/>
        <v>mar/25</v>
      </c>
      <c r="P872" t="str">
        <f>IF(Registro2[[#This Row],[Data de Pagamento]]&gt;0,TEXT(A872,"mmm/aa"),"")</f>
        <v>mar/25</v>
      </c>
      <c r="T872" s="4">
        <f>IF(Registro2[[#This Row],[Data de Pagamento]]="",0,IF(Registro2[[#This Row],[Conta Financeira]]=base!$A$6,0,Registro2[[#This Row],[Valor Unitário]]))</f>
        <v>10</v>
      </c>
      <c r="U8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72" t="str">
        <f>VLOOKUP(Registro2[[#This Row],[Categoria]],'Plano de Contas'!$V$3:W905,2,0)</f>
        <v>Receitas Serviços</v>
      </c>
      <c r="X87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8.8999999999999996E-2</v>
      </c>
      <c r="Y872" t="s">
        <v>1536</v>
      </c>
    </row>
    <row r="873" spans="1:25" hidden="1">
      <c r="A873" s="1">
        <v>45731.541666666664</v>
      </c>
      <c r="B873" s="1">
        <v>45731.541666666664</v>
      </c>
      <c r="D873" t="s">
        <v>1</v>
      </c>
      <c r="E873" t="s">
        <v>149</v>
      </c>
      <c r="F873" t="s">
        <v>147</v>
      </c>
      <c r="G873" t="s">
        <v>163</v>
      </c>
      <c r="I873" s="4">
        <v>35</v>
      </c>
      <c r="J873" s="4">
        <v>30</v>
      </c>
      <c r="L873" t="s">
        <v>264</v>
      </c>
      <c r="M873" t="s">
        <v>1348</v>
      </c>
      <c r="N873" s="4">
        <f>IF(L873="","",IF(OR(Registro2[[#This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73" t="str">
        <f t="shared" si="13"/>
        <v>mar/25</v>
      </c>
      <c r="P873" t="str">
        <f>IF(Registro2[[#This Row],[Data de Pagamento]]&gt;0,TEXT(A873,"mmm/aa"),"")</f>
        <v>mar/25</v>
      </c>
      <c r="T873" s="4">
        <f>IF(Registro2[[#This Row],[Data de Pagamento]]="",0,IF(Registro2[[#This Row],[Conta Financeira]]=base!$A$6,0,Registro2[[#This Row],[Valor Unitário]]))</f>
        <v>35</v>
      </c>
      <c r="U8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73" t="str">
        <f>VLOOKUP(Registro2[[#This Row],[Categoria]],'Plano de Contas'!$V$3:W933,2,0)</f>
        <v>Receitas Serviços</v>
      </c>
      <c r="X87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73" t="s">
        <v>1536</v>
      </c>
    </row>
    <row r="874" spans="1:25" hidden="1">
      <c r="A874" s="1">
        <v>45731.5625</v>
      </c>
      <c r="B874" s="1">
        <v>45731.5625</v>
      </c>
      <c r="D874" t="s">
        <v>310</v>
      </c>
      <c r="E874" t="s">
        <v>149</v>
      </c>
      <c r="F874" t="s">
        <v>147</v>
      </c>
      <c r="G874" t="s">
        <v>163</v>
      </c>
      <c r="I874" s="4">
        <v>40</v>
      </c>
      <c r="J874" s="4">
        <v>40</v>
      </c>
      <c r="L874" t="s">
        <v>253</v>
      </c>
      <c r="M874" t="s">
        <v>282</v>
      </c>
      <c r="N874" s="4">
        <f>IF(L874="","",IF(OR(Registro2[[#This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874" t="str">
        <f t="shared" si="13"/>
        <v>mar/25</v>
      </c>
      <c r="P874" t="str">
        <f>IF(Registro2[[#This Row],[Data de Pagamento]]&gt;0,TEXT(A874,"mmm/aa"),"")</f>
        <v>mar/25</v>
      </c>
      <c r="T874" s="4">
        <f>IF(Registro2[[#This Row],[Data de Pagamento]]="",0,IF(Registro2[[#This Row],[Conta Financeira]]=base!$A$6,0,Registro2[[#This Row],[Valor Unitário]]))</f>
        <v>40</v>
      </c>
      <c r="U8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74" t="str">
        <f>VLOOKUP(Registro2[[#This Row],[Categoria]],'Plano de Contas'!$V$3:W921,2,0)</f>
        <v>Receitas Serviços</v>
      </c>
      <c r="X87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0.35599999999999998</v>
      </c>
      <c r="Y874" t="s">
        <v>1536</v>
      </c>
    </row>
    <row r="875" spans="1:25" hidden="1">
      <c r="A875" s="1">
        <v>45731.569444444445</v>
      </c>
      <c r="B875" s="1">
        <v>45731.569444444445</v>
      </c>
      <c r="D875" t="s">
        <v>2</v>
      </c>
      <c r="E875" t="s">
        <v>149</v>
      </c>
      <c r="F875" t="s">
        <v>147</v>
      </c>
      <c r="G875" t="s">
        <v>163</v>
      </c>
      <c r="I875" s="4">
        <v>35</v>
      </c>
      <c r="J875" s="4">
        <v>35</v>
      </c>
      <c r="L875" t="s">
        <v>253</v>
      </c>
      <c r="M875" t="s">
        <v>75</v>
      </c>
      <c r="N875" s="4">
        <f>IF(L875="","",IF(OR(Registro2[[#This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75" t="str">
        <f t="shared" si="13"/>
        <v>mar/25</v>
      </c>
      <c r="P875" t="str">
        <f>IF(Registro2[[#This Row],[Data de Pagamento]]&gt;0,TEXT(A875,"mmm/aa"),"")</f>
        <v>mar/25</v>
      </c>
      <c r="T875" s="4">
        <f>IF(Registro2[[#This Row],[Data de Pagamento]]="",0,IF(Registro2[[#This Row],[Conta Financeira]]=base!$A$6,0,Registro2[[#This Row],[Valor Unitário]]))</f>
        <v>35</v>
      </c>
      <c r="U8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75" t="str">
        <f>VLOOKUP(Registro2[[#This Row],[Categoria]],'Plano de Contas'!$V$3:W934,2,0)</f>
        <v>Receitas Serviços</v>
      </c>
      <c r="X87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75" t="s">
        <v>1536</v>
      </c>
    </row>
    <row r="876" spans="1:25" hidden="1">
      <c r="A876" s="1">
        <v>45731.604166666664</v>
      </c>
      <c r="B876" s="1">
        <v>45731.604166666664</v>
      </c>
      <c r="D876" t="s">
        <v>310</v>
      </c>
      <c r="E876" t="s">
        <v>149</v>
      </c>
      <c r="F876" t="s">
        <v>152</v>
      </c>
      <c r="G876" t="s">
        <v>304</v>
      </c>
      <c r="I876" s="4">
        <v>15</v>
      </c>
      <c r="J876" s="4">
        <v>15</v>
      </c>
      <c r="L876" t="s">
        <v>253</v>
      </c>
      <c r="M876" t="s">
        <v>1466</v>
      </c>
      <c r="N876" s="4">
        <f>IF(L876="","",IF(OR(Registro2[[#This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876" t="str">
        <f t="shared" si="13"/>
        <v>mar/25</v>
      </c>
      <c r="P876" t="str">
        <f>IF(Registro2[[#This Row],[Data de Pagamento]]&gt;0,TEXT(A876,"mmm/aa"),"")</f>
        <v>mar/25</v>
      </c>
      <c r="T876" s="4">
        <f>IF(Registro2[[#This Row],[Data de Pagamento]]="",0,IF(Registro2[[#This Row],[Conta Financeira]]=base!$A$6,0,Registro2[[#This Row],[Valor Unitário]]))</f>
        <v>15</v>
      </c>
      <c r="U8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76" t="str">
        <f>VLOOKUP(Registro2[[#This Row],[Categoria]],'Plano de Contas'!$V$3:W936,2,0)</f>
        <v>Receitas Serviços</v>
      </c>
      <c r="X87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  <c r="Y876" t="s">
        <v>1536</v>
      </c>
    </row>
    <row r="877" spans="1:25" hidden="1">
      <c r="A877" s="1">
        <v>45731.614583333336</v>
      </c>
      <c r="B877" s="1">
        <v>45731.614583333336</v>
      </c>
      <c r="D877" t="s">
        <v>2</v>
      </c>
      <c r="E877" t="s">
        <v>149</v>
      </c>
      <c r="F877" t="s">
        <v>147</v>
      </c>
      <c r="G877" t="s">
        <v>160</v>
      </c>
      <c r="I877" s="4">
        <v>12</v>
      </c>
      <c r="J877" s="4">
        <v>12</v>
      </c>
      <c r="L877" t="s">
        <v>253</v>
      </c>
      <c r="M877" t="s">
        <v>115</v>
      </c>
      <c r="N877" s="4">
        <f>IF(L877="","",IF(OR(Registro2[[#This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877" t="str">
        <f t="shared" si="13"/>
        <v>mar/25</v>
      </c>
      <c r="P877" t="str">
        <f>IF(Registro2[[#This Row],[Data de Pagamento]]&gt;0,TEXT(A877,"mmm/aa"),"")</f>
        <v>mar/25</v>
      </c>
      <c r="T877" s="4">
        <f>IF(Registro2[[#This Row],[Data de Pagamento]]="",0,IF(Registro2[[#This Row],[Conta Financeira]]=base!$A$6,0,Registro2[[#This Row],[Valor Unitário]]))</f>
        <v>12</v>
      </c>
      <c r="U8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77" t="str">
        <f>VLOOKUP(Registro2[[#This Row],[Categoria]],'Plano de Contas'!$V$3:W941,2,0)</f>
        <v>Receitas Serviços</v>
      </c>
      <c r="X87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77" t="s">
        <v>1536</v>
      </c>
    </row>
    <row r="878" spans="1:25" hidden="1">
      <c r="A878" s="1">
        <v>45731.625</v>
      </c>
      <c r="B878" s="1">
        <v>45731.625</v>
      </c>
      <c r="D878" t="s">
        <v>1</v>
      </c>
      <c r="E878" t="s">
        <v>149</v>
      </c>
      <c r="F878" t="s">
        <v>147</v>
      </c>
      <c r="G878" t="s">
        <v>163</v>
      </c>
      <c r="I878" s="4">
        <v>35</v>
      </c>
      <c r="J878" s="4">
        <v>35</v>
      </c>
      <c r="L878" t="s">
        <v>252</v>
      </c>
      <c r="M878" t="s">
        <v>296</v>
      </c>
      <c r="N878" s="4">
        <f>IF(L878="","",IF(OR(Registro2[[#This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78" t="str">
        <f t="shared" si="13"/>
        <v>mar/25</v>
      </c>
      <c r="P878" t="str">
        <f>IF(Registro2[[#This Row],[Data de Pagamento]]&gt;0,TEXT(A878,"mmm/aa"),"")</f>
        <v>mar/25</v>
      </c>
      <c r="T878" s="4">
        <f>IF(Registro2[[#This Row],[Data de Pagamento]]="",0,IF(Registro2[[#This Row],[Conta Financeira]]=base!$A$6,0,Registro2[[#This Row],[Valor Unitário]]))</f>
        <v>35</v>
      </c>
      <c r="U8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78" t="str">
        <f>VLOOKUP(Registro2[[#This Row],[Categoria]],'Plano de Contas'!$V$3:W935,2,0)</f>
        <v>Receitas Serviços</v>
      </c>
      <c r="X8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78" t="s">
        <v>1536</v>
      </c>
    </row>
    <row r="879" spans="1:25" hidden="1">
      <c r="A879" s="1">
        <v>45731.666666666664</v>
      </c>
      <c r="B879" s="1">
        <v>45731.666666666664</v>
      </c>
      <c r="D879" t="s">
        <v>1</v>
      </c>
      <c r="E879" t="s">
        <v>149</v>
      </c>
      <c r="F879" t="s">
        <v>152</v>
      </c>
      <c r="G879" t="s">
        <v>353</v>
      </c>
      <c r="I879" s="4">
        <v>50</v>
      </c>
      <c r="J879" s="4">
        <v>50</v>
      </c>
      <c r="L879" t="s">
        <v>253</v>
      </c>
      <c r="M879" t="s">
        <v>28</v>
      </c>
      <c r="N879" s="4">
        <f>IF(L879="","",IF(OR(Registro2[[#This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879" t="str">
        <f t="shared" si="13"/>
        <v>mar/25</v>
      </c>
      <c r="P879" t="str">
        <f>IF(Registro2[[#This Row],[Data de Pagamento]]&gt;0,TEXT(A879,"mmm/aa"),"")</f>
        <v>mar/25</v>
      </c>
      <c r="T879" s="4">
        <f>IF(Registro2[[#This Row],[Data de Pagamento]]="",0,IF(Registro2[[#This Row],[Conta Financeira]]=base!$A$6,0,Registro2[[#This Row],[Valor Unitário]]))</f>
        <v>50</v>
      </c>
      <c r="U8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79" t="str">
        <f>VLOOKUP(Registro2[[#This Row],[Categoria]],'Plano de Contas'!$V$3:W939,2,0)</f>
        <v>Receitas Serviços</v>
      </c>
      <c r="X87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79" t="s">
        <v>1536</v>
      </c>
    </row>
    <row r="880" spans="1:25" hidden="1">
      <c r="A880" s="1">
        <v>45731.666666666664</v>
      </c>
      <c r="B880" s="1">
        <v>45731.666666666664</v>
      </c>
      <c r="D880" t="s">
        <v>354</v>
      </c>
      <c r="E880" t="s">
        <v>149</v>
      </c>
      <c r="F880" t="s">
        <v>147</v>
      </c>
      <c r="G880" t="s">
        <v>163</v>
      </c>
      <c r="I880" s="4">
        <v>35</v>
      </c>
      <c r="J880" s="4">
        <v>35</v>
      </c>
      <c r="L880" t="s">
        <v>252</v>
      </c>
      <c r="M880" t="s">
        <v>107</v>
      </c>
      <c r="N880" s="4">
        <f>IF(L880="","",IF(OR(Registro2[[#This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80" t="str">
        <f t="shared" si="13"/>
        <v>mar/25</v>
      </c>
      <c r="P880" t="str">
        <f>IF(Registro2[[#This Row],[Data de Pagamento]]&gt;0,TEXT(A880,"mmm/aa"),"")</f>
        <v>mar/25</v>
      </c>
      <c r="T880" s="4">
        <f>IF(Registro2[[#This Row],[Data de Pagamento]]="",0,IF(Registro2[[#This Row],[Conta Financeira]]=base!$A$6,0,Registro2[[#This Row],[Valor Unitário]]))</f>
        <v>35</v>
      </c>
      <c r="U8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80" t="str">
        <f>VLOOKUP(Registro2[[#This Row],[Categoria]],'Plano de Contas'!$V$3:W940,2,0)</f>
        <v>Receitas Serviços</v>
      </c>
      <c r="X88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880" t="s">
        <v>1536</v>
      </c>
    </row>
    <row r="881" spans="1:25" hidden="1">
      <c r="A881" s="1">
        <v>45731.673611111109</v>
      </c>
      <c r="B881" s="1">
        <v>45731.673611111109</v>
      </c>
      <c r="D881" t="s">
        <v>2</v>
      </c>
      <c r="E881" t="s">
        <v>149</v>
      </c>
      <c r="F881" t="s">
        <v>152</v>
      </c>
      <c r="G881" t="s">
        <v>353</v>
      </c>
      <c r="I881" s="4">
        <v>60</v>
      </c>
      <c r="J881" s="4">
        <v>60</v>
      </c>
      <c r="L881" t="s">
        <v>264</v>
      </c>
      <c r="M881" t="s">
        <v>1472</v>
      </c>
      <c r="N881" s="4">
        <f>IF(L881="","",IF(OR(Registro2[[#This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881" t="str">
        <f t="shared" si="13"/>
        <v>mar/25</v>
      </c>
      <c r="P881" t="str">
        <f>IF(Registro2[[#This Row],[Data de Pagamento]]&gt;0,TEXT(A881,"mmm/aa"),"")</f>
        <v>mar/25</v>
      </c>
      <c r="T881" s="4">
        <f>IF(Registro2[[#This Row],[Data de Pagamento]]="",0,IF(Registro2[[#This Row],[Conta Financeira]]=base!$A$6,0,Registro2[[#This Row],[Valor Unitário]]))</f>
        <v>60</v>
      </c>
      <c r="U8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81" t="str">
        <f>VLOOKUP(Registro2[[#This Row],[Categoria]],'Plano de Contas'!$V$3:W942,2,0)</f>
        <v>Receitas Serviços</v>
      </c>
      <c r="X88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81" t="s">
        <v>1536</v>
      </c>
    </row>
    <row r="882" spans="1:25" hidden="1">
      <c r="A882" s="1">
        <v>45731.708333333336</v>
      </c>
      <c r="B882" s="1">
        <v>45731.708333333336</v>
      </c>
      <c r="D882" t="s">
        <v>1</v>
      </c>
      <c r="E882" t="s">
        <v>149</v>
      </c>
      <c r="F882" t="s">
        <v>147</v>
      </c>
      <c r="G882" t="s">
        <v>163</v>
      </c>
      <c r="I882" s="4">
        <v>35</v>
      </c>
      <c r="J882" s="4">
        <v>35</v>
      </c>
      <c r="L882" t="s">
        <v>253</v>
      </c>
      <c r="M882" t="s">
        <v>127</v>
      </c>
      <c r="N882" s="4">
        <f>IF(L882="","",IF(OR(Registro2[[#This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82" t="str">
        <f t="shared" si="13"/>
        <v>mar/25</v>
      </c>
      <c r="P882" t="str">
        <f>IF(Registro2[[#This Row],[Data de Pagamento]]&gt;0,TEXT(A882,"mmm/aa"),"")</f>
        <v>mar/25</v>
      </c>
      <c r="T882" s="4">
        <f>IF(Registro2[[#This Row],[Data de Pagamento]]="",0,IF(Registro2[[#This Row],[Conta Financeira]]=base!$A$6,0,Registro2[[#This Row],[Valor Unitário]]))</f>
        <v>35</v>
      </c>
      <c r="U8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82" t="str">
        <f>VLOOKUP(Registro2[[#This Row],[Categoria]],'Plano de Contas'!$V$3:W932,2,0)</f>
        <v>Receitas Serviços</v>
      </c>
      <c r="X8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82" t="s">
        <v>1536</v>
      </c>
    </row>
    <row r="883" spans="1:25" hidden="1">
      <c r="A883" s="1">
        <v>45731.708333333336</v>
      </c>
      <c r="B883" s="1">
        <v>45731.708333333336</v>
      </c>
      <c r="D883" t="s">
        <v>1</v>
      </c>
      <c r="E883" t="s">
        <v>149</v>
      </c>
      <c r="F883" t="s">
        <v>152</v>
      </c>
      <c r="G883" t="s">
        <v>353</v>
      </c>
      <c r="I883" s="4">
        <v>60</v>
      </c>
      <c r="J883" s="4">
        <v>60</v>
      </c>
      <c r="L883" t="s">
        <v>264</v>
      </c>
      <c r="M883" t="s">
        <v>1474</v>
      </c>
      <c r="N883" s="4">
        <f>IF(L883="","",IF(OR(Registro2[[#This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883" t="str">
        <f t="shared" si="13"/>
        <v>mar/25</v>
      </c>
      <c r="P883" t="str">
        <f>IF(Registro2[[#This Row],[Data de Pagamento]]&gt;0,TEXT(A883,"mmm/aa"),"")</f>
        <v>mar/25</v>
      </c>
      <c r="T883" s="4">
        <f>IF(Registro2[[#This Row],[Data de Pagamento]]="",0,IF(Registro2[[#This Row],[Conta Financeira]]=base!$A$6,0,Registro2[[#This Row],[Valor Unitário]]))</f>
        <v>60</v>
      </c>
      <c r="U8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83" t="str">
        <f>VLOOKUP(Registro2[[#This Row],[Categoria]],'Plano de Contas'!$V$3:W943,2,0)</f>
        <v>Receitas Serviços</v>
      </c>
      <c r="X8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83" t="s">
        <v>1536</v>
      </c>
    </row>
    <row r="884" spans="1:25" hidden="1">
      <c r="A884" s="1">
        <v>45731.729166666664</v>
      </c>
      <c r="B884" s="1">
        <v>45731.729166666664</v>
      </c>
      <c r="D884" t="s">
        <v>354</v>
      </c>
      <c r="E884" t="s">
        <v>149</v>
      </c>
      <c r="F884" t="s">
        <v>147</v>
      </c>
      <c r="G884" t="s">
        <v>163</v>
      </c>
      <c r="I884" s="4">
        <v>35</v>
      </c>
      <c r="J884" s="4">
        <v>70</v>
      </c>
      <c r="L884" t="s">
        <v>252</v>
      </c>
      <c r="M884" t="s">
        <v>493</v>
      </c>
      <c r="N884" s="4">
        <f>IF(L884="","",IF(OR(Registro2[[#This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84" t="str">
        <f t="shared" si="13"/>
        <v>mar/25</v>
      </c>
      <c r="P884" t="str">
        <f>IF(Registro2[[#This Row],[Data de Pagamento]]&gt;0,TEXT(A884,"mmm/aa"),"")</f>
        <v>mar/25</v>
      </c>
      <c r="T884" s="4">
        <f>IF(Registro2[[#This Row],[Data de Pagamento]]="",0,IF(Registro2[[#This Row],[Conta Financeira]]=base!$A$6,0,Registro2[[#This Row],[Valor Unitário]]))</f>
        <v>35</v>
      </c>
      <c r="U8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84" t="str">
        <f>VLOOKUP(Registro2[[#This Row],[Categoria]],'Plano de Contas'!$V$3:W937,2,0)</f>
        <v>Receitas Serviços</v>
      </c>
      <c r="X88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884" t="s">
        <v>1536</v>
      </c>
    </row>
    <row r="885" spans="1:25" hidden="1">
      <c r="A885" s="1">
        <v>45731.729166666664</v>
      </c>
      <c r="B885" s="1">
        <v>45731.729166666664</v>
      </c>
      <c r="D885" t="s">
        <v>354</v>
      </c>
      <c r="E885" t="s">
        <v>149</v>
      </c>
      <c r="F885" t="s">
        <v>147</v>
      </c>
      <c r="G885" t="s">
        <v>163</v>
      </c>
      <c r="I885" s="4">
        <v>35</v>
      </c>
      <c r="J885" s="4"/>
      <c r="L885" t="s">
        <v>252</v>
      </c>
      <c r="M885" t="s">
        <v>493</v>
      </c>
      <c r="N885" s="4">
        <f>IF(L885="","",IF(OR(Registro2[[#This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85" t="str">
        <f t="shared" si="13"/>
        <v>mar/25</v>
      </c>
      <c r="P885" t="str">
        <f>IF(Registro2[[#This Row],[Data de Pagamento]]&gt;0,TEXT(A885,"mmm/aa"),"")</f>
        <v>mar/25</v>
      </c>
      <c r="T885" s="4">
        <f>IF(Registro2[[#This Row],[Data de Pagamento]]="",0,IF(Registro2[[#This Row],[Conta Financeira]]=base!$A$6,0,Registro2[[#This Row],[Valor Unitário]]))</f>
        <v>35</v>
      </c>
      <c r="U8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85" t="str">
        <f>VLOOKUP(Registro2[[#This Row],[Categoria]],'Plano de Contas'!$V$3:W938,2,0)</f>
        <v>Receitas Serviços</v>
      </c>
      <c r="X88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885" t="s">
        <v>1536</v>
      </c>
    </row>
    <row r="886" spans="1:25" hidden="1">
      <c r="A886" s="1">
        <v>45731.729166666664</v>
      </c>
      <c r="B886" s="1">
        <v>45731.729166666664</v>
      </c>
      <c r="D886" t="s">
        <v>310</v>
      </c>
      <c r="E886" t="s">
        <v>149</v>
      </c>
      <c r="F886" t="s">
        <v>152</v>
      </c>
      <c r="G886" t="s">
        <v>353</v>
      </c>
      <c r="I886" s="4">
        <v>55</v>
      </c>
      <c r="J886" s="4">
        <v>55</v>
      </c>
      <c r="L886" t="s">
        <v>253</v>
      </c>
      <c r="M886" t="s">
        <v>126</v>
      </c>
      <c r="N886" s="4">
        <f>IF(L886="","",IF(OR(Registro2[[#This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886" t="str">
        <f t="shared" si="13"/>
        <v>mar/25</v>
      </c>
      <c r="P886" t="str">
        <f>IF(Registro2[[#This Row],[Data de Pagamento]]&gt;0,TEXT(A886,"mmm/aa"),"")</f>
        <v>mar/25</v>
      </c>
      <c r="T886" s="4">
        <f>IF(Registro2[[#This Row],[Data de Pagamento]]="",0,IF(Registro2[[#This Row],[Conta Financeira]]=base!$A$6,0,Registro2[[#This Row],[Valor Unitário]]))</f>
        <v>55</v>
      </c>
      <c r="U8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86" t="str">
        <f>VLOOKUP(Registro2[[#This Row],[Categoria]],'Plano de Contas'!$V$3:W944,2,0)</f>
        <v>Receitas Serviços</v>
      </c>
      <c r="X88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0.48949999999999999</v>
      </c>
      <c r="Y886" t="s">
        <v>1536</v>
      </c>
    </row>
    <row r="887" spans="1:25" hidden="1">
      <c r="A887" s="1">
        <v>45731.753472222219</v>
      </c>
      <c r="B887" s="1">
        <v>45731.753472222219</v>
      </c>
      <c r="D887" t="s">
        <v>2</v>
      </c>
      <c r="E887" t="s">
        <v>149</v>
      </c>
      <c r="F887" t="s">
        <v>152</v>
      </c>
      <c r="G887" t="s">
        <v>353</v>
      </c>
      <c r="I887" s="4">
        <v>50</v>
      </c>
      <c r="J887" s="4">
        <v>50</v>
      </c>
      <c r="L887" t="s">
        <v>253</v>
      </c>
      <c r="M887" t="s">
        <v>278</v>
      </c>
      <c r="N887" s="4">
        <f>IF(L887="","",IF(OR(Registro2[[#This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887" t="str">
        <f t="shared" si="13"/>
        <v>mar/25</v>
      </c>
      <c r="P887" t="str">
        <f>IF(Registro2[[#This Row],[Data de Pagamento]]&gt;0,TEXT(A887,"mmm/aa"),"")</f>
        <v>mar/25</v>
      </c>
      <c r="T887" s="4">
        <f>IF(Registro2[[#This Row],[Data de Pagamento]]="",0,IF(Registro2[[#This Row],[Conta Financeira]]=base!$A$6,0,Registro2[[#This Row],[Valor Unitário]]))</f>
        <v>50</v>
      </c>
      <c r="U8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87" t="str">
        <f>VLOOKUP(Registro2[[#This Row],[Categoria]],'Plano de Contas'!$V$3:W946,2,0)</f>
        <v>Receitas Serviços</v>
      </c>
      <c r="X88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87" t="s">
        <v>1536</v>
      </c>
    </row>
    <row r="888" spans="1:25" hidden="1">
      <c r="A888" s="1">
        <v>45731.78125</v>
      </c>
      <c r="B888" s="1">
        <v>45731.78125</v>
      </c>
      <c r="D888" t="s">
        <v>2</v>
      </c>
      <c r="E888" t="s">
        <v>149</v>
      </c>
      <c r="F888" t="s">
        <v>147</v>
      </c>
      <c r="G888" t="s">
        <v>163</v>
      </c>
      <c r="I888" s="4">
        <v>35</v>
      </c>
      <c r="J888" s="4">
        <v>35</v>
      </c>
      <c r="L888" t="s">
        <v>252</v>
      </c>
      <c r="M888" t="s">
        <v>1099</v>
      </c>
      <c r="N888" s="4">
        <f>IF(L888="","",IF(OR(Registro2[[#This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88" t="str">
        <f t="shared" si="13"/>
        <v>mar/25</v>
      </c>
      <c r="P888" t="str">
        <f>IF(Registro2[[#This Row],[Data de Pagamento]]&gt;0,TEXT(A888,"mmm/aa"),"")</f>
        <v>mar/25</v>
      </c>
      <c r="T888" s="4">
        <f>IF(Registro2[[#This Row],[Data de Pagamento]]="",0,IF(Registro2[[#This Row],[Conta Financeira]]=base!$A$6,0,Registro2[[#This Row],[Valor Unitário]]))</f>
        <v>35</v>
      </c>
      <c r="U8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88" t="str">
        <f>VLOOKUP(Registro2[[#This Row],[Categoria]],'Plano de Contas'!$V$3:W945,2,0)</f>
        <v>Receitas Serviços</v>
      </c>
      <c r="X88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88" t="s">
        <v>1536</v>
      </c>
    </row>
    <row r="889" spans="1:25" hidden="1">
      <c r="A889" s="1">
        <v>45731.802083333336</v>
      </c>
      <c r="B889" s="1">
        <v>45731.802083333336</v>
      </c>
      <c r="D889" t="s">
        <v>1</v>
      </c>
      <c r="E889" t="s">
        <v>149</v>
      </c>
      <c r="F889" t="s">
        <v>147</v>
      </c>
      <c r="G889" t="s">
        <v>163</v>
      </c>
      <c r="I889" s="4">
        <v>35</v>
      </c>
      <c r="J889" s="4">
        <v>60</v>
      </c>
      <c r="L889" t="s">
        <v>264</v>
      </c>
      <c r="M889" t="s">
        <v>1479</v>
      </c>
      <c r="N889" s="4">
        <f>IF(L889="","",IF(OR(Registro2[[#This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89" t="str">
        <f t="shared" si="13"/>
        <v>mar/25</v>
      </c>
      <c r="P889" t="str">
        <f>IF(Registro2[[#This Row],[Data de Pagamento]]&gt;0,TEXT(A889,"mmm/aa"),"")</f>
        <v>mar/25</v>
      </c>
      <c r="T889" s="4">
        <f>IF(Registro2[[#This Row],[Data de Pagamento]]="",0,IF(Registro2[[#This Row],[Conta Financeira]]=base!$A$6,0,Registro2[[#This Row],[Valor Unitário]]))</f>
        <v>35</v>
      </c>
      <c r="U8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89" t="str">
        <f>VLOOKUP(Registro2[[#This Row],[Categoria]],'Plano de Contas'!$V$3:W947,2,0)</f>
        <v>Receitas Serviços</v>
      </c>
      <c r="X88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89" t="s">
        <v>1536</v>
      </c>
    </row>
    <row r="890" spans="1:25" hidden="1">
      <c r="A890" s="1">
        <v>45731.802083333336</v>
      </c>
      <c r="B890" s="1">
        <v>45731.802083333336</v>
      </c>
      <c r="D890" t="s">
        <v>1</v>
      </c>
      <c r="E890" t="s">
        <v>149</v>
      </c>
      <c r="F890" t="s">
        <v>150</v>
      </c>
      <c r="G890" t="s">
        <v>508</v>
      </c>
      <c r="I890" s="4">
        <v>25</v>
      </c>
      <c r="J890" s="4"/>
      <c r="L890" t="s">
        <v>264</v>
      </c>
      <c r="M890" t="s">
        <v>1479</v>
      </c>
      <c r="N890" s="4">
        <f>IF(L890="","",IF(OR(Registro2[[#This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890" t="str">
        <f t="shared" si="13"/>
        <v>mar/25</v>
      </c>
      <c r="P890" t="str">
        <f>IF(Registro2[[#This Row],[Data de Pagamento]]&gt;0,TEXT(A890,"mmm/aa"),"")</f>
        <v>mar/25</v>
      </c>
      <c r="T890" s="4">
        <f>IF(Registro2[[#This Row],[Data de Pagamento]]="",0,IF(Registro2[[#This Row],[Conta Financeira]]=base!$A$6,0,Registro2[[#This Row],[Valor Unitário]]))</f>
        <v>25</v>
      </c>
      <c r="U8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90" t="str">
        <f>VLOOKUP(Registro2[[#This Row],[Categoria]],'Plano de Contas'!$V$3:W948,2,0)</f>
        <v>Receitas Produtos</v>
      </c>
      <c r="X89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90" t="s">
        <v>1536</v>
      </c>
    </row>
    <row r="891" spans="1:25" hidden="1">
      <c r="A891" s="1">
        <v>45731.822916666664</v>
      </c>
      <c r="B891" s="1">
        <v>45731.822916666664</v>
      </c>
      <c r="D891" t="s">
        <v>2</v>
      </c>
      <c r="E891" t="s">
        <v>149</v>
      </c>
      <c r="F891" t="s">
        <v>147</v>
      </c>
      <c r="G891" t="s">
        <v>1046</v>
      </c>
      <c r="I891" s="4">
        <v>35</v>
      </c>
      <c r="J891" s="4">
        <v>35</v>
      </c>
      <c r="L891" t="s">
        <v>264</v>
      </c>
      <c r="M891" t="s">
        <v>290</v>
      </c>
      <c r="N891" s="4">
        <f>IF(L891="","",IF(OR(Registro2[[#This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91" t="str">
        <f t="shared" si="13"/>
        <v>mar/25</v>
      </c>
      <c r="P891" t="str">
        <f>IF(Registro2[[#This Row],[Data de Pagamento]]&gt;0,TEXT(A891,"mmm/aa"),"")</f>
        <v>mar/25</v>
      </c>
      <c r="T891" s="4">
        <f>IF(Registro2[[#This Row],[Data de Pagamento]]="",0,IF(Registro2[[#This Row],[Conta Financeira]]=base!$A$6,0,Registro2[[#This Row],[Valor Unitário]]))</f>
        <v>35</v>
      </c>
      <c r="U8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91" t="str">
        <f>VLOOKUP(Registro2[[#This Row],[Categoria]],'Plano de Contas'!$V$3:W949,2,0)</f>
        <v>Receitas Serviços</v>
      </c>
      <c r="X89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91" t="s">
        <v>1536</v>
      </c>
    </row>
    <row r="892" spans="1:25" hidden="1">
      <c r="A892" s="1">
        <v>45734.416666666664</v>
      </c>
      <c r="B892" s="1">
        <v>45734.416666666664</v>
      </c>
      <c r="D892" t="s">
        <v>1</v>
      </c>
      <c r="E892" t="s">
        <v>149</v>
      </c>
      <c r="F892" t="s">
        <v>147</v>
      </c>
      <c r="G892" t="s">
        <v>163</v>
      </c>
      <c r="I892" s="4">
        <v>35</v>
      </c>
      <c r="J892" s="4">
        <v>50</v>
      </c>
      <c r="L892" t="s">
        <v>264</v>
      </c>
      <c r="M892" t="s">
        <v>1482</v>
      </c>
      <c r="N892" s="4">
        <f>IF(L892="","",IF(OR(Registro2[[#This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92" t="str">
        <f t="shared" si="13"/>
        <v>mar/25</v>
      </c>
      <c r="P892" t="str">
        <f>IF(Registro2[[#This Row],[Data de Pagamento]]&gt;0,TEXT(A892,"mmm/aa"),"")</f>
        <v>mar/25</v>
      </c>
      <c r="T892" s="4">
        <f>IF(Registro2[[#This Row],[Data de Pagamento]]="",0,IF(Registro2[[#This Row],[Conta Financeira]]=base!$A$6,0,Registro2[[#This Row],[Valor Unitário]]))</f>
        <v>35</v>
      </c>
      <c r="U8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92" t="str">
        <f>VLOOKUP(Registro2[[#This Row],[Categoria]],'Plano de Contas'!$V$3:W950,2,0)</f>
        <v>Receitas Serviços</v>
      </c>
      <c r="X89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92" t="s">
        <v>1536</v>
      </c>
    </row>
    <row r="893" spans="1:25" hidden="1">
      <c r="A893" s="1">
        <v>45734.416666666664</v>
      </c>
      <c r="B893" s="1">
        <v>45734.416666666664</v>
      </c>
      <c r="D893" t="s">
        <v>1</v>
      </c>
      <c r="E893" t="s">
        <v>149</v>
      </c>
      <c r="F893" t="s">
        <v>147</v>
      </c>
      <c r="G893" t="s">
        <v>167</v>
      </c>
      <c r="I893" s="4">
        <v>15</v>
      </c>
      <c r="J893" s="4"/>
      <c r="L893" t="s">
        <v>264</v>
      </c>
      <c r="M893" t="s">
        <v>1482</v>
      </c>
      <c r="N893" s="4">
        <f>IF(L893="","",IF(OR(Registro2[[#This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893" t="str">
        <f t="shared" si="13"/>
        <v>mar/25</v>
      </c>
      <c r="P893" t="str">
        <f>IF(Registro2[[#This Row],[Data de Pagamento]]&gt;0,TEXT(A893,"mmm/aa"),"")</f>
        <v>mar/25</v>
      </c>
      <c r="T893" s="4">
        <f>IF(Registro2[[#This Row],[Data de Pagamento]]="",0,IF(Registro2[[#This Row],[Conta Financeira]]=base!$A$6,0,Registro2[[#This Row],[Valor Unitário]]))</f>
        <v>15</v>
      </c>
      <c r="U8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93" t="str">
        <f>VLOOKUP(Registro2[[#This Row],[Categoria]],'Plano de Contas'!$V$3:W951,2,0)</f>
        <v>Receitas Serviços</v>
      </c>
      <c r="X89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93" t="s">
        <v>1536</v>
      </c>
    </row>
    <row r="894" spans="1:25" hidden="1">
      <c r="A894" s="1">
        <v>45734.5</v>
      </c>
      <c r="B894" s="1">
        <v>45734.5</v>
      </c>
      <c r="D894" t="s">
        <v>354</v>
      </c>
      <c r="E894" t="s">
        <v>149</v>
      </c>
      <c r="F894" t="s">
        <v>147</v>
      </c>
      <c r="G894" t="s">
        <v>163</v>
      </c>
      <c r="I894" s="4">
        <v>35</v>
      </c>
      <c r="J894" s="4">
        <v>45</v>
      </c>
      <c r="L894" t="s">
        <v>252</v>
      </c>
      <c r="M894" t="s">
        <v>1485</v>
      </c>
      <c r="N894" s="4">
        <f>IF(L894="","",IF(OR(Registro2[[#This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94" t="str">
        <f t="shared" si="13"/>
        <v>mar/25</v>
      </c>
      <c r="P894" t="str">
        <f>IF(Registro2[[#This Row],[Data de Pagamento]]&gt;0,TEXT(A894,"mmm/aa"),"")</f>
        <v>mar/25</v>
      </c>
      <c r="T894" s="4">
        <f>IF(Registro2[[#This Row],[Data de Pagamento]]="",0,IF(Registro2[[#This Row],[Conta Financeira]]=base!$A$6,0,Registro2[[#This Row],[Valor Unitário]]))</f>
        <v>35</v>
      </c>
      <c r="U8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94" t="str">
        <f>VLOOKUP(Registro2[[#This Row],[Categoria]],'Plano de Contas'!$V$3:W953,2,0)</f>
        <v>Receitas Serviços</v>
      </c>
      <c r="X89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894" t="s">
        <v>1536</v>
      </c>
    </row>
    <row r="895" spans="1:25" hidden="1">
      <c r="A895" s="1">
        <v>45734.5</v>
      </c>
      <c r="B895" s="1">
        <v>45734.5</v>
      </c>
      <c r="D895" t="s">
        <v>354</v>
      </c>
      <c r="E895" t="s">
        <v>149</v>
      </c>
      <c r="F895" t="s">
        <v>147</v>
      </c>
      <c r="G895" t="s">
        <v>167</v>
      </c>
      <c r="I895" s="4">
        <v>10</v>
      </c>
      <c r="J895" s="4"/>
      <c r="L895" t="s">
        <v>252</v>
      </c>
      <c r="M895" t="s">
        <v>1485</v>
      </c>
      <c r="N895" s="4">
        <f>IF(L895="","",IF(OR(Registro2[[#This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895" t="str">
        <f t="shared" si="13"/>
        <v>mar/25</v>
      </c>
      <c r="P895" t="str">
        <f>IF(Registro2[[#This Row],[Data de Pagamento]]&gt;0,TEXT(A895,"mmm/aa"),"")</f>
        <v>mar/25</v>
      </c>
      <c r="T895" s="4">
        <f>IF(Registro2[[#This Row],[Data de Pagamento]]="",0,IF(Registro2[[#This Row],[Conta Financeira]]=base!$A$6,0,Registro2[[#This Row],[Valor Unitário]]))</f>
        <v>10</v>
      </c>
      <c r="U8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95" t="str">
        <f>VLOOKUP(Registro2[[#This Row],[Categoria]],'Plano de Contas'!$V$3:W954,2,0)</f>
        <v>Receitas Serviços</v>
      </c>
      <c r="X89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  <c r="Y895" t="s">
        <v>1536</v>
      </c>
    </row>
    <row r="896" spans="1:25" hidden="1">
      <c r="A896" s="1">
        <v>45734.666666666664</v>
      </c>
      <c r="B896" s="1">
        <v>45734.666666666664</v>
      </c>
      <c r="D896" t="s">
        <v>1</v>
      </c>
      <c r="E896" t="s">
        <v>149</v>
      </c>
      <c r="F896" t="s">
        <v>147</v>
      </c>
      <c r="G896" t="s">
        <v>163</v>
      </c>
      <c r="I896" s="4">
        <v>35</v>
      </c>
      <c r="J896" s="4">
        <v>45</v>
      </c>
      <c r="L896" t="s">
        <v>253</v>
      </c>
      <c r="M896" t="s">
        <v>1488</v>
      </c>
      <c r="N896" s="4">
        <f>IF(L896="","",IF(OR(Registro2[[#This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96" t="str">
        <f t="shared" si="13"/>
        <v>mar/25</v>
      </c>
      <c r="P896" t="str">
        <f>IF(Registro2[[#This Row],[Data de Pagamento]]&gt;0,TEXT(A896,"mmm/aa"),"")</f>
        <v>mar/25</v>
      </c>
      <c r="T896" s="4">
        <f>IF(Registro2[[#This Row],[Data de Pagamento]]="",0,IF(Registro2[[#This Row],[Conta Financeira]]=base!$A$6,0,Registro2[[#This Row],[Valor Unitário]]))</f>
        <v>35</v>
      </c>
      <c r="U8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96" t="str">
        <f>VLOOKUP(Registro2[[#This Row],[Categoria]],'Plano de Contas'!$V$3:W958,2,0)</f>
        <v>Receitas Serviços</v>
      </c>
      <c r="X89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96" t="s">
        <v>1536</v>
      </c>
    </row>
    <row r="897" spans="1:25" hidden="1">
      <c r="A897" s="1">
        <v>45734.666666666664</v>
      </c>
      <c r="B897" s="1">
        <v>45734.666666666664</v>
      </c>
      <c r="D897" t="s">
        <v>1</v>
      </c>
      <c r="E897" t="s">
        <v>149</v>
      </c>
      <c r="F897" t="s">
        <v>147</v>
      </c>
      <c r="G897" t="s">
        <v>167</v>
      </c>
      <c r="I897" s="4">
        <v>10</v>
      </c>
      <c r="J897" s="4"/>
      <c r="L897" t="s">
        <v>253</v>
      </c>
      <c r="M897" t="s">
        <v>1488</v>
      </c>
      <c r="N897" s="4">
        <f>IF(L897="","",IF(OR(Registro2[[#This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897" t="str">
        <f t="shared" si="13"/>
        <v>mar/25</v>
      </c>
      <c r="P897" t="str">
        <f>IF(Registro2[[#This Row],[Data de Pagamento]]&gt;0,TEXT(A897,"mmm/aa"),"")</f>
        <v>mar/25</v>
      </c>
      <c r="T897" s="4">
        <f>IF(Registro2[[#This Row],[Data de Pagamento]]="",0,IF(Registro2[[#This Row],[Conta Financeira]]=base!$A$6,0,Registro2[[#This Row],[Valor Unitário]]))</f>
        <v>10</v>
      </c>
      <c r="U8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97" t="str">
        <f>VLOOKUP(Registro2[[#This Row],[Categoria]],'Plano de Contas'!$V$3:W959,2,0)</f>
        <v>Receitas Serviços</v>
      </c>
      <c r="X89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97" t="s">
        <v>1536</v>
      </c>
    </row>
    <row r="898" spans="1:25" hidden="1">
      <c r="A898" s="1">
        <v>45734.729166666664</v>
      </c>
      <c r="B898" s="1">
        <v>45734.729166666664</v>
      </c>
      <c r="D898" t="s">
        <v>1</v>
      </c>
      <c r="E898" t="s">
        <v>149</v>
      </c>
      <c r="F898" t="s">
        <v>147</v>
      </c>
      <c r="G898" t="s">
        <v>163</v>
      </c>
      <c r="I898" s="4">
        <v>35</v>
      </c>
      <c r="J898" s="4">
        <v>60</v>
      </c>
      <c r="L898" t="s">
        <v>264</v>
      </c>
      <c r="M898" t="s">
        <v>492</v>
      </c>
      <c r="N898" s="4">
        <f>IF(L898="","",IF(OR(Registro2[[#This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898" t="str">
        <f t="shared" ref="O898:O961" si="14">TEXT(B898,"mmm/aa")</f>
        <v>mar/25</v>
      </c>
      <c r="P898" t="str">
        <f>IF(Registro2[[#This Row],[Data de Pagamento]]&gt;0,TEXT(A898,"mmm/aa"),"")</f>
        <v>mar/25</v>
      </c>
      <c r="T898" s="4">
        <f>IF(Registro2[[#This Row],[Data de Pagamento]]="",0,IF(Registro2[[#This Row],[Conta Financeira]]=base!$A$6,0,Registro2[[#This Row],[Valor Unitário]]))</f>
        <v>35</v>
      </c>
      <c r="U8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98" t="str">
        <f>VLOOKUP(Registro2[[#This Row],[Categoria]],'Plano de Contas'!$V$3:W955,2,0)</f>
        <v>Receitas Serviços</v>
      </c>
      <c r="X89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98" t="s">
        <v>1536</v>
      </c>
    </row>
    <row r="899" spans="1:25" hidden="1">
      <c r="A899" s="1">
        <v>45734.729166666664</v>
      </c>
      <c r="B899" s="1">
        <v>45734.729166666664</v>
      </c>
      <c r="D899" t="s">
        <v>1</v>
      </c>
      <c r="E899" t="s">
        <v>149</v>
      </c>
      <c r="F899" t="s">
        <v>152</v>
      </c>
      <c r="G899" t="s">
        <v>352</v>
      </c>
      <c r="I899" s="4">
        <v>20</v>
      </c>
      <c r="J899" s="4"/>
      <c r="L899" t="s">
        <v>264</v>
      </c>
      <c r="M899" t="s">
        <v>492</v>
      </c>
      <c r="N899" s="4">
        <f>IF(L899="","",IF(OR(Registro2[[#This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899" t="str">
        <f t="shared" si="14"/>
        <v>mar/25</v>
      </c>
      <c r="P899" t="str">
        <f>IF(Registro2[[#This Row],[Data de Pagamento]]&gt;0,TEXT(A899,"mmm/aa"),"")</f>
        <v>mar/25</v>
      </c>
      <c r="T899" s="4">
        <f>IF(Registro2[[#This Row],[Data de Pagamento]]="",0,IF(Registro2[[#This Row],[Conta Financeira]]=base!$A$6,0,Registro2[[#This Row],[Valor Unitário]]))</f>
        <v>20</v>
      </c>
      <c r="U8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899" t="str">
        <f>VLOOKUP(Registro2[[#This Row],[Categoria]],'Plano de Contas'!$V$3:W956,2,0)</f>
        <v>Receitas Serviços</v>
      </c>
      <c r="X89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899" t="s">
        <v>1536</v>
      </c>
    </row>
    <row r="900" spans="1:25" hidden="1">
      <c r="A900" s="1">
        <v>45734.729166666664</v>
      </c>
      <c r="B900" s="1">
        <v>45734.729166666664</v>
      </c>
      <c r="D900" t="s">
        <v>1</v>
      </c>
      <c r="E900" t="s">
        <v>149</v>
      </c>
      <c r="F900" t="s">
        <v>910</v>
      </c>
      <c r="G900" t="s">
        <v>910</v>
      </c>
      <c r="I900" s="4">
        <v>5</v>
      </c>
      <c r="J900" s="4"/>
      <c r="L900" t="s">
        <v>264</v>
      </c>
      <c r="M900" t="s">
        <v>492</v>
      </c>
      <c r="N900" s="4" t="str">
        <f>IF(L900="","",IF(OR(Registro2[[#This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900" t="str">
        <f t="shared" si="14"/>
        <v>mar/25</v>
      </c>
      <c r="P900" t="str">
        <f>IF(Registro2[[#This Row],[Data de Pagamento]]&gt;0,TEXT(A900,"mmm/aa"),"")</f>
        <v>mar/25</v>
      </c>
      <c r="T900" s="4">
        <f>IF(Registro2[[#This Row],[Data de Pagamento]]="",0,IF(Registro2[[#This Row],[Conta Financeira]]=base!$A$6,0,Registro2[[#This Row],[Valor Unitário]]))</f>
        <v>5</v>
      </c>
      <c r="U9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00" t="str">
        <f>VLOOKUP(Registro2[[#This Row],[Categoria]],'Plano de Contas'!$V$3:W957,2,0)</f>
        <v>Outras Receitas</v>
      </c>
      <c r="X90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00" t="s">
        <v>1536</v>
      </c>
    </row>
    <row r="901" spans="1:25" hidden="1">
      <c r="A901" s="1">
        <v>45734.770833333336</v>
      </c>
      <c r="B901" s="1">
        <v>45734.770833333336</v>
      </c>
      <c r="D901" t="s">
        <v>310</v>
      </c>
      <c r="E901" t="s">
        <v>149</v>
      </c>
      <c r="F901" t="s">
        <v>147</v>
      </c>
      <c r="G901" t="s">
        <v>163</v>
      </c>
      <c r="I901" s="4">
        <v>35</v>
      </c>
      <c r="J901" s="4">
        <v>35</v>
      </c>
      <c r="L901" t="s">
        <v>253</v>
      </c>
      <c r="M901" t="s">
        <v>1490</v>
      </c>
      <c r="N901" s="4">
        <f>IF(L901="","",IF(OR(Registro2[[#This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01" t="str">
        <f t="shared" si="14"/>
        <v>mar/25</v>
      </c>
      <c r="P901" t="str">
        <f>IF(Registro2[[#This Row],[Data de Pagamento]]&gt;0,TEXT(A901,"mmm/aa"),"")</f>
        <v>mar/25</v>
      </c>
      <c r="T901" s="4">
        <f>IF(Registro2[[#This Row],[Data de Pagamento]]="",0,IF(Registro2[[#This Row],[Conta Financeira]]=base!$A$6,0,Registro2[[#This Row],[Valor Unitário]]))</f>
        <v>35</v>
      </c>
      <c r="U9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01" t="str">
        <f>VLOOKUP(Registro2[[#This Row],[Categoria]],'Plano de Contas'!$V$3:W960,2,0)</f>
        <v>Receitas Serviços</v>
      </c>
      <c r="X90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901" t="s">
        <v>1536</v>
      </c>
    </row>
    <row r="902" spans="1:25" hidden="1">
      <c r="A902" s="1">
        <v>45734.770833333336</v>
      </c>
      <c r="B902" s="1">
        <v>45734.770833333336</v>
      </c>
      <c r="D902" t="s">
        <v>2</v>
      </c>
      <c r="E902" t="s">
        <v>149</v>
      </c>
      <c r="F902" t="s">
        <v>147</v>
      </c>
      <c r="G902" t="s">
        <v>163</v>
      </c>
      <c r="I902" s="4">
        <v>35</v>
      </c>
      <c r="J902" s="4">
        <v>45</v>
      </c>
      <c r="L902" t="s">
        <v>253</v>
      </c>
      <c r="M902" t="s">
        <v>1492</v>
      </c>
      <c r="N902" s="4">
        <f>IF(L902="","",IF(OR(Registro2[[#This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02" t="str">
        <f t="shared" si="14"/>
        <v>mar/25</v>
      </c>
      <c r="P902" t="str">
        <f>IF(Registro2[[#This Row],[Data de Pagamento]]&gt;0,TEXT(A902,"mmm/aa"),"")</f>
        <v>mar/25</v>
      </c>
      <c r="T902" s="4">
        <f>IF(Registro2[[#This Row],[Data de Pagamento]]="",0,IF(Registro2[[#This Row],[Conta Financeira]]=base!$A$6,0,Registro2[[#This Row],[Valor Unitário]]))</f>
        <v>35</v>
      </c>
      <c r="U9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02" t="str">
        <f>VLOOKUP(Registro2[[#This Row],[Categoria]],'Plano de Contas'!$V$3:W961,2,0)</f>
        <v>Receitas Serviços</v>
      </c>
      <c r="X90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02" t="s">
        <v>1536</v>
      </c>
    </row>
    <row r="903" spans="1:25" hidden="1">
      <c r="A903" s="1">
        <v>45734.770833333336</v>
      </c>
      <c r="B903" s="1">
        <v>45734.770833333336</v>
      </c>
      <c r="D903" t="s">
        <v>2</v>
      </c>
      <c r="E903" t="s">
        <v>149</v>
      </c>
      <c r="F903" t="s">
        <v>147</v>
      </c>
      <c r="G903" t="s">
        <v>167</v>
      </c>
      <c r="I903" s="4">
        <v>10</v>
      </c>
      <c r="J903" s="4"/>
      <c r="L903" t="s">
        <v>253</v>
      </c>
      <c r="M903" t="s">
        <v>1492</v>
      </c>
      <c r="N903" s="4">
        <f>IF(L903="","",IF(OR(Registro2[[#This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903" t="str">
        <f t="shared" si="14"/>
        <v>mar/25</v>
      </c>
      <c r="P903" t="str">
        <f>IF(Registro2[[#This Row],[Data de Pagamento]]&gt;0,TEXT(A903,"mmm/aa"),"")</f>
        <v>mar/25</v>
      </c>
      <c r="T903" s="4">
        <f>IF(Registro2[[#This Row],[Data de Pagamento]]="",0,IF(Registro2[[#This Row],[Conta Financeira]]=base!$A$6,0,Registro2[[#This Row],[Valor Unitário]]))</f>
        <v>10</v>
      </c>
      <c r="U9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03" t="str">
        <f>VLOOKUP(Registro2[[#This Row],[Categoria]],'Plano de Contas'!$V$3:W962,2,0)</f>
        <v>Receitas Serviços</v>
      </c>
      <c r="X9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03" t="s">
        <v>1536</v>
      </c>
    </row>
    <row r="904" spans="1:25" hidden="1">
      <c r="A904" s="1">
        <v>45734.78125</v>
      </c>
      <c r="B904" s="1">
        <v>45734.78125</v>
      </c>
      <c r="D904" t="s">
        <v>354</v>
      </c>
      <c r="E904" t="s">
        <v>149</v>
      </c>
      <c r="F904" t="s">
        <v>152</v>
      </c>
      <c r="G904" t="s">
        <v>353</v>
      </c>
      <c r="I904" s="4">
        <v>60</v>
      </c>
      <c r="J904" s="4">
        <v>60</v>
      </c>
      <c r="L904" t="s">
        <v>252</v>
      </c>
      <c r="M904" t="s">
        <v>95</v>
      </c>
      <c r="N904" s="4">
        <f>IF(L904="","",IF(OR(Registro2[[#This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904" t="str">
        <f t="shared" si="14"/>
        <v>mar/25</v>
      </c>
      <c r="P904" t="str">
        <f>IF(Registro2[[#This Row],[Data de Pagamento]]&gt;0,TEXT(A904,"mmm/aa"),"")</f>
        <v>mar/25</v>
      </c>
      <c r="T904" s="4">
        <f>IF(Registro2[[#This Row],[Data de Pagamento]]="",0,IF(Registro2[[#This Row],[Conta Financeira]]=base!$A$6,0,Registro2[[#This Row],[Valor Unitário]]))</f>
        <v>60</v>
      </c>
      <c r="U9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04" t="str">
        <f>VLOOKUP(Registro2[[#This Row],[Categoria]],'Plano de Contas'!$V$3:W963,2,0)</f>
        <v>Receitas Serviços</v>
      </c>
      <c r="X90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  <c r="Y904" t="s">
        <v>1536</v>
      </c>
    </row>
    <row r="905" spans="1:25" hidden="1">
      <c r="A905" s="1">
        <v>45734.8125</v>
      </c>
      <c r="B905" s="1">
        <v>45734.8125</v>
      </c>
      <c r="D905" t="s">
        <v>2</v>
      </c>
      <c r="E905" t="s">
        <v>149</v>
      </c>
      <c r="F905" t="s">
        <v>147</v>
      </c>
      <c r="G905" t="s">
        <v>163</v>
      </c>
      <c r="I905" s="4">
        <v>35</v>
      </c>
      <c r="J905" s="4">
        <v>35</v>
      </c>
      <c r="L905" t="s">
        <v>264</v>
      </c>
      <c r="M905" t="s">
        <v>1495</v>
      </c>
      <c r="N905" s="4">
        <f>IF(L905="","",IF(OR(Registro2[[#This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05" t="str">
        <f t="shared" si="14"/>
        <v>mar/25</v>
      </c>
      <c r="P905" t="str">
        <f>IF(Registro2[[#This Row],[Data de Pagamento]]&gt;0,TEXT(A905,"mmm/aa"),"")</f>
        <v>mar/25</v>
      </c>
      <c r="T905" s="4">
        <f>IF(Registro2[[#This Row],[Data de Pagamento]]="",0,IF(Registro2[[#This Row],[Conta Financeira]]=base!$A$6,0,Registro2[[#This Row],[Valor Unitário]]))</f>
        <v>35</v>
      </c>
      <c r="U9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05" t="str">
        <f>VLOOKUP(Registro2[[#This Row],[Categoria]],'Plano de Contas'!$V$3:W964,2,0)</f>
        <v>Receitas Serviços</v>
      </c>
      <c r="X9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05" t="s">
        <v>1536</v>
      </c>
    </row>
    <row r="906" spans="1:25" hidden="1">
      <c r="A906" s="1">
        <v>45734.8125</v>
      </c>
      <c r="B906" s="1">
        <v>45734.8125</v>
      </c>
      <c r="D906" t="s">
        <v>354</v>
      </c>
      <c r="E906" t="s">
        <v>149</v>
      </c>
      <c r="F906" t="s">
        <v>147</v>
      </c>
      <c r="G906" t="s">
        <v>163</v>
      </c>
      <c r="I906" s="4">
        <v>35</v>
      </c>
      <c r="J906" s="4">
        <v>35</v>
      </c>
      <c r="L906" t="s">
        <v>252</v>
      </c>
      <c r="M906" t="s">
        <v>1497</v>
      </c>
      <c r="N906" s="4">
        <f>IF(L906="","",IF(OR(Registro2[[#This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06" t="str">
        <f t="shared" si="14"/>
        <v>mar/25</v>
      </c>
      <c r="P906" t="str">
        <f>IF(Registro2[[#This Row],[Data de Pagamento]]&gt;0,TEXT(A906,"mmm/aa"),"")</f>
        <v>mar/25</v>
      </c>
      <c r="T906" s="4">
        <f>IF(Registro2[[#This Row],[Data de Pagamento]]="",0,IF(Registro2[[#This Row],[Conta Financeira]]=base!$A$6,0,Registro2[[#This Row],[Valor Unitário]]))</f>
        <v>35</v>
      </c>
      <c r="U9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06" t="str">
        <f>VLOOKUP(Registro2[[#This Row],[Categoria]],'Plano de Contas'!$V$3:W965,2,0)</f>
        <v>Receitas Serviços</v>
      </c>
      <c r="X90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906" t="s">
        <v>1536</v>
      </c>
    </row>
    <row r="907" spans="1:25" hidden="1">
      <c r="A907" s="1">
        <v>45734.850694444445</v>
      </c>
      <c r="B907" s="1">
        <v>45734.850694444445</v>
      </c>
      <c r="D907" t="s">
        <v>1</v>
      </c>
      <c r="E907" t="s">
        <v>149</v>
      </c>
      <c r="F907" t="s">
        <v>147</v>
      </c>
      <c r="G907" t="s">
        <v>163</v>
      </c>
      <c r="I907" s="4">
        <v>35</v>
      </c>
      <c r="J907" s="4">
        <v>85</v>
      </c>
      <c r="L907" t="s">
        <v>264</v>
      </c>
      <c r="M907" t="s">
        <v>1499</v>
      </c>
      <c r="N907" s="4">
        <f>IF(L907="","",IF(OR(Registro2[[#This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07" t="str">
        <f t="shared" si="14"/>
        <v>mar/25</v>
      </c>
      <c r="P907" t="str">
        <f>IF(Registro2[[#This Row],[Data de Pagamento]]&gt;0,TEXT(A907,"mmm/aa"),"")</f>
        <v>mar/25</v>
      </c>
      <c r="T907" s="4">
        <f>IF(Registro2[[#This Row],[Data de Pagamento]]="",0,IF(Registro2[[#This Row],[Conta Financeira]]=base!$A$6,0,Registro2[[#This Row],[Valor Unitário]]))</f>
        <v>35</v>
      </c>
      <c r="U9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07" t="str">
        <f>VLOOKUP(Registro2[[#This Row],[Categoria]],'Plano de Contas'!$V$3:W966,2,0)</f>
        <v>Receitas Serviços</v>
      </c>
      <c r="X90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07" t="s">
        <v>1536</v>
      </c>
    </row>
    <row r="908" spans="1:25" hidden="1">
      <c r="A908" s="1">
        <v>45734.850694444445</v>
      </c>
      <c r="B908" s="1">
        <v>45734.850694444445</v>
      </c>
      <c r="D908" t="s">
        <v>1</v>
      </c>
      <c r="E908" t="s">
        <v>149</v>
      </c>
      <c r="F908" t="s">
        <v>147</v>
      </c>
      <c r="G908" t="s">
        <v>167</v>
      </c>
      <c r="I908" s="4">
        <v>10</v>
      </c>
      <c r="J908" s="4"/>
      <c r="L908" t="s">
        <v>264</v>
      </c>
      <c r="M908" t="s">
        <v>1499</v>
      </c>
      <c r="N908" s="4">
        <f>IF(L908="","",IF(OR(Registro2[[#This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908" t="str">
        <f t="shared" si="14"/>
        <v>mar/25</v>
      </c>
      <c r="P908" t="str">
        <f>IF(Registro2[[#This Row],[Data de Pagamento]]&gt;0,TEXT(A908,"mmm/aa"),"")</f>
        <v>mar/25</v>
      </c>
      <c r="T908" s="4">
        <f>IF(Registro2[[#This Row],[Data de Pagamento]]="",0,IF(Registro2[[#This Row],[Conta Financeira]]=base!$A$6,0,Registro2[[#This Row],[Valor Unitário]]))</f>
        <v>10</v>
      </c>
      <c r="U9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08" t="str">
        <f>VLOOKUP(Registro2[[#This Row],[Categoria]],'Plano de Contas'!$V$3:W967,2,0)</f>
        <v>Receitas Serviços</v>
      </c>
      <c r="X90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08" t="s">
        <v>1536</v>
      </c>
    </row>
    <row r="909" spans="1:25" hidden="1">
      <c r="A909" s="1">
        <v>45734.850694444445</v>
      </c>
      <c r="B909" s="1">
        <v>45734.850694444445</v>
      </c>
      <c r="D909" t="s">
        <v>1</v>
      </c>
      <c r="E909" t="s">
        <v>149</v>
      </c>
      <c r="F909" t="s">
        <v>150</v>
      </c>
      <c r="G909" t="s">
        <v>472</v>
      </c>
      <c r="I909" s="4">
        <v>40</v>
      </c>
      <c r="J909" s="4"/>
      <c r="L909" t="s">
        <v>264</v>
      </c>
      <c r="M909" t="s">
        <v>1499</v>
      </c>
      <c r="N909" s="4">
        <f>IF(L909="","",IF(OR(Registro2[[#This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909" t="str">
        <f t="shared" si="14"/>
        <v>mar/25</v>
      </c>
      <c r="P909" t="str">
        <f>IF(Registro2[[#This Row],[Data de Pagamento]]&gt;0,TEXT(A909,"mmm/aa"),"")</f>
        <v>mar/25</v>
      </c>
      <c r="T909" s="4">
        <f>IF(Registro2[[#This Row],[Data de Pagamento]]="",0,IF(Registro2[[#This Row],[Conta Financeira]]=base!$A$6,0,Registro2[[#This Row],[Valor Unitário]]))</f>
        <v>40</v>
      </c>
      <c r="U9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09" t="str">
        <f>VLOOKUP(Registro2[[#This Row],[Categoria]],'Plano de Contas'!$V$3:W968,2,0)</f>
        <v>Receitas Produtos</v>
      </c>
      <c r="X90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09" t="s">
        <v>1536</v>
      </c>
    </row>
    <row r="910" spans="1:25" hidden="1">
      <c r="A910" s="1">
        <v>45734.864583333336</v>
      </c>
      <c r="B910" s="1">
        <v>45734.864583333336</v>
      </c>
      <c r="D910" t="s">
        <v>2</v>
      </c>
      <c r="E910" t="s">
        <v>149</v>
      </c>
      <c r="F910" t="s">
        <v>147</v>
      </c>
      <c r="G910" t="s">
        <v>163</v>
      </c>
      <c r="I910" s="4">
        <v>35</v>
      </c>
      <c r="J910" s="4">
        <v>60</v>
      </c>
      <c r="L910" t="s">
        <v>252</v>
      </c>
      <c r="M910" t="s">
        <v>210</v>
      </c>
      <c r="N910" s="4">
        <f>IF(L910="","",IF(OR(Registro2[[#This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10" t="str">
        <f t="shared" si="14"/>
        <v>mar/25</v>
      </c>
      <c r="P910" t="str">
        <f>IF(Registro2[[#This Row],[Data de Pagamento]]&gt;0,TEXT(A910,"mmm/aa"),"")</f>
        <v>mar/25</v>
      </c>
      <c r="T910" s="4">
        <f>IF(Registro2[[#This Row],[Data de Pagamento]]="",0,IF(Registro2[[#This Row],[Conta Financeira]]=base!$A$6,0,Registro2[[#This Row],[Valor Unitário]]))</f>
        <v>35</v>
      </c>
      <c r="U9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10" t="str">
        <f>VLOOKUP(Registro2[[#This Row],[Categoria]],'Plano de Contas'!$V$3:W969,2,0)</f>
        <v>Receitas Serviços</v>
      </c>
      <c r="X91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10" t="s">
        <v>1536</v>
      </c>
    </row>
    <row r="911" spans="1:25" hidden="1">
      <c r="A911" s="1">
        <v>45734.864583333336</v>
      </c>
      <c r="B911" s="1">
        <v>45734.864583333336</v>
      </c>
      <c r="D911" t="s">
        <v>2</v>
      </c>
      <c r="E911" t="s">
        <v>149</v>
      </c>
      <c r="F911" t="s">
        <v>150</v>
      </c>
      <c r="G911" t="s">
        <v>509</v>
      </c>
      <c r="I911" s="4">
        <v>25</v>
      </c>
      <c r="J911" s="4"/>
      <c r="L911" t="s">
        <v>252</v>
      </c>
      <c r="M911" t="s">
        <v>210</v>
      </c>
      <c r="N911" s="4">
        <f>IF(L911="","",IF(OR(Registro2[[#This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911" t="str">
        <f t="shared" si="14"/>
        <v>mar/25</v>
      </c>
      <c r="P911" t="str">
        <f>IF(Registro2[[#This Row],[Data de Pagamento]]&gt;0,TEXT(A911,"mmm/aa"),"")</f>
        <v>mar/25</v>
      </c>
      <c r="T911" s="4">
        <f>IF(Registro2[[#This Row],[Data de Pagamento]]="",0,IF(Registro2[[#This Row],[Conta Financeira]]=base!$A$6,0,Registro2[[#This Row],[Valor Unitário]]))</f>
        <v>25</v>
      </c>
      <c r="U9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11" t="str">
        <f>VLOOKUP(Registro2[[#This Row],[Categoria]],'Plano de Contas'!$V$3:W970,2,0)</f>
        <v>Receitas Produtos</v>
      </c>
      <c r="X9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11" t="s">
        <v>1536</v>
      </c>
    </row>
    <row r="912" spans="1:25" hidden="1">
      <c r="A912" s="1">
        <v>45735</v>
      </c>
      <c r="B912" s="1">
        <v>45735</v>
      </c>
      <c r="D912" t="s">
        <v>947</v>
      </c>
      <c r="E912" t="s">
        <v>137</v>
      </c>
      <c r="F912" t="s">
        <v>138</v>
      </c>
      <c r="G912" t="s">
        <v>141</v>
      </c>
      <c r="H912" t="s">
        <v>1261</v>
      </c>
      <c r="I912" s="4">
        <v>60</v>
      </c>
      <c r="J912" s="4"/>
      <c r="N912" s="4" t="str">
        <f>IF(L912="","",IF(OR(Registro2[[#This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912" t="str">
        <f t="shared" si="14"/>
        <v>mar/25</v>
      </c>
      <c r="P912" t="str">
        <f>IF(Registro2[[#This Row],[Data de Pagamento]]&gt;0,TEXT(A912,"mmm/aa"),"")</f>
        <v>mar/25</v>
      </c>
      <c r="T912" s="4">
        <f>IF(Registro2[[#This Row],[Data de Pagamento]]="",0,IF(Registro2[[#This Row],[Conta Financeira]]=base!$A$6,0,Registro2[[#This Row],[Valor Unitário]]))</f>
        <v>60</v>
      </c>
      <c r="U9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12" t="str">
        <f>VLOOKUP(Registro2[[#This Row],[Categoria]],'Plano de Contas'!$V$3:W744,2,0)</f>
        <v>Custos Operacionais</v>
      </c>
      <c r="X91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12" t="s">
        <v>1536</v>
      </c>
    </row>
    <row r="913" spans="1:25" hidden="1">
      <c r="A913" s="1">
        <v>45735</v>
      </c>
      <c r="B913" s="1">
        <v>45735</v>
      </c>
      <c r="D913" t="s">
        <v>947</v>
      </c>
      <c r="E913" t="s">
        <v>137</v>
      </c>
      <c r="F913" t="s">
        <v>138</v>
      </c>
      <c r="G913" t="s">
        <v>969</v>
      </c>
      <c r="H913" t="s">
        <v>430</v>
      </c>
      <c r="I913" s="4">
        <v>7.9</v>
      </c>
      <c r="J913" s="4"/>
      <c r="N913" s="4" t="str">
        <f>IF(L913="","",IF(OR(Registro2[[#This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913" t="str">
        <f t="shared" si="14"/>
        <v>mar/25</v>
      </c>
      <c r="P913" t="str">
        <f>IF(Registro2[[#This Row],[Data de Pagamento]]&gt;0,TEXT(A913,"mmm/aa"),"")</f>
        <v>mar/25</v>
      </c>
      <c r="T913" s="4">
        <f>IF(Registro2[[#This Row],[Data de Pagamento]]="",0,IF(Registro2[[#This Row],[Conta Financeira]]=base!$A$6,0,Registro2[[#This Row],[Valor Unitário]]))</f>
        <v>7.9</v>
      </c>
      <c r="U9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13" t="str">
        <f>VLOOKUP(Registro2[[#This Row],[Categoria]],'Plano de Contas'!$V$3:W745,2,0)</f>
        <v>Despesas Operacionais</v>
      </c>
      <c r="X91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13" t="s">
        <v>1536</v>
      </c>
    </row>
    <row r="914" spans="1:25" hidden="1">
      <c r="A914" s="1">
        <v>45735</v>
      </c>
      <c r="B914" s="1">
        <v>45735</v>
      </c>
      <c r="D914" t="s">
        <v>947</v>
      </c>
      <c r="E914" t="s">
        <v>137</v>
      </c>
      <c r="F914" t="s">
        <v>139</v>
      </c>
      <c r="G914" t="s">
        <v>332</v>
      </c>
      <c r="H914" t="s">
        <v>1252</v>
      </c>
      <c r="I914" s="4">
        <v>19.899999999999999</v>
      </c>
      <c r="J914" s="4"/>
      <c r="N914" s="4" t="str">
        <f>IF(L914="","",IF(OR(Registro2[[#This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914" t="str">
        <f t="shared" si="14"/>
        <v>mar/25</v>
      </c>
      <c r="P914" t="str">
        <f>IF(Registro2[[#This Row],[Data de Pagamento]]&gt;0,TEXT(A914,"mmm/aa"),"")</f>
        <v>mar/25</v>
      </c>
      <c r="T914" s="4">
        <f>IF(Registro2[[#This Row],[Data de Pagamento]]="",0,IF(Registro2[[#This Row],[Conta Financeira]]=base!$A$6,0,Registro2[[#This Row],[Valor Unitário]]))</f>
        <v>19.899999999999999</v>
      </c>
      <c r="U9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14" t="str">
        <f>VLOOKUP(Registro2[[#This Row],[Categoria]],'Plano de Contas'!$V$3:W746,2,0)</f>
        <v>Custos Operacionais</v>
      </c>
      <c r="X91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14" t="s">
        <v>1536</v>
      </c>
    </row>
    <row r="915" spans="1:25" hidden="1">
      <c r="A915" s="1">
        <v>45735.416666666664</v>
      </c>
      <c r="B915" s="1">
        <v>45735.416666666664</v>
      </c>
      <c r="D915" t="s">
        <v>354</v>
      </c>
      <c r="E915" t="s">
        <v>149</v>
      </c>
      <c r="F915" t="s">
        <v>147</v>
      </c>
      <c r="G915" t="s">
        <v>163</v>
      </c>
      <c r="I915" s="4">
        <v>35</v>
      </c>
      <c r="J915" s="4">
        <v>35</v>
      </c>
      <c r="L915" t="s">
        <v>252</v>
      </c>
      <c r="M915" t="s">
        <v>503</v>
      </c>
      <c r="N915" s="4">
        <f>IF(L915="","",IF(OR(Registro2[[#This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15" t="str">
        <f t="shared" si="14"/>
        <v>mar/25</v>
      </c>
      <c r="P915" t="str">
        <f>IF(Registro2[[#This Row],[Data de Pagamento]]&gt;0,TEXT(A915,"mmm/aa"),"")</f>
        <v>mar/25</v>
      </c>
      <c r="T915" s="4">
        <f>IF(Registro2[[#This Row],[Data de Pagamento]]="",0,IF(Registro2[[#This Row],[Conta Financeira]]=base!$A$6,0,Registro2[[#This Row],[Valor Unitário]]))</f>
        <v>35</v>
      </c>
      <c r="U9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15" t="str">
        <f>VLOOKUP(Registro2[[#This Row],[Categoria]],'Plano de Contas'!$V$3:W971,2,0)</f>
        <v>Receitas Serviços</v>
      </c>
      <c r="X91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915" t="s">
        <v>1536</v>
      </c>
    </row>
    <row r="916" spans="1:25" hidden="1">
      <c r="A916" s="1">
        <v>45735.427083333336</v>
      </c>
      <c r="B916" s="1">
        <v>45735.427083333336</v>
      </c>
      <c r="D916" t="s">
        <v>1377</v>
      </c>
      <c r="E916" t="s">
        <v>149</v>
      </c>
      <c r="F916" t="s">
        <v>147</v>
      </c>
      <c r="G916" t="s">
        <v>163</v>
      </c>
      <c r="I916" s="4">
        <v>20</v>
      </c>
      <c r="J916" s="4">
        <v>20</v>
      </c>
      <c r="L916" t="s">
        <v>264</v>
      </c>
      <c r="M916" t="s">
        <v>1067</v>
      </c>
      <c r="N916" s="4">
        <f>IF(L916="","",IF(OR(Registro2[[#This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916" t="str">
        <f t="shared" si="14"/>
        <v>mar/25</v>
      </c>
      <c r="P916" t="str">
        <f>IF(Registro2[[#This Row],[Data de Pagamento]]&gt;0,TEXT(A916,"mmm/aa"),"")</f>
        <v>mar/25</v>
      </c>
      <c r="T916" s="4">
        <f>IF(Registro2[[#This Row],[Data de Pagamento]]="",0,IF(Registro2[[#This Row],[Conta Financeira]]=base!$A$6,0,Registro2[[#This Row],[Valor Unitário]]))</f>
        <v>20</v>
      </c>
      <c r="U9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16" t="str">
        <f>VLOOKUP(Registro2[[#This Row],[Categoria]],'Plano de Contas'!$V$3:W980,2,0)</f>
        <v>Receitas Serviços</v>
      </c>
      <c r="X91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16" t="s">
        <v>1536</v>
      </c>
    </row>
    <row r="917" spans="1:25" hidden="1">
      <c r="A917" s="1">
        <v>45735.4375</v>
      </c>
      <c r="B917" s="1">
        <v>45735.4375</v>
      </c>
      <c r="D917" t="s">
        <v>354</v>
      </c>
      <c r="E917" t="s">
        <v>149</v>
      </c>
      <c r="F917" t="s">
        <v>147</v>
      </c>
      <c r="G917" t="s">
        <v>163</v>
      </c>
      <c r="I917" s="4">
        <v>35</v>
      </c>
      <c r="J917" s="4">
        <v>35</v>
      </c>
      <c r="L917" t="s">
        <v>253</v>
      </c>
      <c r="M917" t="s">
        <v>372</v>
      </c>
      <c r="N917" s="4">
        <f>IF(L917="","",IF(OR(Registro2[[#This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17" t="str">
        <f t="shared" si="14"/>
        <v>mar/25</v>
      </c>
      <c r="P917" t="str">
        <f>IF(Registro2[[#This Row],[Data de Pagamento]]&gt;0,TEXT(A917,"mmm/aa"),"")</f>
        <v>mar/25</v>
      </c>
      <c r="T917" s="4">
        <f>IF(Registro2[[#This Row],[Data de Pagamento]]="",0,IF(Registro2[[#This Row],[Conta Financeira]]=base!$A$6,0,Registro2[[#This Row],[Valor Unitário]]))</f>
        <v>35</v>
      </c>
      <c r="U9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17" t="str">
        <f>VLOOKUP(Registro2[[#This Row],[Categoria]],'Plano de Contas'!$V$3:W973,2,0)</f>
        <v>Receitas Serviços</v>
      </c>
      <c r="X91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917" t="s">
        <v>1536</v>
      </c>
    </row>
    <row r="918" spans="1:25" hidden="1">
      <c r="A918" s="1">
        <v>45735.46875</v>
      </c>
      <c r="B918" s="1">
        <v>45735.46875</v>
      </c>
      <c r="D918" t="s">
        <v>1</v>
      </c>
      <c r="E918" t="s">
        <v>149</v>
      </c>
      <c r="F918" t="s">
        <v>147</v>
      </c>
      <c r="G918" t="s">
        <v>163</v>
      </c>
      <c r="I918" s="4">
        <v>35</v>
      </c>
      <c r="J918" s="4">
        <v>35</v>
      </c>
      <c r="L918" t="s">
        <v>252</v>
      </c>
      <c r="M918" t="s">
        <v>58</v>
      </c>
      <c r="N918" s="4">
        <f>IF(L918="","",IF(OR(Registro2[[#This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18" t="str">
        <f t="shared" si="14"/>
        <v>mar/25</v>
      </c>
      <c r="P918" t="str">
        <f>IF(Registro2[[#This Row],[Data de Pagamento]]&gt;0,TEXT(A918,"mmm/aa"),"")</f>
        <v>mar/25</v>
      </c>
      <c r="T918" s="4">
        <f>IF(Registro2[[#This Row],[Data de Pagamento]]="",0,IF(Registro2[[#This Row],[Conta Financeira]]=base!$A$6,0,Registro2[[#This Row],[Valor Unitário]]))</f>
        <v>35</v>
      </c>
      <c r="U9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18" t="str">
        <f>VLOOKUP(Registro2[[#This Row],[Categoria]],'Plano de Contas'!$V$3:W975,2,0)</f>
        <v>Receitas Serviços</v>
      </c>
      <c r="X9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18" t="s">
        <v>1536</v>
      </c>
    </row>
    <row r="919" spans="1:25" hidden="1">
      <c r="A919" s="1">
        <v>45735.479166666664</v>
      </c>
      <c r="B919" s="1">
        <v>45735.479166666664</v>
      </c>
      <c r="D919" t="s">
        <v>310</v>
      </c>
      <c r="E919" t="s">
        <v>149</v>
      </c>
      <c r="F919" t="s">
        <v>147</v>
      </c>
      <c r="G919" t="s">
        <v>163</v>
      </c>
      <c r="I919" s="4">
        <v>35</v>
      </c>
      <c r="J919" s="4">
        <v>40</v>
      </c>
      <c r="L919" t="s">
        <v>264</v>
      </c>
      <c r="M919" t="s">
        <v>292</v>
      </c>
      <c r="N919" s="4">
        <f>IF(L919="","",IF(OR(Registro2[[#This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19" t="str">
        <f t="shared" si="14"/>
        <v>mar/25</v>
      </c>
      <c r="P919" t="str">
        <f>IF(Registro2[[#This Row],[Data de Pagamento]]&gt;0,TEXT(A919,"mmm/aa"),"")</f>
        <v>mar/25</v>
      </c>
      <c r="T919" s="4">
        <f>IF(Registro2[[#This Row],[Data de Pagamento]]="",0,IF(Registro2[[#This Row],[Conta Financeira]]=base!$A$6,0,Registro2[[#This Row],[Valor Unitário]]))</f>
        <v>35</v>
      </c>
      <c r="U9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19" t="str">
        <f>VLOOKUP(Registro2[[#This Row],[Categoria]],'Plano de Contas'!$V$3:W976,2,0)</f>
        <v>Receitas Serviços</v>
      </c>
      <c r="X91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919" t="s">
        <v>1536</v>
      </c>
    </row>
    <row r="920" spans="1:25" hidden="1">
      <c r="A920" s="1">
        <v>45735.479166666664</v>
      </c>
      <c r="B920" s="1">
        <v>45735.479166666664</v>
      </c>
      <c r="D920" t="s">
        <v>310</v>
      </c>
      <c r="E920" t="s">
        <v>149</v>
      </c>
      <c r="F920" t="s">
        <v>910</v>
      </c>
      <c r="G920" t="s">
        <v>910</v>
      </c>
      <c r="I920" s="4">
        <v>5</v>
      </c>
      <c r="J920" s="4"/>
      <c r="L920" t="s">
        <v>264</v>
      </c>
      <c r="M920" t="s">
        <v>292</v>
      </c>
      <c r="N920" s="4" t="str">
        <f>IF(L920="","",IF(OR(Registro2[[#This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920" t="str">
        <f t="shared" si="14"/>
        <v>mar/25</v>
      </c>
      <c r="P920" t="str">
        <f>IF(Registro2[[#This Row],[Data de Pagamento]]&gt;0,TEXT(A920,"mmm/aa"),"")</f>
        <v>mar/25</v>
      </c>
      <c r="T920" s="4">
        <f>IF(Registro2[[#This Row],[Data de Pagamento]]="",0,IF(Registro2[[#This Row],[Conta Financeira]]=base!$A$6,0,Registro2[[#This Row],[Valor Unitário]]))</f>
        <v>5</v>
      </c>
      <c r="U9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20" t="str">
        <f>VLOOKUP(Registro2[[#This Row],[Categoria]],'Plano de Contas'!$V$3:W977,2,0)</f>
        <v>Outras Receitas</v>
      </c>
      <c r="X92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4.4499999999999998E-2</v>
      </c>
      <c r="Y920" t="s">
        <v>1536</v>
      </c>
    </row>
    <row r="921" spans="1:25" hidden="1">
      <c r="A921" s="1">
        <v>45735.479166666664</v>
      </c>
      <c r="B921" s="1">
        <v>45735.479166666664</v>
      </c>
      <c r="D921" t="s">
        <v>2</v>
      </c>
      <c r="E921" t="s">
        <v>149</v>
      </c>
      <c r="F921" t="s">
        <v>147</v>
      </c>
      <c r="G921" t="s">
        <v>163</v>
      </c>
      <c r="I921" s="4">
        <v>35</v>
      </c>
      <c r="J921" s="4">
        <v>35</v>
      </c>
      <c r="L921" t="s">
        <v>253</v>
      </c>
      <c r="M921" t="s">
        <v>207</v>
      </c>
      <c r="N921" s="4">
        <f>IF(L921="","",IF(OR(Registro2[[#This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21" t="str">
        <f t="shared" si="14"/>
        <v>mar/25</v>
      </c>
      <c r="P921" t="str">
        <f>IF(Registro2[[#This Row],[Data de Pagamento]]&gt;0,TEXT(A921,"mmm/aa"),"")</f>
        <v>mar/25</v>
      </c>
      <c r="T921" s="4">
        <f>IF(Registro2[[#This Row],[Data de Pagamento]]="",0,IF(Registro2[[#This Row],[Conta Financeira]]=base!$A$6,0,Registro2[[#This Row],[Valor Unitário]]))</f>
        <v>35</v>
      </c>
      <c r="U9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21" t="str">
        <f>VLOOKUP(Registro2[[#This Row],[Categoria]],'Plano de Contas'!$V$3:W981,2,0)</f>
        <v>Receitas Serviços</v>
      </c>
      <c r="X92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21" t="s">
        <v>1536</v>
      </c>
    </row>
    <row r="922" spans="1:25" hidden="1">
      <c r="A922" s="1">
        <v>45735.538194444445</v>
      </c>
      <c r="B922" s="1">
        <v>45735.538194444445</v>
      </c>
      <c r="D922" t="s">
        <v>1</v>
      </c>
      <c r="E922" t="s">
        <v>149</v>
      </c>
      <c r="F922" t="s">
        <v>152</v>
      </c>
      <c r="G922" t="s">
        <v>353</v>
      </c>
      <c r="I922" s="4">
        <v>50</v>
      </c>
      <c r="J922" s="4">
        <v>50</v>
      </c>
      <c r="L922" t="s">
        <v>253</v>
      </c>
      <c r="M922" t="s">
        <v>278</v>
      </c>
      <c r="N922" s="4">
        <f>IF(L922="","",IF(OR(Registro2[[#This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922" t="str">
        <f t="shared" si="14"/>
        <v>mar/25</v>
      </c>
      <c r="P922" t="str">
        <f>IF(Registro2[[#This Row],[Data de Pagamento]]&gt;0,TEXT(A922,"mmm/aa"),"")</f>
        <v>mar/25</v>
      </c>
      <c r="T922" s="4">
        <f>IF(Registro2[[#This Row],[Data de Pagamento]]="",0,IF(Registro2[[#This Row],[Conta Financeira]]=base!$A$6,0,Registro2[[#This Row],[Valor Unitário]]))</f>
        <v>50</v>
      </c>
      <c r="U9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22" t="str">
        <f>VLOOKUP(Registro2[[#This Row],[Categoria]],'Plano de Contas'!$V$3:W982,2,0)</f>
        <v>Receitas Serviços</v>
      </c>
      <c r="X92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22" t="s">
        <v>1536</v>
      </c>
    </row>
    <row r="923" spans="1:25" hidden="1">
      <c r="A923" s="1">
        <v>45735.541666666664</v>
      </c>
      <c r="B923" s="1">
        <v>45735.541666666664</v>
      </c>
      <c r="D923" t="s">
        <v>1</v>
      </c>
      <c r="E923" t="s">
        <v>149</v>
      </c>
      <c r="F923" t="s">
        <v>152</v>
      </c>
      <c r="G923" t="s">
        <v>353</v>
      </c>
      <c r="I923" s="4">
        <v>60</v>
      </c>
      <c r="J923" s="4">
        <v>60</v>
      </c>
      <c r="L923" t="s">
        <v>252</v>
      </c>
      <c r="M923" t="s">
        <v>1512</v>
      </c>
      <c r="N923" s="4">
        <f>IF(L923="","",IF(OR(Registro2[[#This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923" t="str">
        <f t="shared" si="14"/>
        <v>mar/25</v>
      </c>
      <c r="P923" t="str">
        <f>IF(Registro2[[#This Row],[Data de Pagamento]]&gt;0,TEXT(A923,"mmm/aa"),"")</f>
        <v>mar/25</v>
      </c>
      <c r="T923" s="4">
        <f>IF(Registro2[[#This Row],[Data de Pagamento]]="",0,IF(Registro2[[#This Row],[Conta Financeira]]=base!$A$6,0,Registro2[[#This Row],[Valor Unitário]]))</f>
        <v>60</v>
      </c>
      <c r="U9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23" t="str">
        <f>VLOOKUP(Registro2[[#This Row],[Categoria]],'Plano de Contas'!$V$3:W983,2,0)</f>
        <v>Receitas Serviços</v>
      </c>
      <c r="X92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23" t="s">
        <v>1536</v>
      </c>
    </row>
    <row r="924" spans="1:25" hidden="1">
      <c r="A924" s="1">
        <v>45735.625</v>
      </c>
      <c r="B924" s="1">
        <v>45735.625</v>
      </c>
      <c r="D924" t="s">
        <v>2</v>
      </c>
      <c r="E924" t="s">
        <v>149</v>
      </c>
      <c r="F924" t="s">
        <v>147</v>
      </c>
      <c r="G924" t="s">
        <v>163</v>
      </c>
      <c r="I924" s="4">
        <v>35</v>
      </c>
      <c r="J924" s="4">
        <v>50</v>
      </c>
      <c r="L924" t="s">
        <v>253</v>
      </c>
      <c r="M924" t="s">
        <v>383</v>
      </c>
      <c r="N924" s="4">
        <f>IF(L924="","",IF(OR(Registro2[[#This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24" t="str">
        <f t="shared" si="14"/>
        <v>mar/25</v>
      </c>
      <c r="P924" t="str">
        <f>IF(Registro2[[#This Row],[Data de Pagamento]]&gt;0,TEXT(A924,"mmm/aa"),"")</f>
        <v>mar/25</v>
      </c>
      <c r="T924" s="4">
        <f>IF(Registro2[[#This Row],[Data de Pagamento]]="",0,IF(Registro2[[#This Row],[Conta Financeira]]=base!$A$6,0,Registro2[[#This Row],[Valor Unitário]]))</f>
        <v>35</v>
      </c>
      <c r="U9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24" t="str">
        <f>VLOOKUP(Registro2[[#This Row],[Categoria]],'Plano de Contas'!$V$3:W978,2,0)</f>
        <v>Receitas Serviços</v>
      </c>
      <c r="X92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24" t="s">
        <v>1536</v>
      </c>
    </row>
    <row r="925" spans="1:25" hidden="1">
      <c r="A925" s="1">
        <v>45735.625</v>
      </c>
      <c r="B925" s="1">
        <v>45735.625</v>
      </c>
      <c r="D925" t="s">
        <v>2</v>
      </c>
      <c r="E925" t="s">
        <v>149</v>
      </c>
      <c r="F925" t="s">
        <v>147</v>
      </c>
      <c r="G925" t="s">
        <v>1046</v>
      </c>
      <c r="I925" s="4">
        <v>15</v>
      </c>
      <c r="J925" s="4"/>
      <c r="L925" t="s">
        <v>253</v>
      </c>
      <c r="M925" t="s">
        <v>383</v>
      </c>
      <c r="N925" s="4">
        <f>IF(L925="","",IF(OR(Registro2[[#This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925" t="str">
        <f t="shared" si="14"/>
        <v>mar/25</v>
      </c>
      <c r="P925" t="str">
        <f>IF(Registro2[[#This Row],[Data de Pagamento]]&gt;0,TEXT(A925,"mmm/aa"),"")</f>
        <v>mar/25</v>
      </c>
      <c r="T925" s="4">
        <f>IF(Registro2[[#This Row],[Data de Pagamento]]="",0,IF(Registro2[[#This Row],[Conta Financeira]]=base!$A$6,0,Registro2[[#This Row],[Valor Unitário]]))</f>
        <v>15</v>
      </c>
      <c r="U9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25" t="str">
        <f>VLOOKUP(Registro2[[#This Row],[Categoria]],'Plano de Contas'!$V$3:W979,2,0)</f>
        <v>Receitas Serviços</v>
      </c>
      <c r="X92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25" t="s">
        <v>1536</v>
      </c>
    </row>
    <row r="926" spans="1:25" hidden="1">
      <c r="A926" s="1">
        <v>45735.71875</v>
      </c>
      <c r="B926" s="1">
        <v>45735.71875</v>
      </c>
      <c r="D926" t="s">
        <v>1</v>
      </c>
      <c r="E926" t="s">
        <v>149</v>
      </c>
      <c r="F926" t="s">
        <v>152</v>
      </c>
      <c r="G926" t="s">
        <v>353</v>
      </c>
      <c r="I926" s="4">
        <v>60</v>
      </c>
      <c r="J926" s="4">
        <v>60</v>
      </c>
      <c r="L926" t="s">
        <v>253</v>
      </c>
      <c r="M926" t="s">
        <v>398</v>
      </c>
      <c r="N926" s="4">
        <f>IF(L926="","",IF(OR(Registro2[[#This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926" t="str">
        <f t="shared" si="14"/>
        <v>mar/25</v>
      </c>
      <c r="P926" t="str">
        <f>IF(Registro2[[#This Row],[Data de Pagamento]]&gt;0,TEXT(A926,"mmm/aa"),"")</f>
        <v>mar/25</v>
      </c>
      <c r="T926" s="4">
        <f>IF(Registro2[[#This Row],[Data de Pagamento]]="",0,IF(Registro2[[#This Row],[Conta Financeira]]=base!$A$6,0,Registro2[[#This Row],[Valor Unitário]]))</f>
        <v>60</v>
      </c>
      <c r="U9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26" t="str">
        <f>VLOOKUP(Registro2[[#This Row],[Categoria]],'Plano de Contas'!$V$3:W972,2,0)</f>
        <v>Receitas Serviços</v>
      </c>
      <c r="X92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26" t="s">
        <v>1536</v>
      </c>
    </row>
    <row r="927" spans="1:25" hidden="1">
      <c r="A927" s="1">
        <v>45735.75</v>
      </c>
      <c r="B927" s="1">
        <v>45735.75</v>
      </c>
      <c r="D927" t="s">
        <v>1</v>
      </c>
      <c r="E927" t="s">
        <v>149</v>
      </c>
      <c r="F927" t="s">
        <v>147</v>
      </c>
      <c r="G927" t="s">
        <v>163</v>
      </c>
      <c r="I927" s="4">
        <v>35</v>
      </c>
      <c r="J927" s="4">
        <v>20</v>
      </c>
      <c r="L927" t="s">
        <v>252</v>
      </c>
      <c r="M927" t="s">
        <v>1179</v>
      </c>
      <c r="N927" s="4">
        <f>IF(L927="","",IF(OR(Registro2[[#This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27" t="str">
        <f t="shared" si="14"/>
        <v>mar/25</v>
      </c>
      <c r="P927" t="str">
        <f>IF(Registro2[[#This Row],[Data de Pagamento]]&gt;0,TEXT(A927,"mmm/aa"),"")</f>
        <v>mar/25</v>
      </c>
      <c r="T927" s="4">
        <f>IF(Registro2[[#This Row],[Data de Pagamento]]="",0,IF(Registro2[[#This Row],[Conta Financeira]]=base!$A$6,0,Registro2[[#This Row],[Valor Unitário]]))</f>
        <v>35</v>
      </c>
      <c r="U9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27" t="str">
        <f>VLOOKUP(Registro2[[#This Row],[Categoria]],'Plano de Contas'!$V$3:W985,2,0)</f>
        <v>Receitas Serviços</v>
      </c>
      <c r="X9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27" t="s">
        <v>1536</v>
      </c>
    </row>
    <row r="928" spans="1:25" hidden="1">
      <c r="A928" s="1">
        <v>45735.770833333336</v>
      </c>
      <c r="B928" s="1">
        <v>45735.770833333336</v>
      </c>
      <c r="D928" t="s">
        <v>1</v>
      </c>
      <c r="E928" t="s">
        <v>149</v>
      </c>
      <c r="F928" t="s">
        <v>147</v>
      </c>
      <c r="G928" t="s">
        <v>163</v>
      </c>
      <c r="I928" s="4">
        <v>35</v>
      </c>
      <c r="J928" s="4">
        <v>35</v>
      </c>
      <c r="L928" t="s">
        <v>253</v>
      </c>
      <c r="M928" t="s">
        <v>1517</v>
      </c>
      <c r="N928" s="4">
        <f>IF(L928="","",IF(OR(Registro2[[#This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28" t="str">
        <f t="shared" si="14"/>
        <v>mar/25</v>
      </c>
      <c r="P928" t="str">
        <f>IF(Registro2[[#This Row],[Data de Pagamento]]&gt;0,TEXT(A928,"mmm/aa"),"")</f>
        <v>mar/25</v>
      </c>
      <c r="T928" s="4">
        <f>IF(Registro2[[#This Row],[Data de Pagamento]]="",0,IF(Registro2[[#This Row],[Conta Financeira]]=base!$A$6,0,Registro2[[#This Row],[Valor Unitário]]))</f>
        <v>35</v>
      </c>
      <c r="U9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28" t="str">
        <f>VLOOKUP(Registro2[[#This Row],[Categoria]],'Plano de Contas'!$V$3:W987,2,0)</f>
        <v>Receitas Serviços</v>
      </c>
      <c r="X92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28" t="s">
        <v>1536</v>
      </c>
    </row>
    <row r="929" spans="1:25" hidden="1">
      <c r="A929" s="1">
        <v>45735.791666666664</v>
      </c>
      <c r="B929" s="1">
        <v>45735.791666666664</v>
      </c>
      <c r="D929" t="s">
        <v>1</v>
      </c>
      <c r="E929" t="s">
        <v>149</v>
      </c>
      <c r="F929" t="s">
        <v>147</v>
      </c>
      <c r="G929" t="s">
        <v>163</v>
      </c>
      <c r="I929" s="4">
        <v>30</v>
      </c>
      <c r="J929" s="4">
        <v>0</v>
      </c>
      <c r="L929" t="s">
        <v>253</v>
      </c>
      <c r="M929" t="s">
        <v>185</v>
      </c>
      <c r="N929" s="4">
        <f>IF(L929="","",IF(OR(Registro2[[#This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929" t="str">
        <f t="shared" si="14"/>
        <v>mar/25</v>
      </c>
      <c r="P929" t="str">
        <f>IF(Registro2[[#This Row],[Data de Pagamento]]&gt;0,TEXT(A929,"mmm/aa"),"")</f>
        <v>mar/25</v>
      </c>
      <c r="T929" s="4">
        <f>IF(Registro2[[#This Row],[Data de Pagamento]]="",0,IF(Registro2[[#This Row],[Conta Financeira]]=base!$A$6,0,Registro2[[#This Row],[Valor Unitário]]))</f>
        <v>30</v>
      </c>
      <c r="U9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929" t="str">
        <f>VLOOKUP(Registro2[[#This Row],[Categoria]],'Plano de Contas'!$V$3:W984,2,0)</f>
        <v>Receitas Serviços</v>
      </c>
      <c r="X9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29" t="s">
        <v>1536</v>
      </c>
    </row>
    <row r="930" spans="1:25" hidden="1">
      <c r="A930" s="1">
        <v>45736</v>
      </c>
      <c r="B930" s="1">
        <v>45747</v>
      </c>
      <c r="D930" t="s">
        <v>947</v>
      </c>
      <c r="E930" t="s">
        <v>137</v>
      </c>
      <c r="F930" t="s">
        <v>146</v>
      </c>
      <c r="G930" t="s">
        <v>314</v>
      </c>
      <c r="H930" t="s">
        <v>447</v>
      </c>
      <c r="I930" s="4">
        <v>1000</v>
      </c>
      <c r="J930" s="4"/>
      <c r="N930" s="4" t="str">
        <f>IF(L930="","",IF(OR(Registro2[[#This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930" t="str">
        <f t="shared" si="14"/>
        <v>mar/25</v>
      </c>
      <c r="P930" t="str">
        <f>IF(Registro2[[#This Row],[Data de Pagamento]]&gt;0,TEXT(A930,"mmm/aa"),"")</f>
        <v>mar/25</v>
      </c>
      <c r="T930" s="4">
        <f>IF(Registro2[[#This Row],[Data de Pagamento]]="",0,IF(Registro2[[#This Row],[Conta Financeira]]=base!$A$6,0,Registro2[[#This Row],[Valor Unitário]]))</f>
        <v>1000</v>
      </c>
      <c r="U9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30" t="str">
        <f>VLOOKUP(Registro2[[#This Row],[Categoria]],'Plano de Contas'!$V$3:W747,2,0)</f>
        <v>Despesas Operacionais</v>
      </c>
      <c r="X93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30" t="s">
        <v>1536</v>
      </c>
    </row>
    <row r="931" spans="1:25" hidden="1">
      <c r="A931" s="1">
        <v>45736.416666666664</v>
      </c>
      <c r="B931" s="1">
        <v>45736.416666666664</v>
      </c>
      <c r="D931" t="s">
        <v>1</v>
      </c>
      <c r="E931" t="s">
        <v>149</v>
      </c>
      <c r="F931" t="s">
        <v>147</v>
      </c>
      <c r="G931" t="s">
        <v>163</v>
      </c>
      <c r="I931" s="4">
        <v>35</v>
      </c>
      <c r="J931" s="4">
        <v>35</v>
      </c>
      <c r="L931" t="s">
        <v>252</v>
      </c>
      <c r="M931" t="s">
        <v>364</v>
      </c>
      <c r="N931" s="4">
        <f>IF(L931="","",IF(OR(Registro2[[#This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31" t="str">
        <f t="shared" si="14"/>
        <v>mar/25</v>
      </c>
      <c r="P931" t="str">
        <f>IF(Registro2[[#This Row],[Data de Pagamento]]&gt;0,TEXT(A931,"mmm/aa"),"")</f>
        <v>mar/25</v>
      </c>
      <c r="T931" s="4">
        <f>IF(Registro2[[#This Row],[Data de Pagamento]]="",0,IF(Registro2[[#This Row],[Conta Financeira]]=base!$A$6,0,Registro2[[#This Row],[Valor Unitário]]))</f>
        <v>35</v>
      </c>
      <c r="U9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31" t="str">
        <f>VLOOKUP(Registro2[[#This Row],[Categoria]],'Plano de Contas'!$V$3:W974,2,0)</f>
        <v>Receitas Serviços</v>
      </c>
      <c r="X93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31" t="s">
        <v>1536</v>
      </c>
    </row>
    <row r="932" spans="1:25" hidden="1">
      <c r="A932" s="1">
        <v>45736.479166666664</v>
      </c>
      <c r="B932" s="1">
        <v>45736.479166666664</v>
      </c>
      <c r="D932" t="s">
        <v>354</v>
      </c>
      <c r="E932" t="s">
        <v>149</v>
      </c>
      <c r="F932" t="s">
        <v>147</v>
      </c>
      <c r="G932" t="s">
        <v>163</v>
      </c>
      <c r="I932" s="4">
        <v>25</v>
      </c>
      <c r="J932" s="4">
        <v>60</v>
      </c>
      <c r="L932" t="s">
        <v>253</v>
      </c>
      <c r="M932" t="s">
        <v>122</v>
      </c>
      <c r="N932" s="4">
        <f>IF(L932="","",IF(OR(Registro2[[#This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932" t="str">
        <f t="shared" si="14"/>
        <v>mar/25</v>
      </c>
      <c r="P932" t="str">
        <f>IF(Registro2[[#This Row],[Data de Pagamento]]&gt;0,TEXT(A932,"mmm/aa"),"")</f>
        <v>mar/25</v>
      </c>
      <c r="T932" s="4">
        <f>IF(Registro2[[#This Row],[Data de Pagamento]]="",0,IF(Registro2[[#This Row],[Conta Financeira]]=base!$A$6,0,Registro2[[#This Row],[Valor Unitário]]))</f>
        <v>25</v>
      </c>
      <c r="U9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32" t="str">
        <f>VLOOKUP(Registro2[[#This Row],[Categoria]],'Plano de Contas'!$V$3:W988,2,0)</f>
        <v>Receitas Serviços</v>
      </c>
      <c r="X93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0.78749999999999998</v>
      </c>
      <c r="Y932" t="s">
        <v>1536</v>
      </c>
    </row>
    <row r="933" spans="1:25" hidden="1">
      <c r="A933" s="1">
        <v>45736.479166666664</v>
      </c>
      <c r="B933" s="1">
        <v>45736.479166666664</v>
      </c>
      <c r="D933" t="s">
        <v>354</v>
      </c>
      <c r="E933" t="s">
        <v>149</v>
      </c>
      <c r="F933" t="s">
        <v>147</v>
      </c>
      <c r="G933" t="s">
        <v>1046</v>
      </c>
      <c r="I933" s="4">
        <v>35</v>
      </c>
      <c r="J933" s="4"/>
      <c r="L933" t="s">
        <v>253</v>
      </c>
      <c r="M933" t="s">
        <v>122</v>
      </c>
      <c r="N933" s="4">
        <f>IF(L933="","",IF(OR(Registro2[[#This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33" t="str">
        <f t="shared" si="14"/>
        <v>mar/25</v>
      </c>
      <c r="P933" t="str">
        <f>IF(Registro2[[#This Row],[Data de Pagamento]]&gt;0,TEXT(A933,"mmm/aa"),"")</f>
        <v>mar/25</v>
      </c>
      <c r="T933" s="4">
        <f>IF(Registro2[[#This Row],[Data de Pagamento]]="",0,IF(Registro2[[#This Row],[Conta Financeira]]=base!$A$6,0,Registro2[[#This Row],[Valor Unitário]]))</f>
        <v>35</v>
      </c>
      <c r="U9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33" t="str">
        <f>VLOOKUP(Registro2[[#This Row],[Categoria]],'Plano de Contas'!$V$3:W989,2,0)</f>
        <v>Receitas Serviços</v>
      </c>
      <c r="X93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  <c r="Y933" t="s">
        <v>1536</v>
      </c>
    </row>
    <row r="934" spans="1:25" hidden="1">
      <c r="A934" s="1">
        <v>45736.510416666664</v>
      </c>
      <c r="B934" s="1">
        <v>45736.510416666664</v>
      </c>
      <c r="D934" t="s">
        <v>1</v>
      </c>
      <c r="E934" t="s">
        <v>149</v>
      </c>
      <c r="F934" t="s">
        <v>147</v>
      </c>
      <c r="G934" t="s">
        <v>160</v>
      </c>
      <c r="I934" s="4">
        <v>12</v>
      </c>
      <c r="J934" s="4">
        <v>25</v>
      </c>
      <c r="L934" t="s">
        <v>252</v>
      </c>
      <c r="M934" t="s">
        <v>286</v>
      </c>
      <c r="N934" s="4">
        <f>IF(L934="","",IF(OR(Registro2[[#This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934" t="str">
        <f t="shared" si="14"/>
        <v>mar/25</v>
      </c>
      <c r="P934" t="str">
        <f>IF(Registro2[[#This Row],[Data de Pagamento]]&gt;0,TEXT(A934,"mmm/aa"),"")</f>
        <v>mar/25</v>
      </c>
      <c r="T934" s="4">
        <f>IF(Registro2[[#This Row],[Data de Pagamento]]="",0,IF(Registro2[[#This Row],[Conta Financeira]]=base!$A$6,0,Registro2[[#This Row],[Valor Unitário]]))</f>
        <v>12</v>
      </c>
      <c r="U9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34" t="str">
        <f>VLOOKUP(Registro2[[#This Row],[Categoria]],'Plano de Contas'!$V$3:W992,2,0)</f>
        <v>Receitas Serviços</v>
      </c>
      <c r="X93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34" t="s">
        <v>1536</v>
      </c>
    </row>
    <row r="935" spans="1:25" hidden="1">
      <c r="A935" s="1">
        <v>45736.552083333336</v>
      </c>
      <c r="B935" s="1">
        <v>45736.552083333336</v>
      </c>
      <c r="D935" t="s">
        <v>310</v>
      </c>
      <c r="E935" t="s">
        <v>149</v>
      </c>
      <c r="F935" t="s">
        <v>147</v>
      </c>
      <c r="G935" t="s">
        <v>163</v>
      </c>
      <c r="I935" s="4">
        <v>35</v>
      </c>
      <c r="J935" s="4">
        <v>45</v>
      </c>
      <c r="L935" t="s">
        <v>252</v>
      </c>
      <c r="M935" t="s">
        <v>44</v>
      </c>
      <c r="N935" s="4">
        <f>IF(L935="","",IF(OR(Registro2[[#This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35" t="str">
        <f t="shared" si="14"/>
        <v>mar/25</v>
      </c>
      <c r="P935" t="str">
        <f>IF(Registro2[[#This Row],[Data de Pagamento]]&gt;0,TEXT(A935,"mmm/aa"),"")</f>
        <v>mar/25</v>
      </c>
      <c r="T935" s="4">
        <f>IF(Registro2[[#This Row],[Data de Pagamento]]="",0,IF(Registro2[[#This Row],[Conta Financeira]]=base!$A$6,0,Registro2[[#This Row],[Valor Unitário]]))</f>
        <v>35</v>
      </c>
      <c r="U9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35" t="str">
        <f>VLOOKUP(Registro2[[#This Row],[Categoria]],'Plano de Contas'!$V$3:W993,2,0)</f>
        <v>Receitas Serviços</v>
      </c>
      <c r="X93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935" t="s">
        <v>1536</v>
      </c>
    </row>
    <row r="936" spans="1:25" hidden="1">
      <c r="A936" s="1">
        <v>45736.552083333336</v>
      </c>
      <c r="B936" s="1">
        <v>45736.552083333336</v>
      </c>
      <c r="D936" t="s">
        <v>310</v>
      </c>
      <c r="E936" t="s">
        <v>149</v>
      </c>
      <c r="F936" t="s">
        <v>147</v>
      </c>
      <c r="G936" t="s">
        <v>167</v>
      </c>
      <c r="I936" s="4">
        <v>10</v>
      </c>
      <c r="J936" s="4"/>
      <c r="L936" t="s">
        <v>252</v>
      </c>
      <c r="M936" t="s">
        <v>44</v>
      </c>
      <c r="N936" s="4">
        <f>IF(L936="","",IF(OR(Registro2[[#This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936" t="str">
        <f t="shared" si="14"/>
        <v>mar/25</v>
      </c>
      <c r="P936" t="str">
        <f>IF(Registro2[[#This Row],[Data de Pagamento]]&gt;0,TEXT(A936,"mmm/aa"),"")</f>
        <v>mar/25</v>
      </c>
      <c r="T936" s="4">
        <f>IF(Registro2[[#This Row],[Data de Pagamento]]="",0,IF(Registro2[[#This Row],[Conta Financeira]]=base!$A$6,0,Registro2[[#This Row],[Valor Unitário]]))</f>
        <v>10</v>
      </c>
      <c r="U9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36" t="str">
        <f>VLOOKUP(Registro2[[#This Row],[Categoria]],'Plano de Contas'!$V$3:W994,2,0)</f>
        <v>Receitas Serviços</v>
      </c>
      <c r="X93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8.8999999999999996E-2</v>
      </c>
      <c r="Y936" t="s">
        <v>1536</v>
      </c>
    </row>
    <row r="937" spans="1:25" hidden="1">
      <c r="A937" s="1">
        <v>45736.5625</v>
      </c>
      <c r="B937" s="1">
        <v>45736.5625</v>
      </c>
      <c r="D937" t="s">
        <v>1</v>
      </c>
      <c r="E937" t="s">
        <v>149</v>
      </c>
      <c r="F937" t="s">
        <v>147</v>
      </c>
      <c r="G937" t="s">
        <v>163</v>
      </c>
      <c r="I937" s="4">
        <v>35</v>
      </c>
      <c r="J937" s="4">
        <v>35</v>
      </c>
      <c r="L937" t="s">
        <v>253</v>
      </c>
      <c r="M937" t="s">
        <v>11</v>
      </c>
      <c r="N937" s="4">
        <f>IF(L937="","",IF(OR(Registro2[[#This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37" t="str">
        <f t="shared" si="14"/>
        <v>mar/25</v>
      </c>
      <c r="P937" t="str">
        <f>IF(Registro2[[#This Row],[Data de Pagamento]]&gt;0,TEXT(A937,"mmm/aa"),"")</f>
        <v>mar/25</v>
      </c>
      <c r="T937" s="4">
        <f>IF(Registro2[[#This Row],[Data de Pagamento]]="",0,IF(Registro2[[#This Row],[Conta Financeira]]=base!$A$6,0,Registro2[[#This Row],[Valor Unitário]]))</f>
        <v>35</v>
      </c>
      <c r="U9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37" t="str">
        <f>VLOOKUP(Registro2[[#This Row],[Categoria]],'Plano de Contas'!$V$3:W986,2,0)</f>
        <v>Receitas Serviços</v>
      </c>
      <c r="X93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37" t="s">
        <v>1536</v>
      </c>
    </row>
    <row r="938" spans="1:25" hidden="1">
      <c r="A938" s="1">
        <v>45736.625</v>
      </c>
      <c r="B938" s="1">
        <v>45736.625</v>
      </c>
      <c r="D938" t="s">
        <v>1</v>
      </c>
      <c r="E938" t="s">
        <v>149</v>
      </c>
      <c r="F938" t="s">
        <v>147</v>
      </c>
      <c r="G938" t="s">
        <v>163</v>
      </c>
      <c r="I938" s="4">
        <v>35</v>
      </c>
      <c r="J938" s="4">
        <v>35</v>
      </c>
      <c r="L938" t="s">
        <v>253</v>
      </c>
      <c r="M938" t="s">
        <v>1056</v>
      </c>
      <c r="N938" s="4">
        <f>IF(L938="","",IF(OR(Registro2[[#This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38" t="str">
        <f t="shared" si="14"/>
        <v>mar/25</v>
      </c>
      <c r="P938" t="str">
        <f>IF(Registro2[[#This Row],[Data de Pagamento]]&gt;0,TEXT(A938,"mmm/aa"),"")</f>
        <v>mar/25</v>
      </c>
      <c r="T938" s="4">
        <f>IF(Registro2[[#This Row],[Data de Pagamento]]="",0,IF(Registro2[[#This Row],[Conta Financeira]]=base!$A$6,0,Registro2[[#This Row],[Valor Unitário]]))</f>
        <v>35</v>
      </c>
      <c r="U9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38" t="str">
        <f>VLOOKUP(Registro2[[#This Row],[Categoria]],'Plano de Contas'!$V$3:W952,2,0)</f>
        <v>Receitas Serviços</v>
      </c>
      <c r="X93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38" t="s">
        <v>1536</v>
      </c>
    </row>
    <row r="939" spans="1:25" hidden="1">
      <c r="A939" s="1">
        <v>45736.645833333336</v>
      </c>
      <c r="B939" s="1">
        <v>45736.645833333336</v>
      </c>
      <c r="D939" t="s">
        <v>1</v>
      </c>
      <c r="E939" t="s">
        <v>149</v>
      </c>
      <c r="F939" t="s">
        <v>147</v>
      </c>
      <c r="G939" t="s">
        <v>163</v>
      </c>
      <c r="I939" s="4">
        <v>35</v>
      </c>
      <c r="J939" s="4">
        <v>70</v>
      </c>
      <c r="L939" t="s">
        <v>253</v>
      </c>
      <c r="M939" t="s">
        <v>16</v>
      </c>
      <c r="N939" s="4">
        <f>IF(L939="","",IF(OR(Registro2[[#This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39" t="str">
        <f t="shared" si="14"/>
        <v>mar/25</v>
      </c>
      <c r="P939" t="str">
        <f>IF(Registro2[[#This Row],[Data de Pagamento]]&gt;0,TEXT(A939,"mmm/aa"),"")</f>
        <v>mar/25</v>
      </c>
      <c r="T939" s="4">
        <f>IF(Registro2[[#This Row],[Data de Pagamento]]="",0,IF(Registro2[[#This Row],[Conta Financeira]]=base!$A$6,0,Registro2[[#This Row],[Valor Unitário]]))</f>
        <v>35</v>
      </c>
      <c r="U9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39" t="str">
        <f>VLOOKUP(Registro2[[#This Row],[Categoria]],'Plano de Contas'!$V$3:W990,2,0)</f>
        <v>Receitas Serviços</v>
      </c>
      <c r="X93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39" t="s">
        <v>1536</v>
      </c>
    </row>
    <row r="940" spans="1:25" hidden="1">
      <c r="A940" s="1">
        <v>45736.645833333336</v>
      </c>
      <c r="B940" s="1">
        <v>45736.645833333336</v>
      </c>
      <c r="D940" t="s">
        <v>1</v>
      </c>
      <c r="E940" t="s">
        <v>149</v>
      </c>
      <c r="F940" t="s">
        <v>147</v>
      </c>
      <c r="G940" t="s">
        <v>163</v>
      </c>
      <c r="I940" s="4">
        <v>35</v>
      </c>
      <c r="J940" s="4"/>
      <c r="L940" t="s">
        <v>252</v>
      </c>
      <c r="M940" t="s">
        <v>16</v>
      </c>
      <c r="N940" s="4">
        <f>IF(L940="","",IF(OR(Registro2[[#This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40" t="str">
        <f t="shared" si="14"/>
        <v>mar/25</v>
      </c>
      <c r="P940" t="str">
        <f>IF(Registro2[[#This Row],[Data de Pagamento]]&gt;0,TEXT(A940,"mmm/aa"),"")</f>
        <v>mar/25</v>
      </c>
      <c r="T940" s="4">
        <f>IF(Registro2[[#This Row],[Data de Pagamento]]="",0,IF(Registro2[[#This Row],[Conta Financeira]]=base!$A$6,0,Registro2[[#This Row],[Valor Unitário]]))</f>
        <v>35</v>
      </c>
      <c r="U9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40" t="str">
        <f>VLOOKUP(Registro2[[#This Row],[Categoria]],'Plano de Contas'!$V$3:W991,2,0)</f>
        <v>Receitas Serviços</v>
      </c>
      <c r="X94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40" t="s">
        <v>1536</v>
      </c>
    </row>
    <row r="941" spans="1:25" hidden="1">
      <c r="A941" s="1">
        <v>45736.670138888891</v>
      </c>
      <c r="B941" s="1">
        <v>45736.670138888891</v>
      </c>
      <c r="D941" t="s">
        <v>1</v>
      </c>
      <c r="E941" t="s">
        <v>149</v>
      </c>
      <c r="F941" t="s">
        <v>147</v>
      </c>
      <c r="G941" t="s">
        <v>163</v>
      </c>
      <c r="I941" s="4">
        <v>35</v>
      </c>
      <c r="J941" s="4">
        <v>35</v>
      </c>
      <c r="L941" t="s">
        <v>252</v>
      </c>
      <c r="M941" t="s">
        <v>290</v>
      </c>
      <c r="N941" s="4">
        <f>IF(L941="","",IF(OR(Registro2[[#This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41" t="str">
        <f t="shared" si="14"/>
        <v>mar/25</v>
      </c>
      <c r="P941" t="str">
        <f>IF(Registro2[[#This Row],[Data de Pagamento]]&gt;0,TEXT(A941,"mmm/aa"),"")</f>
        <v>mar/25</v>
      </c>
      <c r="T941" s="4">
        <f>IF(Registro2[[#This Row],[Data de Pagamento]]="",0,IF(Registro2[[#This Row],[Conta Financeira]]=base!$A$6,0,Registro2[[#This Row],[Valor Unitário]]))</f>
        <v>35</v>
      </c>
      <c r="U9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41" t="str">
        <f>VLOOKUP(Registro2[[#This Row],[Categoria]],'Plano de Contas'!$V$3:W999,2,0)</f>
        <v>Receitas Serviços</v>
      </c>
      <c r="X94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41" t="s">
        <v>1536</v>
      </c>
    </row>
    <row r="942" spans="1:25" hidden="1">
      <c r="A942" s="1">
        <v>45736.71875</v>
      </c>
      <c r="B942" s="1">
        <v>45736.71875</v>
      </c>
      <c r="D942" t="s">
        <v>1</v>
      </c>
      <c r="E942" t="s">
        <v>149</v>
      </c>
      <c r="F942" t="s">
        <v>147</v>
      </c>
      <c r="G942" t="s">
        <v>163</v>
      </c>
      <c r="I942" s="4">
        <v>35</v>
      </c>
      <c r="J942" s="4">
        <v>35</v>
      </c>
      <c r="L942" t="s">
        <v>264</v>
      </c>
      <c r="M942" t="s">
        <v>376</v>
      </c>
      <c r="N942" s="4">
        <f>IF(L942="","",IF(OR(Registro2[[#This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42" t="str">
        <f t="shared" si="14"/>
        <v>mar/25</v>
      </c>
      <c r="P942" t="str">
        <f>IF(Registro2[[#This Row],[Data de Pagamento]]&gt;0,TEXT(A942,"mmm/aa"),"")</f>
        <v>mar/25</v>
      </c>
      <c r="T942" s="4">
        <f>IF(Registro2[[#This Row],[Data de Pagamento]]="",0,IF(Registro2[[#This Row],[Conta Financeira]]=base!$A$6,0,Registro2[[#This Row],[Valor Unitário]]))</f>
        <v>35</v>
      </c>
      <c r="U9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42" t="str">
        <f>VLOOKUP(Registro2[[#This Row],[Categoria]],'Plano de Contas'!$V$3:W1004,2,0)</f>
        <v>Receitas Serviços</v>
      </c>
      <c r="X94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42" t="s">
        <v>1536</v>
      </c>
    </row>
    <row r="943" spans="1:25" hidden="1">
      <c r="A943" s="1">
        <v>45736.739583333336</v>
      </c>
      <c r="B943" s="1">
        <v>45736.739583333336</v>
      </c>
      <c r="D943" t="s">
        <v>2</v>
      </c>
      <c r="E943" t="s">
        <v>149</v>
      </c>
      <c r="F943" t="s">
        <v>147</v>
      </c>
      <c r="G943" t="s">
        <v>163</v>
      </c>
      <c r="I943" s="4">
        <v>35</v>
      </c>
      <c r="J943" s="4">
        <v>50</v>
      </c>
      <c r="L943" t="s">
        <v>253</v>
      </c>
      <c r="M943" t="s">
        <v>1523</v>
      </c>
      <c r="N943" s="4">
        <f>IF(L943="","",IF(OR(Registro2[[#This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43" t="str">
        <f t="shared" si="14"/>
        <v>mar/25</v>
      </c>
      <c r="P943" t="str">
        <f>IF(Registro2[[#This Row],[Data de Pagamento]]&gt;0,TEXT(A943,"mmm/aa"),"")</f>
        <v>mar/25</v>
      </c>
      <c r="T943" s="4">
        <f>IF(Registro2[[#This Row],[Data de Pagamento]]="",0,IF(Registro2[[#This Row],[Conta Financeira]]=base!$A$6,0,Registro2[[#This Row],[Valor Unitário]]))</f>
        <v>35</v>
      </c>
      <c r="U9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43" t="str">
        <f>VLOOKUP(Registro2[[#This Row],[Categoria]],'Plano de Contas'!$V$3:W995,2,0)</f>
        <v>Receitas Serviços</v>
      </c>
      <c r="X94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43" t="s">
        <v>1536</v>
      </c>
    </row>
    <row r="944" spans="1:25" hidden="1">
      <c r="A944" s="1">
        <v>45736.739583333336</v>
      </c>
      <c r="B944" s="1">
        <v>45736.739583333336</v>
      </c>
      <c r="D944" t="s">
        <v>2</v>
      </c>
      <c r="E944" t="s">
        <v>149</v>
      </c>
      <c r="F944" t="s">
        <v>147</v>
      </c>
      <c r="G944" t="s">
        <v>167</v>
      </c>
      <c r="I944" s="4">
        <v>15</v>
      </c>
      <c r="J944" s="4"/>
      <c r="L944" t="s">
        <v>253</v>
      </c>
      <c r="M944" t="s">
        <v>1523</v>
      </c>
      <c r="N944" s="4">
        <f>IF(L944="","",IF(OR(Registro2[[#This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944" t="str">
        <f t="shared" si="14"/>
        <v>mar/25</v>
      </c>
      <c r="P944" t="str">
        <f>IF(Registro2[[#This Row],[Data de Pagamento]]&gt;0,TEXT(A944,"mmm/aa"),"")</f>
        <v>mar/25</v>
      </c>
      <c r="T944" s="4">
        <f>IF(Registro2[[#This Row],[Data de Pagamento]]="",0,IF(Registro2[[#This Row],[Conta Financeira]]=base!$A$6,0,Registro2[[#This Row],[Valor Unitário]]))</f>
        <v>15</v>
      </c>
      <c r="U9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44" t="str">
        <f>VLOOKUP(Registro2[[#This Row],[Categoria]],'Plano de Contas'!$V$3:W996,2,0)</f>
        <v>Receitas Serviços</v>
      </c>
      <c r="X94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44" t="s">
        <v>1536</v>
      </c>
    </row>
    <row r="945" spans="1:25" hidden="1">
      <c r="A945" s="1">
        <v>45736.739583333336</v>
      </c>
      <c r="B945" s="1">
        <v>45736.739583333336</v>
      </c>
      <c r="D945" t="s">
        <v>310</v>
      </c>
      <c r="E945" t="s">
        <v>149</v>
      </c>
      <c r="F945" t="s">
        <v>147</v>
      </c>
      <c r="G945" t="s">
        <v>163</v>
      </c>
      <c r="I945" s="4">
        <v>35</v>
      </c>
      <c r="J945" s="4">
        <v>45</v>
      </c>
      <c r="L945" t="s">
        <v>252</v>
      </c>
      <c r="M945" t="s">
        <v>1019</v>
      </c>
      <c r="N945" s="4">
        <f>IF(L945="","",IF(OR(Registro2[[#This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45" t="str">
        <f t="shared" si="14"/>
        <v>mar/25</v>
      </c>
      <c r="P945" t="str">
        <f>IF(Registro2[[#This Row],[Data de Pagamento]]&gt;0,TEXT(A945,"mmm/aa"),"")</f>
        <v>mar/25</v>
      </c>
      <c r="T945" s="4">
        <f>IF(Registro2[[#This Row],[Data de Pagamento]]="",0,IF(Registro2[[#This Row],[Conta Financeira]]=base!$A$6,0,Registro2[[#This Row],[Valor Unitário]]))</f>
        <v>35</v>
      </c>
      <c r="U9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45" t="str">
        <f>VLOOKUP(Registro2[[#This Row],[Categoria]],'Plano de Contas'!$V$3:W997,2,0)</f>
        <v>Receitas Serviços</v>
      </c>
      <c r="X94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945" t="s">
        <v>1536</v>
      </c>
    </row>
    <row r="946" spans="1:25" hidden="1">
      <c r="A946" s="1">
        <v>45736.739583333336</v>
      </c>
      <c r="B946" s="1">
        <v>45736.739583333336</v>
      </c>
      <c r="D946" t="s">
        <v>310</v>
      </c>
      <c r="E946" t="s">
        <v>149</v>
      </c>
      <c r="F946" t="s">
        <v>147</v>
      </c>
      <c r="G946" t="s">
        <v>167</v>
      </c>
      <c r="I946" s="4">
        <v>10</v>
      </c>
      <c r="J946" s="4"/>
      <c r="L946" t="s">
        <v>252</v>
      </c>
      <c r="M946" t="s">
        <v>1019</v>
      </c>
      <c r="N946" s="4">
        <f>IF(L946="","",IF(OR(Registro2[[#This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946" t="str">
        <f t="shared" si="14"/>
        <v>mar/25</v>
      </c>
      <c r="P946" t="str">
        <f>IF(Registro2[[#This Row],[Data de Pagamento]]&gt;0,TEXT(A946,"mmm/aa"),"")</f>
        <v>mar/25</v>
      </c>
      <c r="T946" s="4">
        <f>IF(Registro2[[#This Row],[Data de Pagamento]]="",0,IF(Registro2[[#This Row],[Conta Financeira]]=base!$A$6,0,Registro2[[#This Row],[Valor Unitário]]))</f>
        <v>10</v>
      </c>
      <c r="U9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46" t="str">
        <f>VLOOKUP(Registro2[[#This Row],[Categoria]],'Plano de Contas'!$V$3:W998,2,0)</f>
        <v>Receitas Serviços</v>
      </c>
      <c r="X94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8.8999999999999996E-2</v>
      </c>
      <c r="Y946" t="s">
        <v>1536</v>
      </c>
    </row>
    <row r="947" spans="1:25" hidden="1">
      <c r="A947" s="1">
        <v>45736.75</v>
      </c>
      <c r="B947" s="1">
        <v>45736.75</v>
      </c>
      <c r="D947" t="s">
        <v>310</v>
      </c>
      <c r="E947" t="s">
        <v>149</v>
      </c>
      <c r="F947" t="s">
        <v>147</v>
      </c>
      <c r="G947" t="s">
        <v>163</v>
      </c>
      <c r="I947" s="4">
        <v>35</v>
      </c>
      <c r="J947" s="4">
        <v>60</v>
      </c>
      <c r="L947" t="s">
        <v>264</v>
      </c>
      <c r="M947" t="s">
        <v>397</v>
      </c>
      <c r="N947" s="4">
        <f>IF(L947="","",IF(OR(Registro2[[#This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47" t="str">
        <f t="shared" si="14"/>
        <v>mar/25</v>
      </c>
      <c r="P947" t="str">
        <f>IF(Registro2[[#This Row],[Data de Pagamento]]&gt;0,TEXT(A947,"mmm/aa"),"")</f>
        <v>mar/25</v>
      </c>
      <c r="T947" s="4">
        <f>IF(Registro2[[#This Row],[Data de Pagamento]]="",0,IF(Registro2[[#This Row],[Conta Financeira]]=base!$A$6,0,Registro2[[#This Row],[Valor Unitário]]))</f>
        <v>35</v>
      </c>
      <c r="U9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47" t="str">
        <f>VLOOKUP(Registro2[[#This Row],[Categoria]],'Plano de Contas'!$V$3:W1000,2,0)</f>
        <v>Receitas Serviços</v>
      </c>
      <c r="X94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  <c r="Y947" t="s">
        <v>1536</v>
      </c>
    </row>
    <row r="948" spans="1:25" hidden="1">
      <c r="A948" s="1">
        <v>45736.75</v>
      </c>
      <c r="B948" s="1">
        <v>45736.75</v>
      </c>
      <c r="D948" t="s">
        <v>310</v>
      </c>
      <c r="E948" t="s">
        <v>149</v>
      </c>
      <c r="F948" t="s">
        <v>150</v>
      </c>
      <c r="G948" t="s">
        <v>508</v>
      </c>
      <c r="I948" s="4">
        <v>25</v>
      </c>
      <c r="J948" s="4"/>
      <c r="L948" t="s">
        <v>264</v>
      </c>
      <c r="M948" t="s">
        <v>397</v>
      </c>
      <c r="N948" s="4">
        <f>IF(L948="","",IF(OR(Registro2[[#This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948" t="str">
        <f t="shared" si="14"/>
        <v>mar/25</v>
      </c>
      <c r="P948" t="str">
        <f>IF(Registro2[[#This Row],[Data de Pagamento]]&gt;0,TEXT(A948,"mmm/aa"),"")</f>
        <v>mar/25</v>
      </c>
      <c r="T948" s="4">
        <f>IF(Registro2[[#This Row],[Data de Pagamento]]="",0,IF(Registro2[[#This Row],[Conta Financeira]]=base!$A$6,0,Registro2[[#This Row],[Valor Unitário]]))</f>
        <v>25</v>
      </c>
      <c r="U9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48" t="str">
        <f>VLOOKUP(Registro2[[#This Row],[Categoria]],'Plano de Contas'!$V$3:W1001,2,0)</f>
        <v>Receitas Produtos</v>
      </c>
      <c r="X94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0.2225</v>
      </c>
      <c r="Y948" t="s">
        <v>1536</v>
      </c>
    </row>
    <row r="949" spans="1:25" hidden="1">
      <c r="A949" s="1">
        <v>45736.770833333336</v>
      </c>
      <c r="B949" s="1">
        <v>45736.770833333336</v>
      </c>
      <c r="D949" t="s">
        <v>1</v>
      </c>
      <c r="E949" t="s">
        <v>149</v>
      </c>
      <c r="F949" t="s">
        <v>147</v>
      </c>
      <c r="G949" t="s">
        <v>163</v>
      </c>
      <c r="I949" s="4">
        <v>35</v>
      </c>
      <c r="J949" s="4">
        <v>45</v>
      </c>
      <c r="L949" t="s">
        <v>252</v>
      </c>
      <c r="M949" t="s">
        <v>479</v>
      </c>
      <c r="N949" s="4">
        <f>IF(L949="","",IF(OR(Registro2[[#This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49" t="str">
        <f t="shared" si="14"/>
        <v>mar/25</v>
      </c>
      <c r="P949" t="str">
        <f>IF(Registro2[[#This Row],[Data de Pagamento]]&gt;0,TEXT(A949,"mmm/aa"),"")</f>
        <v>mar/25</v>
      </c>
      <c r="T949" s="4">
        <f>IF(Registro2[[#This Row],[Data de Pagamento]]="",0,IF(Registro2[[#This Row],[Conta Financeira]]=base!$A$6,0,Registro2[[#This Row],[Valor Unitário]]))</f>
        <v>35</v>
      </c>
      <c r="U9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49" t="str">
        <f>VLOOKUP(Registro2[[#This Row],[Categoria]],'Plano de Contas'!$V$3:W1005,2,0)</f>
        <v>Receitas Serviços</v>
      </c>
      <c r="X94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49" t="s">
        <v>1536</v>
      </c>
    </row>
    <row r="950" spans="1:25" hidden="1">
      <c r="A950" s="1">
        <v>45736.770833333336</v>
      </c>
      <c r="B950" s="1">
        <v>45736.770833333336</v>
      </c>
      <c r="D950" t="s">
        <v>1</v>
      </c>
      <c r="E950" t="s">
        <v>149</v>
      </c>
      <c r="F950" t="s">
        <v>147</v>
      </c>
      <c r="G950" t="s">
        <v>167</v>
      </c>
      <c r="I950" s="4">
        <v>10</v>
      </c>
      <c r="J950" s="4"/>
      <c r="L950" t="s">
        <v>252</v>
      </c>
      <c r="M950" t="s">
        <v>479</v>
      </c>
      <c r="N950" s="4">
        <f>IF(L950="","",IF(OR(Registro2[[#This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950" t="str">
        <f t="shared" si="14"/>
        <v>mar/25</v>
      </c>
      <c r="P950" t="str">
        <f>IF(Registro2[[#This Row],[Data de Pagamento]]&gt;0,TEXT(A950,"mmm/aa"),"")</f>
        <v>mar/25</v>
      </c>
      <c r="T950" s="4">
        <f>IF(Registro2[[#This Row],[Data de Pagamento]]="",0,IF(Registro2[[#This Row],[Conta Financeira]]=base!$A$6,0,Registro2[[#This Row],[Valor Unitário]]))</f>
        <v>10</v>
      </c>
      <c r="U9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50" t="str">
        <f>VLOOKUP(Registro2[[#This Row],[Categoria]],'Plano de Contas'!$V$3:W1006,2,0)</f>
        <v>Receitas Serviços</v>
      </c>
      <c r="X95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50" t="s">
        <v>1536</v>
      </c>
    </row>
    <row r="951" spans="1:25" hidden="1">
      <c r="A951" s="1">
        <v>45736.78125</v>
      </c>
      <c r="B951" s="1">
        <v>45736.78125</v>
      </c>
      <c r="D951" t="s">
        <v>2</v>
      </c>
      <c r="E951" t="s">
        <v>149</v>
      </c>
      <c r="F951" t="s">
        <v>147</v>
      </c>
      <c r="G951" t="s">
        <v>1046</v>
      </c>
      <c r="I951" s="4">
        <v>35</v>
      </c>
      <c r="J951" s="4">
        <v>55</v>
      </c>
      <c r="L951" t="s">
        <v>264</v>
      </c>
      <c r="M951" t="s">
        <v>1533</v>
      </c>
      <c r="N951" s="4">
        <f>IF(L951="","",IF(OR(Registro2[[#This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51" t="str">
        <f t="shared" si="14"/>
        <v>mar/25</v>
      </c>
      <c r="P951" t="str">
        <f>IF(Registro2[[#This Row],[Data de Pagamento]]&gt;0,TEXT(A951,"mmm/aa"),"")</f>
        <v>mar/25</v>
      </c>
      <c r="T951" s="4">
        <f>IF(Registro2[[#This Row],[Data de Pagamento]]="",0,IF(Registro2[[#This Row],[Conta Financeira]]=base!$A$6,0,Registro2[[#This Row],[Valor Unitário]]))</f>
        <v>35</v>
      </c>
      <c r="U9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51" t="str">
        <f>VLOOKUP(Registro2[[#This Row],[Categoria]],'Plano de Contas'!$V$3:W1008,2,0)</f>
        <v>Receitas Serviços</v>
      </c>
      <c r="X95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51" t="s">
        <v>1536</v>
      </c>
    </row>
    <row r="952" spans="1:25" hidden="1">
      <c r="A952" s="1">
        <v>45736.78125</v>
      </c>
      <c r="B952" s="1">
        <v>45736.78125</v>
      </c>
      <c r="D952" t="s">
        <v>2</v>
      </c>
      <c r="E952" t="s">
        <v>149</v>
      </c>
      <c r="F952" t="s">
        <v>152</v>
      </c>
      <c r="G952" t="s">
        <v>352</v>
      </c>
      <c r="I952" s="4">
        <v>20</v>
      </c>
      <c r="J952" s="4"/>
      <c r="L952" t="s">
        <v>253</v>
      </c>
      <c r="M952" t="s">
        <v>1533</v>
      </c>
      <c r="N952" s="4">
        <f>IF(L952="","",IF(OR(Registro2[[#This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952" t="str">
        <f t="shared" si="14"/>
        <v>mar/25</v>
      </c>
      <c r="P952" t="str">
        <f>IF(Registro2[[#This Row],[Data de Pagamento]]&gt;0,TEXT(A952,"mmm/aa"),"")</f>
        <v>mar/25</v>
      </c>
      <c r="T952" s="4">
        <f>IF(Registro2[[#This Row],[Data de Pagamento]]="",0,IF(Registro2[[#This Row],[Conta Financeira]]=base!$A$6,0,Registro2[[#This Row],[Valor Unitário]]))</f>
        <v>20</v>
      </c>
      <c r="U9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52" t="str">
        <f>VLOOKUP(Registro2[[#This Row],[Categoria]],'Plano de Contas'!$V$3:W1009,2,0)</f>
        <v>Receitas Serviços</v>
      </c>
      <c r="X95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52" t="s">
        <v>1536</v>
      </c>
    </row>
    <row r="953" spans="1:25" hidden="1">
      <c r="A953" s="1">
        <v>45736.791666666664</v>
      </c>
      <c r="B953" s="1">
        <v>45736.791666666664</v>
      </c>
      <c r="D953" t="s">
        <v>1</v>
      </c>
      <c r="E953" t="s">
        <v>149</v>
      </c>
      <c r="F953" t="s">
        <v>147</v>
      </c>
      <c r="G953" t="s">
        <v>163</v>
      </c>
      <c r="I953" s="4">
        <v>35</v>
      </c>
      <c r="J953" s="4">
        <v>65</v>
      </c>
      <c r="L953" t="s">
        <v>253</v>
      </c>
      <c r="M953" t="s">
        <v>110</v>
      </c>
      <c r="N953" s="4">
        <f>IF(L953="","",IF(OR(Registro2[[#This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53" t="str">
        <f t="shared" si="14"/>
        <v>mar/25</v>
      </c>
      <c r="P953" t="str">
        <f>IF(Registro2[[#This Row],[Data de Pagamento]]&gt;0,TEXT(A953,"mmm/aa"),"")</f>
        <v>mar/25</v>
      </c>
      <c r="T953" s="4">
        <f>IF(Registro2[[#This Row],[Data de Pagamento]]="",0,IF(Registro2[[#This Row],[Conta Financeira]]=base!$A$6,0,Registro2[[#This Row],[Valor Unitário]]))</f>
        <v>35</v>
      </c>
      <c r="U9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53" t="str">
        <f>VLOOKUP(Registro2[[#This Row],[Categoria]],'Plano de Contas'!$V$3:W1010,2,0)</f>
        <v>Receitas Serviços</v>
      </c>
      <c r="X95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53" t="s">
        <v>1536</v>
      </c>
    </row>
    <row r="954" spans="1:25" hidden="1">
      <c r="A954" s="1">
        <v>45736.791666666664</v>
      </c>
      <c r="B954" s="1">
        <v>45736.791666666664</v>
      </c>
      <c r="D954" t="s">
        <v>1</v>
      </c>
      <c r="E954" t="s">
        <v>149</v>
      </c>
      <c r="F954" t="s">
        <v>147</v>
      </c>
      <c r="G954" t="s">
        <v>166</v>
      </c>
      <c r="I954" s="4">
        <v>20</v>
      </c>
      <c r="J954" s="4"/>
      <c r="L954" t="s">
        <v>253</v>
      </c>
      <c r="M954" t="s">
        <v>110</v>
      </c>
      <c r="N954" s="4">
        <f>IF(L954="","",IF(OR(Registro2[[#This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954" t="str">
        <f t="shared" si="14"/>
        <v>mar/25</v>
      </c>
      <c r="P954" t="str">
        <f>IF(Registro2[[#This Row],[Data de Pagamento]]&gt;0,TEXT(A954,"mmm/aa"),"")</f>
        <v>mar/25</v>
      </c>
      <c r="T954" s="4">
        <f>IF(Registro2[[#This Row],[Data de Pagamento]]="",0,IF(Registro2[[#This Row],[Conta Financeira]]=base!$A$6,0,Registro2[[#This Row],[Valor Unitário]]))</f>
        <v>20</v>
      </c>
      <c r="U9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54" t="str">
        <f>VLOOKUP(Registro2[[#This Row],[Categoria]],'Plano de Contas'!$V$3:W1011,2,0)</f>
        <v>Receitas Serviços</v>
      </c>
      <c r="X95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54" t="s">
        <v>1536</v>
      </c>
    </row>
    <row r="955" spans="1:25" hidden="1">
      <c r="A955" s="1">
        <v>45736.791666666664</v>
      </c>
      <c r="B955" s="1">
        <v>45736.791666666664</v>
      </c>
      <c r="D955" t="s">
        <v>1</v>
      </c>
      <c r="E955" t="s">
        <v>149</v>
      </c>
      <c r="F955" t="s">
        <v>147</v>
      </c>
      <c r="G955" t="s">
        <v>167</v>
      </c>
      <c r="I955" s="4">
        <v>10</v>
      </c>
      <c r="J955" s="4"/>
      <c r="L955" t="s">
        <v>253</v>
      </c>
      <c r="M955" t="s">
        <v>110</v>
      </c>
      <c r="N955" s="4">
        <f>IF(L955="","",IF(OR(Registro2[[#This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955" t="str">
        <f t="shared" si="14"/>
        <v>mar/25</v>
      </c>
      <c r="P955" t="str">
        <f>IF(Registro2[[#This Row],[Data de Pagamento]]&gt;0,TEXT(A955,"mmm/aa"),"")</f>
        <v>mar/25</v>
      </c>
      <c r="T955" s="4">
        <f>IF(Registro2[[#This Row],[Data de Pagamento]]="",0,IF(Registro2[[#This Row],[Conta Financeira]]=base!$A$6,0,Registro2[[#This Row],[Valor Unitário]]))</f>
        <v>10</v>
      </c>
      <c r="U9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55" t="str">
        <f>VLOOKUP(Registro2[[#This Row],[Categoria]],'Plano de Contas'!$V$3:W1012,2,0)</f>
        <v>Receitas Serviços</v>
      </c>
      <c r="X9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55" t="s">
        <v>1536</v>
      </c>
    </row>
    <row r="956" spans="1:25" hidden="1">
      <c r="A956" s="1">
        <v>45736.795138888891</v>
      </c>
      <c r="B956" s="1">
        <v>45736.795138888891</v>
      </c>
      <c r="D956" t="s">
        <v>2</v>
      </c>
      <c r="E956" t="s">
        <v>149</v>
      </c>
      <c r="F956" t="s">
        <v>147</v>
      </c>
      <c r="G956" t="s">
        <v>163</v>
      </c>
      <c r="I956" s="4">
        <v>35</v>
      </c>
      <c r="J956" s="4">
        <v>35</v>
      </c>
      <c r="L956" t="s">
        <v>264</v>
      </c>
      <c r="M956" t="s">
        <v>1531</v>
      </c>
      <c r="N956" s="4">
        <f>IF(L956="","",IF(OR(Registro2[[#This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56" t="str">
        <f t="shared" si="14"/>
        <v>mar/25</v>
      </c>
      <c r="P956" t="str">
        <f>IF(Registro2[[#This Row],[Data de Pagamento]]&gt;0,TEXT(A956,"mmm/aa"),"")</f>
        <v>mar/25</v>
      </c>
      <c r="T956" s="4">
        <f>IF(Registro2[[#This Row],[Data de Pagamento]]="",0,IF(Registro2[[#This Row],[Conta Financeira]]=base!$A$6,0,Registro2[[#This Row],[Valor Unitário]]))</f>
        <v>35</v>
      </c>
      <c r="U9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56" t="str">
        <f>VLOOKUP(Registro2[[#This Row],[Categoria]],'Plano de Contas'!$V$3:W1007,2,0)</f>
        <v>Receitas Serviços</v>
      </c>
      <c r="X95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56" t="s">
        <v>1536</v>
      </c>
    </row>
    <row r="957" spans="1:25" hidden="1">
      <c r="A957" s="1">
        <v>45736.802083333336</v>
      </c>
      <c r="B957" s="1">
        <v>45736.802083333336</v>
      </c>
      <c r="D957" t="s">
        <v>1</v>
      </c>
      <c r="E957" t="s">
        <v>149</v>
      </c>
      <c r="F957" t="s">
        <v>147</v>
      </c>
      <c r="G957" t="s">
        <v>163</v>
      </c>
      <c r="I957" s="4">
        <v>35</v>
      </c>
      <c r="J957" s="4">
        <v>60</v>
      </c>
      <c r="L957" t="s">
        <v>252</v>
      </c>
      <c r="M957" t="s">
        <v>994</v>
      </c>
      <c r="N957" s="4">
        <f>IF(L957="","",IF(OR(Registro2[[#This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57" t="str">
        <f t="shared" si="14"/>
        <v>mar/25</v>
      </c>
      <c r="P957" t="str">
        <f>IF(Registro2[[#This Row],[Data de Pagamento]]&gt;0,TEXT(A957,"mmm/aa"),"")</f>
        <v>mar/25</v>
      </c>
      <c r="T957" s="4">
        <f>IF(Registro2[[#This Row],[Data de Pagamento]]="",0,IF(Registro2[[#This Row],[Conta Financeira]]=base!$A$6,0,Registro2[[#This Row],[Valor Unitário]]))</f>
        <v>35</v>
      </c>
      <c r="U9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57" t="str">
        <f>VLOOKUP(Registro2[[#This Row],[Categoria]],'Plano de Contas'!$V$3:W1002,2,0)</f>
        <v>Receitas Serviços</v>
      </c>
      <c r="X9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57" t="s">
        <v>1536</v>
      </c>
    </row>
    <row r="958" spans="1:25" hidden="1">
      <c r="A958" s="1">
        <v>45736.802083333336</v>
      </c>
      <c r="B958" s="1">
        <v>45736.802083333336</v>
      </c>
      <c r="D958" t="s">
        <v>1</v>
      </c>
      <c r="E958" t="s">
        <v>149</v>
      </c>
      <c r="F958" t="s">
        <v>150</v>
      </c>
      <c r="G958" t="s">
        <v>509</v>
      </c>
      <c r="I958" s="4">
        <v>25</v>
      </c>
      <c r="J958" s="4"/>
      <c r="L958" t="s">
        <v>252</v>
      </c>
      <c r="M958" t="s">
        <v>994</v>
      </c>
      <c r="N958" s="4">
        <f>IF(L958="","",IF(OR(Registro2[[#This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958" t="str">
        <f t="shared" si="14"/>
        <v>mar/25</v>
      </c>
      <c r="P958" t="str">
        <f>IF(Registro2[[#This Row],[Data de Pagamento]]&gt;0,TEXT(A958,"mmm/aa"),"")</f>
        <v>mar/25</v>
      </c>
      <c r="T958" s="4">
        <f>IF(Registro2[[#This Row],[Data de Pagamento]]="",0,IF(Registro2[[#This Row],[Conta Financeira]]=base!$A$6,0,Registro2[[#This Row],[Valor Unitário]]))</f>
        <v>25</v>
      </c>
      <c r="U9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58" t="str">
        <f>VLOOKUP(Registro2[[#This Row],[Categoria]],'Plano de Contas'!$V$3:W1003,2,0)</f>
        <v>Receitas Produtos</v>
      </c>
      <c r="X9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58" t="s">
        <v>1536</v>
      </c>
    </row>
    <row r="959" spans="1:25" hidden="1">
      <c r="A959" s="1">
        <v>45737</v>
      </c>
      <c r="B959" s="1">
        <v>45737</v>
      </c>
      <c r="D959" t="s">
        <v>947</v>
      </c>
      <c r="E959" t="s">
        <v>137</v>
      </c>
      <c r="F959" t="s">
        <v>139</v>
      </c>
      <c r="G959" t="s">
        <v>332</v>
      </c>
      <c r="H959" t="s">
        <v>1300</v>
      </c>
      <c r="I959" s="4">
        <v>120</v>
      </c>
      <c r="J959" s="4"/>
      <c r="N959" s="4" t="str">
        <f>IF(L959="","",IF(OR(Registro2[[#This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959" t="str">
        <f t="shared" si="14"/>
        <v>mar/25</v>
      </c>
      <c r="P959" t="str">
        <f>IF(Registro2[[#This Row],[Data de Pagamento]]&gt;0,TEXT(A959,"mmm/aa"),"")</f>
        <v>mar/25</v>
      </c>
      <c r="T959" s="4">
        <f>IF(Registro2[[#This Row],[Data de Pagamento]]="",0,IF(Registro2[[#This Row],[Conta Financeira]]=base!$A$6,0,Registro2[[#This Row],[Valor Unitário]]))</f>
        <v>120</v>
      </c>
      <c r="U9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59" t="str">
        <f>VLOOKUP(Registro2[[#This Row],[Categoria]],'Plano de Contas'!$V$3:W748,2,0)</f>
        <v>Custos Operacionais</v>
      </c>
      <c r="X95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59" t="s">
        <v>1536</v>
      </c>
    </row>
    <row r="960" spans="1:25" hidden="1">
      <c r="A960" s="1">
        <v>45737</v>
      </c>
      <c r="B960" s="1">
        <v>45737</v>
      </c>
      <c r="D960" t="s">
        <v>947</v>
      </c>
      <c r="E960" t="s">
        <v>137</v>
      </c>
      <c r="F960" t="s">
        <v>138</v>
      </c>
      <c r="G960" t="s">
        <v>338</v>
      </c>
      <c r="H960" t="s">
        <v>1301</v>
      </c>
      <c r="I960" s="4">
        <v>103.64</v>
      </c>
      <c r="J960" s="4"/>
      <c r="N960" s="4" t="str">
        <f>IF(L960="","",IF(OR(Registro2[[#This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960" t="str">
        <f t="shared" si="14"/>
        <v>mar/25</v>
      </c>
      <c r="P960" t="str">
        <f>IF(Registro2[[#This Row],[Data de Pagamento]]&gt;0,TEXT(A960,"mmm/aa"),"")</f>
        <v>mar/25</v>
      </c>
      <c r="T960" s="4">
        <f>IF(Registro2[[#This Row],[Data de Pagamento]]="",0,IF(Registro2[[#This Row],[Conta Financeira]]=base!$A$6,0,Registro2[[#This Row],[Valor Unitário]]))</f>
        <v>103.64</v>
      </c>
      <c r="U9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60" t="str">
        <f>VLOOKUP(Registro2[[#This Row],[Categoria]],'Plano de Contas'!$V$3:W749,2,0)</f>
        <v>Despesas Administrativas</v>
      </c>
      <c r="X9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  <c r="Y960" t="s">
        <v>1536</v>
      </c>
    </row>
    <row r="961" spans="1:24" hidden="1">
      <c r="A961" s="1">
        <v>45737</v>
      </c>
      <c r="B961" s="1">
        <v>45737</v>
      </c>
      <c r="D961" t="s">
        <v>882</v>
      </c>
      <c r="E961" t="s">
        <v>149</v>
      </c>
      <c r="F961" t="s">
        <v>147</v>
      </c>
      <c r="G961" t="s">
        <v>163</v>
      </c>
      <c r="I961" s="4">
        <v>35</v>
      </c>
      <c r="J961" s="4">
        <v>45</v>
      </c>
      <c r="L961" t="s">
        <v>252</v>
      </c>
      <c r="M961" t="s">
        <v>1548</v>
      </c>
      <c r="N961" s="4">
        <f>IF(L961="","",IF(OR(Registro2[[#This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61" t="str">
        <f t="shared" si="14"/>
        <v>mar/25</v>
      </c>
      <c r="P961" t="str">
        <f>IF(Registro2[[#This Row],[Data de Pagamento]]&gt;0,TEXT(A961,"mmm/aa"),"")</f>
        <v>mar/25</v>
      </c>
      <c r="T961" s="4">
        <f>IF(Registro2[[#This Row],[Data de Pagamento]]="",0,IF(Registro2[[#This Row],[Conta Financeira]]=base!$A$6,0,Registro2[[#This Row],[Valor Unitário]]))</f>
        <v>35</v>
      </c>
      <c r="U9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61" t="str">
        <f>VLOOKUP(Registro2[[#This Row],[Categoria]],'Plano de Contas'!$V$3:W1024,2,0)</f>
        <v>Receitas Serviços</v>
      </c>
      <c r="X9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62" spans="1:24" hidden="1">
      <c r="A962" s="1">
        <v>45737</v>
      </c>
      <c r="B962" s="1">
        <v>45737</v>
      </c>
      <c r="D962" t="s">
        <v>882</v>
      </c>
      <c r="E962" t="s">
        <v>149</v>
      </c>
      <c r="F962" t="s">
        <v>147</v>
      </c>
      <c r="G962" t="s">
        <v>167</v>
      </c>
      <c r="I962" s="4">
        <v>10</v>
      </c>
      <c r="J962" s="4" t="s">
        <v>1604</v>
      </c>
      <c r="L962" t="s">
        <v>252</v>
      </c>
      <c r="M962" t="s">
        <v>1548</v>
      </c>
      <c r="N962" s="4">
        <f>IF(L962="","",IF(OR(Registro2[[#This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962" t="str">
        <f t="shared" ref="O962:O1025" si="15">TEXT(B962,"mmm/aa")</f>
        <v>mar/25</v>
      </c>
      <c r="P962" t="str">
        <f>IF(Registro2[[#This Row],[Data de Pagamento]]&gt;0,TEXT(A962,"mmm/aa"),"")</f>
        <v>mar/25</v>
      </c>
      <c r="T962" s="4">
        <f>IF(Registro2[[#This Row],[Data de Pagamento]]="",0,IF(Registro2[[#This Row],[Conta Financeira]]=base!$A$6,0,Registro2[[#This Row],[Valor Unitário]]))</f>
        <v>10</v>
      </c>
      <c r="U9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62" t="str">
        <f>VLOOKUP(Registro2[[#This Row],[Categoria]],'Plano de Contas'!$V$3:W1025,2,0)</f>
        <v>Receitas Serviços</v>
      </c>
      <c r="X96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63" spans="1:24" hidden="1">
      <c r="A963" s="1">
        <v>45737</v>
      </c>
      <c r="B963" s="1">
        <v>45737</v>
      </c>
      <c r="D963" t="s">
        <v>354</v>
      </c>
      <c r="E963" t="s">
        <v>149</v>
      </c>
      <c r="F963" t="s">
        <v>147</v>
      </c>
      <c r="G963" t="s">
        <v>163</v>
      </c>
      <c r="I963" s="4">
        <v>35</v>
      </c>
      <c r="J963" s="4">
        <v>35</v>
      </c>
      <c r="L963" t="s">
        <v>253</v>
      </c>
      <c r="M963" t="s">
        <v>284</v>
      </c>
      <c r="N963" s="4">
        <f>IF(L963="","",IF(OR(Registro2[[#This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63" t="str">
        <f t="shared" si="15"/>
        <v>mar/25</v>
      </c>
      <c r="P963" t="str">
        <f>IF(Registro2[[#This Row],[Data de Pagamento]]&gt;0,TEXT(A963,"mmm/aa"),"")</f>
        <v>mar/25</v>
      </c>
      <c r="T963" s="4">
        <f>IF(Registro2[[#This Row],[Data de Pagamento]]="",0,IF(Registro2[[#This Row],[Conta Financeira]]=base!$A$6,0,Registro2[[#This Row],[Valor Unitário]]))</f>
        <v>35</v>
      </c>
      <c r="U9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63" t="str">
        <f>VLOOKUP(Registro2[[#This Row],[Categoria]],'Plano de Contas'!$V$3:W1026,2,0)</f>
        <v>Receitas Serviços</v>
      </c>
      <c r="X96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964" spans="1:24" hidden="1">
      <c r="A964" s="1">
        <v>45737</v>
      </c>
      <c r="B964" s="1">
        <v>45737</v>
      </c>
      <c r="D964" t="s">
        <v>1</v>
      </c>
      <c r="E964" t="s">
        <v>149</v>
      </c>
      <c r="F964" t="s">
        <v>147</v>
      </c>
      <c r="G964" t="s">
        <v>163</v>
      </c>
      <c r="I964" s="4">
        <v>35</v>
      </c>
      <c r="J964" s="4">
        <v>50</v>
      </c>
      <c r="L964" t="s">
        <v>253</v>
      </c>
      <c r="M964" t="s">
        <v>387</v>
      </c>
      <c r="N964" s="4">
        <f>IF(L964="","",IF(OR(Registro2[[#This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64" t="str">
        <f t="shared" si="15"/>
        <v>mar/25</v>
      </c>
      <c r="P964" t="str">
        <f>IF(Registro2[[#This Row],[Data de Pagamento]]&gt;0,TEXT(A964,"mmm/aa"),"")</f>
        <v>mar/25</v>
      </c>
      <c r="T964" s="4">
        <f>IF(Registro2[[#This Row],[Data de Pagamento]]="",0,IF(Registro2[[#This Row],[Conta Financeira]]=base!$A$6,0,Registro2[[#This Row],[Valor Unitário]]))</f>
        <v>35</v>
      </c>
      <c r="U9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64" t="str">
        <f>VLOOKUP(Registro2[[#This Row],[Categoria]],'Plano de Contas'!$V$3:W1027,2,0)</f>
        <v>Receitas Serviços</v>
      </c>
      <c r="X96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65" spans="1:24" hidden="1">
      <c r="A965" s="1">
        <v>45737</v>
      </c>
      <c r="B965" s="1">
        <v>45737</v>
      </c>
      <c r="D965" t="s">
        <v>1</v>
      </c>
      <c r="E965" t="s">
        <v>149</v>
      </c>
      <c r="F965" t="s">
        <v>147</v>
      </c>
      <c r="G965" t="s">
        <v>167</v>
      </c>
      <c r="I965" s="4">
        <v>15</v>
      </c>
      <c r="J965" s="4" t="s">
        <v>1604</v>
      </c>
      <c r="L965" t="s">
        <v>253</v>
      </c>
      <c r="M965" t="s">
        <v>387</v>
      </c>
      <c r="N965" s="4">
        <f>IF(L965="","",IF(OR(Registro2[[#This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965" t="str">
        <f t="shared" si="15"/>
        <v>mar/25</v>
      </c>
      <c r="P965" t="str">
        <f>IF(Registro2[[#This Row],[Data de Pagamento]]&gt;0,TEXT(A965,"mmm/aa"),"")</f>
        <v>mar/25</v>
      </c>
      <c r="T965" s="4">
        <f>IF(Registro2[[#This Row],[Data de Pagamento]]="",0,IF(Registro2[[#This Row],[Conta Financeira]]=base!$A$6,0,Registro2[[#This Row],[Valor Unitário]]))</f>
        <v>15</v>
      </c>
      <c r="U9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65" t="str">
        <f>VLOOKUP(Registro2[[#This Row],[Categoria]],'Plano de Contas'!$V$3:W1028,2,0)</f>
        <v>Receitas Serviços</v>
      </c>
      <c r="X96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66" spans="1:24" hidden="1">
      <c r="A966" s="1">
        <v>45737</v>
      </c>
      <c r="B966" s="1">
        <v>45737</v>
      </c>
      <c r="D966" t="s">
        <v>1</v>
      </c>
      <c r="E966" t="s">
        <v>149</v>
      </c>
      <c r="F966" t="s">
        <v>147</v>
      </c>
      <c r="G966" t="s">
        <v>167</v>
      </c>
      <c r="I966" s="4">
        <v>15</v>
      </c>
      <c r="J966" s="4">
        <v>15</v>
      </c>
      <c r="L966" t="s">
        <v>253</v>
      </c>
      <c r="M966" t="s">
        <v>14</v>
      </c>
      <c r="N966" s="4">
        <f>IF(L966="","",IF(OR(Registro2[[#This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966" t="str">
        <f t="shared" si="15"/>
        <v>mar/25</v>
      </c>
      <c r="P966" t="str">
        <f>IF(Registro2[[#This Row],[Data de Pagamento]]&gt;0,TEXT(A966,"mmm/aa"),"")</f>
        <v>mar/25</v>
      </c>
      <c r="T966" s="4">
        <f>IF(Registro2[[#This Row],[Data de Pagamento]]="",0,IF(Registro2[[#This Row],[Conta Financeira]]=base!$A$6,0,Registro2[[#This Row],[Valor Unitário]]))</f>
        <v>15</v>
      </c>
      <c r="U9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66" t="str">
        <f>VLOOKUP(Registro2[[#This Row],[Categoria]],'Plano de Contas'!$V$3:W1031,2,0)</f>
        <v>Receitas Serviços</v>
      </c>
      <c r="X9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67" spans="1:24" hidden="1">
      <c r="A967" s="1">
        <v>45737</v>
      </c>
      <c r="B967" s="1">
        <v>45737</v>
      </c>
      <c r="D967" t="s">
        <v>2</v>
      </c>
      <c r="E967" t="s">
        <v>149</v>
      </c>
      <c r="F967" t="s">
        <v>147</v>
      </c>
      <c r="G967" t="s">
        <v>163</v>
      </c>
      <c r="I967" s="4">
        <v>35</v>
      </c>
      <c r="J967" s="4">
        <v>35</v>
      </c>
      <c r="L967" t="s">
        <v>264</v>
      </c>
      <c r="M967" t="s">
        <v>1023</v>
      </c>
      <c r="N967" s="4">
        <f>IF(L967="","",IF(OR(Registro2[[#This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67" t="str">
        <f t="shared" si="15"/>
        <v>mar/25</v>
      </c>
      <c r="P967" t="str">
        <f>IF(Registro2[[#This Row],[Data de Pagamento]]&gt;0,TEXT(A967,"mmm/aa"),"")</f>
        <v>mar/25</v>
      </c>
      <c r="T967" s="4">
        <f>IF(Registro2[[#This Row],[Data de Pagamento]]="",0,IF(Registro2[[#This Row],[Conta Financeira]]=base!$A$6,0,Registro2[[#This Row],[Valor Unitário]]))</f>
        <v>35</v>
      </c>
      <c r="U9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67" t="str">
        <f>VLOOKUP(Registro2[[#This Row],[Categoria]],'Plano de Contas'!$V$3:W1032,2,0)</f>
        <v>Receitas Serviços</v>
      </c>
      <c r="X96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68" spans="1:24" hidden="1">
      <c r="A968" s="1">
        <v>45737</v>
      </c>
      <c r="B968" s="1">
        <v>45737</v>
      </c>
      <c r="D968" t="s">
        <v>1</v>
      </c>
      <c r="E968" t="s">
        <v>149</v>
      </c>
      <c r="F968" t="s">
        <v>152</v>
      </c>
      <c r="G968" t="s">
        <v>353</v>
      </c>
      <c r="I968" s="4">
        <v>60</v>
      </c>
      <c r="J968" s="4">
        <v>60</v>
      </c>
      <c r="L968" t="s">
        <v>253</v>
      </c>
      <c r="M968" t="s">
        <v>10</v>
      </c>
      <c r="N968" s="4">
        <f>IF(L968="","",IF(OR(Registro2[[#This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968" t="str">
        <f t="shared" si="15"/>
        <v>mar/25</v>
      </c>
      <c r="P968" t="str">
        <f>IF(Registro2[[#This Row],[Data de Pagamento]]&gt;0,TEXT(A968,"mmm/aa"),"")</f>
        <v>mar/25</v>
      </c>
      <c r="T968" s="4">
        <f>IF(Registro2[[#This Row],[Data de Pagamento]]="",0,IF(Registro2[[#This Row],[Conta Financeira]]=base!$A$6,0,Registro2[[#This Row],[Valor Unitário]]))</f>
        <v>60</v>
      </c>
      <c r="U9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68" t="str">
        <f>VLOOKUP(Registro2[[#This Row],[Categoria]],'Plano de Contas'!$V$3:W1033,2,0)</f>
        <v>Receitas Serviços</v>
      </c>
      <c r="X96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69" spans="1:24" hidden="1">
      <c r="A969" s="1">
        <v>45737</v>
      </c>
      <c r="B969" s="1">
        <v>45737</v>
      </c>
      <c r="D969" t="s">
        <v>1</v>
      </c>
      <c r="E969" t="s">
        <v>149</v>
      </c>
      <c r="F969" t="s">
        <v>152</v>
      </c>
      <c r="G969" t="s">
        <v>353</v>
      </c>
      <c r="I969" s="4">
        <v>60</v>
      </c>
      <c r="J969" s="4">
        <v>60</v>
      </c>
      <c r="L969" t="s">
        <v>252</v>
      </c>
      <c r="M969" t="s">
        <v>1214</v>
      </c>
      <c r="N969" s="4">
        <f>IF(L969="","",IF(OR(Registro2[[#This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969" t="str">
        <f t="shared" si="15"/>
        <v>mar/25</v>
      </c>
      <c r="P969" t="str">
        <f>IF(Registro2[[#This Row],[Data de Pagamento]]&gt;0,TEXT(A969,"mmm/aa"),"")</f>
        <v>mar/25</v>
      </c>
      <c r="T969" s="4">
        <f>IF(Registro2[[#This Row],[Data de Pagamento]]="",0,IF(Registro2[[#This Row],[Conta Financeira]]=base!$A$6,0,Registro2[[#This Row],[Valor Unitário]]))</f>
        <v>60</v>
      </c>
      <c r="U9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69" t="str">
        <f>VLOOKUP(Registro2[[#This Row],[Categoria]],'Plano de Contas'!$V$3:W1034,2,0)</f>
        <v>Receitas Serviços</v>
      </c>
      <c r="X96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70" spans="1:24" hidden="1">
      <c r="A970" s="1">
        <v>45737</v>
      </c>
      <c r="B970" s="1">
        <v>45737</v>
      </c>
      <c r="D970" t="s">
        <v>354</v>
      </c>
      <c r="E970" t="s">
        <v>149</v>
      </c>
      <c r="F970" t="s">
        <v>152</v>
      </c>
      <c r="G970" t="s">
        <v>353</v>
      </c>
      <c r="I970" s="4">
        <v>60</v>
      </c>
      <c r="J970" s="4">
        <v>75</v>
      </c>
      <c r="L970" t="s">
        <v>253</v>
      </c>
      <c r="M970" t="s">
        <v>192</v>
      </c>
      <c r="N970" s="4">
        <f>IF(L970="","",IF(OR(Registro2[[#This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970" t="str">
        <f t="shared" si="15"/>
        <v>mar/25</v>
      </c>
      <c r="P970" t="str">
        <f>IF(Registro2[[#This Row],[Data de Pagamento]]&gt;0,TEXT(A970,"mmm/aa"),"")</f>
        <v>mar/25</v>
      </c>
      <c r="T970" s="4">
        <f>IF(Registro2[[#This Row],[Data de Pagamento]]="",0,IF(Registro2[[#This Row],[Conta Financeira]]=base!$A$6,0,Registro2[[#This Row],[Valor Unitário]]))</f>
        <v>60</v>
      </c>
      <c r="U9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70" t="str">
        <f>VLOOKUP(Registro2[[#This Row],[Categoria]],'Plano de Contas'!$V$3:W1035,2,0)</f>
        <v>Receitas Serviços</v>
      </c>
      <c r="X97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</row>
    <row r="971" spans="1:24" hidden="1">
      <c r="A971" s="1">
        <v>45737</v>
      </c>
      <c r="B971" s="1">
        <v>45737</v>
      </c>
      <c r="D971" t="s">
        <v>354</v>
      </c>
      <c r="E971" t="s">
        <v>149</v>
      </c>
      <c r="F971" t="s">
        <v>147</v>
      </c>
      <c r="G971" t="s">
        <v>1187</v>
      </c>
      <c r="I971" s="4">
        <v>15</v>
      </c>
      <c r="J971" s="4" t="s">
        <v>1604</v>
      </c>
      <c r="L971" t="s">
        <v>253</v>
      </c>
      <c r="M971" t="s">
        <v>192</v>
      </c>
      <c r="N971" s="4">
        <f>IF(L971="","",IF(OR(Registro2[[#This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971" t="str">
        <f t="shared" si="15"/>
        <v>mar/25</v>
      </c>
      <c r="P971" t="str">
        <f>IF(Registro2[[#This Row],[Data de Pagamento]]&gt;0,TEXT(A971,"mmm/aa"),"")</f>
        <v>mar/25</v>
      </c>
      <c r="T971" s="4">
        <f>IF(Registro2[[#This Row],[Data de Pagamento]]="",0,IF(Registro2[[#This Row],[Conta Financeira]]=base!$A$6,0,Registro2[[#This Row],[Valor Unitário]]))</f>
        <v>15</v>
      </c>
      <c r="U9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71" t="str">
        <f>VLOOKUP(Registro2[[#This Row],[Categoria]],'Plano de Contas'!$V$3:W1036,2,0)</f>
        <v>Receitas Serviços</v>
      </c>
      <c r="X97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0.47250000000000003</v>
      </c>
    </row>
    <row r="972" spans="1:24" hidden="1">
      <c r="A972" s="1">
        <v>45737</v>
      </c>
      <c r="B972" s="1">
        <v>45737</v>
      </c>
      <c r="D972" t="s">
        <v>1</v>
      </c>
      <c r="E972" t="s">
        <v>149</v>
      </c>
      <c r="F972" t="s">
        <v>147</v>
      </c>
      <c r="G972" t="s">
        <v>163</v>
      </c>
      <c r="I972" s="4">
        <v>35</v>
      </c>
      <c r="J972" s="4">
        <v>45</v>
      </c>
      <c r="L972" t="s">
        <v>252</v>
      </c>
      <c r="M972" t="s">
        <v>31</v>
      </c>
      <c r="N972" s="4">
        <f>IF(L972="","",IF(OR(Registro2[[#This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72" t="str">
        <f t="shared" si="15"/>
        <v>mar/25</v>
      </c>
      <c r="P972" t="str">
        <f>IF(Registro2[[#This Row],[Data de Pagamento]]&gt;0,TEXT(A972,"mmm/aa"),"")</f>
        <v>mar/25</v>
      </c>
      <c r="T972" s="4">
        <f>IF(Registro2[[#This Row],[Data de Pagamento]]="",0,IF(Registro2[[#This Row],[Conta Financeira]]=base!$A$6,0,Registro2[[#This Row],[Valor Unitário]]))</f>
        <v>35</v>
      </c>
      <c r="U9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72" t="str">
        <f>VLOOKUP(Registro2[[#This Row],[Categoria]],'Plano de Contas'!$V$3:W1039,2,0)</f>
        <v>Receitas Serviços</v>
      </c>
      <c r="X97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73" spans="1:24" hidden="1">
      <c r="A973" s="1">
        <v>45737</v>
      </c>
      <c r="B973" s="1">
        <v>45737</v>
      </c>
      <c r="D973" t="s">
        <v>1</v>
      </c>
      <c r="E973" t="s">
        <v>149</v>
      </c>
      <c r="F973" t="s">
        <v>147</v>
      </c>
      <c r="G973" t="s">
        <v>167</v>
      </c>
      <c r="I973" s="4">
        <v>10</v>
      </c>
      <c r="J973" s="4" t="s">
        <v>1604</v>
      </c>
      <c r="L973" t="s">
        <v>252</v>
      </c>
      <c r="M973" t="s">
        <v>31</v>
      </c>
      <c r="N973" s="4">
        <f>IF(L973="","",IF(OR(Registro2[[#This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973" t="str">
        <f t="shared" si="15"/>
        <v>mar/25</v>
      </c>
      <c r="P973" t="str">
        <f>IF(Registro2[[#This Row],[Data de Pagamento]]&gt;0,TEXT(A973,"mmm/aa"),"")</f>
        <v>mar/25</v>
      </c>
      <c r="T973" s="4">
        <f>IF(Registro2[[#This Row],[Data de Pagamento]]="",0,IF(Registro2[[#This Row],[Conta Financeira]]=base!$A$6,0,Registro2[[#This Row],[Valor Unitário]]))</f>
        <v>10</v>
      </c>
      <c r="U9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73" t="str">
        <f>VLOOKUP(Registro2[[#This Row],[Categoria]],'Plano de Contas'!$V$3:W1040,2,0)</f>
        <v>Receitas Serviços</v>
      </c>
      <c r="X97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74" spans="1:24" hidden="1">
      <c r="A974" s="1">
        <v>45737</v>
      </c>
      <c r="B974" s="1">
        <v>45737</v>
      </c>
      <c r="D974" t="s">
        <v>1</v>
      </c>
      <c r="E974" t="s">
        <v>149</v>
      </c>
      <c r="F974" t="s">
        <v>147</v>
      </c>
      <c r="G974" t="s">
        <v>163</v>
      </c>
      <c r="I974" s="4">
        <v>35</v>
      </c>
      <c r="J974" s="4">
        <v>35</v>
      </c>
      <c r="L974" t="s">
        <v>253</v>
      </c>
      <c r="M974" t="s">
        <v>1561</v>
      </c>
      <c r="N974" s="4">
        <f>IF(L974="","",IF(OR(Registro2[[#This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74" t="str">
        <f t="shared" si="15"/>
        <v>mar/25</v>
      </c>
      <c r="P974" t="str">
        <f>IF(Registro2[[#This Row],[Data de Pagamento]]&gt;0,TEXT(A974,"mmm/aa"),"")</f>
        <v>mar/25</v>
      </c>
      <c r="T974" s="4">
        <f>IF(Registro2[[#This Row],[Data de Pagamento]]="",0,IF(Registro2[[#This Row],[Conta Financeira]]=base!$A$6,0,Registro2[[#This Row],[Valor Unitário]]))</f>
        <v>35</v>
      </c>
      <c r="U9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74" t="str">
        <f>VLOOKUP(Registro2[[#This Row],[Categoria]],'Plano de Contas'!$V$3:W1041,2,0)</f>
        <v>Receitas Serviços</v>
      </c>
      <c r="X97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75" spans="1:24" hidden="1">
      <c r="A975" s="1">
        <v>45737</v>
      </c>
      <c r="B975" s="1">
        <v>45737</v>
      </c>
      <c r="D975" t="s">
        <v>310</v>
      </c>
      <c r="E975" t="s">
        <v>149</v>
      </c>
      <c r="F975" t="s">
        <v>147</v>
      </c>
      <c r="G975" t="s">
        <v>160</v>
      </c>
      <c r="I975" s="4">
        <v>15</v>
      </c>
      <c r="J975" s="4">
        <v>15</v>
      </c>
      <c r="L975" t="s">
        <v>253</v>
      </c>
      <c r="M975" t="s">
        <v>282</v>
      </c>
      <c r="N975" s="4">
        <f>IF(L975="","",IF(OR(Registro2[[#This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975" t="str">
        <f t="shared" si="15"/>
        <v>mar/25</v>
      </c>
      <c r="P975" t="str">
        <f>IF(Registro2[[#This Row],[Data de Pagamento]]&gt;0,TEXT(A975,"mmm/aa"),"")</f>
        <v>mar/25</v>
      </c>
      <c r="T975" s="4">
        <f>IF(Registro2[[#This Row],[Data de Pagamento]]="",0,IF(Registro2[[#This Row],[Conta Financeira]]=base!$A$6,0,Registro2[[#This Row],[Valor Unitário]]))</f>
        <v>15</v>
      </c>
      <c r="U9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75" t="str">
        <f>VLOOKUP(Registro2[[#This Row],[Categoria]],'Plano de Contas'!$V$3:W1042,2,0)</f>
        <v>Receitas Serviços</v>
      </c>
      <c r="X97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</row>
    <row r="976" spans="1:24" hidden="1">
      <c r="A976" s="1">
        <v>45737</v>
      </c>
      <c r="B976" s="1">
        <v>45737</v>
      </c>
      <c r="D976" t="s">
        <v>310</v>
      </c>
      <c r="E976" t="s">
        <v>149</v>
      </c>
      <c r="F976" t="s">
        <v>147</v>
      </c>
      <c r="G976" t="s">
        <v>163</v>
      </c>
      <c r="I976" s="4">
        <v>35</v>
      </c>
      <c r="J976" s="4">
        <v>45</v>
      </c>
      <c r="L976" t="s">
        <v>253</v>
      </c>
      <c r="M976" t="s">
        <v>1564</v>
      </c>
      <c r="N976" s="4">
        <f>IF(L976="","",IF(OR(Registro2[[#This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76" t="str">
        <f t="shared" si="15"/>
        <v>mar/25</v>
      </c>
      <c r="P976" t="str">
        <f>IF(Registro2[[#This Row],[Data de Pagamento]]&gt;0,TEXT(A976,"mmm/aa"),"")</f>
        <v>mar/25</v>
      </c>
      <c r="T976" s="4">
        <f>IF(Registro2[[#This Row],[Data de Pagamento]]="",0,IF(Registro2[[#This Row],[Conta Financeira]]=base!$A$6,0,Registro2[[#This Row],[Valor Unitário]]))</f>
        <v>35</v>
      </c>
      <c r="U9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76" t="str">
        <f>VLOOKUP(Registro2[[#This Row],[Categoria]],'Plano de Contas'!$V$3:W1043,2,0)</f>
        <v>Receitas Serviços</v>
      </c>
      <c r="X97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977" spans="1:24" hidden="1">
      <c r="A977" s="1">
        <v>45737</v>
      </c>
      <c r="B977" s="1">
        <v>45737</v>
      </c>
      <c r="D977" t="s">
        <v>310</v>
      </c>
      <c r="E977" t="s">
        <v>149</v>
      </c>
      <c r="F977" t="s">
        <v>147</v>
      </c>
      <c r="G977" t="s">
        <v>167</v>
      </c>
      <c r="I977" s="4">
        <v>10</v>
      </c>
      <c r="J977" s="4" t="s">
        <v>1604</v>
      </c>
      <c r="L977" t="s">
        <v>253</v>
      </c>
      <c r="M977" t="s">
        <v>1564</v>
      </c>
      <c r="N977" s="4">
        <f>IF(L977="","",IF(OR(Registro2[[#This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977" t="str">
        <f t="shared" si="15"/>
        <v>mar/25</v>
      </c>
      <c r="P977" t="str">
        <f>IF(Registro2[[#This Row],[Data de Pagamento]]&gt;0,TEXT(A977,"mmm/aa"),"")</f>
        <v>mar/25</v>
      </c>
      <c r="T977" s="4">
        <f>IF(Registro2[[#This Row],[Data de Pagamento]]="",0,IF(Registro2[[#This Row],[Conta Financeira]]=base!$A$6,0,Registro2[[#This Row],[Valor Unitário]]))</f>
        <v>10</v>
      </c>
      <c r="U9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77" t="str">
        <f>VLOOKUP(Registro2[[#This Row],[Categoria]],'Plano de Contas'!$V$3:W1044,2,0)</f>
        <v>Receitas Serviços</v>
      </c>
      <c r="X97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8.8999999999999996E-2</v>
      </c>
    </row>
    <row r="978" spans="1:24" hidden="1">
      <c r="A978" s="1">
        <v>45737</v>
      </c>
      <c r="B978" s="1">
        <v>45737</v>
      </c>
      <c r="D978" t="s">
        <v>1</v>
      </c>
      <c r="E978" t="s">
        <v>149</v>
      </c>
      <c r="F978" t="s">
        <v>147</v>
      </c>
      <c r="G978" t="s">
        <v>163</v>
      </c>
      <c r="I978" s="4">
        <v>35</v>
      </c>
      <c r="J978" s="4">
        <v>35</v>
      </c>
      <c r="L978" t="s">
        <v>253</v>
      </c>
      <c r="M978" t="s">
        <v>8</v>
      </c>
      <c r="N978" s="4">
        <f>IF(L978="","",IF(OR(Registro2[[#This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78" t="str">
        <f t="shared" si="15"/>
        <v>mar/25</v>
      </c>
      <c r="P978" t="str">
        <f>IF(Registro2[[#This Row],[Data de Pagamento]]&gt;0,TEXT(A978,"mmm/aa"),"")</f>
        <v>mar/25</v>
      </c>
      <c r="T978" s="4">
        <f>IF(Registro2[[#This Row],[Data de Pagamento]]="",0,IF(Registro2[[#This Row],[Conta Financeira]]=base!$A$6,0,Registro2[[#This Row],[Valor Unitário]]))</f>
        <v>35</v>
      </c>
      <c r="U9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78" t="str">
        <f>VLOOKUP(Registro2[[#This Row],[Categoria]],'Plano de Contas'!$V$3:W1045,2,0)</f>
        <v>Receitas Serviços</v>
      </c>
      <c r="X9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79" spans="1:24" hidden="1">
      <c r="A979" s="1">
        <v>45737</v>
      </c>
      <c r="B979" s="1">
        <v>45737</v>
      </c>
      <c r="D979" t="s">
        <v>1</v>
      </c>
      <c r="E979" t="s">
        <v>149</v>
      </c>
      <c r="F979" t="s">
        <v>152</v>
      </c>
      <c r="G979" t="s">
        <v>353</v>
      </c>
      <c r="I979" s="4">
        <v>50</v>
      </c>
      <c r="J979" s="4">
        <v>50</v>
      </c>
      <c r="L979" t="s">
        <v>264</v>
      </c>
      <c r="M979" t="s">
        <v>1184</v>
      </c>
      <c r="N979" s="4">
        <f>IF(L979="","",IF(OR(Registro2[[#This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979" t="str">
        <f t="shared" si="15"/>
        <v>mar/25</v>
      </c>
      <c r="P979" t="str">
        <f>IF(Registro2[[#This Row],[Data de Pagamento]]&gt;0,TEXT(A979,"mmm/aa"),"")</f>
        <v>mar/25</v>
      </c>
      <c r="T979" s="4">
        <f>IF(Registro2[[#This Row],[Data de Pagamento]]="",0,IF(Registro2[[#This Row],[Conta Financeira]]=base!$A$6,0,Registro2[[#This Row],[Valor Unitário]]))</f>
        <v>50</v>
      </c>
      <c r="U9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79" t="str">
        <f>VLOOKUP(Registro2[[#This Row],[Categoria]],'Plano de Contas'!$V$3:W1046,2,0)</f>
        <v>Receitas Serviços</v>
      </c>
      <c r="X97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80" spans="1:24" hidden="1">
      <c r="A980" s="1">
        <v>45737</v>
      </c>
      <c r="B980" s="1">
        <v>45737</v>
      </c>
      <c r="D980" t="s">
        <v>1</v>
      </c>
      <c r="E980" t="s">
        <v>149</v>
      </c>
      <c r="F980" t="s">
        <v>147</v>
      </c>
      <c r="G980" t="s">
        <v>163</v>
      </c>
      <c r="I980" s="4">
        <v>35</v>
      </c>
      <c r="J980" s="4">
        <v>35</v>
      </c>
      <c r="L980" t="s">
        <v>253</v>
      </c>
      <c r="M980" t="s">
        <v>83</v>
      </c>
      <c r="N980" s="4">
        <f>IF(L980="","",IF(OR(Registro2[[#This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80" t="str">
        <f t="shared" si="15"/>
        <v>mar/25</v>
      </c>
      <c r="P980" t="str">
        <f>IF(Registro2[[#This Row],[Data de Pagamento]]&gt;0,TEXT(A980,"mmm/aa"),"")</f>
        <v>mar/25</v>
      </c>
      <c r="T980" s="4">
        <f>IF(Registro2[[#This Row],[Data de Pagamento]]="",0,IF(Registro2[[#This Row],[Conta Financeira]]=base!$A$6,0,Registro2[[#This Row],[Valor Unitário]]))</f>
        <v>35</v>
      </c>
      <c r="U9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80" t="str">
        <f>VLOOKUP(Registro2[[#This Row],[Categoria]],'Plano de Contas'!$V$3:W1047,2,0)</f>
        <v>Receitas Serviços</v>
      </c>
      <c r="X98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81" spans="1:24" hidden="1">
      <c r="A981" s="1">
        <v>45737</v>
      </c>
      <c r="B981" s="1">
        <v>45737</v>
      </c>
      <c r="D981" t="s">
        <v>1</v>
      </c>
      <c r="E981" t="s">
        <v>149</v>
      </c>
      <c r="F981" t="s">
        <v>147</v>
      </c>
      <c r="G981" t="s">
        <v>163</v>
      </c>
      <c r="I981" s="4">
        <v>35</v>
      </c>
      <c r="J981" s="4">
        <v>40</v>
      </c>
      <c r="L981" t="s">
        <v>264</v>
      </c>
      <c r="M981" t="s">
        <v>495</v>
      </c>
      <c r="N981" s="4">
        <f>IF(L981="","",IF(OR(Registro2[[#This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81" t="str">
        <f t="shared" si="15"/>
        <v>mar/25</v>
      </c>
      <c r="P981" t="str">
        <f>IF(Registro2[[#This Row],[Data de Pagamento]]&gt;0,TEXT(A981,"mmm/aa"),"")</f>
        <v>mar/25</v>
      </c>
      <c r="T981" s="4">
        <f>IF(Registro2[[#This Row],[Data de Pagamento]]="",0,IF(Registro2[[#This Row],[Conta Financeira]]=base!$A$6,0,Registro2[[#This Row],[Valor Unitário]]))</f>
        <v>35</v>
      </c>
      <c r="U9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81" t="str">
        <f>VLOOKUP(Registro2[[#This Row],[Categoria]],'Plano de Contas'!$V$3:W1048,2,0)</f>
        <v>Receitas Serviços</v>
      </c>
      <c r="X98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82" spans="1:24" hidden="1">
      <c r="A982" s="1">
        <v>45737</v>
      </c>
      <c r="B982" s="1">
        <v>45737</v>
      </c>
      <c r="D982" t="s">
        <v>1</v>
      </c>
      <c r="E982" t="s">
        <v>149</v>
      </c>
      <c r="F982" t="s">
        <v>910</v>
      </c>
      <c r="G982" t="s">
        <v>910</v>
      </c>
      <c r="I982" s="4">
        <v>5</v>
      </c>
      <c r="J982" s="4" t="s">
        <v>1604</v>
      </c>
      <c r="L982" t="s">
        <v>264</v>
      </c>
      <c r="M982" t="s">
        <v>495</v>
      </c>
      <c r="N982" s="4" t="str">
        <f>IF(L982="","",IF(OR(Registro2[[#This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982" t="str">
        <f t="shared" si="15"/>
        <v>mar/25</v>
      </c>
      <c r="P982" t="str">
        <f>IF(Registro2[[#This Row],[Data de Pagamento]]&gt;0,TEXT(A982,"mmm/aa"),"")</f>
        <v>mar/25</v>
      </c>
      <c r="T982" s="4">
        <f>IF(Registro2[[#This Row],[Data de Pagamento]]="",0,IF(Registro2[[#This Row],[Conta Financeira]]=base!$A$6,0,Registro2[[#This Row],[Valor Unitário]]))</f>
        <v>5</v>
      </c>
      <c r="U9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82" t="str">
        <f>VLOOKUP(Registro2[[#This Row],[Categoria]],'Plano de Contas'!$V$3:W1049,2,0)</f>
        <v>Outras Receitas</v>
      </c>
      <c r="X9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83" spans="1:24" hidden="1">
      <c r="A983" s="1">
        <v>45737</v>
      </c>
      <c r="B983" s="1">
        <v>45737</v>
      </c>
      <c r="D983" t="s">
        <v>2</v>
      </c>
      <c r="E983" t="s">
        <v>149</v>
      </c>
      <c r="F983" t="s">
        <v>152</v>
      </c>
      <c r="G983" t="s">
        <v>353</v>
      </c>
      <c r="I983" s="4">
        <v>55</v>
      </c>
      <c r="J983" s="4">
        <v>70</v>
      </c>
      <c r="L983" t="s">
        <v>264</v>
      </c>
      <c r="M983" t="s">
        <v>502</v>
      </c>
      <c r="N983" s="4">
        <f>IF(L983="","",IF(OR(Registro2[[#This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983" t="str">
        <f t="shared" si="15"/>
        <v>mar/25</v>
      </c>
      <c r="P983" t="str">
        <f>IF(Registro2[[#This Row],[Data de Pagamento]]&gt;0,TEXT(A983,"mmm/aa"),"")</f>
        <v>mar/25</v>
      </c>
      <c r="T983" s="4">
        <f>IF(Registro2[[#This Row],[Data de Pagamento]]="",0,IF(Registro2[[#This Row],[Conta Financeira]]=base!$A$6,0,Registro2[[#This Row],[Valor Unitário]]))</f>
        <v>55</v>
      </c>
      <c r="U9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83" t="str">
        <f>VLOOKUP(Registro2[[#This Row],[Categoria]],'Plano de Contas'!$V$3:W1050,2,0)</f>
        <v>Receitas Serviços</v>
      </c>
      <c r="X9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84" spans="1:24" hidden="1">
      <c r="A984" s="1">
        <v>45737</v>
      </c>
      <c r="B984" s="1">
        <v>45737</v>
      </c>
      <c r="D984" t="s">
        <v>2</v>
      </c>
      <c r="E984" t="s">
        <v>149</v>
      </c>
      <c r="F984" t="s">
        <v>910</v>
      </c>
      <c r="G984" t="s">
        <v>910</v>
      </c>
      <c r="I984" s="4">
        <v>15</v>
      </c>
      <c r="J984" s="4" t="s">
        <v>1604</v>
      </c>
      <c r="L984" t="s">
        <v>264</v>
      </c>
      <c r="M984" t="s">
        <v>502</v>
      </c>
      <c r="N984" s="4" t="str">
        <f>IF(L984="","",IF(OR(Registro2[[#This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984" t="str">
        <f t="shared" si="15"/>
        <v>mar/25</v>
      </c>
      <c r="P984" t="str">
        <f>IF(Registro2[[#This Row],[Data de Pagamento]]&gt;0,TEXT(A984,"mmm/aa"),"")</f>
        <v>mar/25</v>
      </c>
      <c r="T984" s="4">
        <f>IF(Registro2[[#This Row],[Data de Pagamento]]="",0,IF(Registro2[[#This Row],[Conta Financeira]]=base!$A$6,0,Registro2[[#This Row],[Valor Unitário]]))</f>
        <v>15</v>
      </c>
      <c r="U9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84" t="str">
        <f>VLOOKUP(Registro2[[#This Row],[Categoria]],'Plano de Contas'!$V$3:W1051,2,0)</f>
        <v>Outras Receitas</v>
      </c>
      <c r="X98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85" spans="1:24" hidden="1">
      <c r="A985" s="1">
        <v>45737</v>
      </c>
      <c r="B985" s="1">
        <v>45737</v>
      </c>
      <c r="D985" t="s">
        <v>1</v>
      </c>
      <c r="E985" t="s">
        <v>149</v>
      </c>
      <c r="F985" t="s">
        <v>152</v>
      </c>
      <c r="G985" t="s">
        <v>353</v>
      </c>
      <c r="I985" s="4">
        <v>60</v>
      </c>
      <c r="J985" s="4">
        <v>60</v>
      </c>
      <c r="L985" t="s">
        <v>253</v>
      </c>
      <c r="M985" t="s">
        <v>490</v>
      </c>
      <c r="N985" s="4">
        <f>IF(L985="","",IF(OR(Registro2[[#This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985" t="str">
        <f t="shared" si="15"/>
        <v>mar/25</v>
      </c>
      <c r="P985" t="str">
        <f>IF(Registro2[[#This Row],[Data de Pagamento]]&gt;0,TEXT(A985,"mmm/aa"),"")</f>
        <v>mar/25</v>
      </c>
      <c r="T985" s="4">
        <f>IF(Registro2[[#This Row],[Data de Pagamento]]="",0,IF(Registro2[[#This Row],[Conta Financeira]]=base!$A$6,0,Registro2[[#This Row],[Valor Unitário]]))</f>
        <v>60</v>
      </c>
      <c r="U9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85" t="str">
        <f>VLOOKUP(Registro2[[#This Row],[Categoria]],'Plano de Contas'!$V$3:W1055,2,0)</f>
        <v>Receitas Serviços</v>
      </c>
      <c r="X98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86" spans="1:24" hidden="1">
      <c r="A986" s="1">
        <v>45737</v>
      </c>
      <c r="B986" s="1">
        <v>45737</v>
      </c>
      <c r="D986" t="s">
        <v>354</v>
      </c>
      <c r="E986" t="s">
        <v>149</v>
      </c>
      <c r="F986" t="s">
        <v>147</v>
      </c>
      <c r="G986" t="s">
        <v>165</v>
      </c>
      <c r="I986" s="4">
        <v>65</v>
      </c>
      <c r="J986" s="4">
        <v>100</v>
      </c>
      <c r="L986" t="s">
        <v>252</v>
      </c>
      <c r="M986" t="s">
        <v>480</v>
      </c>
      <c r="N986" s="4">
        <f>IF(L986="","",IF(OR(Registro2[[#This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29.25</v>
      </c>
      <c r="O986" t="str">
        <f t="shared" si="15"/>
        <v>mar/25</v>
      </c>
      <c r="P986" t="str">
        <f>IF(Registro2[[#This Row],[Data de Pagamento]]&gt;0,TEXT(A986,"mmm/aa"),"")</f>
        <v>mar/25</v>
      </c>
      <c r="T986" s="4">
        <f>IF(Registro2[[#This Row],[Data de Pagamento]]="",0,IF(Registro2[[#This Row],[Conta Financeira]]=base!$A$6,0,Registro2[[#This Row],[Valor Unitário]]))</f>
        <v>65</v>
      </c>
      <c r="U9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86" t="str">
        <f>VLOOKUP(Registro2[[#This Row],[Categoria]],'Plano de Contas'!$V$3:W1056,2,0)</f>
        <v>Receitas Serviços</v>
      </c>
      <c r="X98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2.0474999999999999</v>
      </c>
    </row>
    <row r="987" spans="1:24" hidden="1">
      <c r="A987" s="1">
        <v>45737</v>
      </c>
      <c r="B987" s="1">
        <v>45737</v>
      </c>
      <c r="D987" t="s">
        <v>354</v>
      </c>
      <c r="E987" t="s">
        <v>149</v>
      </c>
      <c r="F987" t="s">
        <v>147</v>
      </c>
      <c r="G987" t="s">
        <v>163</v>
      </c>
      <c r="I987" s="4">
        <v>35</v>
      </c>
      <c r="J987" s="4" t="s">
        <v>1604</v>
      </c>
      <c r="L987" t="s">
        <v>252</v>
      </c>
      <c r="M987" t="s">
        <v>480</v>
      </c>
      <c r="N987" s="4">
        <f>IF(L987="","",IF(OR(Registro2[[#This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87" t="str">
        <f t="shared" si="15"/>
        <v>mar/25</v>
      </c>
      <c r="P987" t="str">
        <f>IF(Registro2[[#This Row],[Data de Pagamento]]&gt;0,TEXT(A987,"mmm/aa"),"")</f>
        <v>mar/25</v>
      </c>
      <c r="T987" s="4">
        <f>IF(Registro2[[#This Row],[Data de Pagamento]]="",0,IF(Registro2[[#This Row],[Conta Financeira]]=base!$A$6,0,Registro2[[#This Row],[Valor Unitário]]))</f>
        <v>35</v>
      </c>
      <c r="U9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87" t="str">
        <f>VLOOKUP(Registro2[[#This Row],[Categoria]],'Plano de Contas'!$V$3:W1057,2,0)</f>
        <v>Receitas Serviços</v>
      </c>
      <c r="X98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988" spans="1:24" hidden="1">
      <c r="A988" s="1">
        <v>45737</v>
      </c>
      <c r="B988" s="1">
        <v>45737</v>
      </c>
      <c r="D988" t="s">
        <v>1</v>
      </c>
      <c r="E988" t="s">
        <v>149</v>
      </c>
      <c r="F988" t="s">
        <v>147</v>
      </c>
      <c r="G988" t="s">
        <v>163</v>
      </c>
      <c r="I988" s="4">
        <v>35</v>
      </c>
      <c r="J988" s="4">
        <v>35</v>
      </c>
      <c r="L988" t="s">
        <v>264</v>
      </c>
      <c r="M988" t="s">
        <v>1574</v>
      </c>
      <c r="N988" s="4">
        <f>IF(L988="","",IF(OR(Registro2[[#This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88" t="str">
        <f t="shared" si="15"/>
        <v>mar/25</v>
      </c>
      <c r="P988" t="str">
        <f>IF(Registro2[[#This Row],[Data de Pagamento]]&gt;0,TEXT(A988,"mmm/aa"),"")</f>
        <v>mar/25</v>
      </c>
      <c r="T988" s="4">
        <f>IF(Registro2[[#This Row],[Data de Pagamento]]="",0,IF(Registro2[[#This Row],[Conta Financeira]]=base!$A$6,0,Registro2[[#This Row],[Valor Unitário]]))</f>
        <v>35</v>
      </c>
      <c r="U9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88" t="str">
        <f>VLOOKUP(Registro2[[#This Row],[Categoria]],'Plano de Contas'!$V$3:W1058,2,0)</f>
        <v>Receitas Serviços</v>
      </c>
      <c r="X98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89" spans="1:24" hidden="1">
      <c r="A989" s="1">
        <v>45737</v>
      </c>
      <c r="B989" s="1">
        <v>45737</v>
      </c>
      <c r="D989" t="s">
        <v>2</v>
      </c>
      <c r="E989" t="s">
        <v>149</v>
      </c>
      <c r="F989" t="s">
        <v>147</v>
      </c>
      <c r="G989" t="s">
        <v>163</v>
      </c>
      <c r="I989" s="4">
        <v>35</v>
      </c>
      <c r="J989" s="4">
        <v>50</v>
      </c>
      <c r="L989" t="s">
        <v>252</v>
      </c>
      <c r="M989" t="s">
        <v>1099</v>
      </c>
      <c r="N989" s="4">
        <f>IF(L989="","",IF(OR(Registro2[[#This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89" t="str">
        <f t="shared" si="15"/>
        <v>mar/25</v>
      </c>
      <c r="P989" t="str">
        <f>IF(Registro2[[#This Row],[Data de Pagamento]]&gt;0,TEXT(A989,"mmm/aa"),"")</f>
        <v>mar/25</v>
      </c>
      <c r="T989" s="4">
        <f>IF(Registro2[[#This Row],[Data de Pagamento]]="",0,IF(Registro2[[#This Row],[Conta Financeira]]=base!$A$6,0,Registro2[[#This Row],[Valor Unitário]]))</f>
        <v>35</v>
      </c>
      <c r="U9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89" t="str">
        <f>VLOOKUP(Registro2[[#This Row],[Categoria]],'Plano de Contas'!$V$3:W1059,2,0)</f>
        <v>Receitas Serviços</v>
      </c>
      <c r="X98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90" spans="1:24" hidden="1">
      <c r="A990" s="1">
        <v>45737</v>
      </c>
      <c r="B990" s="1">
        <v>45737</v>
      </c>
      <c r="D990" t="s">
        <v>2</v>
      </c>
      <c r="E990" t="s">
        <v>149</v>
      </c>
      <c r="F990" t="s">
        <v>147</v>
      </c>
      <c r="G990" t="s">
        <v>167</v>
      </c>
      <c r="I990" s="4">
        <v>10</v>
      </c>
      <c r="J990" s="4" t="s">
        <v>1604</v>
      </c>
      <c r="L990" t="s">
        <v>252</v>
      </c>
      <c r="M990" t="s">
        <v>1099</v>
      </c>
      <c r="N990" s="4">
        <f>IF(L990="","",IF(OR(Registro2[[#This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990" t="str">
        <f t="shared" si="15"/>
        <v>mar/25</v>
      </c>
      <c r="P990" t="str">
        <f>IF(Registro2[[#This Row],[Data de Pagamento]]&gt;0,TEXT(A990,"mmm/aa"),"")</f>
        <v>mar/25</v>
      </c>
      <c r="T990" s="4">
        <f>IF(Registro2[[#This Row],[Data de Pagamento]]="",0,IF(Registro2[[#This Row],[Conta Financeira]]=base!$A$6,0,Registro2[[#This Row],[Valor Unitário]]))</f>
        <v>10</v>
      </c>
      <c r="U9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90" t="str">
        <f>VLOOKUP(Registro2[[#This Row],[Categoria]],'Plano de Contas'!$V$3:W1060,2,0)</f>
        <v>Receitas Serviços</v>
      </c>
      <c r="X99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91" spans="1:24" hidden="1">
      <c r="A991" s="1">
        <v>45737</v>
      </c>
      <c r="B991" s="1">
        <v>45737</v>
      </c>
      <c r="D991" t="s">
        <v>1</v>
      </c>
      <c r="E991" t="s">
        <v>149</v>
      </c>
      <c r="F991" t="s">
        <v>147</v>
      </c>
      <c r="G991" t="s">
        <v>163</v>
      </c>
      <c r="I991" s="4">
        <v>35</v>
      </c>
      <c r="J991" s="4">
        <v>35</v>
      </c>
      <c r="L991" t="s">
        <v>264</v>
      </c>
      <c r="M991" t="s">
        <v>470</v>
      </c>
      <c r="N991" s="4">
        <f>IF(L991="","",IF(OR(Registro2[[#This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91" t="str">
        <f t="shared" si="15"/>
        <v>mar/25</v>
      </c>
      <c r="P991" t="str">
        <f>IF(Registro2[[#This Row],[Data de Pagamento]]&gt;0,TEXT(A991,"mmm/aa"),"")</f>
        <v>mar/25</v>
      </c>
      <c r="T991" s="4">
        <f>IF(Registro2[[#This Row],[Data de Pagamento]]="",0,IF(Registro2[[#This Row],[Conta Financeira]]=base!$A$6,0,Registro2[[#This Row],[Valor Unitário]]))</f>
        <v>35</v>
      </c>
      <c r="U9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91" t="str">
        <f>VLOOKUP(Registro2[[#This Row],[Categoria]],'Plano de Contas'!$V$3:W1062,2,0)</f>
        <v>Receitas Serviços</v>
      </c>
      <c r="X99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92" spans="1:24" hidden="1">
      <c r="A992" s="1">
        <v>45737</v>
      </c>
      <c r="B992" s="1">
        <v>45737</v>
      </c>
      <c r="D992" t="s">
        <v>1</v>
      </c>
      <c r="E992" t="s">
        <v>149</v>
      </c>
      <c r="F992" t="s">
        <v>152</v>
      </c>
      <c r="G992" t="s">
        <v>353</v>
      </c>
      <c r="I992" s="4">
        <v>50</v>
      </c>
      <c r="J992" s="4">
        <v>50</v>
      </c>
      <c r="L992" t="s">
        <v>253</v>
      </c>
      <c r="M992" t="s">
        <v>28</v>
      </c>
      <c r="N992" s="4">
        <f>IF(L992="","",IF(OR(Registro2[[#This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992" t="str">
        <f t="shared" si="15"/>
        <v>mar/25</v>
      </c>
      <c r="P992" t="str">
        <f>IF(Registro2[[#This Row],[Data de Pagamento]]&gt;0,TEXT(A992,"mmm/aa"),"")</f>
        <v>mar/25</v>
      </c>
      <c r="T992" s="4">
        <f>IF(Registro2[[#This Row],[Data de Pagamento]]="",0,IF(Registro2[[#This Row],[Conta Financeira]]=base!$A$6,0,Registro2[[#This Row],[Valor Unitário]]))</f>
        <v>50</v>
      </c>
      <c r="U9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92" t="str">
        <f>VLOOKUP(Registro2[[#This Row],[Categoria]],'Plano de Contas'!$V$3:W1063,2,0)</f>
        <v>Receitas Serviços</v>
      </c>
      <c r="X99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93" spans="1:24" hidden="1">
      <c r="A993" s="1">
        <v>45737</v>
      </c>
      <c r="B993" s="1">
        <v>45737</v>
      </c>
      <c r="D993" t="s">
        <v>1</v>
      </c>
      <c r="E993" t="s">
        <v>149</v>
      </c>
      <c r="F993" t="s">
        <v>152</v>
      </c>
      <c r="G993" t="s">
        <v>353</v>
      </c>
      <c r="I993" s="4">
        <v>60</v>
      </c>
      <c r="J993" s="4">
        <v>60</v>
      </c>
      <c r="L993" t="s">
        <v>252</v>
      </c>
      <c r="M993" t="s">
        <v>1154</v>
      </c>
      <c r="N993" s="4">
        <f>IF(L993="","",IF(OR(Registro2[[#This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993" t="str">
        <f t="shared" si="15"/>
        <v>mar/25</v>
      </c>
      <c r="P993" t="str">
        <f>IF(Registro2[[#This Row],[Data de Pagamento]]&gt;0,TEXT(A993,"mmm/aa"),"")</f>
        <v>mar/25</v>
      </c>
      <c r="T993" s="4">
        <f>IF(Registro2[[#This Row],[Data de Pagamento]]="",0,IF(Registro2[[#This Row],[Conta Financeira]]=base!$A$6,0,Registro2[[#This Row],[Valor Unitário]]))</f>
        <v>60</v>
      </c>
      <c r="U9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93" t="str">
        <f>VLOOKUP(Registro2[[#This Row],[Categoria]],'Plano de Contas'!$V$3:W1064,2,0)</f>
        <v>Receitas Serviços</v>
      </c>
      <c r="X99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94" spans="1:24" hidden="1">
      <c r="A994" s="1">
        <v>45738</v>
      </c>
      <c r="B994" s="1">
        <v>45738</v>
      </c>
      <c r="D994" t="s">
        <v>2</v>
      </c>
      <c r="E994" t="s">
        <v>149</v>
      </c>
      <c r="F994" t="s">
        <v>147</v>
      </c>
      <c r="G994" t="s">
        <v>163</v>
      </c>
      <c r="I994" s="4">
        <v>35</v>
      </c>
      <c r="J994" s="4">
        <v>40</v>
      </c>
      <c r="L994" t="s">
        <v>252</v>
      </c>
      <c r="M994" t="s">
        <v>73</v>
      </c>
      <c r="N994" s="4">
        <f>IF(L994="","",IF(OR(Registro2[[#This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94" t="str">
        <f t="shared" si="15"/>
        <v>mar/25</v>
      </c>
      <c r="P994" t="str">
        <f>IF(Registro2[[#This Row],[Data de Pagamento]]&gt;0,TEXT(A994,"mmm/aa"),"")</f>
        <v>mar/25</v>
      </c>
      <c r="T994" s="4">
        <f>IF(Registro2[[#This Row],[Data de Pagamento]]="",0,IF(Registro2[[#This Row],[Conta Financeira]]=base!$A$6,0,Registro2[[#This Row],[Valor Unitário]]))</f>
        <v>35</v>
      </c>
      <c r="U9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94" t="str">
        <f>VLOOKUP(Registro2[[#This Row],[Categoria]],'Plano de Contas'!$V$3:W1016,2,0)</f>
        <v>Receitas Serviços</v>
      </c>
      <c r="X99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95" spans="1:24" hidden="1">
      <c r="A995" s="1">
        <v>45738</v>
      </c>
      <c r="B995" s="1">
        <v>45738</v>
      </c>
      <c r="D995" t="s">
        <v>2</v>
      </c>
      <c r="E995" t="s">
        <v>149</v>
      </c>
      <c r="F995" t="s">
        <v>910</v>
      </c>
      <c r="G995" t="s">
        <v>910</v>
      </c>
      <c r="I995" s="4">
        <v>5</v>
      </c>
      <c r="J995" s="4" t="s">
        <v>1604</v>
      </c>
      <c r="L995" t="s">
        <v>252</v>
      </c>
      <c r="M995" t="s">
        <v>73</v>
      </c>
      <c r="N995" s="4" t="str">
        <f>IF(L995="","",IF(OR(Registro2[[#This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995" t="str">
        <f t="shared" si="15"/>
        <v>mar/25</v>
      </c>
      <c r="P995" t="str">
        <f>IF(Registro2[[#This Row],[Data de Pagamento]]&gt;0,TEXT(A995,"mmm/aa"),"")</f>
        <v>mar/25</v>
      </c>
      <c r="T995" s="4">
        <f>IF(Registro2[[#This Row],[Data de Pagamento]]="",0,IF(Registro2[[#This Row],[Conta Financeira]]=base!$A$6,0,Registro2[[#This Row],[Valor Unitário]]))</f>
        <v>5</v>
      </c>
      <c r="U9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95" t="str">
        <f>VLOOKUP(Registro2[[#This Row],[Categoria]],'Plano de Contas'!$V$3:W1017,2,0)</f>
        <v>Outras Receitas</v>
      </c>
      <c r="X99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96" spans="1:24" hidden="1">
      <c r="A996" s="1">
        <v>45738</v>
      </c>
      <c r="B996" s="1">
        <v>45738</v>
      </c>
      <c r="D996" t="s">
        <v>1</v>
      </c>
      <c r="E996" t="s">
        <v>149</v>
      </c>
      <c r="F996" t="s">
        <v>147</v>
      </c>
      <c r="G996" t="s">
        <v>163</v>
      </c>
      <c r="I996" s="4">
        <v>35</v>
      </c>
      <c r="J996" s="4">
        <v>45</v>
      </c>
      <c r="L996" t="s">
        <v>252</v>
      </c>
      <c r="M996" t="s">
        <v>24</v>
      </c>
      <c r="N996" s="4">
        <f>IF(L996="","",IF(OR(Registro2[[#This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96" t="str">
        <f t="shared" si="15"/>
        <v>mar/25</v>
      </c>
      <c r="P996" t="str">
        <f>IF(Registro2[[#This Row],[Data de Pagamento]]&gt;0,TEXT(A996,"mmm/aa"),"")</f>
        <v>mar/25</v>
      </c>
      <c r="T996" s="4">
        <f>IF(Registro2[[#This Row],[Data de Pagamento]]="",0,IF(Registro2[[#This Row],[Conta Financeira]]=base!$A$6,0,Registro2[[#This Row],[Valor Unitário]]))</f>
        <v>35</v>
      </c>
      <c r="U9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96" t="str">
        <f>VLOOKUP(Registro2[[#This Row],[Categoria]],'Plano de Contas'!$V$3:W1018,2,0)</f>
        <v>Receitas Serviços</v>
      </c>
      <c r="X99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97" spans="1:24" hidden="1">
      <c r="A997" s="1">
        <v>45738</v>
      </c>
      <c r="B997" s="1">
        <v>45738</v>
      </c>
      <c r="D997" t="s">
        <v>1</v>
      </c>
      <c r="E997" t="s">
        <v>149</v>
      </c>
      <c r="F997" t="s">
        <v>147</v>
      </c>
      <c r="G997" t="s">
        <v>167</v>
      </c>
      <c r="I997" s="4">
        <v>10</v>
      </c>
      <c r="J997" s="4" t="s">
        <v>1604</v>
      </c>
      <c r="L997" t="s">
        <v>252</v>
      </c>
      <c r="M997" t="s">
        <v>24</v>
      </c>
      <c r="N997" s="4">
        <f>IF(L997="","",IF(OR(Registro2[[#This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997" t="str">
        <f t="shared" si="15"/>
        <v>mar/25</v>
      </c>
      <c r="P997" t="str">
        <f>IF(Registro2[[#This Row],[Data de Pagamento]]&gt;0,TEXT(A997,"mmm/aa"),"")</f>
        <v>mar/25</v>
      </c>
      <c r="T997" s="4">
        <f>IF(Registro2[[#This Row],[Data de Pagamento]]="",0,IF(Registro2[[#This Row],[Conta Financeira]]=base!$A$6,0,Registro2[[#This Row],[Valor Unitário]]))</f>
        <v>10</v>
      </c>
      <c r="U9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97" t="str">
        <f>VLOOKUP(Registro2[[#This Row],[Categoria]],'Plano de Contas'!$V$3:W1019,2,0)</f>
        <v>Receitas Serviços</v>
      </c>
      <c r="X99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98" spans="1:24" hidden="1">
      <c r="A998" s="1">
        <v>45738</v>
      </c>
      <c r="B998" s="1">
        <v>45738</v>
      </c>
      <c r="D998" t="s">
        <v>2</v>
      </c>
      <c r="E998" t="s">
        <v>149</v>
      </c>
      <c r="F998" t="s">
        <v>147</v>
      </c>
      <c r="G998" t="s">
        <v>163</v>
      </c>
      <c r="I998" s="4">
        <v>35</v>
      </c>
      <c r="J998" s="4">
        <v>60</v>
      </c>
      <c r="L998" t="s">
        <v>252</v>
      </c>
      <c r="M998" t="s">
        <v>1546</v>
      </c>
      <c r="N998" s="4">
        <f>IF(L998="","",IF(OR(Registro2[[#This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998" t="str">
        <f t="shared" si="15"/>
        <v>mar/25</v>
      </c>
      <c r="P998" t="str">
        <f>IF(Registro2[[#This Row],[Data de Pagamento]]&gt;0,TEXT(A998,"mmm/aa"),"")</f>
        <v>mar/25</v>
      </c>
      <c r="T998" s="4">
        <f>IF(Registro2[[#This Row],[Data de Pagamento]]="",0,IF(Registro2[[#This Row],[Conta Financeira]]=base!$A$6,0,Registro2[[#This Row],[Valor Unitário]]))</f>
        <v>35</v>
      </c>
      <c r="U9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98" t="str">
        <f>VLOOKUP(Registro2[[#This Row],[Categoria]],'Plano de Contas'!$V$3:W1020,2,0)</f>
        <v>Receitas Serviços</v>
      </c>
      <c r="X99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999" spans="1:24" hidden="1">
      <c r="A999" s="1">
        <v>45738</v>
      </c>
      <c r="B999" s="1">
        <v>45738</v>
      </c>
      <c r="D999" t="s">
        <v>2</v>
      </c>
      <c r="E999" t="s">
        <v>149</v>
      </c>
      <c r="F999" t="s">
        <v>147</v>
      </c>
      <c r="G999" t="s">
        <v>166</v>
      </c>
      <c r="I999" s="4">
        <v>20</v>
      </c>
      <c r="J999" s="4" t="s">
        <v>1604</v>
      </c>
      <c r="L999" t="s">
        <v>252</v>
      </c>
      <c r="M999" t="s">
        <v>1546</v>
      </c>
      <c r="N999" s="4">
        <f>IF(L999="","",IF(OR(Registro2[[#This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999" t="str">
        <f t="shared" si="15"/>
        <v>mar/25</v>
      </c>
      <c r="P999" t="str">
        <f>IF(Registro2[[#This Row],[Data de Pagamento]]&gt;0,TEXT(A999,"mmm/aa"),"")</f>
        <v>mar/25</v>
      </c>
      <c r="T999" s="4">
        <f>IF(Registro2[[#This Row],[Data de Pagamento]]="",0,IF(Registro2[[#This Row],[Conta Financeira]]=base!$A$6,0,Registro2[[#This Row],[Valor Unitário]]))</f>
        <v>20</v>
      </c>
      <c r="U9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999" t="str">
        <f>VLOOKUP(Registro2[[#This Row],[Categoria]],'Plano de Contas'!$V$3:W1021,2,0)</f>
        <v>Receitas Serviços</v>
      </c>
      <c r="X99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00" spans="1:24" hidden="1">
      <c r="A1000" s="1">
        <v>45738</v>
      </c>
      <c r="B1000" s="1">
        <v>45738</v>
      </c>
      <c r="D1000" t="s">
        <v>2</v>
      </c>
      <c r="E1000" t="s">
        <v>149</v>
      </c>
      <c r="F1000" t="s">
        <v>910</v>
      </c>
      <c r="G1000" t="s">
        <v>910</v>
      </c>
      <c r="I1000" s="4">
        <v>5</v>
      </c>
      <c r="J1000" s="4" t="s">
        <v>1604</v>
      </c>
      <c r="L1000" t="s">
        <v>252</v>
      </c>
      <c r="M1000" t="s">
        <v>1546</v>
      </c>
      <c r="N1000" s="4" t="str">
        <f>IF(L1000="","",IF(OR(Registro2[[#This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000" t="str">
        <f t="shared" si="15"/>
        <v>mar/25</v>
      </c>
      <c r="P1000" t="str">
        <f>IF(Registro2[[#This Row],[Data de Pagamento]]&gt;0,TEXT(A1000,"mmm/aa"),"")</f>
        <v>mar/25</v>
      </c>
      <c r="T1000" s="4">
        <f>IF(Registro2[[#This Row],[Data de Pagamento]]="",0,IF(Registro2[[#This Row],[Conta Financeira]]=base!$A$6,0,Registro2[[#This Row],[Valor Unitário]]))</f>
        <v>5</v>
      </c>
      <c r="U10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00" t="str">
        <f>VLOOKUP(Registro2[[#This Row],[Categoria]],'Plano de Contas'!$V$3:W1022,2,0)</f>
        <v>Outras Receitas</v>
      </c>
      <c r="X100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01" spans="1:24" hidden="1">
      <c r="A1001" s="1">
        <v>45738</v>
      </c>
      <c r="B1001" s="1">
        <v>45738</v>
      </c>
      <c r="D1001" t="s">
        <v>354</v>
      </c>
      <c r="E1001" t="s">
        <v>149</v>
      </c>
      <c r="F1001" t="s">
        <v>147</v>
      </c>
      <c r="G1001" t="s">
        <v>163</v>
      </c>
      <c r="I1001" s="4">
        <v>35</v>
      </c>
      <c r="J1001" s="4">
        <v>45</v>
      </c>
      <c r="L1001" t="s">
        <v>253</v>
      </c>
      <c r="M1001" t="s">
        <v>466</v>
      </c>
      <c r="N1001" s="4">
        <f>IF(L1001="","",IF(OR(Registro2[[#This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01" t="str">
        <f t="shared" si="15"/>
        <v>mar/25</v>
      </c>
      <c r="P1001" t="str">
        <f>IF(Registro2[[#This Row],[Data de Pagamento]]&gt;0,TEXT(A1001,"mmm/aa"),"")</f>
        <v>mar/25</v>
      </c>
      <c r="T1001" s="4">
        <f>IF(Registro2[[#This Row],[Data de Pagamento]]="",0,IF(Registro2[[#This Row],[Conta Financeira]]=base!$A$6,0,Registro2[[#This Row],[Valor Unitário]]))</f>
        <v>35</v>
      </c>
      <c r="U10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01" t="str">
        <f>VLOOKUP(Registro2[[#This Row],[Categoria]],'Plano de Contas'!$V$3:W1029,2,0)</f>
        <v>Receitas Serviços</v>
      </c>
      <c r="X100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002" spans="1:24" hidden="1">
      <c r="A1002" s="1">
        <v>45738</v>
      </c>
      <c r="B1002" s="1">
        <v>45738</v>
      </c>
      <c r="D1002" t="s">
        <v>354</v>
      </c>
      <c r="E1002" t="s">
        <v>149</v>
      </c>
      <c r="F1002" t="s">
        <v>147</v>
      </c>
      <c r="G1002" t="s">
        <v>167</v>
      </c>
      <c r="I1002" s="4">
        <v>10</v>
      </c>
      <c r="J1002" s="4" t="s">
        <v>1604</v>
      </c>
      <c r="L1002" t="s">
        <v>253</v>
      </c>
      <c r="M1002" t="s">
        <v>466</v>
      </c>
      <c r="N1002" s="4">
        <f>IF(L1002="","",IF(OR(Registro2[[#This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002" t="str">
        <f t="shared" si="15"/>
        <v>mar/25</v>
      </c>
      <c r="P1002" t="str">
        <f>IF(Registro2[[#This Row],[Data de Pagamento]]&gt;0,TEXT(A1002,"mmm/aa"),"")</f>
        <v>mar/25</v>
      </c>
      <c r="T1002" s="4">
        <f>IF(Registro2[[#This Row],[Data de Pagamento]]="",0,IF(Registro2[[#This Row],[Conta Financeira]]=base!$A$6,0,Registro2[[#This Row],[Valor Unitário]]))</f>
        <v>10</v>
      </c>
      <c r="U10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02" t="str">
        <f>VLOOKUP(Registro2[[#This Row],[Categoria]],'Plano de Contas'!$V$3:W1030,2,0)</f>
        <v>Receitas Serviços</v>
      </c>
      <c r="X100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</row>
    <row r="1003" spans="1:24" hidden="1">
      <c r="A1003" s="1">
        <v>45738</v>
      </c>
      <c r="B1003" s="1">
        <v>45738</v>
      </c>
      <c r="D1003" t="s">
        <v>2</v>
      </c>
      <c r="E1003" t="s">
        <v>149</v>
      </c>
      <c r="F1003" t="s">
        <v>147</v>
      </c>
      <c r="G1003" t="s">
        <v>163</v>
      </c>
      <c r="I1003" s="4">
        <v>35</v>
      </c>
      <c r="J1003" s="4">
        <v>35</v>
      </c>
      <c r="L1003" t="s">
        <v>252</v>
      </c>
      <c r="M1003" t="s">
        <v>22</v>
      </c>
      <c r="N1003" s="4">
        <f>IF(L1003="","",IF(OR(Registro2[[#This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03" t="str">
        <f t="shared" si="15"/>
        <v>mar/25</v>
      </c>
      <c r="P1003" t="str">
        <f>IF(Registro2[[#This Row],[Data de Pagamento]]&gt;0,TEXT(A1003,"mmm/aa"),"")</f>
        <v>mar/25</v>
      </c>
      <c r="T1003" s="4">
        <f>IF(Registro2[[#This Row],[Data de Pagamento]]="",0,IF(Registro2[[#This Row],[Conta Financeira]]=base!$A$6,0,Registro2[[#This Row],[Valor Unitário]]))</f>
        <v>35</v>
      </c>
      <c r="U10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03" t="str">
        <f>VLOOKUP(Registro2[[#This Row],[Categoria]],'Plano de Contas'!$V$3:W1037,2,0)</f>
        <v>Receitas Serviços</v>
      </c>
      <c r="X10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04" spans="1:24" hidden="1">
      <c r="A1004" s="1">
        <v>45738</v>
      </c>
      <c r="B1004" s="1">
        <v>45738</v>
      </c>
      <c r="D1004" t="s">
        <v>310</v>
      </c>
      <c r="E1004" t="s">
        <v>149</v>
      </c>
      <c r="F1004" t="s">
        <v>147</v>
      </c>
      <c r="G1004" t="s">
        <v>1046</v>
      </c>
      <c r="I1004" s="4">
        <v>30</v>
      </c>
      <c r="J1004" s="4">
        <v>30</v>
      </c>
      <c r="L1004" t="s">
        <v>264</v>
      </c>
      <c r="M1004" t="s">
        <v>401</v>
      </c>
      <c r="N1004" s="4">
        <f>IF(L1004="","",IF(OR(Registro2[[#This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1004" t="str">
        <f t="shared" si="15"/>
        <v>mar/25</v>
      </c>
      <c r="P1004" t="str">
        <f>IF(Registro2[[#This Row],[Data de Pagamento]]&gt;0,TEXT(A1004,"mmm/aa"),"")</f>
        <v>mar/25</v>
      </c>
      <c r="T1004" s="4">
        <f>IF(Registro2[[#This Row],[Data de Pagamento]]="",0,IF(Registro2[[#This Row],[Conta Financeira]]=base!$A$6,0,Registro2[[#This Row],[Valor Unitário]]))</f>
        <v>30</v>
      </c>
      <c r="U10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04" t="str">
        <f>VLOOKUP(Registro2[[#This Row],[Categoria]],'Plano de Contas'!$V$3:W1038,2,0)</f>
        <v>Receitas Serviços</v>
      </c>
      <c r="X100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0.26700000000000002</v>
      </c>
    </row>
    <row r="1005" spans="1:24" hidden="1">
      <c r="A1005" s="1">
        <v>45738</v>
      </c>
      <c r="B1005" s="1">
        <v>45738</v>
      </c>
      <c r="D1005" t="s">
        <v>354</v>
      </c>
      <c r="E1005" t="s">
        <v>149</v>
      </c>
      <c r="F1005" t="s">
        <v>152</v>
      </c>
      <c r="G1005" t="s">
        <v>353</v>
      </c>
      <c r="I1005" s="4">
        <v>60</v>
      </c>
      <c r="J1005" s="4">
        <v>135</v>
      </c>
      <c r="L1005" t="s">
        <v>264</v>
      </c>
      <c r="M1005" t="s">
        <v>901</v>
      </c>
      <c r="N1005" s="4">
        <f>IF(L1005="","",IF(OR(Registro2[[#This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005" t="str">
        <f t="shared" si="15"/>
        <v>mar/25</v>
      </c>
      <c r="P1005" t="str">
        <f>IF(Registro2[[#This Row],[Data de Pagamento]]&gt;0,TEXT(A1005,"mmm/aa"),"")</f>
        <v>mar/25</v>
      </c>
      <c r="T1005" s="4">
        <f>IF(Registro2[[#This Row],[Data de Pagamento]]="",0,IF(Registro2[[#This Row],[Conta Financeira]]=base!$A$6,0,Registro2[[#This Row],[Valor Unitário]]))</f>
        <v>60</v>
      </c>
      <c r="U10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05" t="str">
        <f>VLOOKUP(Registro2[[#This Row],[Categoria]],'Plano de Contas'!$V$3:W1052,2,0)</f>
        <v>Receitas Serviços</v>
      </c>
      <c r="X100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</row>
    <row r="1006" spans="1:24" hidden="1">
      <c r="A1006" s="1">
        <v>45738</v>
      </c>
      <c r="B1006" s="1">
        <v>45738</v>
      </c>
      <c r="D1006" t="s">
        <v>354</v>
      </c>
      <c r="E1006" t="s">
        <v>149</v>
      </c>
      <c r="F1006" t="s">
        <v>150</v>
      </c>
      <c r="G1006" t="s">
        <v>472</v>
      </c>
      <c r="I1006" s="4">
        <v>40</v>
      </c>
      <c r="J1006" s="4" t="s">
        <v>1604</v>
      </c>
      <c r="L1006" t="s">
        <v>264</v>
      </c>
      <c r="M1006" t="s">
        <v>901</v>
      </c>
      <c r="N1006" s="4">
        <f>IF(L1006="","",IF(OR(Registro2[[#This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1006" t="str">
        <f t="shared" si="15"/>
        <v>mar/25</v>
      </c>
      <c r="P1006" t="str">
        <f>IF(Registro2[[#This Row],[Data de Pagamento]]&gt;0,TEXT(A1006,"mmm/aa"),"")</f>
        <v>mar/25</v>
      </c>
      <c r="T1006" s="4">
        <f>IF(Registro2[[#This Row],[Data de Pagamento]]="",0,IF(Registro2[[#This Row],[Conta Financeira]]=base!$A$6,0,Registro2[[#This Row],[Valor Unitário]]))</f>
        <v>40</v>
      </c>
      <c r="U10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06" t="str">
        <f>VLOOKUP(Registro2[[#This Row],[Categoria]],'Plano de Contas'!$V$3:W1053,2,0)</f>
        <v>Receitas Produtos</v>
      </c>
      <c r="X100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1.26</v>
      </c>
    </row>
    <row r="1007" spans="1:24" hidden="1">
      <c r="A1007" s="1">
        <v>45738</v>
      </c>
      <c r="B1007" s="1">
        <v>45738</v>
      </c>
      <c r="D1007" t="s">
        <v>354</v>
      </c>
      <c r="E1007" t="s">
        <v>149</v>
      </c>
      <c r="F1007" t="s">
        <v>150</v>
      </c>
      <c r="G1007" t="s">
        <v>513</v>
      </c>
      <c r="I1007" s="4">
        <v>35</v>
      </c>
      <c r="J1007" s="4" t="s">
        <v>1604</v>
      </c>
      <c r="L1007" t="s">
        <v>264</v>
      </c>
      <c r="M1007" t="s">
        <v>901</v>
      </c>
      <c r="N1007" s="4">
        <f>IF(L1007="","",IF(OR(Registro2[[#This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14</v>
      </c>
      <c r="O1007" t="str">
        <f t="shared" si="15"/>
        <v>mar/25</v>
      </c>
      <c r="P1007" t="str">
        <f>IF(Registro2[[#This Row],[Data de Pagamento]]&gt;0,TEXT(A1007,"mmm/aa"),"")</f>
        <v>mar/25</v>
      </c>
      <c r="T1007" s="4">
        <f>IF(Registro2[[#This Row],[Data de Pagamento]]="",0,IF(Registro2[[#This Row],[Conta Financeira]]=base!$A$6,0,Registro2[[#This Row],[Valor Unitário]]))</f>
        <v>35</v>
      </c>
      <c r="U10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07" t="str">
        <f>VLOOKUP(Registro2[[#This Row],[Categoria]],'Plano de Contas'!$V$3:W1054,2,0)</f>
        <v>Receitas Produtos</v>
      </c>
      <c r="X100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008" spans="1:24" hidden="1">
      <c r="A1008" s="1">
        <v>45738</v>
      </c>
      <c r="B1008" s="1">
        <v>45738</v>
      </c>
      <c r="D1008" t="s">
        <v>2</v>
      </c>
      <c r="E1008" t="s">
        <v>149</v>
      </c>
      <c r="F1008" t="s">
        <v>147</v>
      </c>
      <c r="G1008" t="s">
        <v>163</v>
      </c>
      <c r="I1008" s="4">
        <v>35</v>
      </c>
      <c r="J1008" s="4">
        <v>35</v>
      </c>
      <c r="L1008" t="s">
        <v>253</v>
      </c>
      <c r="M1008" t="s">
        <v>37</v>
      </c>
      <c r="N1008" s="4">
        <f>IF(L1008="","",IF(OR(Registro2[[#This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08" t="str">
        <f t="shared" si="15"/>
        <v>mar/25</v>
      </c>
      <c r="P1008" t="str">
        <f>IF(Registro2[[#This Row],[Data de Pagamento]]&gt;0,TEXT(A1008,"mmm/aa"),"")</f>
        <v>mar/25</v>
      </c>
      <c r="T1008" s="4">
        <f>IF(Registro2[[#This Row],[Data de Pagamento]]="",0,IF(Registro2[[#This Row],[Conta Financeira]]=base!$A$6,0,Registro2[[#This Row],[Valor Unitário]]))</f>
        <v>35</v>
      </c>
      <c r="U10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08" t="str">
        <f>VLOOKUP(Registro2[[#This Row],[Categoria]],'Plano de Contas'!$V$3:W1061,2,0)</f>
        <v>Receitas Serviços</v>
      </c>
      <c r="X100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09" spans="1:24" hidden="1">
      <c r="A1009" s="1">
        <v>45738</v>
      </c>
      <c r="B1009" s="1">
        <v>45738</v>
      </c>
      <c r="D1009" t="s">
        <v>529</v>
      </c>
      <c r="E1009" t="s">
        <v>149</v>
      </c>
      <c r="F1009" t="s">
        <v>147</v>
      </c>
      <c r="G1009" t="s">
        <v>163</v>
      </c>
      <c r="I1009" s="4">
        <v>35</v>
      </c>
      <c r="J1009" s="4">
        <v>50</v>
      </c>
      <c r="L1009" t="s">
        <v>253</v>
      </c>
      <c r="M1009" t="s">
        <v>414</v>
      </c>
      <c r="N1009" s="4">
        <f>IF(L1009="","",IF(OR(Registro2[[#This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09" t="str">
        <f t="shared" si="15"/>
        <v>mar/25</v>
      </c>
      <c r="P1009" t="str">
        <f>IF(Registro2[[#This Row],[Data de Pagamento]]&gt;0,TEXT(A1009,"mmm/aa"),"")</f>
        <v>mar/25</v>
      </c>
      <c r="T1009" s="4">
        <f>IF(Registro2[[#This Row],[Data de Pagamento]]="",0,IF(Registro2[[#This Row],[Conta Financeira]]=base!$A$6,0,Registro2[[#This Row],[Valor Unitário]]))</f>
        <v>35</v>
      </c>
      <c r="U10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09" t="str">
        <f>VLOOKUP(Registro2[[#This Row],[Categoria]],'Plano de Contas'!$V$3:W1065,2,0)</f>
        <v>Receitas Serviços</v>
      </c>
      <c r="X100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10" spans="1:24" hidden="1">
      <c r="A1010" s="1">
        <v>45738</v>
      </c>
      <c r="B1010" s="1">
        <v>45738</v>
      </c>
      <c r="D1010" t="s">
        <v>529</v>
      </c>
      <c r="E1010" t="s">
        <v>149</v>
      </c>
      <c r="F1010" t="s">
        <v>147</v>
      </c>
      <c r="G1010" t="s">
        <v>1046</v>
      </c>
      <c r="I1010" s="4">
        <v>15</v>
      </c>
      <c r="J1010" s="4" t="s">
        <v>1604</v>
      </c>
      <c r="L1010" t="s">
        <v>253</v>
      </c>
      <c r="M1010" t="s">
        <v>414</v>
      </c>
      <c r="N1010" s="4">
        <f>IF(L1010="","",IF(OR(Registro2[[#This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010" t="str">
        <f t="shared" si="15"/>
        <v>mar/25</v>
      </c>
      <c r="P1010" t="str">
        <f>IF(Registro2[[#This Row],[Data de Pagamento]]&gt;0,TEXT(A1010,"mmm/aa"),"")</f>
        <v>mar/25</v>
      </c>
      <c r="T1010" s="4">
        <f>IF(Registro2[[#This Row],[Data de Pagamento]]="",0,IF(Registro2[[#This Row],[Conta Financeira]]=base!$A$6,0,Registro2[[#This Row],[Valor Unitário]]))</f>
        <v>15</v>
      </c>
      <c r="U10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10" t="str">
        <f>VLOOKUP(Registro2[[#This Row],[Categoria]],'Plano de Contas'!$V$3:W1066,2,0)</f>
        <v>Receitas Serviços</v>
      </c>
      <c r="X101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11" spans="1:24" hidden="1">
      <c r="A1011" s="1">
        <v>45738</v>
      </c>
      <c r="B1011" s="1">
        <v>45738</v>
      </c>
      <c r="D1011" t="s">
        <v>1</v>
      </c>
      <c r="E1011" t="s">
        <v>149</v>
      </c>
      <c r="F1011" t="s">
        <v>147</v>
      </c>
      <c r="G1011" t="s">
        <v>163</v>
      </c>
      <c r="I1011" s="4">
        <v>35</v>
      </c>
      <c r="J1011" s="4">
        <v>45</v>
      </c>
      <c r="L1011" t="s">
        <v>252</v>
      </c>
      <c r="M1011" t="s">
        <v>400</v>
      </c>
      <c r="N1011" s="4">
        <f>IF(L1011="","",IF(OR(Registro2[[#This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11" t="str">
        <f t="shared" si="15"/>
        <v>mar/25</v>
      </c>
      <c r="P1011" t="str">
        <f>IF(Registro2[[#This Row],[Data de Pagamento]]&gt;0,TEXT(A1011,"mmm/aa"),"")</f>
        <v>mar/25</v>
      </c>
      <c r="T1011" s="4">
        <f>IF(Registro2[[#This Row],[Data de Pagamento]]="",0,IF(Registro2[[#This Row],[Conta Financeira]]=base!$A$6,0,Registro2[[#This Row],[Valor Unitário]]))</f>
        <v>35</v>
      </c>
      <c r="U10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11" t="str">
        <f>VLOOKUP(Registro2[[#This Row],[Categoria]],'Plano de Contas'!$V$3:W1067,2,0)</f>
        <v>Receitas Serviços</v>
      </c>
      <c r="X10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12" spans="1:24" hidden="1">
      <c r="A1012" s="1">
        <v>45738</v>
      </c>
      <c r="B1012" s="1">
        <v>45738</v>
      </c>
      <c r="D1012" t="s">
        <v>1</v>
      </c>
      <c r="E1012" t="s">
        <v>149</v>
      </c>
      <c r="F1012" t="s">
        <v>147</v>
      </c>
      <c r="G1012" t="s">
        <v>167</v>
      </c>
      <c r="I1012" s="4">
        <v>10</v>
      </c>
      <c r="J1012" s="4" t="s">
        <v>1604</v>
      </c>
      <c r="L1012" t="s">
        <v>252</v>
      </c>
      <c r="M1012" t="s">
        <v>400</v>
      </c>
      <c r="N1012" s="4">
        <f>IF(L1012="","",IF(OR(Registro2[[#This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012" t="str">
        <f t="shared" si="15"/>
        <v>mar/25</v>
      </c>
      <c r="P1012" t="str">
        <f>IF(Registro2[[#This Row],[Data de Pagamento]]&gt;0,TEXT(A1012,"mmm/aa"),"")</f>
        <v>mar/25</v>
      </c>
      <c r="T1012" s="4">
        <f>IF(Registro2[[#This Row],[Data de Pagamento]]="",0,IF(Registro2[[#This Row],[Conta Financeira]]=base!$A$6,0,Registro2[[#This Row],[Valor Unitário]]))</f>
        <v>10</v>
      </c>
      <c r="U10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12" t="str">
        <f>VLOOKUP(Registro2[[#This Row],[Categoria]],'Plano de Contas'!$V$3:W1068,2,0)</f>
        <v>Receitas Serviços</v>
      </c>
      <c r="X101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13" spans="1:24" hidden="1">
      <c r="A1013" s="1">
        <v>45738</v>
      </c>
      <c r="B1013" s="1">
        <v>45738</v>
      </c>
      <c r="D1013" t="s">
        <v>1</v>
      </c>
      <c r="E1013" t="s">
        <v>149</v>
      </c>
      <c r="F1013" t="s">
        <v>147</v>
      </c>
      <c r="G1013" t="s">
        <v>163</v>
      </c>
      <c r="I1013" s="4">
        <v>35</v>
      </c>
      <c r="J1013" s="4">
        <v>0</v>
      </c>
      <c r="L1013" t="s">
        <v>253</v>
      </c>
      <c r="M1013" t="s">
        <v>1583</v>
      </c>
      <c r="N1013" s="4">
        <f>IF(L1013="","",IF(OR(Registro2[[#This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13" t="str">
        <f t="shared" si="15"/>
        <v>mar/25</v>
      </c>
      <c r="P1013" t="str">
        <f>IF(Registro2[[#This Row],[Data de Pagamento]]&gt;0,TEXT(A1013,"mmm/aa"),"")</f>
        <v>mar/25</v>
      </c>
      <c r="T1013" s="4">
        <f>IF(Registro2[[#This Row],[Data de Pagamento]]="",0,IF(Registro2[[#This Row],[Conta Financeira]]=base!$A$6,0,Registro2[[#This Row],[Valor Unitário]]))</f>
        <v>35</v>
      </c>
      <c r="U10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13" t="str">
        <f>VLOOKUP(Registro2[[#This Row],[Categoria]],'Plano de Contas'!$V$3:W1069,2,0)</f>
        <v>Receitas Serviços</v>
      </c>
      <c r="X101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14" spans="1:24" hidden="1">
      <c r="A1014" s="1">
        <v>45738</v>
      </c>
      <c r="B1014" s="1">
        <v>45738</v>
      </c>
      <c r="D1014" t="s">
        <v>354</v>
      </c>
      <c r="E1014" t="s">
        <v>149</v>
      </c>
      <c r="F1014" t="s">
        <v>147</v>
      </c>
      <c r="G1014" t="s">
        <v>163</v>
      </c>
      <c r="I1014" s="4">
        <v>35</v>
      </c>
      <c r="J1014" s="4">
        <v>35</v>
      </c>
      <c r="L1014" t="s">
        <v>252</v>
      </c>
      <c r="M1014" t="s">
        <v>1008</v>
      </c>
      <c r="N1014" s="4">
        <f>IF(L1014="","",IF(OR(Registro2[[#This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14" t="str">
        <f t="shared" si="15"/>
        <v>mar/25</v>
      </c>
      <c r="P1014" t="str">
        <f>IF(Registro2[[#This Row],[Data de Pagamento]]&gt;0,TEXT(A1014,"mmm/aa"),"")</f>
        <v>mar/25</v>
      </c>
      <c r="T1014" s="4">
        <f>IF(Registro2[[#This Row],[Data de Pagamento]]="",0,IF(Registro2[[#This Row],[Conta Financeira]]=base!$A$6,0,Registro2[[#This Row],[Valor Unitário]]))</f>
        <v>35</v>
      </c>
      <c r="U10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14" t="str">
        <f>VLOOKUP(Registro2[[#This Row],[Categoria]],'Plano de Contas'!$V$3:W1070,2,0)</f>
        <v>Receitas Serviços</v>
      </c>
      <c r="X101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015" spans="1:24" hidden="1">
      <c r="A1015" s="1">
        <v>45738</v>
      </c>
      <c r="B1015" s="1">
        <v>45738</v>
      </c>
      <c r="D1015" t="s">
        <v>1</v>
      </c>
      <c r="E1015" t="s">
        <v>149</v>
      </c>
      <c r="F1015" t="s">
        <v>147</v>
      </c>
      <c r="G1015" t="s">
        <v>163</v>
      </c>
      <c r="I1015" s="4">
        <v>35</v>
      </c>
      <c r="J1015" s="4">
        <v>35</v>
      </c>
      <c r="L1015" t="s">
        <v>264</v>
      </c>
      <c r="M1015" t="s">
        <v>869</v>
      </c>
      <c r="N1015" s="4">
        <f>IF(L1015="","",IF(OR(Registro2[[#This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15" t="str">
        <f t="shared" si="15"/>
        <v>mar/25</v>
      </c>
      <c r="P1015" t="str">
        <f>IF(Registro2[[#This Row],[Data de Pagamento]]&gt;0,TEXT(A1015,"mmm/aa"),"")</f>
        <v>mar/25</v>
      </c>
      <c r="T1015" s="4">
        <f>IF(Registro2[[#This Row],[Data de Pagamento]]="",0,IF(Registro2[[#This Row],[Conta Financeira]]=base!$A$6,0,Registro2[[#This Row],[Valor Unitário]]))</f>
        <v>35</v>
      </c>
      <c r="U10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15" t="str">
        <f>VLOOKUP(Registro2[[#This Row],[Categoria]],'Plano de Contas'!$V$3:W1071,2,0)</f>
        <v>Receitas Serviços</v>
      </c>
      <c r="X101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16" spans="1:24" hidden="1">
      <c r="A1016" s="1">
        <v>45738</v>
      </c>
      <c r="B1016" s="1">
        <v>45738</v>
      </c>
      <c r="D1016" t="s">
        <v>1</v>
      </c>
      <c r="E1016" t="s">
        <v>149</v>
      </c>
      <c r="F1016" t="s">
        <v>147</v>
      </c>
      <c r="G1016" t="s">
        <v>163</v>
      </c>
      <c r="I1016" s="4">
        <v>35</v>
      </c>
      <c r="J1016" s="4">
        <v>35</v>
      </c>
      <c r="L1016" t="s">
        <v>252</v>
      </c>
      <c r="M1016" t="s">
        <v>123</v>
      </c>
      <c r="N1016" s="4">
        <f>IF(L1016="","",IF(OR(Registro2[[#This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16" t="str">
        <f t="shared" si="15"/>
        <v>mar/25</v>
      </c>
      <c r="P1016" t="str">
        <f>IF(Registro2[[#This Row],[Data de Pagamento]]&gt;0,TEXT(A1016,"mmm/aa"),"")</f>
        <v>mar/25</v>
      </c>
      <c r="T1016" s="4">
        <f>IF(Registro2[[#This Row],[Data de Pagamento]]="",0,IF(Registro2[[#This Row],[Conta Financeira]]=base!$A$6,0,Registro2[[#This Row],[Valor Unitário]]))</f>
        <v>35</v>
      </c>
      <c r="U10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16" t="str">
        <f>VLOOKUP(Registro2[[#This Row],[Categoria]],'Plano de Contas'!$V$3:W1072,2,0)</f>
        <v>Receitas Serviços</v>
      </c>
      <c r="X101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17" spans="1:24" hidden="1">
      <c r="A1017" s="1">
        <v>45738</v>
      </c>
      <c r="B1017" s="1">
        <v>45738</v>
      </c>
      <c r="D1017" t="s">
        <v>354</v>
      </c>
      <c r="E1017" t="s">
        <v>149</v>
      </c>
      <c r="F1017" t="s">
        <v>147</v>
      </c>
      <c r="G1017" t="s">
        <v>163</v>
      </c>
      <c r="I1017" s="4">
        <v>35</v>
      </c>
      <c r="J1017" s="4">
        <v>35</v>
      </c>
      <c r="L1017" t="s">
        <v>264</v>
      </c>
      <c r="M1017" t="s">
        <v>1588</v>
      </c>
      <c r="N1017" s="4">
        <f>IF(L1017="","",IF(OR(Registro2[[#This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17" t="str">
        <f t="shared" si="15"/>
        <v>mar/25</v>
      </c>
      <c r="P1017" t="str">
        <f>IF(Registro2[[#This Row],[Data de Pagamento]]&gt;0,TEXT(A1017,"mmm/aa"),"")</f>
        <v>mar/25</v>
      </c>
      <c r="T1017" s="4">
        <f>IF(Registro2[[#This Row],[Data de Pagamento]]="",0,IF(Registro2[[#This Row],[Conta Financeira]]=base!$A$6,0,Registro2[[#This Row],[Valor Unitário]]))</f>
        <v>35</v>
      </c>
      <c r="U10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17" t="str">
        <f>VLOOKUP(Registro2[[#This Row],[Categoria]],'Plano de Contas'!$V$3:W1073,2,0)</f>
        <v>Receitas Serviços</v>
      </c>
      <c r="X101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018" spans="1:24" hidden="1">
      <c r="A1018" s="1">
        <v>45738</v>
      </c>
      <c r="B1018" s="1">
        <v>45738</v>
      </c>
      <c r="D1018" t="s">
        <v>2</v>
      </c>
      <c r="E1018" t="s">
        <v>149</v>
      </c>
      <c r="F1018" t="s">
        <v>147</v>
      </c>
      <c r="G1018" t="s">
        <v>163</v>
      </c>
      <c r="I1018" s="4">
        <v>35</v>
      </c>
      <c r="J1018" s="4">
        <v>35</v>
      </c>
      <c r="L1018" t="s">
        <v>253</v>
      </c>
      <c r="M1018" t="s">
        <v>1590</v>
      </c>
      <c r="N1018" s="4">
        <f>IF(L1018="","",IF(OR(Registro2[[#This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18" t="str">
        <f t="shared" si="15"/>
        <v>mar/25</v>
      </c>
      <c r="P1018" t="str">
        <f>IF(Registro2[[#This Row],[Data de Pagamento]]&gt;0,TEXT(A1018,"mmm/aa"),"")</f>
        <v>mar/25</v>
      </c>
      <c r="T1018" s="4">
        <f>IF(Registro2[[#This Row],[Data de Pagamento]]="",0,IF(Registro2[[#This Row],[Conta Financeira]]=base!$A$6,0,Registro2[[#This Row],[Valor Unitário]]))</f>
        <v>35</v>
      </c>
      <c r="U10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18" t="str">
        <f>VLOOKUP(Registro2[[#This Row],[Categoria]],'Plano de Contas'!$V$3:W1074,2,0)</f>
        <v>Receitas Serviços</v>
      </c>
      <c r="X10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19" spans="1:24" hidden="1">
      <c r="A1019" s="1">
        <v>45738</v>
      </c>
      <c r="B1019" s="1">
        <v>45738</v>
      </c>
      <c r="D1019" t="s">
        <v>2</v>
      </c>
      <c r="E1019" t="s">
        <v>149</v>
      </c>
      <c r="F1019" t="s">
        <v>147</v>
      </c>
      <c r="G1019" t="s">
        <v>163</v>
      </c>
      <c r="I1019" s="4">
        <v>35</v>
      </c>
      <c r="J1019" s="4">
        <v>35</v>
      </c>
      <c r="L1019" t="s">
        <v>253</v>
      </c>
      <c r="M1019" t="s">
        <v>115</v>
      </c>
      <c r="N1019" s="4">
        <f>IF(L1019="","",IF(OR(Registro2[[#This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19" t="str">
        <f t="shared" si="15"/>
        <v>mar/25</v>
      </c>
      <c r="P1019" t="str">
        <f>IF(Registro2[[#This Row],[Data de Pagamento]]&gt;0,TEXT(A1019,"mmm/aa"),"")</f>
        <v>mar/25</v>
      </c>
      <c r="T1019" s="4">
        <f>IF(Registro2[[#This Row],[Data de Pagamento]]="",0,IF(Registro2[[#This Row],[Conta Financeira]]=base!$A$6,0,Registro2[[#This Row],[Valor Unitário]]))</f>
        <v>35</v>
      </c>
      <c r="U10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19" t="str">
        <f>VLOOKUP(Registro2[[#This Row],[Categoria]],'Plano de Contas'!$V$3:W1075,2,0)</f>
        <v>Receitas Serviços</v>
      </c>
      <c r="X101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20" spans="1:24" hidden="1">
      <c r="A1020" s="1">
        <v>45738</v>
      </c>
      <c r="B1020" s="1">
        <v>45738</v>
      </c>
      <c r="D1020" t="s">
        <v>310</v>
      </c>
      <c r="E1020" t="s">
        <v>149</v>
      </c>
      <c r="F1020" t="s">
        <v>147</v>
      </c>
      <c r="G1020" t="s">
        <v>163</v>
      </c>
      <c r="I1020" s="4">
        <v>35</v>
      </c>
      <c r="J1020" s="4">
        <v>35</v>
      </c>
      <c r="L1020" t="s">
        <v>252</v>
      </c>
      <c r="M1020" t="s">
        <v>1593</v>
      </c>
      <c r="N1020" s="4">
        <f>IF(L1020="","",IF(OR(Registro2[[#This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20" t="str">
        <f t="shared" si="15"/>
        <v>mar/25</v>
      </c>
      <c r="P1020" t="str">
        <f>IF(Registro2[[#This Row],[Data de Pagamento]]&gt;0,TEXT(A1020,"mmm/aa"),"")</f>
        <v>mar/25</v>
      </c>
      <c r="T1020" s="4">
        <f>IF(Registro2[[#This Row],[Data de Pagamento]]="",0,IF(Registro2[[#This Row],[Conta Financeira]]=base!$A$6,0,Registro2[[#This Row],[Valor Unitário]]))</f>
        <v>35</v>
      </c>
      <c r="U10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20" t="str">
        <f>VLOOKUP(Registro2[[#This Row],[Categoria]],'Plano de Contas'!$V$3:W1076,2,0)</f>
        <v>Receitas Serviços</v>
      </c>
      <c r="X102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021" spans="1:24" hidden="1">
      <c r="A1021" s="1">
        <v>45738</v>
      </c>
      <c r="B1021" s="1">
        <v>45738</v>
      </c>
      <c r="D1021" t="s">
        <v>354</v>
      </c>
      <c r="E1021" t="s">
        <v>149</v>
      </c>
      <c r="F1021" t="s">
        <v>147</v>
      </c>
      <c r="G1021" t="s">
        <v>163</v>
      </c>
      <c r="I1021" s="4">
        <v>35</v>
      </c>
      <c r="J1021" s="4">
        <v>35</v>
      </c>
      <c r="L1021" t="s">
        <v>252</v>
      </c>
      <c r="M1021" t="s">
        <v>296</v>
      </c>
      <c r="N1021" s="4">
        <f>IF(L1021="","",IF(OR(Registro2[[#This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21" t="str">
        <f t="shared" si="15"/>
        <v>mar/25</v>
      </c>
      <c r="P1021" t="str">
        <f>IF(Registro2[[#This Row],[Data de Pagamento]]&gt;0,TEXT(A1021,"mmm/aa"),"")</f>
        <v>mar/25</v>
      </c>
      <c r="T1021" s="4">
        <f>IF(Registro2[[#This Row],[Data de Pagamento]]="",0,IF(Registro2[[#This Row],[Conta Financeira]]=base!$A$6,0,Registro2[[#This Row],[Valor Unitário]]))</f>
        <v>35</v>
      </c>
      <c r="U10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21" t="str">
        <f>VLOOKUP(Registro2[[#This Row],[Categoria]],'Plano de Contas'!$V$3:W1077,2,0)</f>
        <v>Receitas Serviços</v>
      </c>
      <c r="X102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022" spans="1:24" hidden="1">
      <c r="A1022" s="1">
        <v>45738</v>
      </c>
      <c r="B1022" s="1">
        <v>45738</v>
      </c>
      <c r="D1022" t="s">
        <v>1</v>
      </c>
      <c r="E1022" t="s">
        <v>149</v>
      </c>
      <c r="F1022" t="s">
        <v>147</v>
      </c>
      <c r="G1022" t="s">
        <v>163</v>
      </c>
      <c r="I1022" s="4">
        <v>30</v>
      </c>
      <c r="J1022" s="4">
        <v>30</v>
      </c>
      <c r="L1022" t="s">
        <v>264</v>
      </c>
      <c r="M1022" t="s">
        <v>1348</v>
      </c>
      <c r="N1022" s="4">
        <f>IF(L1022="","",IF(OR(Registro2[[#This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1022" t="str">
        <f t="shared" si="15"/>
        <v>mar/25</v>
      </c>
      <c r="P1022" t="str">
        <f>IF(Registro2[[#This Row],[Data de Pagamento]]&gt;0,TEXT(A1022,"mmm/aa"),"")</f>
        <v>mar/25</v>
      </c>
      <c r="T1022" s="4">
        <f>IF(Registro2[[#This Row],[Data de Pagamento]]="",0,IF(Registro2[[#This Row],[Conta Financeira]]=base!$A$6,0,Registro2[[#This Row],[Valor Unitário]]))</f>
        <v>30</v>
      </c>
      <c r="U10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22" t="str">
        <f>VLOOKUP(Registro2[[#This Row],[Categoria]],'Plano de Contas'!$V$3:W1078,2,0)</f>
        <v>Receitas Serviços</v>
      </c>
      <c r="X102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23" spans="1:24" hidden="1">
      <c r="A1023" s="1">
        <v>45738</v>
      </c>
      <c r="B1023" s="1">
        <v>45738</v>
      </c>
      <c r="D1023" t="s">
        <v>1</v>
      </c>
      <c r="E1023" t="s">
        <v>149</v>
      </c>
      <c r="F1023" t="s">
        <v>147</v>
      </c>
      <c r="G1023" t="s">
        <v>163</v>
      </c>
      <c r="I1023" s="4">
        <v>25</v>
      </c>
      <c r="J1023" s="4">
        <v>25</v>
      </c>
      <c r="L1023" t="s">
        <v>264</v>
      </c>
      <c r="M1023" t="s">
        <v>271</v>
      </c>
      <c r="N1023" s="4">
        <f>IF(L1023="","",IF(OR(Registro2[[#This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1023" t="str">
        <f t="shared" si="15"/>
        <v>mar/25</v>
      </c>
      <c r="P1023" t="str">
        <f>IF(Registro2[[#This Row],[Data de Pagamento]]&gt;0,TEXT(A1023,"mmm/aa"),"")</f>
        <v>mar/25</v>
      </c>
      <c r="T1023" s="4">
        <f>IF(Registro2[[#This Row],[Data de Pagamento]]="",0,IF(Registro2[[#This Row],[Conta Financeira]]=base!$A$6,0,Registro2[[#This Row],[Valor Unitário]]))</f>
        <v>25</v>
      </c>
      <c r="U10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23" t="str">
        <f>VLOOKUP(Registro2[[#This Row],[Categoria]],'Plano de Contas'!$V$3:W1079,2,0)</f>
        <v>Receitas Serviços</v>
      </c>
      <c r="X102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24" spans="1:24" hidden="1">
      <c r="A1024" s="1">
        <v>45738</v>
      </c>
      <c r="B1024" s="1">
        <v>45738</v>
      </c>
      <c r="D1024" t="s">
        <v>1</v>
      </c>
      <c r="E1024" t="s">
        <v>149</v>
      </c>
      <c r="F1024" t="s">
        <v>152</v>
      </c>
      <c r="G1024" t="s">
        <v>353</v>
      </c>
      <c r="I1024" s="4">
        <v>60</v>
      </c>
      <c r="J1024" s="4">
        <v>60</v>
      </c>
      <c r="L1024" t="s">
        <v>252</v>
      </c>
      <c r="M1024" t="s">
        <v>1167</v>
      </c>
      <c r="N1024" s="4">
        <f>IF(L1024="","",IF(OR(Registro2[[#This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024" t="str">
        <f t="shared" si="15"/>
        <v>mar/25</v>
      </c>
      <c r="P1024" t="str">
        <f>IF(Registro2[[#This Row],[Data de Pagamento]]&gt;0,TEXT(A1024,"mmm/aa"),"")</f>
        <v>mar/25</v>
      </c>
      <c r="T1024" s="4">
        <f>IF(Registro2[[#This Row],[Data de Pagamento]]="",0,IF(Registro2[[#This Row],[Conta Financeira]]=base!$A$6,0,Registro2[[#This Row],[Valor Unitário]]))</f>
        <v>60</v>
      </c>
      <c r="U10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24" t="str">
        <f>VLOOKUP(Registro2[[#This Row],[Categoria]],'Plano de Contas'!$V$3:W1080,2,0)</f>
        <v>Receitas Serviços</v>
      </c>
      <c r="X102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25" spans="1:24" hidden="1">
      <c r="A1025" s="1">
        <v>45738</v>
      </c>
      <c r="B1025" s="1">
        <v>45738</v>
      </c>
      <c r="D1025" t="s">
        <v>354</v>
      </c>
      <c r="E1025" t="s">
        <v>149</v>
      </c>
      <c r="F1025" t="s">
        <v>147</v>
      </c>
      <c r="G1025" t="s">
        <v>163</v>
      </c>
      <c r="I1025" s="4">
        <v>35</v>
      </c>
      <c r="J1025" s="4">
        <v>35</v>
      </c>
      <c r="L1025" t="s">
        <v>264</v>
      </c>
      <c r="M1025" t="s">
        <v>1599</v>
      </c>
      <c r="N1025" s="4">
        <f>IF(L1025="","",IF(OR(Registro2[[#This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25" t="str">
        <f t="shared" si="15"/>
        <v>mar/25</v>
      </c>
      <c r="P1025" t="str">
        <f>IF(Registro2[[#This Row],[Data de Pagamento]]&gt;0,TEXT(A1025,"mmm/aa"),"")</f>
        <v>mar/25</v>
      </c>
      <c r="T1025" s="4">
        <f>IF(Registro2[[#This Row],[Data de Pagamento]]="",0,IF(Registro2[[#This Row],[Conta Financeira]]=base!$A$6,0,Registro2[[#This Row],[Valor Unitário]]))</f>
        <v>35</v>
      </c>
      <c r="U10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25" t="str">
        <f>VLOOKUP(Registro2[[#This Row],[Categoria]],'Plano de Contas'!$V$3:W1081,2,0)</f>
        <v>Receitas Serviços</v>
      </c>
      <c r="X102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026" spans="1:24" hidden="1">
      <c r="A1026" s="1">
        <v>45738</v>
      </c>
      <c r="B1026" s="1">
        <v>45738</v>
      </c>
      <c r="D1026" t="s">
        <v>2</v>
      </c>
      <c r="E1026" t="s">
        <v>149</v>
      </c>
      <c r="F1026" t="s">
        <v>147</v>
      </c>
      <c r="G1026" t="s">
        <v>163</v>
      </c>
      <c r="I1026" s="4">
        <v>35</v>
      </c>
      <c r="J1026" s="4">
        <v>35</v>
      </c>
      <c r="L1026" t="s">
        <v>264</v>
      </c>
      <c r="M1026" t="s">
        <v>382</v>
      </c>
      <c r="N1026" s="4">
        <f>IF(L1026="","",IF(OR(Registro2[[#This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26" t="str">
        <f t="shared" ref="O1026:O1089" si="16">TEXT(B1026,"mmm/aa")</f>
        <v>mar/25</v>
      </c>
      <c r="P1026" t="str">
        <f>IF(Registro2[[#This Row],[Data de Pagamento]]&gt;0,TEXT(A1026,"mmm/aa"),"")</f>
        <v>mar/25</v>
      </c>
      <c r="T1026" s="4">
        <f>IF(Registro2[[#This Row],[Data de Pagamento]]="",0,IF(Registro2[[#This Row],[Conta Financeira]]=base!$A$6,0,Registro2[[#This Row],[Valor Unitário]]))</f>
        <v>35</v>
      </c>
      <c r="U10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26" t="str">
        <f>VLOOKUP(Registro2[[#This Row],[Categoria]],'Plano de Contas'!$V$3:W1082,2,0)</f>
        <v>Receitas Serviços</v>
      </c>
      <c r="X102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27" spans="1:24" hidden="1">
      <c r="A1027" s="1">
        <v>45738</v>
      </c>
      <c r="B1027" s="1">
        <v>45738</v>
      </c>
      <c r="D1027" t="s">
        <v>310</v>
      </c>
      <c r="E1027" t="s">
        <v>149</v>
      </c>
      <c r="F1027" t="s">
        <v>147</v>
      </c>
      <c r="G1027" t="s">
        <v>163</v>
      </c>
      <c r="I1027" s="4">
        <v>35</v>
      </c>
      <c r="J1027" s="4">
        <v>35</v>
      </c>
      <c r="L1027" t="s">
        <v>264</v>
      </c>
      <c r="M1027" t="s">
        <v>1602</v>
      </c>
      <c r="N1027" s="4">
        <f>IF(L1027="","",IF(OR(Registro2[[#This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27" t="str">
        <f t="shared" si="16"/>
        <v>mar/25</v>
      </c>
      <c r="P1027" t="str">
        <f>IF(Registro2[[#This Row],[Data de Pagamento]]&gt;0,TEXT(A1027,"mmm/aa"),"")</f>
        <v>mar/25</v>
      </c>
      <c r="T1027" s="4">
        <f>IF(Registro2[[#This Row],[Data de Pagamento]]="",0,IF(Registro2[[#This Row],[Conta Financeira]]=base!$A$6,0,Registro2[[#This Row],[Valor Unitário]]))</f>
        <v>35</v>
      </c>
      <c r="U10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27" t="str">
        <f>VLOOKUP(Registro2[[#This Row],[Categoria]],'Plano de Contas'!$V$3:W1083,2,0)</f>
        <v>Receitas Serviços</v>
      </c>
      <c r="X102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028" spans="1:24" hidden="1">
      <c r="A1028" s="1">
        <v>45740</v>
      </c>
      <c r="B1028" s="1">
        <v>45740</v>
      </c>
      <c r="D1028" t="s">
        <v>310</v>
      </c>
      <c r="E1028" t="s">
        <v>149</v>
      </c>
      <c r="F1028" t="s">
        <v>152</v>
      </c>
      <c r="G1028" t="s">
        <v>352</v>
      </c>
      <c r="I1028" s="4">
        <v>20</v>
      </c>
      <c r="J1028" s="4">
        <v>20</v>
      </c>
      <c r="L1028" t="s">
        <v>252</v>
      </c>
      <c r="M1028" t="s">
        <v>464</v>
      </c>
      <c r="N1028" s="4">
        <f>IF(L1028="","",IF(OR(Registro2[[#This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028" t="str">
        <f t="shared" si="16"/>
        <v>mar/25</v>
      </c>
      <c r="P1028" t="str">
        <f>IF(Registro2[[#This Row],[Data de Pagamento]]&gt;0,TEXT(A1028,"mmm/aa"),"")</f>
        <v>mar/25</v>
      </c>
      <c r="T1028" s="4">
        <f>IF(Registro2[[#This Row],[Data de Pagamento]]="",0,IF(Registro2[[#This Row],[Conta Financeira]]=base!$A$6,0,Registro2[[#This Row],[Valor Unitário]]))</f>
        <v>20</v>
      </c>
      <c r="U10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28" t="str">
        <f>VLOOKUP(Registro2[[#This Row],[Categoria]],'Plano de Contas'!$V$3:W1085,2,0)</f>
        <v>Receitas Serviços</v>
      </c>
      <c r="X102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</row>
    <row r="1029" spans="1:24" hidden="1">
      <c r="A1029" s="1">
        <v>45740</v>
      </c>
      <c r="B1029" s="1">
        <v>45740</v>
      </c>
      <c r="D1029" t="s">
        <v>1</v>
      </c>
      <c r="E1029" t="s">
        <v>149</v>
      </c>
      <c r="F1029" t="s">
        <v>147</v>
      </c>
      <c r="G1029" t="s">
        <v>163</v>
      </c>
      <c r="I1029" s="4">
        <v>35</v>
      </c>
      <c r="J1029" s="4">
        <v>55</v>
      </c>
      <c r="L1029" t="s">
        <v>252</v>
      </c>
      <c r="M1029" t="s">
        <v>1651</v>
      </c>
      <c r="N1029" s="4">
        <f>IF(L1029="","",IF(OR(Registro2[[#This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29" t="str">
        <f t="shared" si="16"/>
        <v>mar/25</v>
      </c>
      <c r="P1029" t="str">
        <f>IF(Registro2[[#This Row],[Data de Pagamento]]&gt;0,TEXT(A1029,"mmm/aa"),"")</f>
        <v>mar/25</v>
      </c>
      <c r="T1029" s="4">
        <f>IF(Registro2[[#This Row],[Data de Pagamento]]="",0,IF(Registro2[[#This Row],[Conta Financeira]]=base!$A$6,0,Registro2[[#This Row],[Valor Unitário]]))</f>
        <v>35</v>
      </c>
      <c r="U10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29" t="str">
        <f>VLOOKUP(Registro2[[#This Row],[Categoria]],'Plano de Contas'!$V$3:W1086,2,0)</f>
        <v>Receitas Serviços</v>
      </c>
      <c r="X10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30" spans="1:24" hidden="1">
      <c r="A1030" s="1">
        <v>45740</v>
      </c>
      <c r="B1030" s="1">
        <v>45740</v>
      </c>
      <c r="D1030" t="s">
        <v>1</v>
      </c>
      <c r="E1030" t="s">
        <v>149</v>
      </c>
      <c r="F1030" t="s">
        <v>147</v>
      </c>
      <c r="G1030" t="s">
        <v>166</v>
      </c>
      <c r="I1030" s="4">
        <v>20</v>
      </c>
      <c r="J1030" s="4" t="s">
        <v>1604</v>
      </c>
      <c r="L1030" t="s">
        <v>252</v>
      </c>
      <c r="M1030" t="s">
        <v>1651</v>
      </c>
      <c r="N1030" s="4">
        <f>IF(L1030="","",IF(OR(Registro2[[#This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030" t="str">
        <f t="shared" si="16"/>
        <v>mar/25</v>
      </c>
      <c r="P1030" t="str">
        <f>IF(Registro2[[#This Row],[Data de Pagamento]]&gt;0,TEXT(A1030,"mmm/aa"),"")</f>
        <v>mar/25</v>
      </c>
      <c r="T1030" s="4">
        <f>IF(Registro2[[#This Row],[Data de Pagamento]]="",0,IF(Registro2[[#This Row],[Conta Financeira]]=base!$A$6,0,Registro2[[#This Row],[Valor Unitário]]))</f>
        <v>20</v>
      </c>
      <c r="U10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30" t="str">
        <f>VLOOKUP(Registro2[[#This Row],[Categoria]],'Plano de Contas'!$V$3:W1087,2,0)</f>
        <v>Receitas Serviços</v>
      </c>
      <c r="X103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31" spans="1:24" hidden="1">
      <c r="A1031" s="1">
        <v>45740</v>
      </c>
      <c r="B1031" s="1">
        <v>45740</v>
      </c>
      <c r="D1031" t="s">
        <v>1</v>
      </c>
      <c r="E1031" t="s">
        <v>149</v>
      </c>
      <c r="F1031" t="s">
        <v>147</v>
      </c>
      <c r="G1031" t="s">
        <v>163</v>
      </c>
      <c r="I1031" s="4">
        <v>35</v>
      </c>
      <c r="J1031" s="4">
        <v>35</v>
      </c>
      <c r="L1031" t="s">
        <v>252</v>
      </c>
      <c r="M1031" t="s">
        <v>1654</v>
      </c>
      <c r="N1031" s="4">
        <f>IF(L1031="","",IF(OR(Registro2[[#This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31" t="str">
        <f t="shared" si="16"/>
        <v>mar/25</v>
      </c>
      <c r="P1031" t="str">
        <f>IF(Registro2[[#This Row],[Data de Pagamento]]&gt;0,TEXT(A1031,"mmm/aa"),"")</f>
        <v>mar/25</v>
      </c>
      <c r="T1031" s="4">
        <f>IF(Registro2[[#This Row],[Data de Pagamento]]="",0,IF(Registro2[[#This Row],[Conta Financeira]]=base!$A$6,0,Registro2[[#This Row],[Valor Unitário]]))</f>
        <v>35</v>
      </c>
      <c r="U10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31" t="str">
        <f>VLOOKUP(Registro2[[#This Row],[Categoria]],'Plano de Contas'!$V$3:W1088,2,0)</f>
        <v>Receitas Serviços</v>
      </c>
      <c r="X103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32" spans="1:24" hidden="1">
      <c r="A1032" s="1">
        <v>45740</v>
      </c>
      <c r="B1032" s="1">
        <v>45740</v>
      </c>
      <c r="D1032" t="s">
        <v>2</v>
      </c>
      <c r="E1032" t="s">
        <v>149</v>
      </c>
      <c r="F1032" t="s">
        <v>147</v>
      </c>
      <c r="G1032" t="s">
        <v>163</v>
      </c>
      <c r="I1032" s="4">
        <v>35</v>
      </c>
      <c r="J1032" s="4">
        <v>35</v>
      </c>
      <c r="L1032" t="s">
        <v>252</v>
      </c>
      <c r="M1032" t="s">
        <v>1657</v>
      </c>
      <c r="N1032" s="4">
        <f>IF(L1032="","",IF(OR(Registro2[[#This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32" t="str">
        <f t="shared" si="16"/>
        <v>mar/25</v>
      </c>
      <c r="P1032" t="str">
        <f>IF(Registro2[[#This Row],[Data de Pagamento]]&gt;0,TEXT(A1032,"mmm/aa"),"")</f>
        <v>mar/25</v>
      </c>
      <c r="T1032" s="4">
        <f>IF(Registro2[[#This Row],[Data de Pagamento]]="",0,IF(Registro2[[#This Row],[Conta Financeira]]=base!$A$6,0,Registro2[[#This Row],[Valor Unitário]]))</f>
        <v>35</v>
      </c>
      <c r="U10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32" t="str">
        <f>VLOOKUP(Registro2[[#This Row],[Categoria]],'Plano de Contas'!$V$3:W1089,2,0)</f>
        <v>Receitas Serviços</v>
      </c>
      <c r="X103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33" spans="1:24" hidden="1">
      <c r="A1033" s="1">
        <v>45740</v>
      </c>
      <c r="B1033" s="1">
        <v>45740</v>
      </c>
      <c r="D1033" t="s">
        <v>1</v>
      </c>
      <c r="E1033" t="s">
        <v>149</v>
      </c>
      <c r="F1033" t="s">
        <v>152</v>
      </c>
      <c r="G1033" t="s">
        <v>353</v>
      </c>
      <c r="I1033" s="4">
        <v>60</v>
      </c>
      <c r="J1033" s="4">
        <v>60</v>
      </c>
      <c r="L1033" t="s">
        <v>252</v>
      </c>
      <c r="M1033" t="s">
        <v>363</v>
      </c>
      <c r="N1033" s="4">
        <f>IF(L1033="","",IF(OR(Registro2[[#This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033" t="str">
        <f t="shared" si="16"/>
        <v>mar/25</v>
      </c>
      <c r="P1033" t="str">
        <f>IF(Registro2[[#This Row],[Data de Pagamento]]&gt;0,TEXT(A1033,"mmm/aa"),"")</f>
        <v>mar/25</v>
      </c>
      <c r="T1033" s="4">
        <f>IF(Registro2[[#This Row],[Data de Pagamento]]="",0,IF(Registro2[[#This Row],[Conta Financeira]]=base!$A$6,0,Registro2[[#This Row],[Valor Unitário]]))</f>
        <v>60</v>
      </c>
      <c r="U10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33" t="str">
        <f>VLOOKUP(Registro2[[#This Row],[Categoria]],'Plano de Contas'!$V$3:W1090,2,0)</f>
        <v>Receitas Serviços</v>
      </c>
      <c r="X103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34" spans="1:24" hidden="1">
      <c r="A1034" s="1">
        <v>45741</v>
      </c>
      <c r="B1034" s="1">
        <v>45741</v>
      </c>
      <c r="D1034" t="s">
        <v>1</v>
      </c>
      <c r="E1034" t="s">
        <v>149</v>
      </c>
      <c r="F1034" t="s">
        <v>147</v>
      </c>
      <c r="G1034" t="s">
        <v>163</v>
      </c>
      <c r="I1034" s="4">
        <v>35</v>
      </c>
      <c r="J1034" s="4">
        <v>35</v>
      </c>
      <c r="L1034" t="s">
        <v>253</v>
      </c>
      <c r="M1034" t="s">
        <v>11</v>
      </c>
      <c r="N1034" s="4">
        <f>IF(L1034="","",IF(OR(Registro2[[#This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34" t="str">
        <f t="shared" si="16"/>
        <v>mar/25</v>
      </c>
      <c r="P1034" t="str">
        <f>IF(Registro2[[#This Row],[Data de Pagamento]]&gt;0,TEXT(A1034,"mmm/aa"),"")</f>
        <v>mar/25</v>
      </c>
      <c r="T1034" s="4">
        <f>IF(Registro2[[#This Row],[Data de Pagamento]]="",0,IF(Registro2[[#This Row],[Conta Financeira]]=base!$A$6,0,Registro2[[#This Row],[Valor Unitário]]))</f>
        <v>35</v>
      </c>
      <c r="U10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34" t="str">
        <f>VLOOKUP(Registro2[[#This Row],[Categoria]],'Plano de Contas'!$V$3:W1091,2,0)</f>
        <v>Receitas Serviços</v>
      </c>
      <c r="X103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35" spans="1:24" hidden="1">
      <c r="A1035" s="1">
        <v>45741</v>
      </c>
      <c r="B1035" s="1">
        <v>45741</v>
      </c>
      <c r="D1035" t="s">
        <v>1</v>
      </c>
      <c r="E1035" t="s">
        <v>149</v>
      </c>
      <c r="F1035" t="s">
        <v>147</v>
      </c>
      <c r="G1035" t="s">
        <v>160</v>
      </c>
      <c r="I1035" s="4">
        <v>12</v>
      </c>
      <c r="J1035" s="4">
        <v>12</v>
      </c>
      <c r="L1035" t="s">
        <v>252</v>
      </c>
      <c r="M1035" t="s">
        <v>80</v>
      </c>
      <c r="N1035" s="4">
        <f>IF(L1035="","",IF(OR(Registro2[[#This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1035" t="str">
        <f t="shared" si="16"/>
        <v>mar/25</v>
      </c>
      <c r="P1035" t="str">
        <f>IF(Registro2[[#This Row],[Data de Pagamento]]&gt;0,TEXT(A1035,"mmm/aa"),"")</f>
        <v>mar/25</v>
      </c>
      <c r="T1035" s="4">
        <f>IF(Registro2[[#This Row],[Data de Pagamento]]="",0,IF(Registro2[[#This Row],[Conta Financeira]]=base!$A$6,0,Registro2[[#This Row],[Valor Unitário]]))</f>
        <v>12</v>
      </c>
      <c r="U10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35" t="str">
        <f>VLOOKUP(Registro2[[#This Row],[Categoria]],'Plano de Contas'!$V$3:W1092,2,0)</f>
        <v>Receitas Serviços</v>
      </c>
      <c r="X103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36" spans="1:24" hidden="1">
      <c r="A1036" s="1">
        <v>45741</v>
      </c>
      <c r="B1036" s="1">
        <v>45741</v>
      </c>
      <c r="D1036" t="s">
        <v>1</v>
      </c>
      <c r="E1036" t="s">
        <v>149</v>
      </c>
      <c r="F1036" t="s">
        <v>147</v>
      </c>
      <c r="G1036" t="s">
        <v>163</v>
      </c>
      <c r="I1036" s="4">
        <v>35</v>
      </c>
      <c r="J1036" s="4">
        <v>35</v>
      </c>
      <c r="L1036" t="s">
        <v>252</v>
      </c>
      <c r="M1036" t="s">
        <v>499</v>
      </c>
      <c r="N1036" s="4">
        <f>IF(L1036="","",IF(OR(Registro2[[#This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36" t="str">
        <f t="shared" si="16"/>
        <v>mar/25</v>
      </c>
      <c r="P1036" t="str">
        <f>IF(Registro2[[#This Row],[Data de Pagamento]]&gt;0,TEXT(A1036,"mmm/aa"),"")</f>
        <v>mar/25</v>
      </c>
      <c r="T1036" s="4">
        <f>IF(Registro2[[#This Row],[Data de Pagamento]]="",0,IF(Registro2[[#This Row],[Conta Financeira]]=base!$A$6,0,Registro2[[#This Row],[Valor Unitário]]))</f>
        <v>35</v>
      </c>
      <c r="U10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36" t="str">
        <f>VLOOKUP(Registro2[[#This Row],[Categoria]],'Plano de Contas'!$V$3:W1093,2,0)</f>
        <v>Receitas Serviços</v>
      </c>
      <c r="X103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37" spans="1:24" hidden="1">
      <c r="A1037" s="1">
        <v>45741</v>
      </c>
      <c r="B1037" s="1">
        <v>45741</v>
      </c>
      <c r="D1037" t="s">
        <v>2</v>
      </c>
      <c r="E1037" t="s">
        <v>149</v>
      </c>
      <c r="F1037" t="s">
        <v>152</v>
      </c>
      <c r="G1037" t="s">
        <v>353</v>
      </c>
      <c r="I1037" s="4">
        <v>50</v>
      </c>
      <c r="J1037" s="4">
        <v>50</v>
      </c>
      <c r="L1037" t="s">
        <v>253</v>
      </c>
      <c r="M1037" t="s">
        <v>278</v>
      </c>
      <c r="N1037" s="4">
        <f>IF(L1037="","",IF(OR(Registro2[[#This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037" t="str">
        <f t="shared" si="16"/>
        <v>mar/25</v>
      </c>
      <c r="P1037" t="str">
        <f>IF(Registro2[[#This Row],[Data de Pagamento]]&gt;0,TEXT(A1037,"mmm/aa"),"")</f>
        <v>mar/25</v>
      </c>
      <c r="T1037" s="4">
        <f>IF(Registro2[[#This Row],[Data de Pagamento]]="",0,IF(Registro2[[#This Row],[Conta Financeira]]=base!$A$6,0,Registro2[[#This Row],[Valor Unitário]]))</f>
        <v>50</v>
      </c>
      <c r="U10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37" t="str">
        <f>VLOOKUP(Registro2[[#This Row],[Categoria]],'Plano de Contas'!$V$3:W1094,2,0)</f>
        <v>Receitas Serviços</v>
      </c>
      <c r="X103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38" spans="1:24" hidden="1">
      <c r="A1038" s="1">
        <v>45741</v>
      </c>
      <c r="B1038" s="1">
        <v>45741</v>
      </c>
      <c r="D1038" t="s">
        <v>1</v>
      </c>
      <c r="E1038" t="s">
        <v>149</v>
      </c>
      <c r="F1038" t="s">
        <v>147</v>
      </c>
      <c r="G1038" t="s">
        <v>163</v>
      </c>
      <c r="I1038" s="4">
        <v>35</v>
      </c>
      <c r="J1038" s="4">
        <v>35</v>
      </c>
      <c r="L1038" t="s">
        <v>252</v>
      </c>
      <c r="M1038" t="s">
        <v>189</v>
      </c>
      <c r="N1038" s="4">
        <f>IF(L1038="","",IF(OR(Registro2[[#This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38" t="str">
        <f t="shared" si="16"/>
        <v>mar/25</v>
      </c>
      <c r="P1038" t="str">
        <f>IF(Registro2[[#This Row],[Data de Pagamento]]&gt;0,TEXT(A1038,"mmm/aa"),"")</f>
        <v>mar/25</v>
      </c>
      <c r="T1038" s="4">
        <f>IF(Registro2[[#This Row],[Data de Pagamento]]="",0,IF(Registro2[[#This Row],[Conta Financeira]]=base!$A$6,0,Registro2[[#This Row],[Valor Unitário]]))</f>
        <v>35</v>
      </c>
      <c r="U10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38" t="str">
        <f>VLOOKUP(Registro2[[#This Row],[Categoria]],'Plano de Contas'!$V$3:W1095,2,0)</f>
        <v>Receitas Serviços</v>
      </c>
      <c r="X103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39" spans="1:24" hidden="1">
      <c r="A1039" s="1">
        <v>45741</v>
      </c>
      <c r="B1039" s="1">
        <v>45741</v>
      </c>
      <c r="D1039" t="s">
        <v>1</v>
      </c>
      <c r="E1039" t="s">
        <v>149</v>
      </c>
      <c r="F1039" t="s">
        <v>147</v>
      </c>
      <c r="G1039" t="s">
        <v>163</v>
      </c>
      <c r="I1039" s="4">
        <v>35</v>
      </c>
      <c r="J1039" s="4">
        <v>35</v>
      </c>
      <c r="L1039" t="s">
        <v>264</v>
      </c>
      <c r="M1039" t="s">
        <v>1672</v>
      </c>
      <c r="N1039" s="4">
        <f>IF(L1039="","",IF(OR(Registro2[[#This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39" t="str">
        <f t="shared" si="16"/>
        <v>mar/25</v>
      </c>
      <c r="P1039" t="str">
        <f>IF(Registro2[[#This Row],[Data de Pagamento]]&gt;0,TEXT(A1039,"mmm/aa"),"")</f>
        <v>mar/25</v>
      </c>
      <c r="T1039" s="4">
        <f>IF(Registro2[[#This Row],[Data de Pagamento]]="",0,IF(Registro2[[#This Row],[Conta Financeira]]=base!$A$6,0,Registro2[[#This Row],[Valor Unitário]]))</f>
        <v>35</v>
      </c>
      <c r="U10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39" t="str">
        <f>VLOOKUP(Registro2[[#This Row],[Categoria]],'Plano de Contas'!$V$3:W1096,2,0)</f>
        <v>Receitas Serviços</v>
      </c>
      <c r="X103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40" spans="1:24" hidden="1">
      <c r="A1040" s="1">
        <v>45741</v>
      </c>
      <c r="B1040" s="1">
        <v>45741</v>
      </c>
      <c r="D1040" t="s">
        <v>354</v>
      </c>
      <c r="E1040" t="s">
        <v>149</v>
      </c>
      <c r="F1040" t="s">
        <v>147</v>
      </c>
      <c r="G1040" t="s">
        <v>163</v>
      </c>
      <c r="I1040" s="4">
        <v>35</v>
      </c>
      <c r="J1040" s="4">
        <v>35</v>
      </c>
      <c r="L1040" t="s">
        <v>264</v>
      </c>
      <c r="M1040" t="s">
        <v>1674</v>
      </c>
      <c r="N1040" s="4">
        <f>IF(L1040="","",IF(OR(Registro2[[#This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40" t="str">
        <f t="shared" si="16"/>
        <v>mar/25</v>
      </c>
      <c r="P1040" t="str">
        <f>IF(Registro2[[#This Row],[Data de Pagamento]]&gt;0,TEXT(A1040,"mmm/aa"),"")</f>
        <v>mar/25</v>
      </c>
      <c r="T1040" s="4">
        <f>IF(Registro2[[#This Row],[Data de Pagamento]]="",0,IF(Registro2[[#This Row],[Conta Financeira]]=base!$A$6,0,Registro2[[#This Row],[Valor Unitário]]))</f>
        <v>35</v>
      </c>
      <c r="U10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40" t="str">
        <f>VLOOKUP(Registro2[[#This Row],[Categoria]],'Plano de Contas'!$V$3:W1097,2,0)</f>
        <v>Receitas Serviços</v>
      </c>
      <c r="X104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041" spans="1:24" hidden="1">
      <c r="A1041" s="1">
        <v>45741</v>
      </c>
      <c r="B1041" s="1">
        <v>45741</v>
      </c>
      <c r="D1041" t="s">
        <v>2</v>
      </c>
      <c r="E1041" t="s">
        <v>149</v>
      </c>
      <c r="F1041" t="s">
        <v>147</v>
      </c>
      <c r="G1041" t="s">
        <v>163</v>
      </c>
      <c r="I1041" s="4">
        <v>20</v>
      </c>
      <c r="J1041" s="4">
        <v>22.5</v>
      </c>
      <c r="L1041" t="s">
        <v>252</v>
      </c>
      <c r="M1041" t="s">
        <v>796</v>
      </c>
      <c r="N1041" s="4">
        <f>IF(L1041="","",IF(OR(Registro2[[#This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041" t="str">
        <f t="shared" si="16"/>
        <v>mar/25</v>
      </c>
      <c r="P1041" t="str">
        <f>IF(Registro2[[#This Row],[Data de Pagamento]]&gt;0,TEXT(A1041,"mmm/aa"),"")</f>
        <v>mar/25</v>
      </c>
      <c r="T1041" s="4">
        <f>IF(Registro2[[#This Row],[Data de Pagamento]]="",0,IF(Registro2[[#This Row],[Conta Financeira]]=base!$A$6,0,Registro2[[#This Row],[Valor Unitário]]))</f>
        <v>20</v>
      </c>
      <c r="U10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41" t="str">
        <f>VLOOKUP(Registro2[[#This Row],[Categoria]],'Plano de Contas'!$V$3:W1098,2,0)</f>
        <v>Receitas Serviços</v>
      </c>
      <c r="X104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42" spans="1:24" hidden="1">
      <c r="A1042" s="1">
        <v>45741</v>
      </c>
      <c r="B1042" s="1">
        <v>45741</v>
      </c>
      <c r="D1042" t="s">
        <v>2</v>
      </c>
      <c r="E1042" t="s">
        <v>149</v>
      </c>
      <c r="F1042" t="s">
        <v>910</v>
      </c>
      <c r="G1042" t="s">
        <v>910</v>
      </c>
      <c r="I1042" s="4">
        <v>2.5</v>
      </c>
      <c r="J1042" s="4" t="s">
        <v>1604</v>
      </c>
      <c r="L1042" t="s">
        <v>252</v>
      </c>
      <c r="M1042" t="s">
        <v>796</v>
      </c>
      <c r="N1042" s="4" t="str">
        <f>IF(L1042="","",IF(OR(Registro2[[#This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042" t="str">
        <f t="shared" si="16"/>
        <v>mar/25</v>
      </c>
      <c r="P1042" t="str">
        <f>IF(Registro2[[#This Row],[Data de Pagamento]]&gt;0,TEXT(A1042,"mmm/aa"),"")</f>
        <v>mar/25</v>
      </c>
      <c r="T1042" s="4">
        <f>IF(Registro2[[#This Row],[Data de Pagamento]]="",0,IF(Registro2[[#This Row],[Conta Financeira]]=base!$A$6,0,Registro2[[#This Row],[Valor Unitário]]))</f>
        <v>2.5</v>
      </c>
      <c r="U10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42" t="str">
        <f>VLOOKUP(Registro2[[#This Row],[Categoria]],'Plano de Contas'!$V$3:W1099,2,0)</f>
        <v>Outras Receitas</v>
      </c>
      <c r="X104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43" spans="1:24" hidden="1">
      <c r="A1043" s="1">
        <v>45741</v>
      </c>
      <c r="B1043" s="1">
        <v>45741</v>
      </c>
      <c r="D1043" t="s">
        <v>1</v>
      </c>
      <c r="E1043" t="s">
        <v>149</v>
      </c>
      <c r="F1043" t="s">
        <v>152</v>
      </c>
      <c r="G1043" t="s">
        <v>353</v>
      </c>
      <c r="I1043" s="4">
        <v>60</v>
      </c>
      <c r="J1043" s="4">
        <v>60</v>
      </c>
      <c r="L1043" t="s">
        <v>252</v>
      </c>
      <c r="M1043" t="s">
        <v>1679</v>
      </c>
      <c r="N1043" s="4">
        <f>IF(L1043="","",IF(OR(Registro2[[#This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043" t="str">
        <f t="shared" si="16"/>
        <v>mar/25</v>
      </c>
      <c r="P1043" t="str">
        <f>IF(Registro2[[#This Row],[Data de Pagamento]]&gt;0,TEXT(A1043,"mmm/aa"),"")</f>
        <v>mar/25</v>
      </c>
      <c r="T1043" s="4">
        <f>IF(Registro2[[#This Row],[Data de Pagamento]]="",0,IF(Registro2[[#This Row],[Conta Financeira]]=base!$A$6,0,Registro2[[#This Row],[Valor Unitário]]))</f>
        <v>60</v>
      </c>
      <c r="U10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43" t="str">
        <f>VLOOKUP(Registro2[[#This Row],[Categoria]],'Plano de Contas'!$V$3:W1100,2,0)</f>
        <v>Receitas Serviços</v>
      </c>
      <c r="X104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44" spans="1:24" hidden="1">
      <c r="A1044" s="1">
        <v>45742</v>
      </c>
      <c r="B1044" s="1">
        <v>45742</v>
      </c>
      <c r="D1044" t="s">
        <v>1</v>
      </c>
      <c r="E1044" t="s">
        <v>149</v>
      </c>
      <c r="F1044" t="s">
        <v>147</v>
      </c>
      <c r="G1044" t="s">
        <v>163</v>
      </c>
      <c r="I1044" s="4">
        <v>35</v>
      </c>
      <c r="J1044" s="4">
        <v>45</v>
      </c>
      <c r="L1044" t="s">
        <v>253</v>
      </c>
      <c r="M1044" t="s">
        <v>134</v>
      </c>
      <c r="N1044" s="4">
        <f>IF(L1044="","",IF(OR(Registro2[[#This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44" t="str">
        <f t="shared" si="16"/>
        <v>mar/25</v>
      </c>
      <c r="P1044" t="str">
        <f>IF(Registro2[[#This Row],[Data de Pagamento]]&gt;0,TEXT(A1044,"mmm/aa"),"")</f>
        <v>mar/25</v>
      </c>
      <c r="T1044" s="4">
        <f>IF(Registro2[[#This Row],[Data de Pagamento]]="",0,IF(Registro2[[#This Row],[Conta Financeira]]=base!$A$6,0,Registro2[[#This Row],[Valor Unitário]]))</f>
        <v>35</v>
      </c>
      <c r="U10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44" t="str">
        <f>VLOOKUP(Registro2[[#This Row],[Categoria]],'Plano de Contas'!$V$3:W1101,2,0)</f>
        <v>Receitas Serviços</v>
      </c>
      <c r="X104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45" spans="1:24" hidden="1">
      <c r="A1045" s="1">
        <v>45742</v>
      </c>
      <c r="B1045" s="1">
        <v>45742</v>
      </c>
      <c r="D1045" t="s">
        <v>1</v>
      </c>
      <c r="E1045" t="s">
        <v>149</v>
      </c>
      <c r="F1045" t="s">
        <v>147</v>
      </c>
      <c r="G1045" t="s">
        <v>167</v>
      </c>
      <c r="I1045" s="4">
        <v>10</v>
      </c>
      <c r="J1045" s="4" t="s">
        <v>1604</v>
      </c>
      <c r="L1045" t="s">
        <v>253</v>
      </c>
      <c r="M1045" t="s">
        <v>134</v>
      </c>
      <c r="N1045" s="4">
        <f>IF(L1045="","",IF(OR(Registro2[[#This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045" t="str">
        <f t="shared" si="16"/>
        <v>mar/25</v>
      </c>
      <c r="P1045" t="str">
        <f>IF(Registro2[[#This Row],[Data de Pagamento]]&gt;0,TEXT(A1045,"mmm/aa"),"")</f>
        <v>mar/25</v>
      </c>
      <c r="T1045" s="4">
        <f>IF(Registro2[[#This Row],[Data de Pagamento]]="",0,IF(Registro2[[#This Row],[Conta Financeira]]=base!$A$6,0,Registro2[[#This Row],[Valor Unitário]]))</f>
        <v>10</v>
      </c>
      <c r="U10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45" t="str">
        <f>VLOOKUP(Registro2[[#This Row],[Categoria]],'Plano de Contas'!$V$3:W1102,2,0)</f>
        <v>Receitas Serviços</v>
      </c>
      <c r="X10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46" spans="1:24" hidden="1">
      <c r="A1046" s="1">
        <v>45742</v>
      </c>
      <c r="B1046" s="1">
        <v>45742</v>
      </c>
      <c r="D1046" t="s">
        <v>2</v>
      </c>
      <c r="E1046" t="s">
        <v>149</v>
      </c>
      <c r="F1046" t="s">
        <v>147</v>
      </c>
      <c r="G1046" t="s">
        <v>163</v>
      </c>
      <c r="I1046" s="4">
        <v>35</v>
      </c>
      <c r="J1046" s="4">
        <v>35</v>
      </c>
      <c r="L1046" t="s">
        <v>264</v>
      </c>
      <c r="M1046" t="s">
        <v>188</v>
      </c>
      <c r="N1046" s="4">
        <f>IF(L1046="","",IF(OR(Registro2[[#This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46" t="str">
        <f t="shared" si="16"/>
        <v>mar/25</v>
      </c>
      <c r="P1046" t="str">
        <f>IF(Registro2[[#This Row],[Data de Pagamento]]&gt;0,TEXT(A1046,"mmm/aa"),"")</f>
        <v>mar/25</v>
      </c>
      <c r="T1046" s="4">
        <f>IF(Registro2[[#This Row],[Data de Pagamento]]="",0,IF(Registro2[[#This Row],[Conta Financeira]]=base!$A$6,0,Registro2[[#This Row],[Valor Unitário]]))</f>
        <v>35</v>
      </c>
      <c r="U10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46" t="str">
        <f>VLOOKUP(Registro2[[#This Row],[Categoria]],'Plano de Contas'!$V$3:W1104,2,0)</f>
        <v>Receitas Serviços</v>
      </c>
      <c r="X104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47" spans="1:24" hidden="1">
      <c r="A1047" s="1">
        <v>45742</v>
      </c>
      <c r="B1047" s="1">
        <v>45742</v>
      </c>
      <c r="D1047" t="s">
        <v>1</v>
      </c>
      <c r="E1047" t="s">
        <v>149</v>
      </c>
      <c r="F1047" t="s">
        <v>147</v>
      </c>
      <c r="G1047" t="s">
        <v>163</v>
      </c>
      <c r="I1047" s="4">
        <v>35</v>
      </c>
      <c r="J1047" s="4">
        <v>35</v>
      </c>
      <c r="L1047" t="s">
        <v>264</v>
      </c>
      <c r="M1047" t="s">
        <v>83</v>
      </c>
      <c r="N1047" s="4">
        <f>IF(L1047="","",IF(OR(Registro2[[#This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47" t="str">
        <f t="shared" si="16"/>
        <v>mar/25</v>
      </c>
      <c r="P1047" t="str">
        <f>IF(Registro2[[#This Row],[Data de Pagamento]]&gt;0,TEXT(A1047,"mmm/aa"),"")</f>
        <v>mar/25</v>
      </c>
      <c r="T1047" s="4">
        <f>IF(Registro2[[#This Row],[Data de Pagamento]]="",0,IF(Registro2[[#This Row],[Conta Financeira]]=base!$A$6,0,Registro2[[#This Row],[Valor Unitário]]))</f>
        <v>35</v>
      </c>
      <c r="U10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47" t="str">
        <f>VLOOKUP(Registro2[[#This Row],[Categoria]],'Plano de Contas'!$V$3:W1105,2,0)</f>
        <v>Receitas Serviços</v>
      </c>
      <c r="X104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48" spans="1:24" hidden="1">
      <c r="A1048" s="1">
        <v>45742</v>
      </c>
      <c r="B1048" s="1">
        <v>45742</v>
      </c>
      <c r="D1048" t="s">
        <v>1</v>
      </c>
      <c r="E1048" t="s">
        <v>149</v>
      </c>
      <c r="F1048" t="s">
        <v>147</v>
      </c>
      <c r="G1048" t="s">
        <v>163</v>
      </c>
      <c r="I1048" s="4">
        <v>35</v>
      </c>
      <c r="J1048" s="4">
        <v>45</v>
      </c>
      <c r="L1048" t="s">
        <v>264</v>
      </c>
      <c r="M1048" t="s">
        <v>1688</v>
      </c>
      <c r="N1048" s="4">
        <f>IF(L1048="","",IF(OR(Registro2[[#This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48" t="str">
        <f t="shared" si="16"/>
        <v>mar/25</v>
      </c>
      <c r="P1048" t="str">
        <f>IF(Registro2[[#This Row],[Data de Pagamento]]&gt;0,TEXT(A1048,"mmm/aa"),"")</f>
        <v>mar/25</v>
      </c>
      <c r="T1048" s="4">
        <f>IF(Registro2[[#This Row],[Data de Pagamento]]="",0,IF(Registro2[[#This Row],[Conta Financeira]]=base!$A$6,0,Registro2[[#This Row],[Valor Unitário]]))</f>
        <v>35</v>
      </c>
      <c r="U10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48" t="str">
        <f>VLOOKUP(Registro2[[#This Row],[Categoria]],'Plano de Contas'!$V$3:W1106,2,0)</f>
        <v>Receitas Serviços</v>
      </c>
      <c r="X104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49" spans="1:24" hidden="1">
      <c r="A1049" s="1">
        <v>45742</v>
      </c>
      <c r="B1049" s="1">
        <v>45742</v>
      </c>
      <c r="D1049" t="s">
        <v>1</v>
      </c>
      <c r="E1049" t="s">
        <v>149</v>
      </c>
      <c r="F1049" t="s">
        <v>147</v>
      </c>
      <c r="G1049" t="s">
        <v>167</v>
      </c>
      <c r="I1049" s="4">
        <v>10</v>
      </c>
      <c r="J1049" s="4" t="s">
        <v>1604</v>
      </c>
      <c r="L1049" t="s">
        <v>264</v>
      </c>
      <c r="M1049" t="s">
        <v>1688</v>
      </c>
      <c r="N1049" s="4">
        <f>IF(L1049="","",IF(OR(Registro2[[#This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049" t="str">
        <f t="shared" si="16"/>
        <v>mar/25</v>
      </c>
      <c r="P1049" t="str">
        <f>IF(Registro2[[#This Row],[Data de Pagamento]]&gt;0,TEXT(A1049,"mmm/aa"),"")</f>
        <v>mar/25</v>
      </c>
      <c r="T1049" s="4">
        <f>IF(Registro2[[#This Row],[Data de Pagamento]]="",0,IF(Registro2[[#This Row],[Conta Financeira]]=base!$A$6,0,Registro2[[#This Row],[Valor Unitário]]))</f>
        <v>10</v>
      </c>
      <c r="U10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49" t="str">
        <f>VLOOKUP(Registro2[[#This Row],[Categoria]],'Plano de Contas'!$V$3:W1107,2,0)</f>
        <v>Receitas Serviços</v>
      </c>
      <c r="X104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50" spans="1:24" hidden="1">
      <c r="A1050" s="1">
        <v>45742</v>
      </c>
      <c r="B1050" s="1">
        <v>45742</v>
      </c>
      <c r="D1050" t="s">
        <v>354</v>
      </c>
      <c r="E1050" t="s">
        <v>149</v>
      </c>
      <c r="F1050" t="s">
        <v>147</v>
      </c>
      <c r="G1050" t="s">
        <v>163</v>
      </c>
      <c r="I1050" s="4">
        <v>35</v>
      </c>
      <c r="J1050" s="4">
        <v>35</v>
      </c>
      <c r="L1050" t="s">
        <v>253</v>
      </c>
      <c r="M1050" t="s">
        <v>122</v>
      </c>
      <c r="N1050" s="4">
        <f>IF(L1050="","",IF(OR(Registro2[[#This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50" t="str">
        <f t="shared" si="16"/>
        <v>mar/25</v>
      </c>
      <c r="P1050" t="str">
        <f>IF(Registro2[[#This Row],[Data de Pagamento]]&gt;0,TEXT(A1050,"mmm/aa"),"")</f>
        <v>mar/25</v>
      </c>
      <c r="T1050" s="4">
        <f>IF(Registro2[[#This Row],[Data de Pagamento]]="",0,IF(Registro2[[#This Row],[Conta Financeira]]=base!$A$6,0,Registro2[[#This Row],[Valor Unitário]]))</f>
        <v>35</v>
      </c>
      <c r="U10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50" t="str">
        <f>VLOOKUP(Registro2[[#This Row],[Categoria]],'Plano de Contas'!$V$3:W1108,2,0)</f>
        <v>Receitas Serviços</v>
      </c>
      <c r="X105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051" spans="1:24" hidden="1">
      <c r="A1051" s="1">
        <v>45742</v>
      </c>
      <c r="B1051" s="1">
        <v>45742</v>
      </c>
      <c r="D1051" t="s">
        <v>1</v>
      </c>
      <c r="E1051" t="s">
        <v>149</v>
      </c>
      <c r="F1051" t="s">
        <v>147</v>
      </c>
      <c r="G1051" t="s">
        <v>163</v>
      </c>
      <c r="I1051" s="4">
        <v>35</v>
      </c>
      <c r="J1051" s="4">
        <v>0</v>
      </c>
      <c r="L1051" t="s">
        <v>253</v>
      </c>
      <c r="M1051" t="s">
        <v>482</v>
      </c>
      <c r="N1051" s="4">
        <f>IF(L1051="","",IF(OR(Registro2[[#This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51" t="str">
        <f t="shared" si="16"/>
        <v>mar/25</v>
      </c>
      <c r="P1051" t="str">
        <f>IF(Registro2[[#This Row],[Data de Pagamento]]&gt;0,TEXT(A1051,"mmm/aa"),"")</f>
        <v>mar/25</v>
      </c>
      <c r="T1051" s="4">
        <f>IF(Registro2[[#This Row],[Data de Pagamento]]="",0,IF(Registro2[[#This Row],[Conta Financeira]]=base!$A$6,0,Registro2[[#This Row],[Valor Unitário]]))</f>
        <v>35</v>
      </c>
      <c r="U10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51" t="str">
        <f>VLOOKUP(Registro2[[#This Row],[Categoria]],'Plano de Contas'!$V$3:W1109,2,0)</f>
        <v>Receitas Serviços</v>
      </c>
      <c r="X105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52" spans="1:24" hidden="1">
      <c r="A1052" s="1">
        <v>45742</v>
      </c>
      <c r="B1052" s="1">
        <v>45742</v>
      </c>
      <c r="D1052" t="s">
        <v>354</v>
      </c>
      <c r="E1052" t="s">
        <v>149</v>
      </c>
      <c r="F1052" t="s">
        <v>147</v>
      </c>
      <c r="G1052" t="s">
        <v>163</v>
      </c>
      <c r="I1052" s="4">
        <v>35</v>
      </c>
      <c r="J1052" s="4">
        <v>35</v>
      </c>
      <c r="L1052" t="s">
        <v>253</v>
      </c>
      <c r="M1052" t="s">
        <v>1695</v>
      </c>
      <c r="N1052" s="4">
        <f>IF(L1052="","",IF(OR(Registro2[[#This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52" t="str">
        <f t="shared" si="16"/>
        <v>mar/25</v>
      </c>
      <c r="P1052" t="str">
        <f>IF(Registro2[[#This Row],[Data de Pagamento]]&gt;0,TEXT(A1052,"mmm/aa"),"")</f>
        <v>mar/25</v>
      </c>
      <c r="T1052" s="4">
        <f>IF(Registro2[[#This Row],[Data de Pagamento]]="",0,IF(Registro2[[#This Row],[Conta Financeira]]=base!$A$6,0,Registro2[[#This Row],[Valor Unitário]]))</f>
        <v>35</v>
      </c>
      <c r="U10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52" t="str">
        <f>VLOOKUP(Registro2[[#This Row],[Categoria]],'Plano de Contas'!$V$3:W1110,2,0)</f>
        <v>Receitas Serviços</v>
      </c>
      <c r="X105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053" spans="1:24" hidden="1">
      <c r="A1053" s="1">
        <v>45742</v>
      </c>
      <c r="B1053" s="1">
        <v>45742</v>
      </c>
      <c r="D1053" t="s">
        <v>1</v>
      </c>
      <c r="E1053" t="s">
        <v>149</v>
      </c>
      <c r="F1053" t="s">
        <v>147</v>
      </c>
      <c r="G1053" t="s">
        <v>163</v>
      </c>
      <c r="I1053" s="4">
        <v>35</v>
      </c>
      <c r="J1053" s="4">
        <v>75</v>
      </c>
      <c r="L1053" t="s">
        <v>264</v>
      </c>
      <c r="M1053" t="s">
        <v>1499</v>
      </c>
      <c r="N1053" s="4">
        <f>IF(L1053="","",IF(OR(Registro2[[#This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53" t="str">
        <f t="shared" si="16"/>
        <v>mar/25</v>
      </c>
      <c r="P1053" t="str">
        <f>IF(Registro2[[#This Row],[Data de Pagamento]]&gt;0,TEXT(A1053,"mmm/aa"),"")</f>
        <v>mar/25</v>
      </c>
      <c r="T1053" s="4">
        <f>IF(Registro2[[#This Row],[Data de Pagamento]]="",0,IF(Registro2[[#This Row],[Conta Financeira]]=base!$A$6,0,Registro2[[#This Row],[Valor Unitário]]))</f>
        <v>35</v>
      </c>
      <c r="U10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53" t="str">
        <f>VLOOKUP(Registro2[[#This Row],[Categoria]],'Plano de Contas'!$V$3:W1111,2,0)</f>
        <v>Receitas Serviços</v>
      </c>
      <c r="X105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54" spans="1:24" hidden="1">
      <c r="A1054" s="1">
        <v>45742</v>
      </c>
      <c r="B1054" s="1">
        <v>45742</v>
      </c>
      <c r="D1054" t="s">
        <v>1</v>
      </c>
      <c r="E1054" t="s">
        <v>149</v>
      </c>
      <c r="F1054" t="s">
        <v>147</v>
      </c>
      <c r="G1054" t="s">
        <v>1187</v>
      </c>
      <c r="I1054" s="4">
        <v>15</v>
      </c>
      <c r="J1054" s="4" t="s">
        <v>1604</v>
      </c>
      <c r="L1054" t="s">
        <v>264</v>
      </c>
      <c r="M1054" t="s">
        <v>1499</v>
      </c>
      <c r="N1054" s="4">
        <f>IF(L1054="","",IF(OR(Registro2[[#This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054" t="str">
        <f t="shared" si="16"/>
        <v>mar/25</v>
      </c>
      <c r="P1054" t="str">
        <f>IF(Registro2[[#This Row],[Data de Pagamento]]&gt;0,TEXT(A1054,"mmm/aa"),"")</f>
        <v>mar/25</v>
      </c>
      <c r="T1054" s="4">
        <f>IF(Registro2[[#This Row],[Data de Pagamento]]="",0,IF(Registro2[[#This Row],[Conta Financeira]]=base!$A$6,0,Registro2[[#This Row],[Valor Unitário]]))</f>
        <v>15</v>
      </c>
      <c r="U10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54" t="str">
        <f>VLOOKUP(Registro2[[#This Row],[Categoria]],'Plano de Contas'!$V$3:W1112,2,0)</f>
        <v>Receitas Serviços</v>
      </c>
      <c r="X105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55" spans="1:24" hidden="1">
      <c r="A1055" s="1">
        <v>45742</v>
      </c>
      <c r="B1055" s="1">
        <v>45742</v>
      </c>
      <c r="D1055" t="s">
        <v>1</v>
      </c>
      <c r="E1055" t="s">
        <v>149</v>
      </c>
      <c r="F1055" t="s">
        <v>150</v>
      </c>
      <c r="G1055" t="s">
        <v>508</v>
      </c>
      <c r="I1055" s="4">
        <v>25</v>
      </c>
      <c r="J1055" s="4" t="s">
        <v>1604</v>
      </c>
      <c r="L1055" t="s">
        <v>264</v>
      </c>
      <c r="M1055" t="s">
        <v>1499</v>
      </c>
      <c r="N1055" s="4">
        <f>IF(L1055="","",IF(OR(Registro2[[#This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055" t="str">
        <f t="shared" si="16"/>
        <v>mar/25</v>
      </c>
      <c r="P1055" t="str">
        <f>IF(Registro2[[#This Row],[Data de Pagamento]]&gt;0,TEXT(A1055,"mmm/aa"),"")</f>
        <v>mar/25</v>
      </c>
      <c r="T1055" s="4">
        <f>IF(Registro2[[#This Row],[Data de Pagamento]]="",0,IF(Registro2[[#This Row],[Conta Financeira]]=base!$A$6,0,Registro2[[#This Row],[Valor Unitário]]))</f>
        <v>25</v>
      </c>
      <c r="U10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55" t="str">
        <f>VLOOKUP(Registro2[[#This Row],[Categoria]],'Plano de Contas'!$V$3:W1113,2,0)</f>
        <v>Receitas Produtos</v>
      </c>
      <c r="X10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56" spans="1:24" hidden="1">
      <c r="A1056" s="1">
        <v>45742</v>
      </c>
      <c r="B1056" s="1">
        <v>45742</v>
      </c>
      <c r="D1056" t="s">
        <v>310</v>
      </c>
      <c r="E1056" t="s">
        <v>149</v>
      </c>
      <c r="F1056" t="s">
        <v>152</v>
      </c>
      <c r="G1056" t="s">
        <v>353</v>
      </c>
      <c r="I1056" s="4">
        <v>60</v>
      </c>
      <c r="J1056" s="4">
        <v>60</v>
      </c>
      <c r="L1056" t="s">
        <v>253</v>
      </c>
      <c r="M1056" t="s">
        <v>1702</v>
      </c>
      <c r="N1056" s="4">
        <f>IF(L1056="","",IF(OR(Registro2[[#This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056" t="str">
        <f t="shared" si="16"/>
        <v>mar/25</v>
      </c>
      <c r="P1056" t="str">
        <f>IF(Registro2[[#This Row],[Data de Pagamento]]&gt;0,TEXT(A1056,"mmm/aa"),"")</f>
        <v>mar/25</v>
      </c>
      <c r="T1056" s="4">
        <f>IF(Registro2[[#This Row],[Data de Pagamento]]="",0,IF(Registro2[[#This Row],[Conta Financeira]]=base!$A$6,0,Registro2[[#This Row],[Valor Unitário]]))</f>
        <v>60</v>
      </c>
      <c r="U10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56" t="str">
        <f>VLOOKUP(Registro2[[#This Row],[Categoria]],'Plano de Contas'!$V$3:W1116,2,0)</f>
        <v>Receitas Serviços</v>
      </c>
      <c r="X105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</row>
    <row r="1057" spans="1:24" hidden="1">
      <c r="A1057" s="1">
        <v>45742</v>
      </c>
      <c r="B1057" s="1">
        <v>45742</v>
      </c>
      <c r="D1057" t="s">
        <v>1</v>
      </c>
      <c r="E1057" t="s">
        <v>149</v>
      </c>
      <c r="F1057" t="s">
        <v>152</v>
      </c>
      <c r="G1057" t="s">
        <v>353</v>
      </c>
      <c r="I1057" s="4">
        <v>55</v>
      </c>
      <c r="J1057" s="4">
        <v>55</v>
      </c>
      <c r="L1057" t="s">
        <v>264</v>
      </c>
      <c r="M1057" t="s">
        <v>285</v>
      </c>
      <c r="N1057" s="4">
        <f>IF(L1057="","",IF(OR(Registro2[[#This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1057" t="str">
        <f t="shared" si="16"/>
        <v>mar/25</v>
      </c>
      <c r="P1057" t="str">
        <f>IF(Registro2[[#This Row],[Data de Pagamento]]&gt;0,TEXT(A1057,"mmm/aa"),"")</f>
        <v>mar/25</v>
      </c>
      <c r="T1057" s="4">
        <f>IF(Registro2[[#This Row],[Data de Pagamento]]="",0,IF(Registro2[[#This Row],[Conta Financeira]]=base!$A$6,0,Registro2[[#This Row],[Valor Unitário]]))</f>
        <v>55</v>
      </c>
      <c r="U10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57" t="str">
        <f>VLOOKUP(Registro2[[#This Row],[Categoria]],'Plano de Contas'!$V$3:W1117,2,0)</f>
        <v>Receitas Serviços</v>
      </c>
      <c r="X10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58" spans="1:24" hidden="1">
      <c r="A1058" s="1">
        <v>45742</v>
      </c>
      <c r="B1058" s="1">
        <v>45742</v>
      </c>
      <c r="D1058" t="s">
        <v>1</v>
      </c>
      <c r="E1058" t="s">
        <v>149</v>
      </c>
      <c r="F1058" t="s">
        <v>147</v>
      </c>
      <c r="G1058" t="s">
        <v>163</v>
      </c>
      <c r="I1058" s="4">
        <v>35</v>
      </c>
      <c r="J1058" s="4">
        <v>35</v>
      </c>
      <c r="L1058" t="s">
        <v>253</v>
      </c>
      <c r="M1058" t="s">
        <v>500</v>
      </c>
      <c r="N1058" s="4">
        <f>IF(L1058="","",IF(OR(Registro2[[#This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58" t="str">
        <f t="shared" si="16"/>
        <v>mar/25</v>
      </c>
      <c r="P1058" t="str">
        <f>IF(Registro2[[#This Row],[Data de Pagamento]]&gt;0,TEXT(A1058,"mmm/aa"),"")</f>
        <v>mar/25</v>
      </c>
      <c r="T1058" s="4">
        <f>IF(Registro2[[#This Row],[Data de Pagamento]]="",0,IF(Registro2[[#This Row],[Conta Financeira]]=base!$A$6,0,Registro2[[#This Row],[Valor Unitário]]))</f>
        <v>35</v>
      </c>
      <c r="U10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58" t="str">
        <f>VLOOKUP(Registro2[[#This Row],[Categoria]],'Plano de Contas'!$V$3:W1118,2,0)</f>
        <v>Receitas Serviços</v>
      </c>
      <c r="X10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59" spans="1:24" hidden="1">
      <c r="A1059" s="1">
        <v>45742</v>
      </c>
      <c r="B1059" s="1">
        <v>45742</v>
      </c>
      <c r="D1059" t="s">
        <v>1</v>
      </c>
      <c r="E1059" t="s">
        <v>149</v>
      </c>
      <c r="F1059" t="s">
        <v>147</v>
      </c>
      <c r="G1059" t="s">
        <v>163</v>
      </c>
      <c r="I1059" s="4">
        <v>35</v>
      </c>
      <c r="J1059" s="4">
        <v>35</v>
      </c>
      <c r="L1059" t="s">
        <v>253</v>
      </c>
      <c r="M1059" t="s">
        <v>1083</v>
      </c>
      <c r="N1059" s="4">
        <f>IF(L1059="","",IF(OR(Registro2[[#This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59" t="str">
        <f t="shared" si="16"/>
        <v>mar/25</v>
      </c>
      <c r="P1059" t="str">
        <f>IF(Registro2[[#This Row],[Data de Pagamento]]&gt;0,TEXT(A1059,"mmm/aa"),"")</f>
        <v>mar/25</v>
      </c>
      <c r="T1059" s="4">
        <f>IF(Registro2[[#This Row],[Data de Pagamento]]="",0,IF(Registro2[[#This Row],[Conta Financeira]]=base!$A$6,0,Registro2[[#This Row],[Valor Unitário]]))</f>
        <v>35</v>
      </c>
      <c r="U10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59" t="str">
        <f>VLOOKUP(Registro2[[#This Row],[Categoria]],'Plano de Contas'!$V$3:W1119,2,0)</f>
        <v>Receitas Serviços</v>
      </c>
      <c r="X105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60" spans="1:24" hidden="1">
      <c r="A1060" s="1">
        <v>45742</v>
      </c>
      <c r="B1060" s="1">
        <v>45742</v>
      </c>
      <c r="D1060" t="s">
        <v>1</v>
      </c>
      <c r="E1060" t="s">
        <v>149</v>
      </c>
      <c r="F1060" t="s">
        <v>147</v>
      </c>
      <c r="G1060" t="s">
        <v>163</v>
      </c>
      <c r="I1060" s="4">
        <v>35</v>
      </c>
      <c r="J1060" s="4">
        <v>35</v>
      </c>
      <c r="L1060" t="s">
        <v>264</v>
      </c>
      <c r="M1060" t="s">
        <v>116</v>
      </c>
      <c r="N1060" s="4">
        <f>IF(L1060="","",IF(OR(Registro2[[#This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60" t="str">
        <f t="shared" si="16"/>
        <v>mar/25</v>
      </c>
      <c r="P1060" t="str">
        <f>IF(Registro2[[#This Row],[Data de Pagamento]]&gt;0,TEXT(A1060,"mmm/aa"),"")</f>
        <v>mar/25</v>
      </c>
      <c r="T1060" s="4">
        <f>IF(Registro2[[#This Row],[Data de Pagamento]]="",0,IF(Registro2[[#This Row],[Conta Financeira]]=base!$A$6,0,Registro2[[#This Row],[Valor Unitário]]))</f>
        <v>35</v>
      </c>
      <c r="U10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60" t="str">
        <f>VLOOKUP(Registro2[[#This Row],[Categoria]],'Plano de Contas'!$V$3:W1120,2,0)</f>
        <v>Receitas Serviços</v>
      </c>
      <c r="X10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61" spans="1:24" hidden="1">
      <c r="A1061" s="1">
        <v>45743</v>
      </c>
      <c r="B1061" s="1">
        <v>45743</v>
      </c>
      <c r="D1061" t="s">
        <v>2</v>
      </c>
      <c r="E1061" t="s">
        <v>149</v>
      </c>
      <c r="F1061" t="s">
        <v>147</v>
      </c>
      <c r="G1061" t="s">
        <v>163</v>
      </c>
      <c r="I1061" s="4">
        <v>35</v>
      </c>
      <c r="J1061" s="4">
        <v>35</v>
      </c>
      <c r="L1061" t="s">
        <v>253</v>
      </c>
      <c r="M1061" t="s">
        <v>288</v>
      </c>
      <c r="N1061" s="4">
        <f>IF(L1061="","",IF(OR(Registro2[[#This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61" t="str">
        <f t="shared" si="16"/>
        <v>mar/25</v>
      </c>
      <c r="P1061" t="str">
        <f>IF(Registro2[[#This Row],[Data de Pagamento]]&gt;0,TEXT(A1061,"mmm/aa"),"")</f>
        <v>mar/25</v>
      </c>
      <c r="T1061" s="4">
        <f>IF(Registro2[[#This Row],[Data de Pagamento]]="",0,IF(Registro2[[#This Row],[Conta Financeira]]=base!$A$6,0,Registro2[[#This Row],[Valor Unitário]]))</f>
        <v>35</v>
      </c>
      <c r="U10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61" t="str">
        <f>VLOOKUP(Registro2[[#This Row],[Categoria]],'Plano de Contas'!$V$3:W1023,2,0)</f>
        <v>Receitas Serviços</v>
      </c>
      <c r="X10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62" spans="1:24" hidden="1">
      <c r="A1062" s="1">
        <v>45743</v>
      </c>
      <c r="B1062" s="1">
        <v>45743</v>
      </c>
      <c r="D1062" t="s">
        <v>1</v>
      </c>
      <c r="E1062" t="s">
        <v>149</v>
      </c>
      <c r="F1062" t="s">
        <v>147</v>
      </c>
      <c r="G1062" t="s">
        <v>163</v>
      </c>
      <c r="I1062" s="4">
        <v>35</v>
      </c>
      <c r="J1062" s="4">
        <v>35</v>
      </c>
      <c r="L1062" t="s">
        <v>252</v>
      </c>
      <c r="M1062" t="s">
        <v>364</v>
      </c>
      <c r="N1062" s="4">
        <f>IF(L1062="","",IF(OR(Registro2[[#This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62" t="str">
        <f t="shared" si="16"/>
        <v>mar/25</v>
      </c>
      <c r="P1062" t="str">
        <f>IF(Registro2[[#This Row],[Data de Pagamento]]&gt;0,TEXT(A1062,"mmm/aa"),"")</f>
        <v>mar/25</v>
      </c>
      <c r="T1062" s="4">
        <f>IF(Registro2[[#This Row],[Data de Pagamento]]="",0,IF(Registro2[[#This Row],[Conta Financeira]]=base!$A$6,0,Registro2[[#This Row],[Valor Unitário]]))</f>
        <v>35</v>
      </c>
      <c r="U10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62" t="str">
        <f>VLOOKUP(Registro2[[#This Row],[Categoria]],'Plano de Contas'!$V$3:W1103,2,0)</f>
        <v>Receitas Serviços</v>
      </c>
      <c r="X106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63" spans="1:24" hidden="1">
      <c r="A1063" s="1">
        <v>45743</v>
      </c>
      <c r="B1063" s="1">
        <v>45743</v>
      </c>
      <c r="D1063" t="s">
        <v>2</v>
      </c>
      <c r="E1063" t="s">
        <v>149</v>
      </c>
      <c r="F1063" t="s">
        <v>147</v>
      </c>
      <c r="G1063" t="s">
        <v>163</v>
      </c>
      <c r="I1063" s="4">
        <v>35</v>
      </c>
      <c r="J1063" s="4">
        <v>50</v>
      </c>
      <c r="L1063" t="s">
        <v>252</v>
      </c>
      <c r="M1063" t="s">
        <v>869</v>
      </c>
      <c r="N1063" s="4">
        <f>IF(L1063="","",IF(OR(Registro2[[#This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63" t="str">
        <f t="shared" si="16"/>
        <v>mar/25</v>
      </c>
      <c r="P1063" t="str">
        <f>IF(Registro2[[#This Row],[Data de Pagamento]]&gt;0,TEXT(A1063,"mmm/aa"),"")</f>
        <v>mar/25</v>
      </c>
      <c r="T1063" s="4">
        <f>IF(Registro2[[#This Row],[Data de Pagamento]]="",0,IF(Registro2[[#This Row],[Conta Financeira]]=base!$A$6,0,Registro2[[#This Row],[Valor Unitário]]))</f>
        <v>35</v>
      </c>
      <c r="U10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63" t="str">
        <f>VLOOKUP(Registro2[[#This Row],[Categoria]],'Plano de Contas'!$V$3:W1114,2,0)</f>
        <v>Receitas Serviços</v>
      </c>
      <c r="X106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64" spans="1:24" hidden="1">
      <c r="A1064" s="1">
        <v>45743</v>
      </c>
      <c r="B1064" s="1">
        <v>45743</v>
      </c>
      <c r="D1064" t="s">
        <v>2</v>
      </c>
      <c r="E1064" t="s">
        <v>149</v>
      </c>
      <c r="F1064" t="s">
        <v>147</v>
      </c>
      <c r="G1064" t="s">
        <v>1446</v>
      </c>
      <c r="I1064" s="4">
        <v>15</v>
      </c>
      <c r="J1064" s="4" t="s">
        <v>1604</v>
      </c>
      <c r="L1064" t="s">
        <v>252</v>
      </c>
      <c r="M1064" t="s">
        <v>869</v>
      </c>
      <c r="N1064" s="4">
        <f>IF(L1064="","",IF(OR(Registro2[[#This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064" t="str">
        <f t="shared" si="16"/>
        <v>mar/25</v>
      </c>
      <c r="P1064" t="str">
        <f>IF(Registro2[[#This Row],[Data de Pagamento]]&gt;0,TEXT(A1064,"mmm/aa"),"")</f>
        <v>mar/25</v>
      </c>
      <c r="T1064" s="4">
        <f>IF(Registro2[[#This Row],[Data de Pagamento]]="",0,IF(Registro2[[#This Row],[Conta Financeira]]=base!$A$6,0,Registro2[[#This Row],[Valor Unitário]]))</f>
        <v>15</v>
      </c>
      <c r="U10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64" t="e">
        <f>VLOOKUP(Registro2[[#This Row],[Categoria]],'Plano de Contas'!$V$3:W1115,2,0)</f>
        <v>#N/A</v>
      </c>
      <c r="X106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65" spans="1:24" hidden="1">
      <c r="A1065" s="1">
        <v>45743</v>
      </c>
      <c r="B1065" s="1">
        <v>45743</v>
      </c>
      <c r="D1065" t="s">
        <v>1</v>
      </c>
      <c r="E1065" t="s">
        <v>149</v>
      </c>
      <c r="F1065" t="s">
        <v>147</v>
      </c>
      <c r="G1065" t="s">
        <v>163</v>
      </c>
      <c r="I1065" s="4">
        <v>35</v>
      </c>
      <c r="J1065" s="4">
        <v>35</v>
      </c>
      <c r="L1065" t="s">
        <v>264</v>
      </c>
      <c r="M1065" t="s">
        <v>1712</v>
      </c>
      <c r="N1065" s="4">
        <f>IF(L1065="","",IF(OR(Registro2[[#This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65" t="str">
        <f t="shared" si="16"/>
        <v>mar/25</v>
      </c>
      <c r="P1065" t="str">
        <f>IF(Registro2[[#This Row],[Data de Pagamento]]&gt;0,TEXT(A1065,"mmm/aa"),"")</f>
        <v>mar/25</v>
      </c>
      <c r="T1065" s="4">
        <f>IF(Registro2[[#This Row],[Data de Pagamento]]="",0,IF(Registro2[[#This Row],[Conta Financeira]]=base!$A$6,0,Registro2[[#This Row],[Valor Unitário]]))</f>
        <v>35</v>
      </c>
      <c r="U10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65" t="str">
        <f>VLOOKUP(Registro2[[#This Row],[Categoria]],'Plano de Contas'!$V$3:W1121,2,0)</f>
        <v>Receitas Serviços</v>
      </c>
      <c r="X106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66" spans="1:24" hidden="1">
      <c r="A1066" s="1">
        <v>45743</v>
      </c>
      <c r="B1066" s="1">
        <v>45743</v>
      </c>
      <c r="D1066" t="s">
        <v>1</v>
      </c>
      <c r="E1066" t="s">
        <v>149</v>
      </c>
      <c r="F1066" t="s">
        <v>147</v>
      </c>
      <c r="G1066" t="s">
        <v>163</v>
      </c>
      <c r="I1066" s="4">
        <v>35</v>
      </c>
      <c r="J1066" s="4">
        <v>45</v>
      </c>
      <c r="L1066" t="s">
        <v>253</v>
      </c>
      <c r="M1066" t="s">
        <v>467</v>
      </c>
      <c r="N1066" s="4">
        <f>IF(L1066="","",IF(OR(Registro2[[#This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66" t="str">
        <f t="shared" si="16"/>
        <v>mar/25</v>
      </c>
      <c r="P1066" t="str">
        <f>IF(Registro2[[#This Row],[Data de Pagamento]]&gt;0,TEXT(A1066,"mmm/aa"),"")</f>
        <v>mar/25</v>
      </c>
      <c r="T1066" s="4">
        <f>IF(Registro2[[#This Row],[Data de Pagamento]]="",0,IF(Registro2[[#This Row],[Conta Financeira]]=base!$A$6,0,Registro2[[#This Row],[Valor Unitário]]))</f>
        <v>35</v>
      </c>
      <c r="U10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66" t="str">
        <f>VLOOKUP(Registro2[[#This Row],[Categoria]],'Plano de Contas'!$V$3:W1122,2,0)</f>
        <v>Receitas Serviços</v>
      </c>
      <c r="X10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67" spans="1:24" hidden="1">
      <c r="A1067" s="1">
        <v>45743</v>
      </c>
      <c r="B1067" s="1">
        <v>45743</v>
      </c>
      <c r="D1067" t="s">
        <v>1</v>
      </c>
      <c r="E1067" t="s">
        <v>149</v>
      </c>
      <c r="F1067" t="s">
        <v>147</v>
      </c>
      <c r="G1067" t="s">
        <v>167</v>
      </c>
      <c r="I1067" s="4">
        <v>10</v>
      </c>
      <c r="J1067" s="4" t="s">
        <v>1604</v>
      </c>
      <c r="L1067" t="s">
        <v>253</v>
      </c>
      <c r="M1067" t="s">
        <v>467</v>
      </c>
      <c r="N1067" s="4">
        <f>IF(L1067="","",IF(OR(Registro2[[#This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067" t="str">
        <f t="shared" si="16"/>
        <v>mar/25</v>
      </c>
      <c r="P1067" t="str">
        <f>IF(Registro2[[#This Row],[Data de Pagamento]]&gt;0,TEXT(A1067,"mmm/aa"),"")</f>
        <v>mar/25</v>
      </c>
      <c r="T1067" s="4">
        <f>IF(Registro2[[#This Row],[Data de Pagamento]]="",0,IF(Registro2[[#This Row],[Conta Financeira]]=base!$A$6,0,Registro2[[#This Row],[Valor Unitário]]))</f>
        <v>10</v>
      </c>
      <c r="U10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67" t="str">
        <f>VLOOKUP(Registro2[[#This Row],[Categoria]],'Plano de Contas'!$V$3:W1123,2,0)</f>
        <v>Receitas Serviços</v>
      </c>
      <c r="X106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68" spans="1:24" hidden="1">
      <c r="A1068" s="1">
        <v>45743</v>
      </c>
      <c r="B1068" s="1">
        <v>45743</v>
      </c>
      <c r="D1068" t="s">
        <v>1</v>
      </c>
      <c r="E1068" t="s">
        <v>149</v>
      </c>
      <c r="F1068" t="s">
        <v>147</v>
      </c>
      <c r="G1068" t="s">
        <v>163</v>
      </c>
      <c r="I1068" s="4">
        <v>35</v>
      </c>
      <c r="J1068" s="4">
        <v>35</v>
      </c>
      <c r="L1068" t="s">
        <v>253</v>
      </c>
      <c r="M1068" t="s">
        <v>1031</v>
      </c>
      <c r="N1068" s="4">
        <f>IF(L1068="","",IF(OR(Registro2[[#This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68" t="str">
        <f t="shared" si="16"/>
        <v>mar/25</v>
      </c>
      <c r="P1068" t="str">
        <f>IF(Registro2[[#This Row],[Data de Pagamento]]&gt;0,TEXT(A1068,"mmm/aa"),"")</f>
        <v>mar/25</v>
      </c>
      <c r="T1068" s="4">
        <f>IF(Registro2[[#This Row],[Data de Pagamento]]="",0,IF(Registro2[[#This Row],[Conta Financeira]]=base!$A$6,0,Registro2[[#This Row],[Valor Unitário]]))</f>
        <v>35</v>
      </c>
      <c r="U10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68" t="str">
        <f>VLOOKUP(Registro2[[#This Row],[Categoria]],'Plano de Contas'!$V$3:W1124,2,0)</f>
        <v>Receitas Serviços</v>
      </c>
      <c r="X106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69" spans="1:24" hidden="1">
      <c r="A1069" s="1">
        <v>45743</v>
      </c>
      <c r="B1069" s="1">
        <v>45743</v>
      </c>
      <c r="D1069" t="s">
        <v>1</v>
      </c>
      <c r="E1069" t="s">
        <v>149</v>
      </c>
      <c r="F1069" t="s">
        <v>147</v>
      </c>
      <c r="G1069" t="s">
        <v>163</v>
      </c>
      <c r="I1069" s="4">
        <v>35</v>
      </c>
      <c r="J1069" s="4">
        <v>20</v>
      </c>
      <c r="L1069" t="s">
        <v>252</v>
      </c>
      <c r="M1069" t="s">
        <v>376</v>
      </c>
      <c r="N1069" s="4">
        <f>IF(L1069="","",IF(OR(Registro2[[#This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69" t="str">
        <f t="shared" si="16"/>
        <v>mar/25</v>
      </c>
      <c r="P1069" t="str">
        <f>IF(Registro2[[#This Row],[Data de Pagamento]]&gt;0,TEXT(A1069,"mmm/aa"),"")</f>
        <v>mar/25</v>
      </c>
      <c r="T1069" s="4">
        <f>IF(Registro2[[#This Row],[Data de Pagamento]]="",0,IF(Registro2[[#This Row],[Conta Financeira]]=base!$A$6,0,Registro2[[#This Row],[Valor Unitário]]))</f>
        <v>35</v>
      </c>
      <c r="U10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69" t="str">
        <f>VLOOKUP(Registro2[[#This Row],[Categoria]],'Plano de Contas'!$V$3:W1125,2,0)</f>
        <v>Receitas Serviços</v>
      </c>
      <c r="X106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70" spans="1:24" hidden="1">
      <c r="A1070" s="1">
        <v>45743</v>
      </c>
      <c r="B1070" s="1">
        <v>45743</v>
      </c>
      <c r="D1070" t="s">
        <v>1</v>
      </c>
      <c r="E1070" t="s">
        <v>149</v>
      </c>
      <c r="F1070" t="s">
        <v>147</v>
      </c>
      <c r="G1070" t="s">
        <v>163</v>
      </c>
      <c r="I1070" s="4">
        <v>35</v>
      </c>
      <c r="J1070" s="4">
        <v>35</v>
      </c>
      <c r="L1070" t="s">
        <v>253</v>
      </c>
      <c r="M1070" t="s">
        <v>1720</v>
      </c>
      <c r="N1070" s="4">
        <f>IF(L1070="","",IF(OR(Registro2[[#This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70" t="str">
        <f t="shared" si="16"/>
        <v>mar/25</v>
      </c>
      <c r="P1070" t="str">
        <f>IF(Registro2[[#This Row],[Data de Pagamento]]&gt;0,TEXT(A1070,"mmm/aa"),"")</f>
        <v>mar/25</v>
      </c>
      <c r="T1070" s="4">
        <f>IF(Registro2[[#This Row],[Data de Pagamento]]="",0,IF(Registro2[[#This Row],[Conta Financeira]]=base!$A$6,0,Registro2[[#This Row],[Valor Unitário]]))</f>
        <v>35</v>
      </c>
      <c r="U10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70" t="str">
        <f>VLOOKUP(Registro2[[#This Row],[Categoria]],'Plano de Contas'!$V$3:W1126,2,0)</f>
        <v>Receitas Serviços</v>
      </c>
      <c r="X107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71" spans="1:24" hidden="1">
      <c r="A1071" s="1">
        <v>45743</v>
      </c>
      <c r="B1071" s="1">
        <v>45743</v>
      </c>
      <c r="D1071" t="s">
        <v>1</v>
      </c>
      <c r="E1071" t="s">
        <v>149</v>
      </c>
      <c r="F1071" t="s">
        <v>147</v>
      </c>
      <c r="G1071" t="s">
        <v>1046</v>
      </c>
      <c r="I1071" s="4">
        <v>15</v>
      </c>
      <c r="J1071" s="4">
        <v>15</v>
      </c>
      <c r="L1071" t="s">
        <v>253</v>
      </c>
      <c r="M1071" t="s">
        <v>1371</v>
      </c>
      <c r="N1071" s="4">
        <f>IF(L1071="","",IF(OR(Registro2[[#This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071" t="str">
        <f t="shared" si="16"/>
        <v>mar/25</v>
      </c>
      <c r="P1071" t="str">
        <f>IF(Registro2[[#This Row],[Data de Pagamento]]&gt;0,TEXT(A1071,"mmm/aa"),"")</f>
        <v>mar/25</v>
      </c>
      <c r="T1071" s="4">
        <f>IF(Registro2[[#This Row],[Data de Pagamento]]="",0,IF(Registro2[[#This Row],[Conta Financeira]]=base!$A$6,0,Registro2[[#This Row],[Valor Unitário]]))</f>
        <v>15</v>
      </c>
      <c r="U10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71" t="str">
        <f>VLOOKUP(Registro2[[#This Row],[Categoria]],'Plano de Contas'!$V$3:W1127,2,0)</f>
        <v>Receitas Serviços</v>
      </c>
      <c r="X107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72" spans="1:24" hidden="1">
      <c r="A1072" s="1">
        <v>45743</v>
      </c>
      <c r="B1072" s="1">
        <v>45743</v>
      </c>
      <c r="D1072" t="s">
        <v>354</v>
      </c>
      <c r="E1072" t="s">
        <v>149</v>
      </c>
      <c r="F1072" t="s">
        <v>147</v>
      </c>
      <c r="G1072" t="s">
        <v>163</v>
      </c>
      <c r="I1072" s="4">
        <v>35</v>
      </c>
      <c r="J1072" s="4">
        <v>45</v>
      </c>
      <c r="L1072" t="s">
        <v>252</v>
      </c>
      <c r="M1072" t="s">
        <v>1725</v>
      </c>
      <c r="N1072" s="4">
        <f>IF(L1072="","",IF(OR(Registro2[[#This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72" t="str">
        <f t="shared" si="16"/>
        <v>mar/25</v>
      </c>
      <c r="P1072" t="str">
        <f>IF(Registro2[[#This Row],[Data de Pagamento]]&gt;0,TEXT(A1072,"mmm/aa"),"")</f>
        <v>mar/25</v>
      </c>
      <c r="T1072" s="4">
        <f>IF(Registro2[[#This Row],[Data de Pagamento]]="",0,IF(Registro2[[#This Row],[Conta Financeira]]=base!$A$6,0,Registro2[[#This Row],[Valor Unitário]]))</f>
        <v>35</v>
      </c>
      <c r="U10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72" t="str">
        <f>VLOOKUP(Registro2[[#This Row],[Categoria]],'Plano de Contas'!$V$3:W1128,2,0)</f>
        <v>Receitas Serviços</v>
      </c>
      <c r="X107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073" spans="1:24" hidden="1">
      <c r="A1073" s="1">
        <v>45743</v>
      </c>
      <c r="B1073" s="1">
        <v>45743</v>
      </c>
      <c r="D1073" t="s">
        <v>354</v>
      </c>
      <c r="E1073" t="s">
        <v>149</v>
      </c>
      <c r="F1073" t="s">
        <v>147</v>
      </c>
      <c r="G1073" t="s">
        <v>167</v>
      </c>
      <c r="I1073" s="4">
        <v>10</v>
      </c>
      <c r="J1073" s="4" t="s">
        <v>1604</v>
      </c>
      <c r="L1073" t="s">
        <v>252</v>
      </c>
      <c r="M1073" t="s">
        <v>1725</v>
      </c>
      <c r="N1073" s="4">
        <f>IF(L1073="","",IF(OR(Registro2[[#This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073" t="str">
        <f t="shared" si="16"/>
        <v>mar/25</v>
      </c>
      <c r="P1073" t="str">
        <f>IF(Registro2[[#This Row],[Data de Pagamento]]&gt;0,TEXT(A1073,"mmm/aa"),"")</f>
        <v>mar/25</v>
      </c>
      <c r="T1073" s="4">
        <f>IF(Registro2[[#This Row],[Data de Pagamento]]="",0,IF(Registro2[[#This Row],[Conta Financeira]]=base!$A$6,0,Registro2[[#This Row],[Valor Unitário]]))</f>
        <v>10</v>
      </c>
      <c r="U10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73" t="str">
        <f>VLOOKUP(Registro2[[#This Row],[Categoria]],'Plano de Contas'!$V$3:W1129,2,0)</f>
        <v>Receitas Serviços</v>
      </c>
      <c r="X107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</row>
    <row r="1074" spans="1:24" hidden="1">
      <c r="A1074" s="1">
        <v>45743</v>
      </c>
      <c r="B1074" s="1">
        <v>45743</v>
      </c>
      <c r="D1074" t="s">
        <v>1</v>
      </c>
      <c r="E1074" t="s">
        <v>149</v>
      </c>
      <c r="F1074" t="s">
        <v>147</v>
      </c>
      <c r="G1074" t="s">
        <v>1046</v>
      </c>
      <c r="I1074" s="4">
        <v>35</v>
      </c>
      <c r="J1074" s="4">
        <v>35</v>
      </c>
      <c r="L1074" t="s">
        <v>253</v>
      </c>
      <c r="M1074" t="s">
        <v>290</v>
      </c>
      <c r="N1074" s="4">
        <f>IF(L1074="","",IF(OR(Registro2[[#This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74" t="str">
        <f t="shared" si="16"/>
        <v>mar/25</v>
      </c>
      <c r="P1074" t="str">
        <f>IF(Registro2[[#This Row],[Data de Pagamento]]&gt;0,TEXT(A1074,"mmm/aa"),"")</f>
        <v>mar/25</v>
      </c>
      <c r="T1074" s="4">
        <f>IF(Registro2[[#This Row],[Data de Pagamento]]="",0,IF(Registro2[[#This Row],[Conta Financeira]]=base!$A$6,0,Registro2[[#This Row],[Valor Unitário]]))</f>
        <v>35</v>
      </c>
      <c r="U10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74" t="str">
        <f>VLOOKUP(Registro2[[#This Row],[Categoria]],'Plano de Contas'!$V$3:W1130,2,0)</f>
        <v>Receitas Serviços</v>
      </c>
      <c r="X107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75" spans="1:24" hidden="1">
      <c r="A1075" s="1">
        <v>45743</v>
      </c>
      <c r="B1075" s="1">
        <v>45743</v>
      </c>
      <c r="D1075" t="s">
        <v>1</v>
      </c>
      <c r="E1075" t="s">
        <v>149</v>
      </c>
      <c r="F1075" t="s">
        <v>152</v>
      </c>
      <c r="G1075" t="s">
        <v>353</v>
      </c>
      <c r="I1075" s="4">
        <v>60</v>
      </c>
      <c r="J1075" s="4">
        <v>60</v>
      </c>
      <c r="L1075" t="s">
        <v>264</v>
      </c>
      <c r="M1075" t="s">
        <v>1729</v>
      </c>
      <c r="N1075" s="4">
        <f>IF(L1075="","",IF(OR(Registro2[[#This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075" t="str">
        <f t="shared" si="16"/>
        <v>mar/25</v>
      </c>
      <c r="P1075" t="str">
        <f>IF(Registro2[[#This Row],[Data de Pagamento]]&gt;0,TEXT(A1075,"mmm/aa"),"")</f>
        <v>mar/25</v>
      </c>
      <c r="T1075" s="4">
        <f>IF(Registro2[[#This Row],[Data de Pagamento]]="",0,IF(Registro2[[#This Row],[Conta Financeira]]=base!$A$6,0,Registro2[[#This Row],[Valor Unitário]]))</f>
        <v>60</v>
      </c>
      <c r="U10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75" t="str">
        <f>VLOOKUP(Registro2[[#This Row],[Categoria]],'Plano de Contas'!$V$3:W1131,2,0)</f>
        <v>Receitas Serviços</v>
      </c>
      <c r="X107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76" spans="1:24" hidden="1">
      <c r="A1076" s="1">
        <v>45743</v>
      </c>
      <c r="B1076" s="1">
        <v>45743</v>
      </c>
      <c r="D1076" t="s">
        <v>2</v>
      </c>
      <c r="E1076" t="s">
        <v>149</v>
      </c>
      <c r="F1076" t="s">
        <v>147</v>
      </c>
      <c r="G1076" t="s">
        <v>163</v>
      </c>
      <c r="I1076" s="4">
        <v>35</v>
      </c>
      <c r="J1076" s="4">
        <v>35</v>
      </c>
      <c r="L1076" t="s">
        <v>253</v>
      </c>
      <c r="M1076" t="s">
        <v>71</v>
      </c>
      <c r="N1076" s="4">
        <f>IF(L1076="","",IF(OR(Registro2[[#This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76" t="str">
        <f t="shared" si="16"/>
        <v>mar/25</v>
      </c>
      <c r="P1076" t="str">
        <f>IF(Registro2[[#This Row],[Data de Pagamento]]&gt;0,TEXT(A1076,"mmm/aa"),"")</f>
        <v>mar/25</v>
      </c>
      <c r="T1076" s="4">
        <f>IF(Registro2[[#This Row],[Data de Pagamento]]="",0,IF(Registro2[[#This Row],[Conta Financeira]]=base!$A$6,0,Registro2[[#This Row],[Valor Unitário]]))</f>
        <v>35</v>
      </c>
      <c r="U10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76" t="str">
        <f>VLOOKUP(Registro2[[#This Row],[Categoria]],'Plano de Contas'!$V$3:W1132,2,0)</f>
        <v>Receitas Serviços</v>
      </c>
      <c r="X107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77" spans="1:24" hidden="1">
      <c r="A1077" s="1">
        <v>45743</v>
      </c>
      <c r="B1077" s="1">
        <v>45743</v>
      </c>
      <c r="D1077" t="s">
        <v>2</v>
      </c>
      <c r="E1077" t="s">
        <v>149</v>
      </c>
      <c r="F1077" t="s">
        <v>150</v>
      </c>
      <c r="G1077" t="s">
        <v>472</v>
      </c>
      <c r="I1077" s="4">
        <v>40</v>
      </c>
      <c r="J1077" s="4" t="s">
        <v>1604</v>
      </c>
      <c r="L1077" t="s">
        <v>253</v>
      </c>
      <c r="M1077" t="s">
        <v>71</v>
      </c>
      <c r="N1077" s="4">
        <f>IF(L1077="","",IF(OR(Registro2[[#This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1077" t="str">
        <f t="shared" si="16"/>
        <v>mar/25</v>
      </c>
      <c r="P1077" t="str">
        <f>IF(Registro2[[#This Row],[Data de Pagamento]]&gt;0,TEXT(A1077,"mmm/aa"),"")</f>
        <v>mar/25</v>
      </c>
      <c r="T1077" s="4">
        <f>IF(Registro2[[#This Row],[Data de Pagamento]]="",0,IF(Registro2[[#This Row],[Conta Financeira]]=base!$A$6,0,Registro2[[#This Row],[Valor Unitário]]))</f>
        <v>40</v>
      </c>
      <c r="U10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77" t="str">
        <f>VLOOKUP(Registro2[[#This Row],[Categoria]],'Plano de Contas'!$V$3:W1133,2,0)</f>
        <v>Receitas Produtos</v>
      </c>
      <c r="X107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78" spans="1:24" hidden="1">
      <c r="A1078" s="1">
        <v>45743</v>
      </c>
      <c r="B1078" s="1">
        <v>45743</v>
      </c>
      <c r="D1078" t="s">
        <v>1</v>
      </c>
      <c r="E1078" t="s">
        <v>149</v>
      </c>
      <c r="F1078" t="s">
        <v>152</v>
      </c>
      <c r="G1078" t="s">
        <v>353</v>
      </c>
      <c r="I1078" s="4">
        <v>60</v>
      </c>
      <c r="J1078" s="4">
        <v>60</v>
      </c>
      <c r="L1078" t="s">
        <v>264</v>
      </c>
      <c r="M1078" t="s">
        <v>465</v>
      </c>
      <c r="N1078" s="4">
        <f>IF(L1078="","",IF(OR(Registro2[[#This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078" t="str">
        <f t="shared" si="16"/>
        <v>mar/25</v>
      </c>
      <c r="P1078" t="str">
        <f>IF(Registro2[[#This Row],[Data de Pagamento]]&gt;0,TEXT(A1078,"mmm/aa"),"")</f>
        <v>mar/25</v>
      </c>
      <c r="T1078" s="4">
        <f>IF(Registro2[[#This Row],[Data de Pagamento]]="",0,IF(Registro2[[#This Row],[Conta Financeira]]=base!$A$6,0,Registro2[[#This Row],[Valor Unitário]]))</f>
        <v>60</v>
      </c>
      <c r="U10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78" t="str">
        <f>VLOOKUP(Registro2[[#This Row],[Categoria]],'Plano de Contas'!$V$3:W1134,2,0)</f>
        <v>Receitas Serviços</v>
      </c>
      <c r="X10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79" spans="1:24" hidden="1">
      <c r="A1079" s="1">
        <v>45743</v>
      </c>
      <c r="B1079" s="1">
        <v>45743</v>
      </c>
      <c r="D1079" t="s">
        <v>1</v>
      </c>
      <c r="E1079" t="s">
        <v>149</v>
      </c>
      <c r="F1079" t="s">
        <v>147</v>
      </c>
      <c r="G1079" t="s">
        <v>163</v>
      </c>
      <c r="I1079" s="4">
        <v>35</v>
      </c>
      <c r="J1079" s="4">
        <v>35</v>
      </c>
      <c r="L1079" t="s">
        <v>253</v>
      </c>
      <c r="M1079" t="s">
        <v>119</v>
      </c>
      <c r="N1079" s="4">
        <f>IF(L1079="","",IF(OR(Registro2[[#This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79" t="str">
        <f t="shared" si="16"/>
        <v>mar/25</v>
      </c>
      <c r="P1079" t="str">
        <f>IF(Registro2[[#This Row],[Data de Pagamento]]&gt;0,TEXT(A1079,"mmm/aa"),"")</f>
        <v>mar/25</v>
      </c>
      <c r="T1079" s="4">
        <f>IF(Registro2[[#This Row],[Data de Pagamento]]="",0,IF(Registro2[[#This Row],[Conta Financeira]]=base!$A$6,0,Registro2[[#This Row],[Valor Unitário]]))</f>
        <v>35</v>
      </c>
      <c r="U10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79" t="str">
        <f>VLOOKUP(Registro2[[#This Row],[Categoria]],'Plano de Contas'!$V$3:W1137,2,0)</f>
        <v>Receitas Serviços</v>
      </c>
      <c r="X107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80" spans="1:24" hidden="1">
      <c r="A1080" s="1">
        <v>45743</v>
      </c>
      <c r="B1080" s="1">
        <v>45743</v>
      </c>
      <c r="D1080" t="s">
        <v>2</v>
      </c>
      <c r="E1080" t="s">
        <v>149</v>
      </c>
      <c r="F1080" t="s">
        <v>147</v>
      </c>
      <c r="G1080" t="s">
        <v>163</v>
      </c>
      <c r="I1080" s="4">
        <v>35</v>
      </c>
      <c r="J1080" s="4">
        <v>35</v>
      </c>
      <c r="L1080" t="s">
        <v>253</v>
      </c>
      <c r="M1080" t="s">
        <v>417</v>
      </c>
      <c r="N1080" s="4">
        <f>IF(L1080="","",IF(OR(Registro2[[#This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80" t="str">
        <f t="shared" si="16"/>
        <v>mar/25</v>
      </c>
      <c r="P1080" t="str">
        <f>IF(Registro2[[#This Row],[Data de Pagamento]]&gt;0,TEXT(A1080,"mmm/aa"),"")</f>
        <v>mar/25</v>
      </c>
      <c r="T1080" s="4">
        <f>IF(Registro2[[#This Row],[Data de Pagamento]]="",0,IF(Registro2[[#This Row],[Conta Financeira]]=base!$A$6,0,Registro2[[#This Row],[Valor Unitário]]))</f>
        <v>35</v>
      </c>
      <c r="U10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80" t="str">
        <f>VLOOKUP(Registro2[[#This Row],[Categoria]],'Plano de Contas'!$V$3:W1138,2,0)</f>
        <v>Receitas Serviços</v>
      </c>
      <c r="X108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81" spans="1:24" hidden="1">
      <c r="A1081" s="1">
        <v>45743</v>
      </c>
      <c r="B1081" s="1">
        <v>45743</v>
      </c>
      <c r="D1081" t="s">
        <v>354</v>
      </c>
      <c r="E1081" t="s">
        <v>149</v>
      </c>
      <c r="F1081" t="s">
        <v>152</v>
      </c>
      <c r="G1081" t="s">
        <v>353</v>
      </c>
      <c r="I1081" s="4">
        <v>60</v>
      </c>
      <c r="J1081" s="4">
        <v>60</v>
      </c>
      <c r="L1081" t="s">
        <v>264</v>
      </c>
      <c r="M1081" t="s">
        <v>1328</v>
      </c>
      <c r="N1081" s="4">
        <f>IF(L1081="","",IF(OR(Registro2[[#This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081" t="str">
        <f t="shared" si="16"/>
        <v>mar/25</v>
      </c>
      <c r="P1081" t="str">
        <f>IF(Registro2[[#This Row],[Data de Pagamento]]&gt;0,TEXT(A1081,"mmm/aa"),"")</f>
        <v>mar/25</v>
      </c>
      <c r="T1081" s="4">
        <f>IF(Registro2[[#This Row],[Data de Pagamento]]="",0,IF(Registro2[[#This Row],[Conta Financeira]]=base!$A$6,0,Registro2[[#This Row],[Valor Unitário]]))</f>
        <v>60</v>
      </c>
      <c r="U10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81" t="str">
        <f>VLOOKUP(Registro2[[#This Row],[Categoria]],'Plano de Contas'!$V$3:W1139,2,0)</f>
        <v>Receitas Serviços</v>
      </c>
      <c r="X108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</row>
    <row r="1082" spans="1:24" hidden="1">
      <c r="A1082" s="1">
        <v>45743</v>
      </c>
      <c r="B1082" s="1">
        <v>45743</v>
      </c>
      <c r="D1082" t="s">
        <v>1</v>
      </c>
      <c r="E1082" t="s">
        <v>149</v>
      </c>
      <c r="F1082" t="s">
        <v>147</v>
      </c>
      <c r="G1082" t="s">
        <v>163</v>
      </c>
      <c r="I1082" s="4">
        <v>35</v>
      </c>
      <c r="J1082" s="4">
        <v>35</v>
      </c>
      <c r="L1082" t="s">
        <v>253</v>
      </c>
      <c r="M1082" t="s">
        <v>1746</v>
      </c>
      <c r="N1082" s="4">
        <f>IF(L1082="","",IF(OR(Registro2[[#This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82" t="str">
        <f t="shared" si="16"/>
        <v>mar/25</v>
      </c>
      <c r="P1082" t="str">
        <f>IF(Registro2[[#This Row],[Data de Pagamento]]&gt;0,TEXT(A1082,"mmm/aa"),"")</f>
        <v>mar/25</v>
      </c>
      <c r="T1082" s="4">
        <f>IF(Registro2[[#This Row],[Data de Pagamento]]="",0,IF(Registro2[[#This Row],[Conta Financeira]]=base!$A$6,0,Registro2[[#This Row],[Valor Unitário]]))</f>
        <v>35</v>
      </c>
      <c r="U10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82" t="str">
        <f>VLOOKUP(Registro2[[#This Row],[Categoria]],'Plano de Contas'!$V$3:W1142,2,0)</f>
        <v>Receitas Serviços</v>
      </c>
      <c r="X10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83" spans="1:24" hidden="1">
      <c r="A1083" s="1">
        <v>45743</v>
      </c>
      <c r="B1083" s="1">
        <v>45743</v>
      </c>
      <c r="D1083" t="s">
        <v>1</v>
      </c>
      <c r="E1083" t="s">
        <v>149</v>
      </c>
      <c r="F1083" t="s">
        <v>147</v>
      </c>
      <c r="G1083" t="s">
        <v>163</v>
      </c>
      <c r="I1083" s="4">
        <v>35</v>
      </c>
      <c r="J1083" s="4">
        <v>35</v>
      </c>
      <c r="L1083" t="s">
        <v>264</v>
      </c>
      <c r="M1083" t="s">
        <v>281</v>
      </c>
      <c r="N1083" s="4">
        <f>IF(L1083="","",IF(OR(Registro2[[#This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83" t="str">
        <f t="shared" si="16"/>
        <v>mar/25</v>
      </c>
      <c r="P1083" t="str">
        <f>IF(Registro2[[#This Row],[Data de Pagamento]]&gt;0,TEXT(A1083,"mmm/aa"),"")</f>
        <v>mar/25</v>
      </c>
      <c r="T1083" s="4">
        <f>IF(Registro2[[#This Row],[Data de Pagamento]]="",0,IF(Registro2[[#This Row],[Conta Financeira]]=base!$A$6,0,Registro2[[#This Row],[Valor Unitário]]))</f>
        <v>35</v>
      </c>
      <c r="U10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83" t="str">
        <f>VLOOKUP(Registro2[[#This Row],[Categoria]],'Plano de Contas'!$V$3:W1143,2,0)</f>
        <v>Receitas Serviços</v>
      </c>
      <c r="X10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84" spans="1:24" hidden="1">
      <c r="A1084" s="1">
        <v>45743</v>
      </c>
      <c r="B1084" s="1">
        <v>45743</v>
      </c>
      <c r="D1084" t="s">
        <v>1</v>
      </c>
      <c r="E1084" t="s">
        <v>149</v>
      </c>
      <c r="F1084" t="s">
        <v>147</v>
      </c>
      <c r="G1084" t="s">
        <v>163</v>
      </c>
      <c r="I1084" s="4">
        <v>30</v>
      </c>
      <c r="J1084" s="4">
        <v>30</v>
      </c>
      <c r="L1084" t="s">
        <v>264</v>
      </c>
      <c r="M1084" t="s">
        <v>1348</v>
      </c>
      <c r="N1084" s="4">
        <f>IF(L1084="","",IF(OR(Registro2[[#This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1084" t="str">
        <f t="shared" si="16"/>
        <v>mar/25</v>
      </c>
      <c r="P1084" t="str">
        <f>IF(Registro2[[#This Row],[Data de Pagamento]]&gt;0,TEXT(A1084,"mmm/aa"),"")</f>
        <v>mar/25</v>
      </c>
      <c r="T1084" s="4">
        <f>IF(Registro2[[#This Row],[Data de Pagamento]]="",0,IF(Registro2[[#This Row],[Conta Financeira]]=base!$A$6,0,Registro2[[#This Row],[Valor Unitário]]))</f>
        <v>30</v>
      </c>
      <c r="U10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84" t="str">
        <f>VLOOKUP(Registro2[[#This Row],[Categoria]],'Plano de Contas'!$V$3:W1144,2,0)</f>
        <v>Receitas Serviços</v>
      </c>
      <c r="X108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85" spans="1:24" hidden="1">
      <c r="A1085" s="1">
        <v>45743</v>
      </c>
      <c r="B1085" s="1">
        <v>45743</v>
      </c>
      <c r="D1085" t="s">
        <v>136</v>
      </c>
      <c r="E1085" t="s">
        <v>137</v>
      </c>
      <c r="F1085" t="s">
        <v>139</v>
      </c>
      <c r="G1085" t="s">
        <v>337</v>
      </c>
      <c r="H1085" t="s">
        <v>1909</v>
      </c>
      <c r="I1085" s="4">
        <v>210</v>
      </c>
      <c r="J1085" s="4"/>
      <c r="N1085" s="4" t="str">
        <f>IF(L1085="","",IF(OR(Registro2[[#This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085" t="str">
        <f t="shared" si="16"/>
        <v>mar/25</v>
      </c>
      <c r="P1085" t="str">
        <f>IF(Registro2[[#This Row],[Data de Pagamento]]&gt;0,TEXT(A1085,"mmm/aa"),"")</f>
        <v>mar/25</v>
      </c>
      <c r="T1085" s="4">
        <f>IF(Registro2[[#This Row],[Data de Pagamento]]="",0,IF(Registro2[[#This Row],[Conta Financeira]]=base!$A$6,0,Registro2[[#This Row],[Valor Unitário]]))</f>
        <v>210</v>
      </c>
      <c r="U10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85" t="str">
        <f>VLOOKUP(Registro2[[#This Row],[Categoria]],'Plano de Contas'!$V$3:W1245,2,0)</f>
        <v>Despesas Gerias &amp; Vendas</v>
      </c>
      <c r="X108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86" spans="1:24" hidden="1">
      <c r="A1086" s="1">
        <v>45743</v>
      </c>
      <c r="B1086" s="1">
        <v>45743</v>
      </c>
      <c r="D1086" t="s">
        <v>136</v>
      </c>
      <c r="E1086" t="s">
        <v>137</v>
      </c>
      <c r="F1086" t="s">
        <v>138</v>
      </c>
      <c r="G1086" t="s">
        <v>969</v>
      </c>
      <c r="H1086" t="s">
        <v>969</v>
      </c>
      <c r="I1086" s="4">
        <v>250</v>
      </c>
      <c r="J1086" s="4"/>
      <c r="N1086" s="4" t="str">
        <f>IF(L1086="","",IF(OR(Registro2[[#This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086" t="str">
        <f t="shared" si="16"/>
        <v>mar/25</v>
      </c>
      <c r="P1086" t="str">
        <f>IF(Registro2[[#This Row],[Data de Pagamento]]&gt;0,TEXT(A1086,"mmm/aa"),"")</f>
        <v>mar/25</v>
      </c>
      <c r="T1086" s="4">
        <f>IF(Registro2[[#This Row],[Data de Pagamento]]="",0,IF(Registro2[[#This Row],[Conta Financeira]]=base!$A$6,0,Registro2[[#This Row],[Valor Unitário]]))</f>
        <v>250</v>
      </c>
      <c r="U10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86" t="str">
        <f>VLOOKUP(Registro2[[#This Row],[Categoria]],'Plano de Contas'!$V$3:W1246,2,0)</f>
        <v>Despesas Operacionais</v>
      </c>
      <c r="X108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87" spans="1:24" hidden="1">
      <c r="A1087" s="1">
        <v>45743</v>
      </c>
      <c r="B1087" s="1">
        <v>45743</v>
      </c>
      <c r="D1087" t="s">
        <v>136</v>
      </c>
      <c r="E1087" t="s">
        <v>137</v>
      </c>
      <c r="F1087" t="s">
        <v>138</v>
      </c>
      <c r="G1087" t="s">
        <v>141</v>
      </c>
      <c r="H1087" t="s">
        <v>141</v>
      </c>
      <c r="I1087" s="4">
        <v>60</v>
      </c>
      <c r="J1087" s="4"/>
      <c r="N1087" s="4" t="str">
        <f>IF(L1087="","",IF(OR(Registro2[[#This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087" t="str">
        <f t="shared" si="16"/>
        <v>mar/25</v>
      </c>
      <c r="P1087" t="str">
        <f>IF(Registro2[[#This Row],[Data de Pagamento]]&gt;0,TEXT(A1087,"mmm/aa"),"")</f>
        <v>mar/25</v>
      </c>
      <c r="T1087" s="4">
        <f>IF(Registro2[[#This Row],[Data de Pagamento]]="",0,IF(Registro2[[#This Row],[Conta Financeira]]=base!$A$6,0,Registro2[[#This Row],[Valor Unitário]]))</f>
        <v>60</v>
      </c>
      <c r="U10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87" t="str">
        <f>VLOOKUP(Registro2[[#This Row],[Categoria]],'Plano de Contas'!$V$3:W1247,2,0)</f>
        <v>Custos Operacionais</v>
      </c>
      <c r="X108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88" spans="1:24" hidden="1">
      <c r="A1088" s="1">
        <v>45744</v>
      </c>
      <c r="B1088" s="1">
        <v>45744</v>
      </c>
      <c r="D1088" t="s">
        <v>1</v>
      </c>
      <c r="E1088" t="s">
        <v>149</v>
      </c>
      <c r="F1088" t="s">
        <v>147</v>
      </c>
      <c r="G1088" t="s">
        <v>163</v>
      </c>
      <c r="I1088" s="4">
        <v>35</v>
      </c>
      <c r="J1088" s="4">
        <v>50</v>
      </c>
      <c r="L1088" t="s">
        <v>253</v>
      </c>
      <c r="M1088" t="s">
        <v>12</v>
      </c>
      <c r="N1088" s="4">
        <f>IF(L1088="","",IF(OR(Registro2[[#This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88" t="str">
        <f t="shared" si="16"/>
        <v>mar/25</v>
      </c>
      <c r="P1088" t="str">
        <f>IF(Registro2[[#This Row],[Data de Pagamento]]&gt;0,TEXT(A1088,"mmm/aa"),"")</f>
        <v>mar/25</v>
      </c>
      <c r="T1088" s="4">
        <f>IF(Registro2[[#This Row],[Data de Pagamento]]="",0,IF(Registro2[[#This Row],[Conta Financeira]]=base!$A$6,0,Registro2[[#This Row],[Valor Unitário]]))</f>
        <v>35</v>
      </c>
      <c r="U10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88" t="str">
        <f>VLOOKUP(Registro2[[#This Row],[Categoria]],'Plano de Contas'!$V$3:W1135,2,0)</f>
        <v>Receitas Serviços</v>
      </c>
      <c r="X108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89" spans="1:24" hidden="1">
      <c r="A1089" s="1">
        <v>45744</v>
      </c>
      <c r="B1089" s="1">
        <v>45744</v>
      </c>
      <c r="D1089" t="s">
        <v>1</v>
      </c>
      <c r="E1089" t="s">
        <v>149</v>
      </c>
      <c r="F1089" t="s">
        <v>147</v>
      </c>
      <c r="G1089" t="s">
        <v>167</v>
      </c>
      <c r="I1089" s="4">
        <v>15</v>
      </c>
      <c r="J1089" s="4" t="s">
        <v>1604</v>
      </c>
      <c r="L1089" t="s">
        <v>253</v>
      </c>
      <c r="M1089" t="s">
        <v>12</v>
      </c>
      <c r="N1089" s="4">
        <f>IF(L1089="","",IF(OR(Registro2[[#This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089" t="str">
        <f t="shared" si="16"/>
        <v>mar/25</v>
      </c>
      <c r="P1089" t="str">
        <f>IF(Registro2[[#This Row],[Data de Pagamento]]&gt;0,TEXT(A1089,"mmm/aa"),"")</f>
        <v>mar/25</v>
      </c>
      <c r="T1089" s="4">
        <f>IF(Registro2[[#This Row],[Data de Pagamento]]="",0,IF(Registro2[[#This Row],[Conta Financeira]]=base!$A$6,0,Registro2[[#This Row],[Valor Unitário]]))</f>
        <v>15</v>
      </c>
      <c r="U10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89" t="str">
        <f>VLOOKUP(Registro2[[#This Row],[Categoria]],'Plano de Contas'!$V$3:W1136,2,0)</f>
        <v>Receitas Serviços</v>
      </c>
      <c r="X108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90" spans="1:24" hidden="1">
      <c r="A1090" s="1">
        <v>45744</v>
      </c>
      <c r="B1090" s="1">
        <v>45744</v>
      </c>
      <c r="D1090" t="s">
        <v>310</v>
      </c>
      <c r="E1090" t="s">
        <v>149</v>
      </c>
      <c r="F1090" t="s">
        <v>147</v>
      </c>
      <c r="G1090" t="s">
        <v>163</v>
      </c>
      <c r="I1090" s="4">
        <v>35</v>
      </c>
      <c r="J1090" s="4">
        <v>50</v>
      </c>
      <c r="L1090" t="s">
        <v>253</v>
      </c>
      <c r="M1090" t="s">
        <v>387</v>
      </c>
      <c r="N1090" s="4">
        <f>IF(L1090="","",IF(OR(Registro2[[#This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90" t="str">
        <f t="shared" ref="O1090:O1153" si="17">TEXT(B1090,"mmm/aa")</f>
        <v>mar/25</v>
      </c>
      <c r="P1090" t="str">
        <f>IF(Registro2[[#This Row],[Data de Pagamento]]&gt;0,TEXT(A1090,"mmm/aa"),"")</f>
        <v>mar/25</v>
      </c>
      <c r="T1090" s="4">
        <f>IF(Registro2[[#This Row],[Data de Pagamento]]="",0,IF(Registro2[[#This Row],[Conta Financeira]]=base!$A$6,0,Registro2[[#This Row],[Valor Unitário]]))</f>
        <v>35</v>
      </c>
      <c r="U10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90" t="str">
        <f>VLOOKUP(Registro2[[#This Row],[Categoria]],'Plano de Contas'!$V$3:W1140,2,0)</f>
        <v>Receitas Serviços</v>
      </c>
      <c r="X109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091" spans="1:24" hidden="1">
      <c r="A1091" s="1">
        <v>45744</v>
      </c>
      <c r="B1091" s="1">
        <v>45744</v>
      </c>
      <c r="D1091" t="s">
        <v>310</v>
      </c>
      <c r="E1091" t="s">
        <v>149</v>
      </c>
      <c r="F1091" t="s">
        <v>147</v>
      </c>
      <c r="G1091" t="s">
        <v>167</v>
      </c>
      <c r="I1091" s="4">
        <v>15</v>
      </c>
      <c r="J1091" s="4" t="s">
        <v>1604</v>
      </c>
      <c r="L1091" t="s">
        <v>253</v>
      </c>
      <c r="M1091" t="s">
        <v>387</v>
      </c>
      <c r="N1091" s="4">
        <f>IF(L1091="","",IF(OR(Registro2[[#This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091" t="str">
        <f t="shared" si="17"/>
        <v>mar/25</v>
      </c>
      <c r="P1091" t="str">
        <f>IF(Registro2[[#This Row],[Data de Pagamento]]&gt;0,TEXT(A1091,"mmm/aa"),"")</f>
        <v>mar/25</v>
      </c>
      <c r="T1091" s="4">
        <f>IF(Registro2[[#This Row],[Data de Pagamento]]="",0,IF(Registro2[[#This Row],[Conta Financeira]]=base!$A$6,0,Registro2[[#This Row],[Valor Unitário]]))</f>
        <v>15</v>
      </c>
      <c r="U10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91" t="str">
        <f>VLOOKUP(Registro2[[#This Row],[Categoria]],'Plano de Contas'!$V$3:W1141,2,0)</f>
        <v>Receitas Serviços</v>
      </c>
      <c r="X109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</row>
    <row r="1092" spans="1:24" hidden="1">
      <c r="A1092" s="1">
        <v>45744</v>
      </c>
      <c r="B1092" s="1">
        <v>45744</v>
      </c>
      <c r="D1092" t="s">
        <v>1</v>
      </c>
      <c r="E1092" t="s">
        <v>149</v>
      </c>
      <c r="F1092" t="s">
        <v>147</v>
      </c>
      <c r="G1092" t="s">
        <v>163</v>
      </c>
      <c r="I1092" s="4">
        <v>35</v>
      </c>
      <c r="J1092" s="4">
        <v>35</v>
      </c>
      <c r="L1092" t="s">
        <v>253</v>
      </c>
      <c r="M1092" t="s">
        <v>20</v>
      </c>
      <c r="N1092" s="4">
        <f>IF(L1092="","",IF(OR(Registro2[[#This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92" t="str">
        <f t="shared" si="17"/>
        <v>mar/25</v>
      </c>
      <c r="P1092" t="str">
        <f>IF(Registro2[[#This Row],[Data de Pagamento]]&gt;0,TEXT(A1092,"mmm/aa"),"")</f>
        <v>mar/25</v>
      </c>
      <c r="T1092" s="4">
        <f>IF(Registro2[[#This Row],[Data de Pagamento]]="",0,IF(Registro2[[#This Row],[Conta Financeira]]=base!$A$6,0,Registro2[[#This Row],[Valor Unitário]]))</f>
        <v>35</v>
      </c>
      <c r="U10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92" t="str">
        <f>VLOOKUP(Registro2[[#This Row],[Categoria]],'Plano de Contas'!$V$3:W1145,2,0)</f>
        <v>Receitas Serviços</v>
      </c>
      <c r="X109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93" spans="1:24" hidden="1">
      <c r="A1093" s="1">
        <v>45744</v>
      </c>
      <c r="B1093" s="1">
        <v>45744</v>
      </c>
      <c r="D1093" t="s">
        <v>1</v>
      </c>
      <c r="E1093" t="s">
        <v>149</v>
      </c>
      <c r="F1093" t="s">
        <v>152</v>
      </c>
      <c r="G1093" t="s">
        <v>353</v>
      </c>
      <c r="I1093" s="4">
        <v>60</v>
      </c>
      <c r="J1093" s="4">
        <v>60</v>
      </c>
      <c r="L1093" t="s">
        <v>252</v>
      </c>
      <c r="M1093" t="s">
        <v>34</v>
      </c>
      <c r="N1093" s="4">
        <f>IF(L1093="","",IF(OR(Registro2[[#This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093" t="str">
        <f t="shared" si="17"/>
        <v>mar/25</v>
      </c>
      <c r="P1093" t="str">
        <f>IF(Registro2[[#This Row],[Data de Pagamento]]&gt;0,TEXT(A1093,"mmm/aa"),"")</f>
        <v>mar/25</v>
      </c>
      <c r="T1093" s="4">
        <f>IF(Registro2[[#This Row],[Data de Pagamento]]="",0,IF(Registro2[[#This Row],[Conta Financeira]]=base!$A$6,0,Registro2[[#This Row],[Valor Unitário]]))</f>
        <v>60</v>
      </c>
      <c r="U10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93" t="str">
        <f>VLOOKUP(Registro2[[#This Row],[Categoria]],'Plano de Contas'!$V$3:W1146,2,0)</f>
        <v>Receitas Serviços</v>
      </c>
      <c r="X109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94" spans="1:24" hidden="1">
      <c r="A1094" s="1">
        <v>45744</v>
      </c>
      <c r="B1094" s="1">
        <v>45744</v>
      </c>
      <c r="D1094" t="s">
        <v>1</v>
      </c>
      <c r="E1094" t="s">
        <v>149</v>
      </c>
      <c r="F1094" t="s">
        <v>147</v>
      </c>
      <c r="G1094" t="s">
        <v>163</v>
      </c>
      <c r="I1094" s="4">
        <v>35</v>
      </c>
      <c r="J1094" s="4">
        <v>60</v>
      </c>
      <c r="L1094" t="s">
        <v>253</v>
      </c>
      <c r="M1094" t="s">
        <v>490</v>
      </c>
      <c r="N1094" s="4">
        <f>IF(L1094="","",IF(OR(Registro2[[#This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94" t="str">
        <f t="shared" si="17"/>
        <v>mar/25</v>
      </c>
      <c r="P1094" t="str">
        <f>IF(Registro2[[#This Row],[Data de Pagamento]]&gt;0,TEXT(A1094,"mmm/aa"),"")</f>
        <v>mar/25</v>
      </c>
      <c r="T1094" s="4">
        <f>IF(Registro2[[#This Row],[Data de Pagamento]]="",0,IF(Registro2[[#This Row],[Conta Financeira]]=base!$A$6,0,Registro2[[#This Row],[Valor Unitário]]))</f>
        <v>35</v>
      </c>
      <c r="U10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94" t="str">
        <f>VLOOKUP(Registro2[[#This Row],[Categoria]],'Plano de Contas'!$V$3:W1147,2,0)</f>
        <v>Receitas Serviços</v>
      </c>
      <c r="X109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95" spans="1:24" hidden="1">
      <c r="A1095" s="1">
        <v>45744</v>
      </c>
      <c r="B1095" s="1">
        <v>45744</v>
      </c>
      <c r="D1095" t="s">
        <v>1</v>
      </c>
      <c r="E1095" t="s">
        <v>149</v>
      </c>
      <c r="F1095" t="s">
        <v>147</v>
      </c>
      <c r="G1095" t="s">
        <v>1046</v>
      </c>
      <c r="I1095" s="4">
        <v>25</v>
      </c>
      <c r="J1095" s="4" t="s">
        <v>1604</v>
      </c>
      <c r="L1095" t="s">
        <v>253</v>
      </c>
      <c r="M1095" t="s">
        <v>490</v>
      </c>
      <c r="N1095" s="4">
        <f>IF(L1095="","",IF(OR(Registro2[[#This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1095" t="str">
        <f t="shared" si="17"/>
        <v>mar/25</v>
      </c>
      <c r="P1095" t="str">
        <f>IF(Registro2[[#This Row],[Data de Pagamento]]&gt;0,TEXT(A1095,"mmm/aa"),"")</f>
        <v>mar/25</v>
      </c>
      <c r="T1095" s="4">
        <f>IF(Registro2[[#This Row],[Data de Pagamento]]="",0,IF(Registro2[[#This Row],[Conta Financeira]]=base!$A$6,0,Registro2[[#This Row],[Valor Unitário]]))</f>
        <v>25</v>
      </c>
      <c r="U10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95" t="str">
        <f>VLOOKUP(Registro2[[#This Row],[Categoria]],'Plano de Contas'!$V$3:W1148,2,0)</f>
        <v>Receitas Serviços</v>
      </c>
      <c r="X109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96" spans="1:24" hidden="1">
      <c r="A1096" s="1">
        <v>45744</v>
      </c>
      <c r="B1096" s="1">
        <v>45744</v>
      </c>
      <c r="D1096" t="s">
        <v>1</v>
      </c>
      <c r="E1096" t="s">
        <v>149</v>
      </c>
      <c r="F1096" t="s">
        <v>147</v>
      </c>
      <c r="G1096" t="s">
        <v>163</v>
      </c>
      <c r="I1096" s="4">
        <v>35</v>
      </c>
      <c r="J1096" s="4">
        <v>35</v>
      </c>
      <c r="L1096" t="s">
        <v>253</v>
      </c>
      <c r="M1096" t="s">
        <v>864</v>
      </c>
      <c r="N1096" s="4">
        <f>IF(L1096="","",IF(OR(Registro2[[#This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96" t="str">
        <f t="shared" si="17"/>
        <v>mar/25</v>
      </c>
      <c r="P1096" t="str">
        <f>IF(Registro2[[#This Row],[Data de Pagamento]]&gt;0,TEXT(A1096,"mmm/aa"),"")</f>
        <v>mar/25</v>
      </c>
      <c r="T1096" s="4">
        <f>IF(Registro2[[#This Row],[Data de Pagamento]]="",0,IF(Registro2[[#This Row],[Conta Financeira]]=base!$A$6,0,Registro2[[#This Row],[Valor Unitário]]))</f>
        <v>35</v>
      </c>
      <c r="U10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96" t="str">
        <f>VLOOKUP(Registro2[[#This Row],[Categoria]],'Plano de Contas'!$V$3:W1149,2,0)</f>
        <v>Receitas Serviços</v>
      </c>
      <c r="X109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97" spans="1:24" hidden="1">
      <c r="A1097" s="1">
        <v>45744</v>
      </c>
      <c r="B1097" s="1">
        <v>45744</v>
      </c>
      <c r="D1097" t="s">
        <v>1</v>
      </c>
      <c r="E1097" t="s">
        <v>149</v>
      </c>
      <c r="F1097" t="s">
        <v>147</v>
      </c>
      <c r="G1097" t="s">
        <v>163</v>
      </c>
      <c r="I1097" s="4">
        <v>35</v>
      </c>
      <c r="J1097" s="4">
        <v>95</v>
      </c>
      <c r="L1097" t="s">
        <v>252</v>
      </c>
      <c r="M1097" t="s">
        <v>1759</v>
      </c>
      <c r="N1097" s="4">
        <f>IF(L1097="","",IF(OR(Registro2[[#This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97" t="str">
        <f t="shared" si="17"/>
        <v>mar/25</v>
      </c>
      <c r="P1097" t="str">
        <f>IF(Registro2[[#This Row],[Data de Pagamento]]&gt;0,TEXT(A1097,"mmm/aa"),"")</f>
        <v>mar/25</v>
      </c>
      <c r="T1097" s="4">
        <f>IF(Registro2[[#This Row],[Data de Pagamento]]="",0,IF(Registro2[[#This Row],[Conta Financeira]]=base!$A$6,0,Registro2[[#This Row],[Valor Unitário]]))</f>
        <v>35</v>
      </c>
      <c r="U10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97" t="str">
        <f>VLOOKUP(Registro2[[#This Row],[Categoria]],'Plano de Contas'!$V$3:W1150,2,0)</f>
        <v>Receitas Serviços</v>
      </c>
      <c r="X109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98" spans="1:24" hidden="1">
      <c r="A1098" s="1">
        <v>45744</v>
      </c>
      <c r="B1098" s="1">
        <v>45744</v>
      </c>
      <c r="D1098" t="s">
        <v>1</v>
      </c>
      <c r="E1098" t="s">
        <v>149</v>
      </c>
      <c r="F1098" t="s">
        <v>152</v>
      </c>
      <c r="G1098" t="s">
        <v>353</v>
      </c>
      <c r="I1098" s="4">
        <v>60</v>
      </c>
      <c r="J1098" s="4" t="s">
        <v>1604</v>
      </c>
      <c r="L1098" t="s">
        <v>264</v>
      </c>
      <c r="M1098" t="s">
        <v>1759</v>
      </c>
      <c r="N1098" s="4">
        <f>IF(L1098="","",IF(OR(Registro2[[#This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098" t="str">
        <f t="shared" si="17"/>
        <v>mar/25</v>
      </c>
      <c r="P1098" t="str">
        <f>IF(Registro2[[#This Row],[Data de Pagamento]]&gt;0,TEXT(A1098,"mmm/aa"),"")</f>
        <v>mar/25</v>
      </c>
      <c r="T1098" s="4">
        <f>IF(Registro2[[#This Row],[Data de Pagamento]]="",0,IF(Registro2[[#This Row],[Conta Financeira]]=base!$A$6,0,Registro2[[#This Row],[Valor Unitário]]))</f>
        <v>60</v>
      </c>
      <c r="U10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98" t="str">
        <f>VLOOKUP(Registro2[[#This Row],[Categoria]],'Plano de Contas'!$V$3:W1151,2,0)</f>
        <v>Receitas Serviços</v>
      </c>
      <c r="X109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099" spans="1:24" hidden="1">
      <c r="A1099" s="1">
        <v>45744</v>
      </c>
      <c r="B1099" s="1">
        <v>45744</v>
      </c>
      <c r="D1099" t="s">
        <v>1</v>
      </c>
      <c r="E1099" t="s">
        <v>149</v>
      </c>
      <c r="F1099" t="s">
        <v>147</v>
      </c>
      <c r="G1099" t="s">
        <v>163</v>
      </c>
      <c r="I1099" s="4">
        <v>35</v>
      </c>
      <c r="J1099" s="4">
        <v>35</v>
      </c>
      <c r="L1099" t="s">
        <v>252</v>
      </c>
      <c r="M1099" t="s">
        <v>1762</v>
      </c>
      <c r="N1099" s="4">
        <f>IF(L1099="","",IF(OR(Registro2[[#This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099" t="str">
        <f t="shared" si="17"/>
        <v>mar/25</v>
      </c>
      <c r="P1099" t="str">
        <f>IF(Registro2[[#This Row],[Data de Pagamento]]&gt;0,TEXT(A1099,"mmm/aa"),"")</f>
        <v>mar/25</v>
      </c>
      <c r="T1099" s="4">
        <f>IF(Registro2[[#This Row],[Data de Pagamento]]="",0,IF(Registro2[[#This Row],[Conta Financeira]]=base!$A$6,0,Registro2[[#This Row],[Valor Unitário]]))</f>
        <v>35</v>
      </c>
      <c r="U10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099" t="str">
        <f>VLOOKUP(Registro2[[#This Row],[Categoria]],'Plano de Contas'!$V$3:W1152,2,0)</f>
        <v>Receitas Serviços</v>
      </c>
      <c r="X109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00" spans="1:24" hidden="1">
      <c r="A1100" s="1">
        <v>45744</v>
      </c>
      <c r="B1100" s="1">
        <v>45744</v>
      </c>
      <c r="D1100" t="s">
        <v>1</v>
      </c>
      <c r="E1100" t="s">
        <v>149</v>
      </c>
      <c r="F1100" t="s">
        <v>147</v>
      </c>
      <c r="G1100" t="s">
        <v>163</v>
      </c>
      <c r="I1100" s="4">
        <v>35</v>
      </c>
      <c r="J1100" s="4">
        <v>35</v>
      </c>
      <c r="L1100" t="s">
        <v>264</v>
      </c>
      <c r="M1100" t="s">
        <v>280</v>
      </c>
      <c r="N1100" s="4">
        <f>IF(L1100="","",IF(OR(Registro2[[#This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00" t="str">
        <f t="shared" si="17"/>
        <v>mar/25</v>
      </c>
      <c r="P1100" t="str">
        <f>IF(Registro2[[#This Row],[Data de Pagamento]]&gt;0,TEXT(A1100,"mmm/aa"),"")</f>
        <v>mar/25</v>
      </c>
      <c r="T1100" s="4">
        <f>IF(Registro2[[#This Row],[Data de Pagamento]]="",0,IF(Registro2[[#This Row],[Conta Financeira]]=base!$A$6,0,Registro2[[#This Row],[Valor Unitário]]))</f>
        <v>35</v>
      </c>
      <c r="U11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00" t="str">
        <f>VLOOKUP(Registro2[[#This Row],[Categoria]],'Plano de Contas'!$V$3:W1153,2,0)</f>
        <v>Receitas Serviços</v>
      </c>
      <c r="X110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01" spans="1:24" hidden="1">
      <c r="A1101" s="1">
        <v>45744</v>
      </c>
      <c r="B1101" s="1">
        <v>45744</v>
      </c>
      <c r="D1101" t="s">
        <v>1</v>
      </c>
      <c r="E1101" t="s">
        <v>149</v>
      </c>
      <c r="F1101" t="s">
        <v>147</v>
      </c>
      <c r="G1101" t="s">
        <v>163</v>
      </c>
      <c r="I1101" s="4">
        <v>35</v>
      </c>
      <c r="J1101" s="4">
        <v>35</v>
      </c>
      <c r="L1101" t="s">
        <v>253</v>
      </c>
      <c r="M1101" t="s">
        <v>185</v>
      </c>
      <c r="N1101" s="4">
        <f>IF(L1101="","",IF(OR(Registro2[[#This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01" t="str">
        <f t="shared" si="17"/>
        <v>mar/25</v>
      </c>
      <c r="P1101" t="str">
        <f>IF(Registro2[[#This Row],[Data de Pagamento]]&gt;0,TEXT(A1101,"mmm/aa"),"")</f>
        <v>mar/25</v>
      </c>
      <c r="T1101" s="4">
        <f>IF(Registro2[[#This Row],[Data de Pagamento]]="",0,IF(Registro2[[#This Row],[Conta Financeira]]=base!$A$6,0,Registro2[[#This Row],[Valor Unitário]]))</f>
        <v>35</v>
      </c>
      <c r="U11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01" t="str">
        <f>VLOOKUP(Registro2[[#This Row],[Categoria]],'Plano de Contas'!$V$3:W1154,2,0)</f>
        <v>Receitas Serviços</v>
      </c>
      <c r="X110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02" spans="1:24" hidden="1">
      <c r="A1102" s="1">
        <v>45744</v>
      </c>
      <c r="B1102" s="1">
        <v>45744</v>
      </c>
      <c r="D1102" t="s">
        <v>1</v>
      </c>
      <c r="E1102" t="s">
        <v>149</v>
      </c>
      <c r="F1102" t="s">
        <v>147</v>
      </c>
      <c r="G1102" t="s">
        <v>163</v>
      </c>
      <c r="I1102" s="4">
        <v>20</v>
      </c>
      <c r="J1102" s="4">
        <v>20</v>
      </c>
      <c r="L1102" t="s">
        <v>264</v>
      </c>
      <c r="M1102" t="s">
        <v>1768</v>
      </c>
      <c r="N1102" s="4">
        <f>IF(L1102="","",IF(OR(Registro2[[#This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102" t="str">
        <f t="shared" si="17"/>
        <v>mar/25</v>
      </c>
      <c r="P1102" t="str">
        <f>IF(Registro2[[#This Row],[Data de Pagamento]]&gt;0,TEXT(A1102,"mmm/aa"),"")</f>
        <v>mar/25</v>
      </c>
      <c r="T1102" s="4">
        <f>IF(Registro2[[#This Row],[Data de Pagamento]]="",0,IF(Registro2[[#This Row],[Conta Financeira]]=base!$A$6,0,Registro2[[#This Row],[Valor Unitário]]))</f>
        <v>20</v>
      </c>
      <c r="U11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02" t="str">
        <f>VLOOKUP(Registro2[[#This Row],[Categoria]],'Plano de Contas'!$V$3:W1155,2,0)</f>
        <v>Receitas Serviços</v>
      </c>
      <c r="X110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03" spans="1:24" hidden="1">
      <c r="A1103" s="1">
        <v>45744</v>
      </c>
      <c r="B1103" s="1">
        <v>45744</v>
      </c>
      <c r="D1103" t="s">
        <v>1</v>
      </c>
      <c r="E1103" t="s">
        <v>149</v>
      </c>
      <c r="F1103" t="s">
        <v>147</v>
      </c>
      <c r="G1103" t="s">
        <v>160</v>
      </c>
      <c r="I1103" s="4">
        <v>12</v>
      </c>
      <c r="J1103" s="4">
        <v>12</v>
      </c>
      <c r="L1103" t="s">
        <v>252</v>
      </c>
      <c r="M1103" t="s">
        <v>1771</v>
      </c>
      <c r="N1103" s="4">
        <f>IF(L1103="","",IF(OR(Registro2[[#This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1103" t="str">
        <f t="shared" si="17"/>
        <v>mar/25</v>
      </c>
      <c r="P1103" t="str">
        <f>IF(Registro2[[#This Row],[Data de Pagamento]]&gt;0,TEXT(A1103,"mmm/aa"),"")</f>
        <v>mar/25</v>
      </c>
      <c r="T1103" s="4">
        <f>IF(Registro2[[#This Row],[Data de Pagamento]]="",0,IF(Registro2[[#This Row],[Conta Financeira]]=base!$A$6,0,Registro2[[#This Row],[Valor Unitário]]))</f>
        <v>12</v>
      </c>
      <c r="U11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03" t="str">
        <f>VLOOKUP(Registro2[[#This Row],[Categoria]],'Plano de Contas'!$V$3:W1156,2,0)</f>
        <v>Receitas Serviços</v>
      </c>
      <c r="X11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04" spans="1:24" hidden="1">
      <c r="A1104" s="1">
        <v>45744</v>
      </c>
      <c r="B1104" s="1">
        <v>45744</v>
      </c>
      <c r="D1104" t="s">
        <v>1</v>
      </c>
      <c r="E1104" t="s">
        <v>149</v>
      </c>
      <c r="F1104" t="s">
        <v>147</v>
      </c>
      <c r="G1104" t="s">
        <v>163</v>
      </c>
      <c r="I1104" s="4">
        <v>35</v>
      </c>
      <c r="J1104" s="4">
        <v>45</v>
      </c>
      <c r="L1104" t="s">
        <v>252</v>
      </c>
      <c r="M1104" t="s">
        <v>1116</v>
      </c>
      <c r="N1104" s="4">
        <f>IF(L1104="","",IF(OR(Registro2[[#This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04" t="str">
        <f t="shared" si="17"/>
        <v>mar/25</v>
      </c>
      <c r="P1104" t="str">
        <f>IF(Registro2[[#This Row],[Data de Pagamento]]&gt;0,TEXT(A1104,"mmm/aa"),"")</f>
        <v>mar/25</v>
      </c>
      <c r="T1104" s="4">
        <f>IF(Registro2[[#This Row],[Data de Pagamento]]="",0,IF(Registro2[[#This Row],[Conta Financeira]]=base!$A$6,0,Registro2[[#This Row],[Valor Unitário]]))</f>
        <v>35</v>
      </c>
      <c r="U11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04" t="str">
        <f>VLOOKUP(Registro2[[#This Row],[Categoria]],'Plano de Contas'!$V$3:W1157,2,0)</f>
        <v>Receitas Serviços</v>
      </c>
      <c r="X11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05" spans="1:24" hidden="1">
      <c r="A1105" s="1">
        <v>45744</v>
      </c>
      <c r="B1105" s="1">
        <v>45744</v>
      </c>
      <c r="D1105" t="s">
        <v>1</v>
      </c>
      <c r="E1105" t="s">
        <v>149</v>
      </c>
      <c r="F1105" t="s">
        <v>147</v>
      </c>
      <c r="G1105" t="s">
        <v>167</v>
      </c>
      <c r="I1105" s="4">
        <v>10</v>
      </c>
      <c r="J1105" s="4" t="s">
        <v>1604</v>
      </c>
      <c r="L1105" t="s">
        <v>252</v>
      </c>
      <c r="M1105" t="s">
        <v>1116</v>
      </c>
      <c r="N1105" s="4">
        <f>IF(L1105="","",IF(OR(Registro2[[#This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105" t="str">
        <f t="shared" si="17"/>
        <v>mar/25</v>
      </c>
      <c r="P1105" t="str">
        <f>IF(Registro2[[#This Row],[Data de Pagamento]]&gt;0,TEXT(A1105,"mmm/aa"),"")</f>
        <v>mar/25</v>
      </c>
      <c r="T1105" s="4">
        <f>IF(Registro2[[#This Row],[Data de Pagamento]]="",0,IF(Registro2[[#This Row],[Conta Financeira]]=base!$A$6,0,Registro2[[#This Row],[Valor Unitário]]))</f>
        <v>10</v>
      </c>
      <c r="U11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05" t="str">
        <f>VLOOKUP(Registro2[[#This Row],[Categoria]],'Plano de Contas'!$V$3:W1158,2,0)</f>
        <v>Receitas Serviços</v>
      </c>
      <c r="X11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06" spans="1:24" hidden="1">
      <c r="A1106" s="1">
        <v>45744</v>
      </c>
      <c r="B1106" s="1">
        <v>45744</v>
      </c>
      <c r="D1106" t="s">
        <v>1</v>
      </c>
      <c r="E1106" t="s">
        <v>149</v>
      </c>
      <c r="F1106" t="s">
        <v>147</v>
      </c>
      <c r="G1106" t="s">
        <v>163</v>
      </c>
      <c r="I1106" s="4">
        <v>35</v>
      </c>
      <c r="J1106" s="4">
        <v>35</v>
      </c>
      <c r="L1106" t="s">
        <v>252</v>
      </c>
      <c r="M1106" t="s">
        <v>1409</v>
      </c>
      <c r="N1106" s="4">
        <f>IF(L1106="","",IF(OR(Registro2[[#This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06" t="str">
        <f t="shared" si="17"/>
        <v>mar/25</v>
      </c>
      <c r="P1106" t="str">
        <f>IF(Registro2[[#This Row],[Data de Pagamento]]&gt;0,TEXT(A1106,"mmm/aa"),"")</f>
        <v>mar/25</v>
      </c>
      <c r="T1106" s="4">
        <f>IF(Registro2[[#This Row],[Data de Pagamento]]="",0,IF(Registro2[[#This Row],[Conta Financeira]]=base!$A$6,0,Registro2[[#This Row],[Valor Unitário]]))</f>
        <v>35</v>
      </c>
      <c r="U11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06" t="str">
        <f>VLOOKUP(Registro2[[#This Row],[Categoria]],'Plano de Contas'!$V$3:W1159,2,0)</f>
        <v>Receitas Serviços</v>
      </c>
      <c r="X110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07" spans="1:24" hidden="1">
      <c r="A1107" s="1">
        <v>45744</v>
      </c>
      <c r="B1107" s="1">
        <v>45744</v>
      </c>
      <c r="D1107" t="s">
        <v>1</v>
      </c>
      <c r="E1107" t="s">
        <v>149</v>
      </c>
      <c r="F1107" t="s">
        <v>147</v>
      </c>
      <c r="G1107" t="s">
        <v>163</v>
      </c>
      <c r="I1107" s="4">
        <v>35</v>
      </c>
      <c r="J1107" s="4">
        <v>35</v>
      </c>
      <c r="L1107" t="s">
        <v>253</v>
      </c>
      <c r="M1107" t="s">
        <v>1778</v>
      </c>
      <c r="N1107" s="4">
        <f>IF(L1107="","",IF(OR(Registro2[[#This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07" t="str">
        <f t="shared" si="17"/>
        <v>mar/25</v>
      </c>
      <c r="P1107" t="str">
        <f>IF(Registro2[[#This Row],[Data de Pagamento]]&gt;0,TEXT(A1107,"mmm/aa"),"")</f>
        <v>mar/25</v>
      </c>
      <c r="T1107" s="4">
        <f>IF(Registro2[[#This Row],[Data de Pagamento]]="",0,IF(Registro2[[#This Row],[Conta Financeira]]=base!$A$6,0,Registro2[[#This Row],[Valor Unitário]]))</f>
        <v>35</v>
      </c>
      <c r="U11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07" t="str">
        <f>VLOOKUP(Registro2[[#This Row],[Categoria]],'Plano de Contas'!$V$3:W1160,2,0)</f>
        <v>Receitas Serviços</v>
      </c>
      <c r="X110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08" spans="1:24" hidden="1">
      <c r="A1108" s="1">
        <v>45744</v>
      </c>
      <c r="B1108" s="1">
        <v>45744</v>
      </c>
      <c r="D1108" t="s">
        <v>1</v>
      </c>
      <c r="E1108" t="s">
        <v>149</v>
      </c>
      <c r="F1108" t="s">
        <v>152</v>
      </c>
      <c r="G1108" t="s">
        <v>353</v>
      </c>
      <c r="I1108" s="4">
        <v>50</v>
      </c>
      <c r="J1108" s="4">
        <v>50</v>
      </c>
      <c r="L1108" t="s">
        <v>264</v>
      </c>
      <c r="M1108" t="s">
        <v>1184</v>
      </c>
      <c r="N1108" s="4">
        <f>IF(L1108="","",IF(OR(Registro2[[#This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108" t="str">
        <f t="shared" si="17"/>
        <v>mar/25</v>
      </c>
      <c r="P1108" t="str">
        <f>IF(Registro2[[#This Row],[Data de Pagamento]]&gt;0,TEXT(A1108,"mmm/aa"),"")</f>
        <v>mar/25</v>
      </c>
      <c r="T1108" s="4">
        <f>IF(Registro2[[#This Row],[Data de Pagamento]]="",0,IF(Registro2[[#This Row],[Conta Financeira]]=base!$A$6,0,Registro2[[#This Row],[Valor Unitário]]))</f>
        <v>50</v>
      </c>
      <c r="U11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08" t="str">
        <f>VLOOKUP(Registro2[[#This Row],[Categoria]],'Plano de Contas'!$V$3:W1161,2,0)</f>
        <v>Receitas Serviços</v>
      </c>
      <c r="X110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09" spans="1:24" hidden="1">
      <c r="A1109" s="1">
        <v>45744</v>
      </c>
      <c r="B1109" s="1">
        <v>45744</v>
      </c>
      <c r="D1109" t="s">
        <v>2</v>
      </c>
      <c r="E1109" t="s">
        <v>149</v>
      </c>
      <c r="F1109" t="s">
        <v>147</v>
      </c>
      <c r="G1109" t="s">
        <v>163</v>
      </c>
      <c r="I1109" s="4">
        <v>35</v>
      </c>
      <c r="J1109" s="4">
        <v>35</v>
      </c>
      <c r="L1109" t="s">
        <v>253</v>
      </c>
      <c r="M1109" t="s">
        <v>794</v>
      </c>
      <c r="N1109" s="4">
        <f>IF(L1109="","",IF(OR(Registro2[[#This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09" t="str">
        <f t="shared" si="17"/>
        <v>mar/25</v>
      </c>
      <c r="P1109" t="str">
        <f>IF(Registro2[[#This Row],[Data de Pagamento]]&gt;0,TEXT(A1109,"mmm/aa"),"")</f>
        <v>mar/25</v>
      </c>
      <c r="T1109" s="4">
        <f>IF(Registro2[[#This Row],[Data de Pagamento]]="",0,IF(Registro2[[#This Row],[Conta Financeira]]=base!$A$6,0,Registro2[[#This Row],[Valor Unitário]]))</f>
        <v>35</v>
      </c>
      <c r="U11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09" t="str">
        <f>VLOOKUP(Registro2[[#This Row],[Categoria]],'Plano de Contas'!$V$3:W1162,2,0)</f>
        <v>Receitas Serviços</v>
      </c>
      <c r="X110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10" spans="1:24" hidden="1">
      <c r="A1110" s="1">
        <v>45744</v>
      </c>
      <c r="B1110" s="1">
        <v>45744</v>
      </c>
      <c r="D1110" t="s">
        <v>1</v>
      </c>
      <c r="E1110" t="s">
        <v>149</v>
      </c>
      <c r="F1110" t="s">
        <v>147</v>
      </c>
      <c r="G1110" t="s">
        <v>163</v>
      </c>
      <c r="I1110" s="4">
        <v>35</v>
      </c>
      <c r="J1110" s="4">
        <v>55</v>
      </c>
      <c r="L1110" t="s">
        <v>253</v>
      </c>
      <c r="M1110" t="s">
        <v>88</v>
      </c>
      <c r="N1110" s="4">
        <f>IF(L1110="","",IF(OR(Registro2[[#This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10" t="str">
        <f t="shared" si="17"/>
        <v>mar/25</v>
      </c>
      <c r="P1110" t="str">
        <f>IF(Registro2[[#This Row],[Data de Pagamento]]&gt;0,TEXT(A1110,"mmm/aa"),"")</f>
        <v>mar/25</v>
      </c>
      <c r="T1110" s="4">
        <f>IF(Registro2[[#This Row],[Data de Pagamento]]="",0,IF(Registro2[[#This Row],[Conta Financeira]]=base!$A$6,0,Registro2[[#This Row],[Valor Unitário]]))</f>
        <v>35</v>
      </c>
      <c r="U11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10" t="str">
        <f>VLOOKUP(Registro2[[#This Row],[Categoria]],'Plano de Contas'!$V$3:W1163,2,0)</f>
        <v>Receitas Serviços</v>
      </c>
      <c r="X111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11" spans="1:24" hidden="1">
      <c r="A1111" s="1">
        <v>45744</v>
      </c>
      <c r="B1111" s="1">
        <v>45744</v>
      </c>
      <c r="D1111" t="s">
        <v>1</v>
      </c>
      <c r="E1111" t="s">
        <v>149</v>
      </c>
      <c r="F1111" t="s">
        <v>147</v>
      </c>
      <c r="G1111" t="s">
        <v>1046</v>
      </c>
      <c r="I1111" s="4">
        <v>20</v>
      </c>
      <c r="J1111" s="4" t="s">
        <v>1604</v>
      </c>
      <c r="L1111" t="s">
        <v>253</v>
      </c>
      <c r="M1111" t="s">
        <v>88</v>
      </c>
      <c r="N1111" s="4">
        <f>IF(L1111="","",IF(OR(Registro2[[#This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111" t="str">
        <f t="shared" si="17"/>
        <v>mar/25</v>
      </c>
      <c r="P1111" t="str">
        <f>IF(Registro2[[#This Row],[Data de Pagamento]]&gt;0,TEXT(A1111,"mmm/aa"),"")</f>
        <v>mar/25</v>
      </c>
      <c r="T1111" s="4">
        <f>IF(Registro2[[#This Row],[Data de Pagamento]]="",0,IF(Registro2[[#This Row],[Conta Financeira]]=base!$A$6,0,Registro2[[#This Row],[Valor Unitário]]))</f>
        <v>20</v>
      </c>
      <c r="U11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11" t="str">
        <f>VLOOKUP(Registro2[[#This Row],[Categoria]],'Plano de Contas'!$V$3:W1164,2,0)</f>
        <v>Receitas Serviços</v>
      </c>
      <c r="X11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12" spans="1:24" hidden="1">
      <c r="A1112" s="1">
        <v>45744</v>
      </c>
      <c r="B1112" s="1">
        <v>45744</v>
      </c>
      <c r="D1112" t="s">
        <v>1</v>
      </c>
      <c r="E1112" t="s">
        <v>149</v>
      </c>
      <c r="F1112" t="s">
        <v>147</v>
      </c>
      <c r="G1112" t="s">
        <v>163</v>
      </c>
      <c r="I1112" s="4">
        <v>35</v>
      </c>
      <c r="J1112" s="4">
        <v>45</v>
      </c>
      <c r="L1112" t="s">
        <v>252</v>
      </c>
      <c r="M1112" t="s">
        <v>794</v>
      </c>
      <c r="N1112" s="4">
        <f>IF(L1112="","",IF(OR(Registro2[[#This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12" t="str">
        <f t="shared" si="17"/>
        <v>mar/25</v>
      </c>
      <c r="P1112" t="str">
        <f>IF(Registro2[[#This Row],[Data de Pagamento]]&gt;0,TEXT(A1112,"mmm/aa"),"")</f>
        <v>mar/25</v>
      </c>
      <c r="T1112" s="4">
        <f>IF(Registro2[[#This Row],[Data de Pagamento]]="",0,IF(Registro2[[#This Row],[Conta Financeira]]=base!$A$6,0,Registro2[[#This Row],[Valor Unitário]]))</f>
        <v>35</v>
      </c>
      <c r="U11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12" t="str">
        <f>VLOOKUP(Registro2[[#This Row],[Categoria]],'Plano de Contas'!$V$3:W1165,2,0)</f>
        <v>Receitas Serviços</v>
      </c>
      <c r="X111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13" spans="1:24" hidden="1">
      <c r="A1113" s="1">
        <v>45744</v>
      </c>
      <c r="B1113" s="1">
        <v>45744</v>
      </c>
      <c r="D1113" t="s">
        <v>1</v>
      </c>
      <c r="E1113" t="s">
        <v>149</v>
      </c>
      <c r="F1113" t="s">
        <v>147</v>
      </c>
      <c r="G1113" t="s">
        <v>167</v>
      </c>
      <c r="I1113" s="4">
        <v>10</v>
      </c>
      <c r="J1113" s="4" t="s">
        <v>1604</v>
      </c>
      <c r="L1113" t="s">
        <v>252</v>
      </c>
      <c r="M1113" t="s">
        <v>794</v>
      </c>
      <c r="N1113" s="4">
        <f>IF(L1113="","",IF(OR(Registro2[[#This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113" t="str">
        <f t="shared" si="17"/>
        <v>mar/25</v>
      </c>
      <c r="P1113" t="str">
        <f>IF(Registro2[[#This Row],[Data de Pagamento]]&gt;0,TEXT(A1113,"mmm/aa"),"")</f>
        <v>mar/25</v>
      </c>
      <c r="T1113" s="4">
        <f>IF(Registro2[[#This Row],[Data de Pagamento]]="",0,IF(Registro2[[#This Row],[Conta Financeira]]=base!$A$6,0,Registro2[[#This Row],[Valor Unitário]]))</f>
        <v>10</v>
      </c>
      <c r="U11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13" t="str">
        <f>VLOOKUP(Registro2[[#This Row],[Categoria]],'Plano de Contas'!$V$3:W1166,2,0)</f>
        <v>Receitas Serviços</v>
      </c>
      <c r="X111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14" spans="1:24" hidden="1">
      <c r="A1114" s="1">
        <v>45744</v>
      </c>
      <c r="B1114" s="1">
        <v>45744</v>
      </c>
      <c r="D1114" t="s">
        <v>2</v>
      </c>
      <c r="E1114" t="s">
        <v>149</v>
      </c>
      <c r="F1114" t="s">
        <v>147</v>
      </c>
      <c r="G1114" t="s">
        <v>163</v>
      </c>
      <c r="I1114" s="4">
        <v>35</v>
      </c>
      <c r="J1114" s="4">
        <v>35</v>
      </c>
      <c r="L1114" t="s">
        <v>252</v>
      </c>
      <c r="M1114" t="s">
        <v>372</v>
      </c>
      <c r="N1114" s="4">
        <f>IF(L1114="","",IF(OR(Registro2[[#This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14" t="str">
        <f t="shared" si="17"/>
        <v>mar/25</v>
      </c>
      <c r="P1114" t="str">
        <f>IF(Registro2[[#This Row],[Data de Pagamento]]&gt;0,TEXT(A1114,"mmm/aa"),"")</f>
        <v>mar/25</v>
      </c>
      <c r="T1114" s="4">
        <f>IF(Registro2[[#This Row],[Data de Pagamento]]="",0,IF(Registro2[[#This Row],[Conta Financeira]]=base!$A$6,0,Registro2[[#This Row],[Valor Unitário]]))</f>
        <v>35</v>
      </c>
      <c r="U11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14" t="str">
        <f>VLOOKUP(Registro2[[#This Row],[Categoria]],'Plano de Contas'!$V$3:W1169,2,0)</f>
        <v>Receitas Serviços</v>
      </c>
      <c r="X111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15" spans="1:24" hidden="1">
      <c r="A1115" s="1">
        <v>45744</v>
      </c>
      <c r="B1115" s="1">
        <v>45744</v>
      </c>
      <c r="D1115" t="s">
        <v>1</v>
      </c>
      <c r="E1115" t="s">
        <v>149</v>
      </c>
      <c r="F1115" t="s">
        <v>147</v>
      </c>
      <c r="G1115" t="s">
        <v>163</v>
      </c>
      <c r="I1115" s="4">
        <v>35</v>
      </c>
      <c r="J1115" s="4">
        <v>35</v>
      </c>
      <c r="L1115" t="s">
        <v>264</v>
      </c>
      <c r="M1115" t="s">
        <v>794</v>
      </c>
      <c r="N1115" s="4">
        <f>IF(L1115="","",IF(OR(Registro2[[#This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15" t="str">
        <f t="shared" si="17"/>
        <v>mar/25</v>
      </c>
      <c r="P1115" t="str">
        <f>IF(Registro2[[#This Row],[Data de Pagamento]]&gt;0,TEXT(A1115,"mmm/aa"),"")</f>
        <v>mar/25</v>
      </c>
      <c r="T1115" s="4">
        <f>IF(Registro2[[#This Row],[Data de Pagamento]]="",0,IF(Registro2[[#This Row],[Conta Financeira]]=base!$A$6,0,Registro2[[#This Row],[Valor Unitário]]))</f>
        <v>35</v>
      </c>
      <c r="U11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15" t="str">
        <f>VLOOKUP(Registro2[[#This Row],[Categoria]],'Plano de Contas'!$V$3:W1170,2,0)</f>
        <v>Receitas Serviços</v>
      </c>
      <c r="X111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16" spans="1:24" hidden="1">
      <c r="A1116" s="1">
        <v>45744</v>
      </c>
      <c r="B1116" s="1">
        <v>45744</v>
      </c>
      <c r="D1116" t="s">
        <v>1</v>
      </c>
      <c r="E1116" t="s">
        <v>149</v>
      </c>
      <c r="F1116" t="s">
        <v>147</v>
      </c>
      <c r="G1116" t="s">
        <v>163</v>
      </c>
      <c r="I1116" s="4">
        <v>30</v>
      </c>
      <c r="J1116" s="4">
        <v>0</v>
      </c>
      <c r="L1116" t="s">
        <v>253</v>
      </c>
      <c r="M1116" t="s">
        <v>95</v>
      </c>
      <c r="N1116" s="4">
        <f>IF(L1116="","",IF(OR(Registro2[[#This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1116" t="str">
        <f t="shared" si="17"/>
        <v>mar/25</v>
      </c>
      <c r="P1116" t="str">
        <f>IF(Registro2[[#This Row],[Data de Pagamento]]&gt;0,TEXT(A1116,"mmm/aa"),"")</f>
        <v>mar/25</v>
      </c>
      <c r="T1116" s="4">
        <f>IF(Registro2[[#This Row],[Data de Pagamento]]="",0,IF(Registro2[[#This Row],[Conta Financeira]]=base!$A$6,0,Registro2[[#This Row],[Valor Unitário]]))</f>
        <v>30</v>
      </c>
      <c r="U11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1116" t="str">
        <f>VLOOKUP(Registro2[[#This Row],[Categoria]],'Plano de Contas'!$V$3:W1171,2,0)</f>
        <v>Receitas Serviços</v>
      </c>
      <c r="X111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17" spans="1:24" hidden="1">
      <c r="A1117" s="1">
        <v>45744</v>
      </c>
      <c r="B1117" s="1">
        <v>45744</v>
      </c>
      <c r="D1117" t="s">
        <v>1793</v>
      </c>
      <c r="E1117" t="s">
        <v>149</v>
      </c>
      <c r="F1117" t="s">
        <v>147</v>
      </c>
      <c r="G1117" t="s">
        <v>163</v>
      </c>
      <c r="I1117" s="4">
        <v>35</v>
      </c>
      <c r="J1117" s="4">
        <v>95</v>
      </c>
      <c r="L1117" t="s">
        <v>264</v>
      </c>
      <c r="M1117" t="s">
        <v>201</v>
      </c>
      <c r="N1117" s="4">
        <f>IF(L1117="","",IF(OR(Registro2[[#This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17" t="str">
        <f t="shared" si="17"/>
        <v>mar/25</v>
      </c>
      <c r="P1117" t="str">
        <f>IF(Registro2[[#This Row],[Data de Pagamento]]&gt;0,TEXT(A1117,"mmm/aa"),"")</f>
        <v>mar/25</v>
      </c>
      <c r="T1117" s="4">
        <f>IF(Registro2[[#This Row],[Data de Pagamento]]="",0,IF(Registro2[[#This Row],[Conta Financeira]]=base!$A$6,0,Registro2[[#This Row],[Valor Unitário]]))</f>
        <v>35</v>
      </c>
      <c r="U11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17" t="str">
        <f>VLOOKUP(Registro2[[#This Row],[Categoria]],'Plano de Contas'!$V$3:W1172,2,0)</f>
        <v>Receitas Serviços</v>
      </c>
      <c r="X111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18" spans="1:24" hidden="1">
      <c r="A1118" s="1">
        <v>45744</v>
      </c>
      <c r="B1118" s="1">
        <v>45744</v>
      </c>
      <c r="D1118" t="s">
        <v>1793</v>
      </c>
      <c r="E1118" t="s">
        <v>149</v>
      </c>
      <c r="F1118" t="s">
        <v>147</v>
      </c>
      <c r="G1118" t="s">
        <v>163</v>
      </c>
      <c r="I1118" s="4">
        <v>35</v>
      </c>
      <c r="J1118" s="4" t="s">
        <v>1604</v>
      </c>
      <c r="L1118" t="s">
        <v>252</v>
      </c>
      <c r="M1118" t="s">
        <v>201</v>
      </c>
      <c r="N1118" s="4">
        <f>IF(L1118="","",IF(OR(Registro2[[#This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18" t="str">
        <f t="shared" si="17"/>
        <v>mar/25</v>
      </c>
      <c r="P1118" t="str">
        <f>IF(Registro2[[#This Row],[Data de Pagamento]]&gt;0,TEXT(A1118,"mmm/aa"),"")</f>
        <v>mar/25</v>
      </c>
      <c r="T1118" s="4">
        <f>IF(Registro2[[#This Row],[Data de Pagamento]]="",0,IF(Registro2[[#This Row],[Conta Financeira]]=base!$A$6,0,Registro2[[#This Row],[Valor Unitário]]))</f>
        <v>35</v>
      </c>
      <c r="U11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18" t="str">
        <f>VLOOKUP(Registro2[[#This Row],[Categoria]],'Plano de Contas'!$V$3:W1173,2,0)</f>
        <v>Receitas Serviços</v>
      </c>
      <c r="X11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19" spans="1:24" hidden="1">
      <c r="A1119" s="1">
        <v>45744</v>
      </c>
      <c r="B1119" s="1">
        <v>45744</v>
      </c>
      <c r="D1119" t="s">
        <v>1793</v>
      </c>
      <c r="E1119" t="s">
        <v>149</v>
      </c>
      <c r="F1119" t="s">
        <v>150</v>
      </c>
      <c r="G1119" t="s">
        <v>509</v>
      </c>
      <c r="I1119" s="4">
        <v>25</v>
      </c>
      <c r="J1119" s="4" t="s">
        <v>1604</v>
      </c>
      <c r="L1119" t="s">
        <v>264</v>
      </c>
      <c r="M1119" t="s">
        <v>201</v>
      </c>
      <c r="N1119" s="4">
        <f>IF(L1119="","",IF(OR(Registro2[[#This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119" t="str">
        <f t="shared" si="17"/>
        <v>mar/25</v>
      </c>
      <c r="P1119" t="str">
        <f>IF(Registro2[[#This Row],[Data de Pagamento]]&gt;0,TEXT(A1119,"mmm/aa"),"")</f>
        <v>mar/25</v>
      </c>
      <c r="T1119" s="4">
        <f>IF(Registro2[[#This Row],[Data de Pagamento]]="",0,IF(Registro2[[#This Row],[Conta Financeira]]=base!$A$6,0,Registro2[[#This Row],[Valor Unitário]]))</f>
        <v>25</v>
      </c>
      <c r="U11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19" t="str">
        <f>VLOOKUP(Registro2[[#This Row],[Categoria]],'Plano de Contas'!$V$3:W1174,2,0)</f>
        <v>Receitas Produtos</v>
      </c>
      <c r="X111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20" spans="1:24" hidden="1">
      <c r="A1120" s="1">
        <v>45744</v>
      </c>
      <c r="B1120" s="1">
        <v>45744</v>
      </c>
      <c r="D1120" t="s">
        <v>2</v>
      </c>
      <c r="E1120" t="s">
        <v>149</v>
      </c>
      <c r="F1120" t="s">
        <v>147</v>
      </c>
      <c r="G1120" t="s">
        <v>163</v>
      </c>
      <c r="I1120" s="4">
        <v>35</v>
      </c>
      <c r="J1120" s="4">
        <v>35</v>
      </c>
      <c r="L1120" t="s">
        <v>252</v>
      </c>
      <c r="M1120" t="s">
        <v>1800</v>
      </c>
      <c r="N1120" s="4">
        <f>IF(L1120="","",IF(OR(Registro2[[#This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20" t="str">
        <f t="shared" si="17"/>
        <v>mar/25</v>
      </c>
      <c r="P1120" t="str">
        <f>IF(Registro2[[#This Row],[Data de Pagamento]]&gt;0,TEXT(A1120,"mmm/aa"),"")</f>
        <v>mar/25</v>
      </c>
      <c r="T1120" s="4">
        <f>IF(Registro2[[#This Row],[Data de Pagamento]]="",0,IF(Registro2[[#This Row],[Conta Financeira]]=base!$A$6,0,Registro2[[#This Row],[Valor Unitário]]))</f>
        <v>35</v>
      </c>
      <c r="U11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20" t="str">
        <f>VLOOKUP(Registro2[[#This Row],[Categoria]],'Plano de Contas'!$V$3:W1180,2,0)</f>
        <v>Receitas Serviços</v>
      </c>
      <c r="X112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21" spans="1:24" hidden="1">
      <c r="A1121" s="1">
        <v>45744</v>
      </c>
      <c r="B1121" s="1">
        <v>45744</v>
      </c>
      <c r="D1121" t="s">
        <v>136</v>
      </c>
      <c r="E1121" t="s">
        <v>137</v>
      </c>
      <c r="F1121" t="s">
        <v>138</v>
      </c>
      <c r="G1121" t="s">
        <v>338</v>
      </c>
      <c r="H1121" t="s">
        <v>1911</v>
      </c>
      <c r="I1121" s="4">
        <v>56.49</v>
      </c>
      <c r="J1121" s="4"/>
      <c r="N1121" s="4" t="str">
        <f>IF(L1121="","",IF(OR(Registro2[[#This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121" t="str">
        <f t="shared" si="17"/>
        <v>mar/25</v>
      </c>
      <c r="P1121" t="str">
        <f>IF(Registro2[[#This Row],[Data de Pagamento]]&gt;0,TEXT(A1121,"mmm/aa"),"")</f>
        <v>mar/25</v>
      </c>
      <c r="T1121" s="4">
        <f>IF(Registro2[[#This Row],[Data de Pagamento]]="",0,IF(Registro2[[#This Row],[Conta Financeira]]=base!$A$6,0,Registro2[[#This Row],[Valor Unitário]]))</f>
        <v>56.49</v>
      </c>
      <c r="U11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21" t="str">
        <f>VLOOKUP(Registro2[[#This Row],[Categoria]],'Plano de Contas'!$V$3:W1248,2,0)</f>
        <v>Despesas Administrativas</v>
      </c>
      <c r="X112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22" spans="1:24" hidden="1">
      <c r="A1122" s="1">
        <v>45744</v>
      </c>
      <c r="B1122" s="1">
        <v>45744</v>
      </c>
      <c r="D1122" t="s">
        <v>136</v>
      </c>
      <c r="E1122" t="s">
        <v>137</v>
      </c>
      <c r="F1122" t="s">
        <v>138</v>
      </c>
      <c r="G1122" t="s">
        <v>340</v>
      </c>
      <c r="H1122" t="s">
        <v>1915</v>
      </c>
      <c r="I1122" s="4">
        <v>11.9</v>
      </c>
      <c r="J1122" s="4"/>
      <c r="N1122" s="4" t="str">
        <f>IF(L1122="","",IF(OR(Registro2[[#This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122" t="str">
        <f t="shared" si="17"/>
        <v>mar/25</v>
      </c>
      <c r="P1122" t="str">
        <f>IF(Registro2[[#This Row],[Data de Pagamento]]&gt;0,TEXT(A1122,"mmm/aa"),"")</f>
        <v>mar/25</v>
      </c>
      <c r="T1122" s="4">
        <f>IF(Registro2[[#This Row],[Data de Pagamento]]="",0,IF(Registro2[[#This Row],[Conta Financeira]]=base!$A$6,0,Registro2[[#This Row],[Valor Unitário]]))</f>
        <v>11.9</v>
      </c>
      <c r="U11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22" t="str">
        <f>VLOOKUP(Registro2[[#This Row],[Categoria]],'Plano de Contas'!$V$3:W1249,2,0)</f>
        <v>Despesas Gerias &amp; Vendas</v>
      </c>
      <c r="X112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23" spans="1:24" hidden="1">
      <c r="A1123" s="1">
        <v>45745</v>
      </c>
      <c r="B1123" s="1">
        <v>45745</v>
      </c>
      <c r="D1123" t="s">
        <v>2</v>
      </c>
      <c r="E1123" t="s">
        <v>149</v>
      </c>
      <c r="F1123" t="s">
        <v>147</v>
      </c>
      <c r="G1123" t="s">
        <v>163</v>
      </c>
      <c r="I1123" s="4">
        <v>35</v>
      </c>
      <c r="J1123" s="4">
        <v>35</v>
      </c>
      <c r="L1123" t="s">
        <v>252</v>
      </c>
      <c r="M1123" t="s">
        <v>303</v>
      </c>
      <c r="N1123" s="4">
        <f>IF(L1123="","",IF(OR(Registro2[[#This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23" t="str">
        <f t="shared" si="17"/>
        <v>mar/25</v>
      </c>
      <c r="P1123" t="str">
        <f>IF(Registro2[[#This Row],[Data de Pagamento]]&gt;0,TEXT(A1123,"mmm/aa"),"")</f>
        <v>mar/25</v>
      </c>
      <c r="T1123" s="4">
        <f>IF(Registro2[[#This Row],[Data de Pagamento]]="",0,IF(Registro2[[#This Row],[Conta Financeira]]=base!$A$6,0,Registro2[[#This Row],[Valor Unitário]]))</f>
        <v>35</v>
      </c>
      <c r="U11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23" t="str">
        <f>VLOOKUP(Registro2[[#This Row],[Categoria]],'Plano de Contas'!$V$3:W1084,2,0)</f>
        <v>Receitas Serviços</v>
      </c>
      <c r="X112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24" spans="1:24" hidden="1">
      <c r="A1124" s="1">
        <v>45745</v>
      </c>
      <c r="B1124" s="1">
        <v>45745</v>
      </c>
      <c r="D1124" t="s">
        <v>2</v>
      </c>
      <c r="E1124" t="s">
        <v>149</v>
      </c>
      <c r="F1124" t="s">
        <v>147</v>
      </c>
      <c r="G1124" t="s">
        <v>163</v>
      </c>
      <c r="I1124" s="4">
        <v>35</v>
      </c>
      <c r="J1124" s="4">
        <v>55</v>
      </c>
      <c r="L1124" t="s">
        <v>253</v>
      </c>
      <c r="M1124" t="s">
        <v>379</v>
      </c>
      <c r="N1124" s="4">
        <f>IF(L1124="","",IF(OR(Registro2[[#This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24" t="str">
        <f t="shared" si="17"/>
        <v>mar/25</v>
      </c>
      <c r="P1124" t="str">
        <f>IF(Registro2[[#This Row],[Data de Pagamento]]&gt;0,TEXT(A1124,"mmm/aa"),"")</f>
        <v>mar/25</v>
      </c>
      <c r="T1124" s="4">
        <f>IF(Registro2[[#This Row],[Data de Pagamento]]="",0,IF(Registro2[[#This Row],[Conta Financeira]]=base!$A$6,0,Registro2[[#This Row],[Valor Unitário]]))</f>
        <v>35</v>
      </c>
      <c r="U11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24" t="str">
        <f>VLOOKUP(Registro2[[#This Row],[Categoria]],'Plano de Contas'!$V$3:W1167,2,0)</f>
        <v>Receitas Serviços</v>
      </c>
      <c r="X112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25" spans="1:24" hidden="1">
      <c r="A1125" s="1">
        <v>45745</v>
      </c>
      <c r="B1125" s="1">
        <v>45745</v>
      </c>
      <c r="D1125" t="s">
        <v>2</v>
      </c>
      <c r="E1125" t="s">
        <v>149</v>
      </c>
      <c r="F1125" t="s">
        <v>147</v>
      </c>
      <c r="G1125" t="s">
        <v>166</v>
      </c>
      <c r="I1125" s="4">
        <v>20</v>
      </c>
      <c r="J1125" s="4" t="s">
        <v>1604</v>
      </c>
      <c r="L1125" t="s">
        <v>253</v>
      </c>
      <c r="M1125" t="s">
        <v>379</v>
      </c>
      <c r="N1125" s="4">
        <f>IF(L1125="","",IF(OR(Registro2[[#This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125" t="str">
        <f t="shared" si="17"/>
        <v>mar/25</v>
      </c>
      <c r="P1125" t="str">
        <f>IF(Registro2[[#This Row],[Data de Pagamento]]&gt;0,TEXT(A1125,"mmm/aa"),"")</f>
        <v>mar/25</v>
      </c>
      <c r="T1125" s="4">
        <f>IF(Registro2[[#This Row],[Data de Pagamento]]="",0,IF(Registro2[[#This Row],[Conta Financeira]]=base!$A$6,0,Registro2[[#This Row],[Valor Unitário]]))</f>
        <v>20</v>
      </c>
      <c r="U11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25" t="str">
        <f>VLOOKUP(Registro2[[#This Row],[Categoria]],'Plano de Contas'!$V$3:W1168,2,0)</f>
        <v>Receitas Serviços</v>
      </c>
      <c r="X112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26" spans="1:24" hidden="1">
      <c r="A1126" s="1">
        <v>45745</v>
      </c>
      <c r="B1126" s="1">
        <v>45745</v>
      </c>
      <c r="D1126" t="s">
        <v>1</v>
      </c>
      <c r="E1126" t="s">
        <v>149</v>
      </c>
      <c r="F1126" t="s">
        <v>147</v>
      </c>
      <c r="G1126" t="s">
        <v>163</v>
      </c>
      <c r="I1126" s="4">
        <v>35</v>
      </c>
      <c r="J1126" s="4">
        <v>50</v>
      </c>
      <c r="L1126" t="s">
        <v>253</v>
      </c>
      <c r="M1126" t="s">
        <v>28</v>
      </c>
      <c r="N1126" s="4">
        <f>IF(L1126="","",IF(OR(Registro2[[#This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26" t="str">
        <f t="shared" si="17"/>
        <v>mar/25</v>
      </c>
      <c r="P1126" t="str">
        <f>IF(Registro2[[#This Row],[Data de Pagamento]]&gt;0,TEXT(A1126,"mmm/aa"),"")</f>
        <v>mar/25</v>
      </c>
      <c r="T1126" s="4">
        <f>IF(Registro2[[#This Row],[Data de Pagamento]]="",0,IF(Registro2[[#This Row],[Conta Financeira]]=base!$A$6,0,Registro2[[#This Row],[Valor Unitário]]))</f>
        <v>35</v>
      </c>
      <c r="U11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26" t="str">
        <f>VLOOKUP(Registro2[[#This Row],[Categoria]],'Plano de Contas'!$V$3:W1175,2,0)</f>
        <v>Receitas Serviços</v>
      </c>
      <c r="X112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27" spans="1:24" hidden="1">
      <c r="A1127" s="1">
        <v>45745</v>
      </c>
      <c r="B1127" s="1">
        <v>45745</v>
      </c>
      <c r="D1127" t="s">
        <v>1</v>
      </c>
      <c r="E1127" t="s">
        <v>149</v>
      </c>
      <c r="F1127" t="s">
        <v>147</v>
      </c>
      <c r="G1127" t="s">
        <v>1046</v>
      </c>
      <c r="I1127" s="4">
        <v>15</v>
      </c>
      <c r="J1127" s="4" t="s">
        <v>1604</v>
      </c>
      <c r="L1127" t="s">
        <v>253</v>
      </c>
      <c r="M1127" t="s">
        <v>28</v>
      </c>
      <c r="N1127" s="4">
        <f>IF(L1127="","",IF(OR(Registro2[[#This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127" t="str">
        <f t="shared" si="17"/>
        <v>mar/25</v>
      </c>
      <c r="P1127" t="str">
        <f>IF(Registro2[[#This Row],[Data de Pagamento]]&gt;0,TEXT(A1127,"mmm/aa"),"")</f>
        <v>mar/25</v>
      </c>
      <c r="T1127" s="4">
        <f>IF(Registro2[[#This Row],[Data de Pagamento]]="",0,IF(Registro2[[#This Row],[Conta Financeira]]=base!$A$6,0,Registro2[[#This Row],[Valor Unitário]]))</f>
        <v>15</v>
      </c>
      <c r="U11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27" t="str">
        <f>VLOOKUP(Registro2[[#This Row],[Categoria]],'Plano de Contas'!$V$3:W1176,2,0)</f>
        <v>Receitas Serviços</v>
      </c>
      <c r="X11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28" spans="1:24" hidden="1">
      <c r="A1128" s="1">
        <v>45745</v>
      </c>
      <c r="B1128" s="1">
        <v>45745</v>
      </c>
      <c r="D1128" t="s">
        <v>1</v>
      </c>
      <c r="E1128" t="s">
        <v>149</v>
      </c>
      <c r="F1128" t="s">
        <v>150</v>
      </c>
      <c r="G1128" t="s">
        <v>513</v>
      </c>
      <c r="I1128" s="4">
        <v>35</v>
      </c>
      <c r="J1128" s="4" t="s">
        <v>1604</v>
      </c>
      <c r="L1128" t="s">
        <v>253</v>
      </c>
      <c r="M1128" t="s">
        <v>28</v>
      </c>
      <c r="N1128" s="4">
        <f>IF(L1128="","",IF(OR(Registro2[[#This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14</v>
      </c>
      <c r="O1128" t="str">
        <f t="shared" si="17"/>
        <v>mar/25</v>
      </c>
      <c r="P1128" t="str">
        <f>IF(Registro2[[#This Row],[Data de Pagamento]]&gt;0,TEXT(A1128,"mmm/aa"),"")</f>
        <v>mar/25</v>
      </c>
      <c r="T1128" s="4">
        <f>IF(Registro2[[#This Row],[Data de Pagamento]]="",0,IF(Registro2[[#This Row],[Conta Financeira]]=base!$A$6,0,Registro2[[#This Row],[Valor Unitário]]))</f>
        <v>35</v>
      </c>
      <c r="U11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28" t="str">
        <f>VLOOKUP(Registro2[[#This Row],[Categoria]],'Plano de Contas'!$V$3:W1177,2,0)</f>
        <v>Receitas Produtos</v>
      </c>
      <c r="X112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29" spans="1:24" hidden="1">
      <c r="A1129" s="1">
        <v>45745</v>
      </c>
      <c r="B1129" s="1">
        <v>45745</v>
      </c>
      <c r="D1129" t="s">
        <v>2</v>
      </c>
      <c r="E1129" t="s">
        <v>149</v>
      </c>
      <c r="F1129" t="s">
        <v>147</v>
      </c>
      <c r="G1129" t="s">
        <v>163</v>
      </c>
      <c r="I1129" s="4">
        <v>35</v>
      </c>
      <c r="J1129" s="4">
        <v>45</v>
      </c>
      <c r="L1129" t="s">
        <v>252</v>
      </c>
      <c r="M1129" t="s">
        <v>62</v>
      </c>
      <c r="N1129" s="4">
        <f>IF(L1129="","",IF(OR(Registro2[[#This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29" t="str">
        <f t="shared" si="17"/>
        <v>mar/25</v>
      </c>
      <c r="P1129" t="str">
        <f>IF(Registro2[[#This Row],[Data de Pagamento]]&gt;0,TEXT(A1129,"mmm/aa"),"")</f>
        <v>mar/25</v>
      </c>
      <c r="T1129" s="4">
        <f>IF(Registro2[[#This Row],[Data de Pagamento]]="",0,IF(Registro2[[#This Row],[Conta Financeira]]=base!$A$6,0,Registro2[[#This Row],[Valor Unitário]]))</f>
        <v>35</v>
      </c>
      <c r="U11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29" t="str">
        <f>VLOOKUP(Registro2[[#This Row],[Categoria]],'Plano de Contas'!$V$3:W1178,2,0)</f>
        <v>Receitas Serviços</v>
      </c>
      <c r="X11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30" spans="1:24" hidden="1">
      <c r="A1130" s="1">
        <v>45745</v>
      </c>
      <c r="B1130" s="1">
        <v>45745</v>
      </c>
      <c r="D1130" t="s">
        <v>2</v>
      </c>
      <c r="E1130" t="s">
        <v>149</v>
      </c>
      <c r="F1130" t="s">
        <v>147</v>
      </c>
      <c r="G1130" t="s">
        <v>167</v>
      </c>
      <c r="I1130" s="4">
        <v>10</v>
      </c>
      <c r="J1130" s="4" t="s">
        <v>1604</v>
      </c>
      <c r="L1130" t="s">
        <v>252</v>
      </c>
      <c r="M1130" t="s">
        <v>62</v>
      </c>
      <c r="N1130" s="4">
        <f>IF(L1130="","",IF(OR(Registro2[[#This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130" t="str">
        <f t="shared" si="17"/>
        <v>mar/25</v>
      </c>
      <c r="P1130" t="str">
        <f>IF(Registro2[[#This Row],[Data de Pagamento]]&gt;0,TEXT(A1130,"mmm/aa"),"")</f>
        <v>mar/25</v>
      </c>
      <c r="T1130" s="4">
        <f>IF(Registro2[[#This Row],[Data de Pagamento]]="",0,IF(Registro2[[#This Row],[Conta Financeira]]=base!$A$6,0,Registro2[[#This Row],[Valor Unitário]]))</f>
        <v>10</v>
      </c>
      <c r="U11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30" t="str">
        <f>VLOOKUP(Registro2[[#This Row],[Categoria]],'Plano de Contas'!$V$3:W1179,2,0)</f>
        <v>Receitas Serviços</v>
      </c>
      <c r="X113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31" spans="1:24" hidden="1">
      <c r="A1131" s="1">
        <v>45745</v>
      </c>
      <c r="B1131" s="1">
        <v>45745</v>
      </c>
      <c r="D1131" t="s">
        <v>1</v>
      </c>
      <c r="E1131" t="s">
        <v>149</v>
      </c>
      <c r="F1131" t="s">
        <v>147</v>
      </c>
      <c r="G1131" t="s">
        <v>163</v>
      </c>
      <c r="I1131" s="4">
        <v>35</v>
      </c>
      <c r="J1131" s="4">
        <v>35</v>
      </c>
      <c r="L1131" t="s">
        <v>253</v>
      </c>
      <c r="M1131" t="s">
        <v>85</v>
      </c>
      <c r="N1131" s="4">
        <f>IF(L1131="","",IF(OR(Registro2[[#This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31" t="str">
        <f t="shared" si="17"/>
        <v>mar/25</v>
      </c>
      <c r="P1131" t="str">
        <f>IF(Registro2[[#This Row],[Data de Pagamento]]&gt;0,TEXT(A1131,"mmm/aa"),"")</f>
        <v>mar/25</v>
      </c>
      <c r="T1131" s="4">
        <f>IF(Registro2[[#This Row],[Data de Pagamento]]="",0,IF(Registro2[[#This Row],[Conta Financeira]]=base!$A$6,0,Registro2[[#This Row],[Valor Unitário]]))</f>
        <v>35</v>
      </c>
      <c r="U11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31" t="str">
        <f>VLOOKUP(Registro2[[#This Row],[Categoria]],'Plano de Contas'!$V$3:W1181,2,0)</f>
        <v>Receitas Serviços</v>
      </c>
      <c r="X113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32" spans="1:24" hidden="1">
      <c r="A1132" s="1">
        <v>45745</v>
      </c>
      <c r="B1132" s="1">
        <v>45745</v>
      </c>
      <c r="D1132" t="s">
        <v>2</v>
      </c>
      <c r="E1132" t="s">
        <v>149</v>
      </c>
      <c r="F1132" t="s">
        <v>147</v>
      </c>
      <c r="G1132" t="s">
        <v>163</v>
      </c>
      <c r="I1132" s="4">
        <v>35</v>
      </c>
      <c r="J1132" s="4">
        <v>45</v>
      </c>
      <c r="L1132" t="s">
        <v>253</v>
      </c>
      <c r="M1132" t="s">
        <v>299</v>
      </c>
      <c r="N1132" s="4">
        <f>IF(L1132="","",IF(OR(Registro2[[#This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32" t="str">
        <f t="shared" si="17"/>
        <v>mar/25</v>
      </c>
      <c r="P1132" t="str">
        <f>IF(Registro2[[#This Row],[Data de Pagamento]]&gt;0,TEXT(A1132,"mmm/aa"),"")</f>
        <v>mar/25</v>
      </c>
      <c r="T1132" s="4">
        <f>IF(Registro2[[#This Row],[Data de Pagamento]]="",0,IF(Registro2[[#This Row],[Conta Financeira]]=base!$A$6,0,Registro2[[#This Row],[Valor Unitário]]))</f>
        <v>35</v>
      </c>
      <c r="U11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32" t="str">
        <f>VLOOKUP(Registro2[[#This Row],[Categoria]],'Plano de Contas'!$V$3:W1182,2,0)</f>
        <v>Receitas Serviços</v>
      </c>
      <c r="X113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33" spans="1:24" hidden="1">
      <c r="A1133" s="1">
        <v>45745</v>
      </c>
      <c r="B1133" s="1">
        <v>45745</v>
      </c>
      <c r="D1133" t="s">
        <v>2</v>
      </c>
      <c r="E1133" t="s">
        <v>149</v>
      </c>
      <c r="F1133" t="s">
        <v>147</v>
      </c>
      <c r="G1133" t="s">
        <v>167</v>
      </c>
      <c r="I1133" s="4">
        <v>10</v>
      </c>
      <c r="J1133" s="4" t="s">
        <v>1604</v>
      </c>
      <c r="L1133" t="s">
        <v>253</v>
      </c>
      <c r="M1133" t="s">
        <v>299</v>
      </c>
      <c r="N1133" s="4">
        <f>IF(L1133="","",IF(OR(Registro2[[#This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133" t="str">
        <f t="shared" si="17"/>
        <v>mar/25</v>
      </c>
      <c r="P1133" t="str">
        <f>IF(Registro2[[#This Row],[Data de Pagamento]]&gt;0,TEXT(A1133,"mmm/aa"),"")</f>
        <v>mar/25</v>
      </c>
      <c r="T1133" s="4">
        <f>IF(Registro2[[#This Row],[Data de Pagamento]]="",0,IF(Registro2[[#This Row],[Conta Financeira]]=base!$A$6,0,Registro2[[#This Row],[Valor Unitário]]))</f>
        <v>10</v>
      </c>
      <c r="U11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33" t="str">
        <f>VLOOKUP(Registro2[[#This Row],[Categoria]],'Plano de Contas'!$V$3:W1183,2,0)</f>
        <v>Receitas Serviços</v>
      </c>
      <c r="X113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34" spans="1:24" hidden="1">
      <c r="A1134" s="1">
        <v>45745</v>
      </c>
      <c r="B1134" s="1">
        <v>45745</v>
      </c>
      <c r="D1134" t="s">
        <v>1</v>
      </c>
      <c r="E1134" t="s">
        <v>149</v>
      </c>
      <c r="F1134" t="s">
        <v>147</v>
      </c>
      <c r="G1134" t="s">
        <v>163</v>
      </c>
      <c r="I1134" s="4">
        <v>35</v>
      </c>
      <c r="J1134" s="4">
        <v>35</v>
      </c>
      <c r="L1134" t="s">
        <v>253</v>
      </c>
      <c r="M1134" t="s">
        <v>16</v>
      </c>
      <c r="N1134" s="4">
        <f>IF(L1134="","",IF(OR(Registro2[[#This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34" t="str">
        <f t="shared" si="17"/>
        <v>mar/25</v>
      </c>
      <c r="P1134" t="str">
        <f>IF(Registro2[[#This Row],[Data de Pagamento]]&gt;0,TEXT(A1134,"mmm/aa"),"")</f>
        <v>mar/25</v>
      </c>
      <c r="T1134" s="4">
        <f>IF(Registro2[[#This Row],[Data de Pagamento]]="",0,IF(Registro2[[#This Row],[Conta Financeira]]=base!$A$6,0,Registro2[[#This Row],[Valor Unitário]]))</f>
        <v>35</v>
      </c>
      <c r="U11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34" t="str">
        <f>VLOOKUP(Registro2[[#This Row],[Categoria]],'Plano de Contas'!$V$3:W1184,2,0)</f>
        <v>Receitas Serviços</v>
      </c>
      <c r="X113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35" spans="1:24" hidden="1">
      <c r="A1135" s="1">
        <v>45745</v>
      </c>
      <c r="B1135" s="1">
        <v>45745</v>
      </c>
      <c r="D1135" t="s">
        <v>310</v>
      </c>
      <c r="E1135" t="s">
        <v>149</v>
      </c>
      <c r="F1135" t="s">
        <v>152</v>
      </c>
      <c r="G1135" t="s">
        <v>353</v>
      </c>
      <c r="I1135" s="4">
        <v>60</v>
      </c>
      <c r="J1135" s="4">
        <v>60</v>
      </c>
      <c r="L1135" t="s">
        <v>264</v>
      </c>
      <c r="M1135" t="s">
        <v>184</v>
      </c>
      <c r="N1135" s="4">
        <f>IF(L1135="","",IF(OR(Registro2[[#This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135" t="str">
        <f t="shared" si="17"/>
        <v>mar/25</v>
      </c>
      <c r="P1135" t="str">
        <f>IF(Registro2[[#This Row],[Data de Pagamento]]&gt;0,TEXT(A1135,"mmm/aa"),"")</f>
        <v>mar/25</v>
      </c>
      <c r="T1135" s="4">
        <f>IF(Registro2[[#This Row],[Data de Pagamento]]="",0,IF(Registro2[[#This Row],[Conta Financeira]]=base!$A$6,0,Registro2[[#This Row],[Valor Unitário]]))</f>
        <v>60</v>
      </c>
      <c r="U11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35" t="str">
        <f>VLOOKUP(Registro2[[#This Row],[Categoria]],'Plano de Contas'!$V$3:W1185,2,0)</f>
        <v>Receitas Serviços</v>
      </c>
      <c r="X113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</row>
    <row r="1136" spans="1:24" hidden="1">
      <c r="A1136" s="1">
        <v>45745</v>
      </c>
      <c r="B1136" s="1">
        <v>45745</v>
      </c>
      <c r="D1136" t="s">
        <v>1</v>
      </c>
      <c r="E1136" t="s">
        <v>149</v>
      </c>
      <c r="F1136" t="s">
        <v>147</v>
      </c>
      <c r="G1136" t="s">
        <v>163</v>
      </c>
      <c r="I1136" s="4">
        <v>35</v>
      </c>
      <c r="J1136" s="4">
        <v>20</v>
      </c>
      <c r="L1136" t="s">
        <v>252</v>
      </c>
      <c r="M1136" t="s">
        <v>367</v>
      </c>
      <c r="N1136" s="4">
        <f>IF(L1136="","",IF(OR(Registro2[[#This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36" t="str">
        <f t="shared" si="17"/>
        <v>mar/25</v>
      </c>
      <c r="P1136" t="str">
        <f>IF(Registro2[[#This Row],[Data de Pagamento]]&gt;0,TEXT(A1136,"mmm/aa"),"")</f>
        <v>mar/25</v>
      </c>
      <c r="T1136" s="4">
        <f>IF(Registro2[[#This Row],[Data de Pagamento]]="",0,IF(Registro2[[#This Row],[Conta Financeira]]=base!$A$6,0,Registro2[[#This Row],[Valor Unitário]]))</f>
        <v>35</v>
      </c>
      <c r="U11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36" t="str">
        <f>VLOOKUP(Registro2[[#This Row],[Categoria]],'Plano de Contas'!$V$3:W1186,2,0)</f>
        <v>Receitas Serviços</v>
      </c>
      <c r="X113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37" spans="1:24" hidden="1">
      <c r="A1137" s="1">
        <v>45745</v>
      </c>
      <c r="B1137" s="1">
        <v>45745</v>
      </c>
      <c r="D1137" t="s">
        <v>354</v>
      </c>
      <c r="E1137" t="s">
        <v>149</v>
      </c>
      <c r="F1137" t="s">
        <v>147</v>
      </c>
      <c r="G1137" t="s">
        <v>163</v>
      </c>
      <c r="I1137" s="4">
        <v>35</v>
      </c>
      <c r="J1137" s="4">
        <v>35</v>
      </c>
      <c r="L1137" t="s">
        <v>253</v>
      </c>
      <c r="M1137" t="s">
        <v>485</v>
      </c>
      <c r="N1137" s="4">
        <f>IF(L1137="","",IF(OR(Registro2[[#This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37" t="str">
        <f t="shared" si="17"/>
        <v>mar/25</v>
      </c>
      <c r="P1137" t="str">
        <f>IF(Registro2[[#This Row],[Data de Pagamento]]&gt;0,TEXT(A1137,"mmm/aa"),"")</f>
        <v>mar/25</v>
      </c>
      <c r="T1137" s="4">
        <f>IF(Registro2[[#This Row],[Data de Pagamento]]="",0,IF(Registro2[[#This Row],[Conta Financeira]]=base!$A$6,0,Registro2[[#This Row],[Valor Unitário]]))</f>
        <v>35</v>
      </c>
      <c r="U11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37" t="str">
        <f>VLOOKUP(Registro2[[#This Row],[Categoria]],'Plano de Contas'!$V$3:W1187,2,0)</f>
        <v>Receitas Serviços</v>
      </c>
      <c r="X113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138" spans="1:24" hidden="1">
      <c r="A1138" s="1">
        <v>45745</v>
      </c>
      <c r="B1138" s="1">
        <v>45745</v>
      </c>
      <c r="D1138" t="s">
        <v>2</v>
      </c>
      <c r="E1138" t="s">
        <v>149</v>
      </c>
      <c r="F1138" t="s">
        <v>147</v>
      </c>
      <c r="G1138" t="s">
        <v>163</v>
      </c>
      <c r="I1138" s="4">
        <v>35</v>
      </c>
      <c r="J1138" s="4">
        <v>35</v>
      </c>
      <c r="L1138" t="s">
        <v>253</v>
      </c>
      <c r="M1138" t="s">
        <v>115</v>
      </c>
      <c r="N1138" s="4">
        <f>IF(L1138="","",IF(OR(Registro2[[#This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38" t="str">
        <f t="shared" si="17"/>
        <v>mar/25</v>
      </c>
      <c r="P1138" t="str">
        <f>IF(Registro2[[#This Row],[Data de Pagamento]]&gt;0,TEXT(A1138,"mmm/aa"),"")</f>
        <v>mar/25</v>
      </c>
      <c r="T1138" s="4">
        <f>IF(Registro2[[#This Row],[Data de Pagamento]]="",0,IF(Registro2[[#This Row],[Conta Financeira]]=base!$A$6,0,Registro2[[#This Row],[Valor Unitário]]))</f>
        <v>35</v>
      </c>
      <c r="U11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38" t="str">
        <f>VLOOKUP(Registro2[[#This Row],[Categoria]],'Plano de Contas'!$V$3:W1188,2,0)</f>
        <v>Receitas Serviços</v>
      </c>
      <c r="X113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39" spans="1:24" hidden="1">
      <c r="A1139" s="1">
        <v>45745</v>
      </c>
      <c r="B1139" s="1">
        <v>45745</v>
      </c>
      <c r="D1139" t="s">
        <v>1</v>
      </c>
      <c r="E1139" t="s">
        <v>149</v>
      </c>
      <c r="F1139" t="s">
        <v>147</v>
      </c>
      <c r="G1139" t="s">
        <v>163</v>
      </c>
      <c r="I1139" s="4">
        <v>35</v>
      </c>
      <c r="J1139" s="4">
        <v>35</v>
      </c>
      <c r="L1139" t="s">
        <v>264</v>
      </c>
      <c r="M1139" t="s">
        <v>471</v>
      </c>
      <c r="N1139" s="4">
        <f>IF(L1139="","",IF(OR(Registro2[[#This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39" t="str">
        <f t="shared" si="17"/>
        <v>mar/25</v>
      </c>
      <c r="P1139" t="str">
        <f>IF(Registro2[[#This Row],[Data de Pagamento]]&gt;0,TEXT(A1139,"mmm/aa"),"")</f>
        <v>mar/25</v>
      </c>
      <c r="T1139" s="4">
        <f>IF(Registro2[[#This Row],[Data de Pagamento]]="",0,IF(Registro2[[#This Row],[Conta Financeira]]=base!$A$6,0,Registro2[[#This Row],[Valor Unitário]]))</f>
        <v>35</v>
      </c>
      <c r="U11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39" t="str">
        <f>VLOOKUP(Registro2[[#This Row],[Categoria]],'Plano de Contas'!$V$3:W1189,2,0)</f>
        <v>Receitas Serviços</v>
      </c>
      <c r="X113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40" spans="1:24" hidden="1">
      <c r="A1140" s="1">
        <v>45745</v>
      </c>
      <c r="B1140" s="1">
        <v>45745</v>
      </c>
      <c r="D1140" t="s">
        <v>310</v>
      </c>
      <c r="E1140" t="s">
        <v>149</v>
      </c>
      <c r="F1140" t="s">
        <v>152</v>
      </c>
      <c r="G1140" t="s">
        <v>353</v>
      </c>
      <c r="I1140" s="4">
        <v>60</v>
      </c>
      <c r="J1140" s="4">
        <v>55</v>
      </c>
      <c r="L1140" t="s">
        <v>252</v>
      </c>
      <c r="M1140" t="s">
        <v>294</v>
      </c>
      <c r="N1140" s="4">
        <f>IF(L1140="","",IF(OR(Registro2[[#This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140" t="str">
        <f t="shared" si="17"/>
        <v>mar/25</v>
      </c>
      <c r="P1140" t="str">
        <f>IF(Registro2[[#This Row],[Data de Pagamento]]&gt;0,TEXT(A1140,"mmm/aa"),"")</f>
        <v>mar/25</v>
      </c>
      <c r="T1140" s="4">
        <f>IF(Registro2[[#This Row],[Data de Pagamento]]="",0,IF(Registro2[[#This Row],[Conta Financeira]]=base!$A$6,0,Registro2[[#This Row],[Valor Unitário]]))</f>
        <v>60</v>
      </c>
      <c r="U11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40" t="str">
        <f>VLOOKUP(Registro2[[#This Row],[Categoria]],'Plano de Contas'!$V$3:W1190,2,0)</f>
        <v>Receitas Serviços</v>
      </c>
      <c r="X114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</row>
    <row r="1141" spans="1:24" hidden="1">
      <c r="A1141" s="1">
        <v>45745</v>
      </c>
      <c r="B1141" s="1">
        <v>45745</v>
      </c>
      <c r="D1141" t="s">
        <v>2</v>
      </c>
      <c r="E1141" t="s">
        <v>149</v>
      </c>
      <c r="F1141" t="s">
        <v>147</v>
      </c>
      <c r="G1141" t="s">
        <v>163</v>
      </c>
      <c r="I1141" s="4">
        <v>35</v>
      </c>
      <c r="J1141" s="4">
        <v>35</v>
      </c>
      <c r="L1141" t="s">
        <v>264</v>
      </c>
      <c r="M1141" t="s">
        <v>1817</v>
      </c>
      <c r="N1141" s="4">
        <f>IF(L1141="","",IF(OR(Registro2[[#This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41" t="str">
        <f t="shared" si="17"/>
        <v>mar/25</v>
      </c>
      <c r="P1141" t="str">
        <f>IF(Registro2[[#This Row],[Data de Pagamento]]&gt;0,TEXT(A1141,"mmm/aa"),"")</f>
        <v>mar/25</v>
      </c>
      <c r="T1141" s="4">
        <f>IF(Registro2[[#This Row],[Data de Pagamento]]="",0,IF(Registro2[[#This Row],[Conta Financeira]]=base!$A$6,0,Registro2[[#This Row],[Valor Unitário]]))</f>
        <v>35</v>
      </c>
      <c r="U11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41" t="str">
        <f>VLOOKUP(Registro2[[#This Row],[Categoria]],'Plano de Contas'!$V$3:W1191,2,0)</f>
        <v>Receitas Serviços</v>
      </c>
      <c r="X114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42" spans="1:24" hidden="1">
      <c r="A1142" s="1">
        <v>45745</v>
      </c>
      <c r="B1142" s="1">
        <v>45745</v>
      </c>
      <c r="D1142" t="s">
        <v>354</v>
      </c>
      <c r="E1142" t="s">
        <v>149</v>
      </c>
      <c r="F1142" t="s">
        <v>152</v>
      </c>
      <c r="G1142" t="s">
        <v>353</v>
      </c>
      <c r="I1142" s="4">
        <v>50</v>
      </c>
      <c r="J1142" s="4">
        <v>100</v>
      </c>
      <c r="L1142" t="s">
        <v>253</v>
      </c>
      <c r="M1142" t="s">
        <v>1820</v>
      </c>
      <c r="N1142" s="4">
        <f>IF(L1142="","",IF(OR(Registro2[[#This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142" t="str">
        <f t="shared" si="17"/>
        <v>mar/25</v>
      </c>
      <c r="P1142" t="str">
        <f>IF(Registro2[[#This Row],[Data de Pagamento]]&gt;0,TEXT(A1142,"mmm/aa"),"")</f>
        <v>mar/25</v>
      </c>
      <c r="T1142" s="4">
        <f>IF(Registro2[[#This Row],[Data de Pagamento]]="",0,IF(Registro2[[#This Row],[Conta Financeira]]=base!$A$6,0,Registro2[[#This Row],[Valor Unitário]]))</f>
        <v>50</v>
      </c>
      <c r="U11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42" t="str">
        <f>VLOOKUP(Registro2[[#This Row],[Categoria]],'Plano de Contas'!$V$3:W1192,2,0)</f>
        <v>Receitas Serviços</v>
      </c>
      <c r="X114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1.575</v>
      </c>
    </row>
    <row r="1143" spans="1:24" hidden="1">
      <c r="A1143" s="1">
        <v>45745</v>
      </c>
      <c r="B1143" s="1">
        <v>45745</v>
      </c>
      <c r="D1143" t="s">
        <v>354</v>
      </c>
      <c r="E1143" t="s">
        <v>149</v>
      </c>
      <c r="F1143" t="s">
        <v>150</v>
      </c>
      <c r="G1143" t="s">
        <v>513</v>
      </c>
      <c r="I1143" s="4">
        <v>30</v>
      </c>
      <c r="J1143" s="4" t="s">
        <v>1604</v>
      </c>
      <c r="L1143" t="s">
        <v>253</v>
      </c>
      <c r="M1143" t="s">
        <v>1820</v>
      </c>
      <c r="N1143" s="4">
        <f>IF(L1143="","",IF(OR(Registro2[[#This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12</v>
      </c>
      <c r="O1143" t="str">
        <f t="shared" si="17"/>
        <v>mar/25</v>
      </c>
      <c r="P1143" t="str">
        <f>IF(Registro2[[#This Row],[Data de Pagamento]]&gt;0,TEXT(A1143,"mmm/aa"),"")</f>
        <v>mar/25</v>
      </c>
      <c r="T1143" s="4">
        <f>IF(Registro2[[#This Row],[Data de Pagamento]]="",0,IF(Registro2[[#This Row],[Conta Financeira]]=base!$A$6,0,Registro2[[#This Row],[Valor Unitário]]))</f>
        <v>30</v>
      </c>
      <c r="U11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43" t="str">
        <f>VLOOKUP(Registro2[[#This Row],[Categoria]],'Plano de Contas'!$V$3:W1193,2,0)</f>
        <v>Receitas Produtos</v>
      </c>
      <c r="X114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0.94500000000000006</v>
      </c>
    </row>
    <row r="1144" spans="1:24" hidden="1">
      <c r="A1144" s="1">
        <v>45745</v>
      </c>
      <c r="B1144" s="1">
        <v>45745</v>
      </c>
      <c r="D1144" t="s">
        <v>354</v>
      </c>
      <c r="E1144" t="s">
        <v>149</v>
      </c>
      <c r="F1144" t="s">
        <v>150</v>
      </c>
      <c r="G1144" t="s">
        <v>509</v>
      </c>
      <c r="I1144" s="4">
        <v>20</v>
      </c>
      <c r="J1144" s="4" t="s">
        <v>1604</v>
      </c>
      <c r="L1144" t="s">
        <v>253</v>
      </c>
      <c r="M1144" t="s">
        <v>1820</v>
      </c>
      <c r="N1144" s="4">
        <f>IF(L1144="","",IF(OR(Registro2[[#This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8</v>
      </c>
      <c r="O1144" t="str">
        <f t="shared" si="17"/>
        <v>mar/25</v>
      </c>
      <c r="P1144" t="str">
        <f>IF(Registro2[[#This Row],[Data de Pagamento]]&gt;0,TEXT(A1144,"mmm/aa"),"")</f>
        <v>mar/25</v>
      </c>
      <c r="T1144" s="4">
        <f>IF(Registro2[[#This Row],[Data de Pagamento]]="",0,IF(Registro2[[#This Row],[Conta Financeira]]=base!$A$6,0,Registro2[[#This Row],[Valor Unitário]]))</f>
        <v>20</v>
      </c>
      <c r="U11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44" t="str">
        <f>VLOOKUP(Registro2[[#This Row],[Categoria]],'Plano de Contas'!$V$3:W1194,2,0)</f>
        <v>Receitas Produtos</v>
      </c>
      <c r="X114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0.63</v>
      </c>
    </row>
    <row r="1145" spans="1:24" hidden="1">
      <c r="A1145" s="1">
        <v>45745</v>
      </c>
      <c r="B1145" s="1">
        <v>45745</v>
      </c>
      <c r="D1145" t="s">
        <v>310</v>
      </c>
      <c r="E1145" t="s">
        <v>149</v>
      </c>
      <c r="F1145" t="s">
        <v>152</v>
      </c>
      <c r="G1145" t="s">
        <v>353</v>
      </c>
      <c r="I1145" s="4">
        <v>60</v>
      </c>
      <c r="J1145" s="4">
        <v>95</v>
      </c>
      <c r="L1145" t="s">
        <v>252</v>
      </c>
      <c r="M1145" t="s">
        <v>1823</v>
      </c>
      <c r="N1145" s="4">
        <f>IF(L1145="","",IF(OR(Registro2[[#This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145" t="str">
        <f t="shared" si="17"/>
        <v>mar/25</v>
      </c>
      <c r="P1145" t="str">
        <f>IF(Registro2[[#This Row],[Data de Pagamento]]&gt;0,TEXT(A1145,"mmm/aa"),"")</f>
        <v>mar/25</v>
      </c>
      <c r="T1145" s="4">
        <f>IF(Registro2[[#This Row],[Data de Pagamento]]="",0,IF(Registro2[[#This Row],[Conta Financeira]]=base!$A$6,0,Registro2[[#This Row],[Valor Unitário]]))</f>
        <v>60</v>
      </c>
      <c r="U11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45" t="str">
        <f>VLOOKUP(Registro2[[#This Row],[Categoria]],'Plano de Contas'!$V$3:W1195,2,0)</f>
        <v>Receitas Serviços</v>
      </c>
      <c r="X114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</row>
    <row r="1146" spans="1:24" hidden="1">
      <c r="A1146" s="1">
        <v>45745</v>
      </c>
      <c r="B1146" s="1">
        <v>45745</v>
      </c>
      <c r="D1146" t="s">
        <v>310</v>
      </c>
      <c r="E1146" t="s">
        <v>149</v>
      </c>
      <c r="F1146" t="s">
        <v>150</v>
      </c>
      <c r="G1146" t="s">
        <v>513</v>
      </c>
      <c r="I1146" s="4">
        <v>35</v>
      </c>
      <c r="J1146" s="4" t="s">
        <v>1604</v>
      </c>
      <c r="L1146" t="s">
        <v>252</v>
      </c>
      <c r="M1146" t="s">
        <v>1823</v>
      </c>
      <c r="N1146" s="4">
        <f>IF(L1146="","",IF(OR(Registro2[[#This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14</v>
      </c>
      <c r="O1146" t="str">
        <f t="shared" si="17"/>
        <v>mar/25</v>
      </c>
      <c r="P1146" t="str">
        <f>IF(Registro2[[#This Row],[Data de Pagamento]]&gt;0,TEXT(A1146,"mmm/aa"),"")</f>
        <v>mar/25</v>
      </c>
      <c r="T1146" s="4">
        <f>IF(Registro2[[#This Row],[Data de Pagamento]]="",0,IF(Registro2[[#This Row],[Conta Financeira]]=base!$A$6,0,Registro2[[#This Row],[Valor Unitário]]))</f>
        <v>35</v>
      </c>
      <c r="U11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46" t="str">
        <f>VLOOKUP(Registro2[[#This Row],[Categoria]],'Plano de Contas'!$V$3:W1196,2,0)</f>
        <v>Receitas Produtos</v>
      </c>
      <c r="X114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147" spans="1:24" hidden="1">
      <c r="A1147" s="1">
        <v>45745</v>
      </c>
      <c r="B1147" s="1">
        <v>45745</v>
      </c>
      <c r="D1147" t="s">
        <v>1</v>
      </c>
      <c r="E1147" t="s">
        <v>149</v>
      </c>
      <c r="F1147" t="s">
        <v>147</v>
      </c>
      <c r="G1147" t="s">
        <v>163</v>
      </c>
      <c r="I1147" s="4">
        <v>35</v>
      </c>
      <c r="J1147" s="4">
        <v>40</v>
      </c>
      <c r="L1147" t="s">
        <v>252</v>
      </c>
      <c r="M1147" t="s">
        <v>1092</v>
      </c>
      <c r="N1147" s="4">
        <f>IF(L1147="","",IF(OR(Registro2[[#This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47" t="str">
        <f t="shared" si="17"/>
        <v>mar/25</v>
      </c>
      <c r="P1147" t="str">
        <f>IF(Registro2[[#This Row],[Data de Pagamento]]&gt;0,TEXT(A1147,"mmm/aa"),"")</f>
        <v>mar/25</v>
      </c>
      <c r="T1147" s="4">
        <f>IF(Registro2[[#This Row],[Data de Pagamento]]="",0,IF(Registro2[[#This Row],[Conta Financeira]]=base!$A$6,0,Registro2[[#This Row],[Valor Unitário]]))</f>
        <v>35</v>
      </c>
      <c r="U11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47" t="str">
        <f>VLOOKUP(Registro2[[#This Row],[Categoria]],'Plano de Contas'!$V$3:W1197,2,0)</f>
        <v>Receitas Serviços</v>
      </c>
      <c r="X114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48" spans="1:24" hidden="1">
      <c r="A1148" s="1">
        <v>45745</v>
      </c>
      <c r="B1148" s="1">
        <v>45745</v>
      </c>
      <c r="D1148" t="s">
        <v>2</v>
      </c>
      <c r="E1148" t="s">
        <v>149</v>
      </c>
      <c r="F1148" t="s">
        <v>152</v>
      </c>
      <c r="G1148" t="s">
        <v>353</v>
      </c>
      <c r="I1148" s="4">
        <v>50</v>
      </c>
      <c r="J1148" s="4">
        <v>50</v>
      </c>
      <c r="L1148" t="s">
        <v>253</v>
      </c>
      <c r="M1148" t="s">
        <v>278</v>
      </c>
      <c r="N1148" s="4">
        <f>IF(L1148="","",IF(OR(Registro2[[#This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148" t="str">
        <f t="shared" si="17"/>
        <v>mar/25</v>
      </c>
      <c r="P1148" t="str">
        <f>IF(Registro2[[#This Row],[Data de Pagamento]]&gt;0,TEXT(A1148,"mmm/aa"),"")</f>
        <v>mar/25</v>
      </c>
      <c r="T1148" s="4">
        <f>IF(Registro2[[#This Row],[Data de Pagamento]]="",0,IF(Registro2[[#This Row],[Conta Financeira]]=base!$A$6,0,Registro2[[#This Row],[Valor Unitário]]))</f>
        <v>50</v>
      </c>
      <c r="U11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48" t="str">
        <f>VLOOKUP(Registro2[[#This Row],[Categoria]],'Plano de Contas'!$V$3:W1198,2,0)</f>
        <v>Receitas Serviços</v>
      </c>
      <c r="X114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49" spans="1:24" hidden="1">
      <c r="A1149" s="1">
        <v>45745</v>
      </c>
      <c r="B1149" s="1">
        <v>45745</v>
      </c>
      <c r="D1149" t="s">
        <v>1</v>
      </c>
      <c r="E1149" t="s">
        <v>149</v>
      </c>
      <c r="F1149" t="s">
        <v>152</v>
      </c>
      <c r="G1149" t="s">
        <v>353</v>
      </c>
      <c r="I1149" s="4">
        <v>60</v>
      </c>
      <c r="J1149" s="4">
        <v>60</v>
      </c>
      <c r="L1149" t="s">
        <v>264</v>
      </c>
      <c r="M1149" t="s">
        <v>1154</v>
      </c>
      <c r="N1149" s="4">
        <f>IF(L1149="","",IF(OR(Registro2[[#This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149" t="str">
        <f t="shared" si="17"/>
        <v>mar/25</v>
      </c>
      <c r="P1149" t="str">
        <f>IF(Registro2[[#This Row],[Data de Pagamento]]&gt;0,TEXT(A1149,"mmm/aa"),"")</f>
        <v>mar/25</v>
      </c>
      <c r="T1149" s="4">
        <f>IF(Registro2[[#This Row],[Data de Pagamento]]="",0,IF(Registro2[[#This Row],[Conta Financeira]]=base!$A$6,0,Registro2[[#This Row],[Valor Unitário]]))</f>
        <v>60</v>
      </c>
      <c r="U11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49" t="str">
        <f>VLOOKUP(Registro2[[#This Row],[Categoria]],'Plano de Contas'!$V$3:W1199,2,0)</f>
        <v>Receitas Serviços</v>
      </c>
      <c r="X114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50" spans="1:24" hidden="1">
      <c r="A1150" s="1">
        <v>45745</v>
      </c>
      <c r="B1150" s="1">
        <v>45745</v>
      </c>
      <c r="D1150" t="s">
        <v>1</v>
      </c>
      <c r="E1150" t="s">
        <v>149</v>
      </c>
      <c r="F1150" t="s">
        <v>147</v>
      </c>
      <c r="G1150" t="s">
        <v>163</v>
      </c>
      <c r="I1150" s="4">
        <v>35</v>
      </c>
      <c r="J1150" s="4">
        <v>35</v>
      </c>
      <c r="L1150" t="s">
        <v>264</v>
      </c>
      <c r="M1150" t="s">
        <v>42</v>
      </c>
      <c r="N1150" s="4">
        <f>IF(L1150="","",IF(OR(Registro2[[#This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50" t="str">
        <f t="shared" si="17"/>
        <v>mar/25</v>
      </c>
      <c r="P1150" t="str">
        <f>IF(Registro2[[#This Row],[Data de Pagamento]]&gt;0,TEXT(A1150,"mmm/aa"),"")</f>
        <v>mar/25</v>
      </c>
      <c r="T1150" s="4">
        <f>IF(Registro2[[#This Row],[Data de Pagamento]]="",0,IF(Registro2[[#This Row],[Conta Financeira]]=base!$A$6,0,Registro2[[#This Row],[Valor Unitário]]))</f>
        <v>35</v>
      </c>
      <c r="U11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50" t="str">
        <f>VLOOKUP(Registro2[[#This Row],[Categoria]],'Plano de Contas'!$V$3:W1200,2,0)</f>
        <v>Receitas Serviços</v>
      </c>
      <c r="X115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51" spans="1:24" hidden="1">
      <c r="A1151" s="1">
        <v>45745</v>
      </c>
      <c r="B1151" s="1">
        <v>45745</v>
      </c>
      <c r="D1151" t="s">
        <v>1</v>
      </c>
      <c r="E1151" t="s">
        <v>149</v>
      </c>
      <c r="F1151" t="s">
        <v>147</v>
      </c>
      <c r="G1151" t="s">
        <v>160</v>
      </c>
      <c r="I1151" s="4">
        <v>12</v>
      </c>
      <c r="J1151" s="4">
        <v>12</v>
      </c>
      <c r="L1151" t="s">
        <v>253</v>
      </c>
      <c r="M1151" t="s">
        <v>13</v>
      </c>
      <c r="N1151" s="4">
        <f>IF(L1151="","",IF(OR(Registro2[[#This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1151" t="str">
        <f t="shared" si="17"/>
        <v>mar/25</v>
      </c>
      <c r="P1151" t="str">
        <f>IF(Registro2[[#This Row],[Data de Pagamento]]&gt;0,TEXT(A1151,"mmm/aa"),"")</f>
        <v>mar/25</v>
      </c>
      <c r="T1151" s="4">
        <f>IF(Registro2[[#This Row],[Data de Pagamento]]="",0,IF(Registro2[[#This Row],[Conta Financeira]]=base!$A$6,0,Registro2[[#This Row],[Valor Unitário]]))</f>
        <v>12</v>
      </c>
      <c r="U11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51" t="str">
        <f>VLOOKUP(Registro2[[#This Row],[Categoria]],'Plano de Contas'!$V$3:W1201,2,0)</f>
        <v>Receitas Serviços</v>
      </c>
      <c r="X115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52" spans="1:24" hidden="1">
      <c r="A1152" s="1">
        <v>45745</v>
      </c>
      <c r="B1152" s="1">
        <v>45745</v>
      </c>
      <c r="D1152" t="s">
        <v>1</v>
      </c>
      <c r="E1152" t="s">
        <v>149</v>
      </c>
      <c r="F1152" t="s">
        <v>147</v>
      </c>
      <c r="G1152" t="s">
        <v>163</v>
      </c>
      <c r="I1152" s="4">
        <v>50</v>
      </c>
      <c r="J1152" s="4">
        <v>0</v>
      </c>
      <c r="L1152" t="s">
        <v>253</v>
      </c>
      <c r="M1152" t="s">
        <v>414</v>
      </c>
      <c r="N1152" s="4">
        <f>IF(L1152="","",IF(OR(Registro2[[#This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152" t="str">
        <f t="shared" si="17"/>
        <v>mar/25</v>
      </c>
      <c r="P1152" t="str">
        <f>IF(Registro2[[#This Row],[Data de Pagamento]]&gt;0,TEXT(A1152,"mmm/aa"),"")</f>
        <v>mar/25</v>
      </c>
      <c r="T1152" s="4">
        <f>IF(Registro2[[#This Row],[Data de Pagamento]]="",0,IF(Registro2[[#This Row],[Conta Financeira]]=base!$A$6,0,Registro2[[#This Row],[Valor Unitário]]))</f>
        <v>50</v>
      </c>
      <c r="U11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52" t="str">
        <f>VLOOKUP(Registro2[[#This Row],[Categoria]],'Plano de Contas'!$V$3:W1202,2,0)</f>
        <v>Receitas Serviços</v>
      </c>
      <c r="X115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53" spans="1:24" hidden="1">
      <c r="A1153" s="1">
        <v>45745</v>
      </c>
      <c r="B1153" s="1">
        <v>45745</v>
      </c>
      <c r="D1153" t="s">
        <v>1</v>
      </c>
      <c r="E1153" t="s">
        <v>149</v>
      </c>
      <c r="F1153" t="s">
        <v>147</v>
      </c>
      <c r="G1153" t="s">
        <v>163</v>
      </c>
      <c r="I1153" s="4">
        <v>35</v>
      </c>
      <c r="J1153" s="4">
        <v>45</v>
      </c>
      <c r="L1153" t="s">
        <v>252</v>
      </c>
      <c r="M1153" t="s">
        <v>1836</v>
      </c>
      <c r="N1153" s="4">
        <f>IF(L1153="","",IF(OR(Registro2[[#This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53" t="str">
        <f t="shared" si="17"/>
        <v>mar/25</v>
      </c>
      <c r="P1153" t="str">
        <f>IF(Registro2[[#This Row],[Data de Pagamento]]&gt;0,TEXT(A1153,"mmm/aa"),"")</f>
        <v>mar/25</v>
      </c>
      <c r="T1153" s="4">
        <f>IF(Registro2[[#This Row],[Data de Pagamento]]="",0,IF(Registro2[[#This Row],[Conta Financeira]]=base!$A$6,0,Registro2[[#This Row],[Valor Unitário]]))</f>
        <v>35</v>
      </c>
      <c r="U11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53" t="str">
        <f>VLOOKUP(Registro2[[#This Row],[Categoria]],'Plano de Contas'!$V$3:W1203,2,0)</f>
        <v>Receitas Serviços</v>
      </c>
      <c r="X115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54" spans="1:24" hidden="1">
      <c r="A1154" s="1">
        <v>45745</v>
      </c>
      <c r="B1154" s="1">
        <v>45745</v>
      </c>
      <c r="D1154" t="s">
        <v>1</v>
      </c>
      <c r="E1154" t="s">
        <v>149</v>
      </c>
      <c r="F1154" t="s">
        <v>147</v>
      </c>
      <c r="G1154" t="s">
        <v>167</v>
      </c>
      <c r="I1154" s="4">
        <v>10</v>
      </c>
      <c r="J1154" s="4" t="s">
        <v>1604</v>
      </c>
      <c r="L1154" t="s">
        <v>252</v>
      </c>
      <c r="M1154" t="s">
        <v>1836</v>
      </c>
      <c r="N1154" s="4">
        <f>IF(L1154="","",IF(OR(Registro2[[#This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154" t="str">
        <f t="shared" ref="O1154:O1217" si="18">TEXT(B1154,"mmm/aa")</f>
        <v>mar/25</v>
      </c>
      <c r="P1154" t="str">
        <f>IF(Registro2[[#This Row],[Data de Pagamento]]&gt;0,TEXT(A1154,"mmm/aa"),"")</f>
        <v>mar/25</v>
      </c>
      <c r="T1154" s="4">
        <f>IF(Registro2[[#This Row],[Data de Pagamento]]="",0,IF(Registro2[[#This Row],[Conta Financeira]]=base!$A$6,0,Registro2[[#This Row],[Valor Unitário]]))</f>
        <v>10</v>
      </c>
      <c r="U11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54" t="str">
        <f>VLOOKUP(Registro2[[#This Row],[Categoria]],'Plano de Contas'!$V$3:W1204,2,0)</f>
        <v>Receitas Serviços</v>
      </c>
      <c r="X115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55" spans="1:24" hidden="1">
      <c r="A1155" s="1">
        <v>45745</v>
      </c>
      <c r="B1155" s="1">
        <v>45745</v>
      </c>
      <c r="D1155" t="s">
        <v>354</v>
      </c>
      <c r="E1155" t="s">
        <v>149</v>
      </c>
      <c r="F1155" t="s">
        <v>147</v>
      </c>
      <c r="G1155" t="s">
        <v>163</v>
      </c>
      <c r="I1155" s="4">
        <v>35</v>
      </c>
      <c r="J1155" s="4">
        <v>20</v>
      </c>
      <c r="L1155" t="s">
        <v>252</v>
      </c>
      <c r="M1155" t="s">
        <v>1839</v>
      </c>
      <c r="N1155" s="4">
        <f>IF(L1155="","",IF(OR(Registro2[[#This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55" t="str">
        <f t="shared" si="18"/>
        <v>mar/25</v>
      </c>
      <c r="P1155" t="str">
        <f>IF(Registro2[[#This Row],[Data de Pagamento]]&gt;0,TEXT(A1155,"mmm/aa"),"")</f>
        <v>mar/25</v>
      </c>
      <c r="T1155" s="4">
        <f>IF(Registro2[[#This Row],[Data de Pagamento]]="",0,IF(Registro2[[#This Row],[Conta Financeira]]=base!$A$6,0,Registro2[[#This Row],[Valor Unitário]]))</f>
        <v>35</v>
      </c>
      <c r="U11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55" t="str">
        <f>VLOOKUP(Registro2[[#This Row],[Categoria]],'Plano de Contas'!$V$3:W1205,2,0)</f>
        <v>Receitas Serviços</v>
      </c>
      <c r="X115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156" spans="1:24" hidden="1">
      <c r="A1156" s="1">
        <v>45745</v>
      </c>
      <c r="B1156" s="1">
        <v>45745</v>
      </c>
      <c r="D1156" t="s">
        <v>1</v>
      </c>
      <c r="E1156" t="s">
        <v>149</v>
      </c>
      <c r="F1156" t="s">
        <v>147</v>
      </c>
      <c r="G1156" t="s">
        <v>163</v>
      </c>
      <c r="I1156" s="4">
        <v>35</v>
      </c>
      <c r="J1156" s="4">
        <v>55</v>
      </c>
      <c r="L1156" t="s">
        <v>264</v>
      </c>
      <c r="M1156" t="s">
        <v>1134</v>
      </c>
      <c r="N1156" s="4">
        <f>IF(L1156="","",IF(OR(Registro2[[#This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56" t="str">
        <f t="shared" si="18"/>
        <v>mar/25</v>
      </c>
      <c r="P1156" t="str">
        <f>IF(Registro2[[#This Row],[Data de Pagamento]]&gt;0,TEXT(A1156,"mmm/aa"),"")</f>
        <v>mar/25</v>
      </c>
      <c r="T1156" s="4">
        <f>IF(Registro2[[#This Row],[Data de Pagamento]]="",0,IF(Registro2[[#This Row],[Conta Financeira]]=base!$A$6,0,Registro2[[#This Row],[Valor Unitário]]))</f>
        <v>35</v>
      </c>
      <c r="U11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56" t="str">
        <f>VLOOKUP(Registro2[[#This Row],[Categoria]],'Plano de Contas'!$V$3:W1206,2,0)</f>
        <v>Receitas Serviços</v>
      </c>
      <c r="X115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57" spans="1:24" hidden="1">
      <c r="A1157" s="1">
        <v>45745</v>
      </c>
      <c r="B1157" s="1">
        <v>45745</v>
      </c>
      <c r="D1157" t="s">
        <v>1</v>
      </c>
      <c r="E1157" t="s">
        <v>149</v>
      </c>
      <c r="F1157" t="s">
        <v>147</v>
      </c>
      <c r="G1157" t="s">
        <v>166</v>
      </c>
      <c r="I1157" s="4">
        <v>20</v>
      </c>
      <c r="J1157" s="4" t="s">
        <v>1604</v>
      </c>
      <c r="L1157" t="s">
        <v>264</v>
      </c>
      <c r="M1157" t="s">
        <v>1134</v>
      </c>
      <c r="N1157" s="4">
        <f>IF(L1157="","",IF(OR(Registro2[[#This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157" t="str">
        <f t="shared" si="18"/>
        <v>mar/25</v>
      </c>
      <c r="P1157" t="str">
        <f>IF(Registro2[[#This Row],[Data de Pagamento]]&gt;0,TEXT(A1157,"mmm/aa"),"")</f>
        <v>mar/25</v>
      </c>
      <c r="T1157" s="4">
        <f>IF(Registro2[[#This Row],[Data de Pagamento]]="",0,IF(Registro2[[#This Row],[Conta Financeira]]=base!$A$6,0,Registro2[[#This Row],[Valor Unitário]]))</f>
        <v>20</v>
      </c>
      <c r="U11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57" t="str">
        <f>VLOOKUP(Registro2[[#This Row],[Categoria]],'Plano de Contas'!$V$3:W1207,2,0)</f>
        <v>Receitas Serviços</v>
      </c>
      <c r="X11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58" spans="1:24" hidden="1">
      <c r="A1158" s="1">
        <v>45745</v>
      </c>
      <c r="B1158" s="1">
        <v>45745</v>
      </c>
      <c r="D1158" t="s">
        <v>1</v>
      </c>
      <c r="E1158" t="s">
        <v>149</v>
      </c>
      <c r="F1158" t="s">
        <v>152</v>
      </c>
      <c r="G1158" t="s">
        <v>353</v>
      </c>
      <c r="I1158" s="4">
        <v>50</v>
      </c>
      <c r="J1158" s="4">
        <v>50</v>
      </c>
      <c r="L1158" t="s">
        <v>264</v>
      </c>
      <c r="M1158" t="s">
        <v>411</v>
      </c>
      <c r="N1158" s="4">
        <f>IF(L1158="","",IF(OR(Registro2[[#This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158" t="str">
        <f t="shared" si="18"/>
        <v>mar/25</v>
      </c>
      <c r="P1158" t="str">
        <f>IF(Registro2[[#This Row],[Data de Pagamento]]&gt;0,TEXT(A1158,"mmm/aa"),"")</f>
        <v>mar/25</v>
      </c>
      <c r="T1158" s="4">
        <f>IF(Registro2[[#This Row],[Data de Pagamento]]="",0,IF(Registro2[[#This Row],[Conta Financeira]]=base!$A$6,0,Registro2[[#This Row],[Valor Unitário]]))</f>
        <v>50</v>
      </c>
      <c r="U11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58" t="str">
        <f>VLOOKUP(Registro2[[#This Row],[Categoria]],'Plano de Contas'!$V$3:W1208,2,0)</f>
        <v>Receitas Serviços</v>
      </c>
      <c r="X11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59" spans="1:24" hidden="1">
      <c r="A1159" s="1">
        <v>45745</v>
      </c>
      <c r="B1159" s="1">
        <v>45745</v>
      </c>
      <c r="D1159" t="s">
        <v>1</v>
      </c>
      <c r="E1159" t="s">
        <v>149</v>
      </c>
      <c r="F1159" t="s">
        <v>147</v>
      </c>
      <c r="G1159" t="s">
        <v>163</v>
      </c>
      <c r="I1159" s="4">
        <v>35</v>
      </c>
      <c r="J1159" s="4">
        <v>35</v>
      </c>
      <c r="L1159" t="s">
        <v>252</v>
      </c>
      <c r="M1159" t="s">
        <v>18</v>
      </c>
      <c r="N1159" s="4">
        <f>IF(L1159="","",IF(OR(Registro2[[#This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59" t="str">
        <f t="shared" si="18"/>
        <v>mar/25</v>
      </c>
      <c r="P1159" t="str">
        <f>IF(Registro2[[#This Row],[Data de Pagamento]]&gt;0,TEXT(A1159,"mmm/aa"),"")</f>
        <v>mar/25</v>
      </c>
      <c r="T1159" s="4">
        <f>IF(Registro2[[#This Row],[Data de Pagamento]]="",0,IF(Registro2[[#This Row],[Conta Financeira]]=base!$A$6,0,Registro2[[#This Row],[Valor Unitário]]))</f>
        <v>35</v>
      </c>
      <c r="U11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59" t="str">
        <f>VLOOKUP(Registro2[[#This Row],[Categoria]],'Plano de Contas'!$V$3:W1209,2,0)</f>
        <v>Receitas Serviços</v>
      </c>
      <c r="X115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60" spans="1:24" hidden="1">
      <c r="A1160" s="1">
        <v>45745</v>
      </c>
      <c r="B1160" s="1">
        <v>45745</v>
      </c>
      <c r="D1160" t="s">
        <v>1</v>
      </c>
      <c r="E1160" t="s">
        <v>149</v>
      </c>
      <c r="F1160" t="s">
        <v>147</v>
      </c>
      <c r="G1160" t="s">
        <v>1046</v>
      </c>
      <c r="I1160" s="4">
        <v>35</v>
      </c>
      <c r="J1160" s="4">
        <v>35</v>
      </c>
      <c r="L1160" t="s">
        <v>253</v>
      </c>
      <c r="M1160" t="s">
        <v>126</v>
      </c>
      <c r="N1160" s="4">
        <f>IF(L1160="","",IF(OR(Registro2[[#This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60" t="str">
        <f t="shared" si="18"/>
        <v>mar/25</v>
      </c>
      <c r="P1160" t="str">
        <f>IF(Registro2[[#This Row],[Data de Pagamento]]&gt;0,TEXT(A1160,"mmm/aa"),"")</f>
        <v>mar/25</v>
      </c>
      <c r="T1160" s="4">
        <f>IF(Registro2[[#This Row],[Data de Pagamento]]="",0,IF(Registro2[[#This Row],[Conta Financeira]]=base!$A$6,0,Registro2[[#This Row],[Valor Unitário]]))</f>
        <v>35</v>
      </c>
      <c r="U11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60" t="str">
        <f>VLOOKUP(Registro2[[#This Row],[Categoria]],'Plano de Contas'!$V$3:W1210,2,0)</f>
        <v>Receitas Serviços</v>
      </c>
      <c r="X11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61" spans="1:24" hidden="1">
      <c r="A1161" s="1">
        <v>45745</v>
      </c>
      <c r="B1161" s="1">
        <v>45745</v>
      </c>
      <c r="D1161" t="s">
        <v>2</v>
      </c>
      <c r="E1161" t="s">
        <v>149</v>
      </c>
      <c r="F1161" t="s">
        <v>147</v>
      </c>
      <c r="G1161" t="s">
        <v>163</v>
      </c>
      <c r="I1161" s="4">
        <v>35</v>
      </c>
      <c r="J1161" s="4">
        <v>35</v>
      </c>
      <c r="L1161" t="s">
        <v>264</v>
      </c>
      <c r="M1161" t="s">
        <v>1058</v>
      </c>
      <c r="N1161" s="4">
        <f>IF(L1161="","",IF(OR(Registro2[[#This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61" t="str">
        <f t="shared" si="18"/>
        <v>mar/25</v>
      </c>
      <c r="P1161" t="str">
        <f>IF(Registro2[[#This Row],[Data de Pagamento]]&gt;0,TEXT(A1161,"mmm/aa"),"")</f>
        <v>mar/25</v>
      </c>
      <c r="T1161" s="4">
        <f>IF(Registro2[[#This Row],[Data de Pagamento]]="",0,IF(Registro2[[#This Row],[Conta Financeira]]=base!$A$6,0,Registro2[[#This Row],[Valor Unitário]]))</f>
        <v>35</v>
      </c>
      <c r="U11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61" t="str">
        <f>VLOOKUP(Registro2[[#This Row],[Categoria]],'Plano de Contas'!$V$3:W1211,2,0)</f>
        <v>Receitas Serviços</v>
      </c>
      <c r="X11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62" spans="1:24" hidden="1">
      <c r="A1162" s="1">
        <v>45745</v>
      </c>
      <c r="B1162" s="1">
        <v>45745</v>
      </c>
      <c r="D1162" t="s">
        <v>1</v>
      </c>
      <c r="E1162" t="s">
        <v>149</v>
      </c>
      <c r="F1162" t="s">
        <v>147</v>
      </c>
      <c r="G1162" t="s">
        <v>163</v>
      </c>
      <c r="I1162" s="4">
        <v>35</v>
      </c>
      <c r="J1162" s="4">
        <v>35</v>
      </c>
      <c r="L1162" t="s">
        <v>253</v>
      </c>
      <c r="M1162" t="s">
        <v>35</v>
      </c>
      <c r="N1162" s="4">
        <f>IF(L1162="","",IF(OR(Registro2[[#This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62" t="str">
        <f t="shared" si="18"/>
        <v>mar/25</v>
      </c>
      <c r="P1162" t="str">
        <f>IF(Registro2[[#This Row],[Data de Pagamento]]&gt;0,TEXT(A1162,"mmm/aa"),"")</f>
        <v>mar/25</v>
      </c>
      <c r="T1162" s="4">
        <f>IF(Registro2[[#This Row],[Data de Pagamento]]="",0,IF(Registro2[[#This Row],[Conta Financeira]]=base!$A$6,0,Registro2[[#This Row],[Valor Unitário]]))</f>
        <v>35</v>
      </c>
      <c r="U11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62" t="str">
        <f>VLOOKUP(Registro2[[#This Row],[Categoria]],'Plano de Contas'!$V$3:W1212,2,0)</f>
        <v>Receitas Serviços</v>
      </c>
      <c r="X116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63" spans="1:24" hidden="1">
      <c r="A1163" s="1">
        <v>45745</v>
      </c>
      <c r="B1163" s="1">
        <v>45745</v>
      </c>
      <c r="D1163" t="s">
        <v>2</v>
      </c>
      <c r="E1163" t="s">
        <v>149</v>
      </c>
      <c r="F1163" t="s">
        <v>147</v>
      </c>
      <c r="G1163" t="s">
        <v>163</v>
      </c>
      <c r="I1163" s="4">
        <v>35</v>
      </c>
      <c r="J1163" s="4">
        <v>35</v>
      </c>
      <c r="L1163" t="s">
        <v>264</v>
      </c>
      <c r="M1163" t="s">
        <v>410</v>
      </c>
      <c r="N1163" s="4">
        <f>IF(L1163="","",IF(OR(Registro2[[#This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63" t="str">
        <f t="shared" si="18"/>
        <v>mar/25</v>
      </c>
      <c r="P1163" t="str">
        <f>IF(Registro2[[#This Row],[Data de Pagamento]]&gt;0,TEXT(A1163,"mmm/aa"),"")</f>
        <v>mar/25</v>
      </c>
      <c r="T1163" s="4">
        <f>IF(Registro2[[#This Row],[Data de Pagamento]]="",0,IF(Registro2[[#This Row],[Conta Financeira]]=base!$A$6,0,Registro2[[#This Row],[Valor Unitário]]))</f>
        <v>35</v>
      </c>
      <c r="U11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63" t="str">
        <f>VLOOKUP(Registro2[[#This Row],[Categoria]],'Plano de Contas'!$V$3:W1213,2,0)</f>
        <v>Receitas Serviços</v>
      </c>
      <c r="X116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64" spans="1:24" hidden="1">
      <c r="A1164" s="1">
        <v>45745</v>
      </c>
      <c r="B1164" s="1">
        <v>45745</v>
      </c>
      <c r="D1164" t="s">
        <v>1</v>
      </c>
      <c r="E1164" t="s">
        <v>149</v>
      </c>
      <c r="F1164" t="s">
        <v>152</v>
      </c>
      <c r="G1164" t="s">
        <v>353</v>
      </c>
      <c r="I1164" s="4">
        <v>60</v>
      </c>
      <c r="J1164" s="4">
        <v>60</v>
      </c>
      <c r="L1164" t="s">
        <v>252</v>
      </c>
      <c r="M1164" t="s">
        <v>203</v>
      </c>
      <c r="N1164" s="4">
        <f>IF(L1164="","",IF(OR(Registro2[[#This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164" t="str">
        <f t="shared" si="18"/>
        <v>mar/25</v>
      </c>
      <c r="P1164" t="str">
        <f>IF(Registro2[[#This Row],[Data de Pagamento]]&gt;0,TEXT(A1164,"mmm/aa"),"")</f>
        <v>mar/25</v>
      </c>
      <c r="T1164" s="4">
        <f>IF(Registro2[[#This Row],[Data de Pagamento]]="",0,IF(Registro2[[#This Row],[Conta Financeira]]=base!$A$6,0,Registro2[[#This Row],[Valor Unitário]]))</f>
        <v>60</v>
      </c>
      <c r="U11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64" t="str">
        <f>VLOOKUP(Registro2[[#This Row],[Categoria]],'Plano de Contas'!$V$3:W1214,2,0)</f>
        <v>Receitas Serviços</v>
      </c>
      <c r="X116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65" spans="1:24" hidden="1">
      <c r="A1165" s="1">
        <v>45747</v>
      </c>
      <c r="B1165" s="1">
        <v>45747</v>
      </c>
      <c r="D1165" t="s">
        <v>947</v>
      </c>
      <c r="E1165" t="s">
        <v>137</v>
      </c>
      <c r="F1165" t="s">
        <v>138</v>
      </c>
      <c r="G1165" t="s">
        <v>266</v>
      </c>
      <c r="H1165" t="s">
        <v>266</v>
      </c>
      <c r="I1165" s="4">
        <v>2000</v>
      </c>
      <c r="J1165" s="4"/>
      <c r="N1165" s="4" t="str">
        <f>IF(L1165="","",IF(OR(Registro2[[#This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165" t="str">
        <f t="shared" si="18"/>
        <v>mar/25</v>
      </c>
      <c r="P1165" t="str">
        <f>IF(Registro2[[#This Row],[Data de Pagamento]]&gt;0,TEXT(A1165,"mmm/aa"),"")</f>
        <v>mar/25</v>
      </c>
      <c r="T1165" s="4">
        <f>IF(Registro2[[#This Row],[Data de Pagamento]]="",0,IF(Registro2[[#This Row],[Conta Financeira]]=base!$A$6,0,Registro2[[#This Row],[Valor Unitário]]))</f>
        <v>2000</v>
      </c>
      <c r="U11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65" t="str">
        <f>VLOOKUP(Registro2[[#This Row],[Categoria]],'Plano de Contas'!$V$3:W750,2,0)</f>
        <v>Custos Operacionais</v>
      </c>
      <c r="X116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66" spans="1:24" hidden="1">
      <c r="A1166" s="1">
        <v>45747</v>
      </c>
      <c r="B1166" s="1">
        <v>45747</v>
      </c>
      <c r="D1166" t="s">
        <v>1</v>
      </c>
      <c r="E1166" t="s">
        <v>149</v>
      </c>
      <c r="F1166" t="s">
        <v>147</v>
      </c>
      <c r="G1166" t="s">
        <v>163</v>
      </c>
      <c r="I1166" s="4">
        <v>35</v>
      </c>
      <c r="J1166" s="4">
        <v>35</v>
      </c>
      <c r="L1166" t="s">
        <v>252</v>
      </c>
      <c r="M1166" t="s">
        <v>277</v>
      </c>
      <c r="N1166" s="4">
        <f>IF(L1166="","",IF(OR(Registro2[[#This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66" t="str">
        <f t="shared" si="18"/>
        <v>mar/25</v>
      </c>
      <c r="P1166" t="str">
        <f>IF(Registro2[[#This Row],[Data de Pagamento]]&gt;0,TEXT(A1166,"mmm/aa"),"")</f>
        <v>mar/25</v>
      </c>
      <c r="T1166" s="4">
        <f>IF(Registro2[[#This Row],[Data de Pagamento]]="",0,IF(Registro2[[#This Row],[Conta Financeira]]=base!$A$6,0,Registro2[[#This Row],[Valor Unitário]]))</f>
        <v>35</v>
      </c>
      <c r="U11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66" t="str">
        <f>VLOOKUP(Registro2[[#This Row],[Categoria]],'Plano de Contas'!$V$3:W1215,2,0)</f>
        <v>Receitas Serviços</v>
      </c>
      <c r="X11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67" spans="1:24" hidden="1">
      <c r="A1167" s="1">
        <v>45747</v>
      </c>
      <c r="B1167" s="1">
        <v>45747</v>
      </c>
      <c r="D1167" t="s">
        <v>1</v>
      </c>
      <c r="E1167" t="s">
        <v>149</v>
      </c>
      <c r="F1167" t="s">
        <v>152</v>
      </c>
      <c r="G1167" t="s">
        <v>353</v>
      </c>
      <c r="I1167" s="4">
        <v>60</v>
      </c>
      <c r="J1167" s="4">
        <v>55</v>
      </c>
      <c r="L1167" t="s">
        <v>264</v>
      </c>
      <c r="M1167" t="s">
        <v>1857</v>
      </c>
      <c r="N1167" s="4">
        <f>IF(L1167="","",IF(OR(Registro2[[#This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167" t="str">
        <f t="shared" si="18"/>
        <v>mar/25</v>
      </c>
      <c r="P1167" t="str">
        <f>IF(Registro2[[#This Row],[Data de Pagamento]]&gt;0,TEXT(A1167,"mmm/aa"),"")</f>
        <v>mar/25</v>
      </c>
      <c r="T1167" s="4">
        <f>IF(Registro2[[#This Row],[Data de Pagamento]]="",0,IF(Registro2[[#This Row],[Conta Financeira]]=base!$A$6,0,Registro2[[#This Row],[Valor Unitário]]))</f>
        <v>60</v>
      </c>
      <c r="U11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67" t="str">
        <f>VLOOKUP(Registro2[[#This Row],[Categoria]],'Plano de Contas'!$V$3:W1216,2,0)</f>
        <v>Receitas Serviços</v>
      </c>
      <c r="X116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68" spans="1:24" hidden="1">
      <c r="A1168" s="1">
        <v>45747</v>
      </c>
      <c r="B1168" s="1">
        <v>45747</v>
      </c>
      <c r="D1168" t="s">
        <v>310</v>
      </c>
      <c r="E1168" t="s">
        <v>149</v>
      </c>
      <c r="F1168" t="s">
        <v>147</v>
      </c>
      <c r="G1168" t="s">
        <v>163</v>
      </c>
      <c r="I1168" s="4">
        <v>35</v>
      </c>
      <c r="J1168" s="4">
        <v>35</v>
      </c>
      <c r="L1168" t="s">
        <v>252</v>
      </c>
      <c r="M1168" t="s">
        <v>1561</v>
      </c>
      <c r="N1168" s="4">
        <f>IF(L1168="","",IF(OR(Registro2[[#This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68" t="str">
        <f t="shared" si="18"/>
        <v>mar/25</v>
      </c>
      <c r="P1168" t="str">
        <f>IF(Registro2[[#This Row],[Data de Pagamento]]&gt;0,TEXT(A1168,"mmm/aa"),"")</f>
        <v>mar/25</v>
      </c>
      <c r="T1168" s="4">
        <f>IF(Registro2[[#This Row],[Data de Pagamento]]="",0,IF(Registro2[[#This Row],[Conta Financeira]]=base!$A$6,0,Registro2[[#This Row],[Valor Unitário]]))</f>
        <v>35</v>
      </c>
      <c r="U11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68" t="str">
        <f>VLOOKUP(Registro2[[#This Row],[Categoria]],'Plano de Contas'!$V$3:W1217,2,0)</f>
        <v>Receitas Serviços</v>
      </c>
      <c r="X116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169" spans="1:24" hidden="1">
      <c r="A1169" s="1">
        <v>45747</v>
      </c>
      <c r="B1169" s="1">
        <v>45747</v>
      </c>
      <c r="D1169" t="s">
        <v>1</v>
      </c>
      <c r="E1169" t="s">
        <v>149</v>
      </c>
      <c r="F1169" t="s">
        <v>147</v>
      </c>
      <c r="G1169" t="s">
        <v>163</v>
      </c>
      <c r="I1169" s="4">
        <v>35</v>
      </c>
      <c r="J1169" s="4">
        <v>35</v>
      </c>
      <c r="L1169" t="s">
        <v>252</v>
      </c>
      <c r="M1169" t="s">
        <v>1177</v>
      </c>
      <c r="N1169" s="4">
        <f>IF(L1169="","",IF(OR(Registro2[[#This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69" t="str">
        <f t="shared" si="18"/>
        <v>mar/25</v>
      </c>
      <c r="P1169" t="str">
        <f>IF(Registro2[[#This Row],[Data de Pagamento]]&gt;0,TEXT(A1169,"mmm/aa"),"")</f>
        <v>mar/25</v>
      </c>
      <c r="T1169" s="4">
        <f>IF(Registro2[[#This Row],[Data de Pagamento]]="",0,IF(Registro2[[#This Row],[Conta Financeira]]=base!$A$6,0,Registro2[[#This Row],[Valor Unitário]]))</f>
        <v>35</v>
      </c>
      <c r="U11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69" t="str">
        <f>VLOOKUP(Registro2[[#This Row],[Categoria]],'Plano de Contas'!$V$3:W1218,2,0)</f>
        <v>Receitas Serviços</v>
      </c>
      <c r="X116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70" spans="1:24" hidden="1">
      <c r="A1170" s="1">
        <v>45747</v>
      </c>
      <c r="B1170" s="1">
        <v>45747</v>
      </c>
      <c r="D1170" t="s">
        <v>1</v>
      </c>
      <c r="E1170" t="s">
        <v>149</v>
      </c>
      <c r="F1170" t="s">
        <v>147</v>
      </c>
      <c r="G1170" t="s">
        <v>163</v>
      </c>
      <c r="I1170" s="4">
        <v>35</v>
      </c>
      <c r="J1170" s="4">
        <v>35</v>
      </c>
      <c r="L1170" t="s">
        <v>252</v>
      </c>
      <c r="M1170" t="s">
        <v>372</v>
      </c>
      <c r="N1170" s="4">
        <f>IF(L1170="","",IF(OR(Registro2[[#This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70" t="str">
        <f t="shared" si="18"/>
        <v>mar/25</v>
      </c>
      <c r="P1170" t="str">
        <f>IF(Registro2[[#This Row],[Data de Pagamento]]&gt;0,TEXT(A1170,"mmm/aa"),"")</f>
        <v>mar/25</v>
      </c>
      <c r="T1170" s="4">
        <f>IF(Registro2[[#This Row],[Data de Pagamento]]="",0,IF(Registro2[[#This Row],[Conta Financeira]]=base!$A$6,0,Registro2[[#This Row],[Valor Unitário]]))</f>
        <v>35</v>
      </c>
      <c r="U11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70" t="str">
        <f>VLOOKUP(Registro2[[#This Row],[Categoria]],'Plano de Contas'!$V$3:W1219,2,0)</f>
        <v>Receitas Serviços</v>
      </c>
      <c r="X117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71" spans="1:24" hidden="1">
      <c r="A1171" s="1">
        <v>45747</v>
      </c>
      <c r="B1171" s="1">
        <v>45747</v>
      </c>
      <c r="D1171" t="s">
        <v>1</v>
      </c>
      <c r="E1171" t="s">
        <v>149</v>
      </c>
      <c r="F1171" t="s">
        <v>147</v>
      </c>
      <c r="G1171" t="s">
        <v>163</v>
      </c>
      <c r="I1171" s="4">
        <v>35</v>
      </c>
      <c r="J1171" s="4">
        <v>35</v>
      </c>
      <c r="L1171" t="s">
        <v>252</v>
      </c>
      <c r="M1171" t="s">
        <v>107</v>
      </c>
      <c r="N1171" s="4">
        <f>IF(L1171="","",IF(OR(Registro2[[#This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71" t="str">
        <f t="shared" si="18"/>
        <v>mar/25</v>
      </c>
      <c r="P1171" t="str">
        <f>IF(Registro2[[#This Row],[Data de Pagamento]]&gt;0,TEXT(A1171,"mmm/aa"),"")</f>
        <v>mar/25</v>
      </c>
      <c r="T1171" s="4">
        <f>IF(Registro2[[#This Row],[Data de Pagamento]]="",0,IF(Registro2[[#This Row],[Conta Financeira]]=base!$A$6,0,Registro2[[#This Row],[Valor Unitário]]))</f>
        <v>35</v>
      </c>
      <c r="U11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71" t="str">
        <f>VLOOKUP(Registro2[[#This Row],[Categoria]],'Plano de Contas'!$V$3:W1220,2,0)</f>
        <v>Receitas Serviços</v>
      </c>
      <c r="X117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72" spans="1:24" hidden="1">
      <c r="A1172" s="1">
        <v>45747</v>
      </c>
      <c r="B1172" s="1">
        <v>45747</v>
      </c>
      <c r="D1172" t="s">
        <v>1</v>
      </c>
      <c r="E1172" t="s">
        <v>149</v>
      </c>
      <c r="F1172" t="s">
        <v>152</v>
      </c>
      <c r="G1172" t="s">
        <v>353</v>
      </c>
      <c r="I1172" s="4">
        <v>60</v>
      </c>
      <c r="J1172" s="4">
        <v>60</v>
      </c>
      <c r="L1172" t="s">
        <v>252</v>
      </c>
      <c r="M1172" t="s">
        <v>1049</v>
      </c>
      <c r="N1172" s="4">
        <f>IF(L1172="","",IF(OR(Registro2[[#This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172" t="str">
        <f t="shared" si="18"/>
        <v>mar/25</v>
      </c>
      <c r="P1172" t="str">
        <f>IF(Registro2[[#This Row],[Data de Pagamento]]&gt;0,TEXT(A1172,"mmm/aa"),"")</f>
        <v>mar/25</v>
      </c>
      <c r="T1172" s="4">
        <f>IF(Registro2[[#This Row],[Data de Pagamento]]="",0,IF(Registro2[[#This Row],[Conta Financeira]]=base!$A$6,0,Registro2[[#This Row],[Valor Unitário]]))</f>
        <v>60</v>
      </c>
      <c r="U11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72" t="str">
        <f>VLOOKUP(Registro2[[#This Row],[Categoria]],'Plano de Contas'!$V$3:W1221,2,0)</f>
        <v>Receitas Serviços</v>
      </c>
      <c r="X117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73" spans="1:24" hidden="1">
      <c r="A1173" s="1">
        <v>45747</v>
      </c>
      <c r="B1173" s="1">
        <v>45747</v>
      </c>
      <c r="D1173" t="s">
        <v>354</v>
      </c>
      <c r="E1173" t="s">
        <v>149</v>
      </c>
      <c r="F1173" t="s">
        <v>147</v>
      </c>
      <c r="G1173" t="s">
        <v>163</v>
      </c>
      <c r="I1173" s="4">
        <v>35</v>
      </c>
      <c r="J1173" s="4">
        <v>35</v>
      </c>
      <c r="L1173" t="s">
        <v>253</v>
      </c>
      <c r="M1173" t="s">
        <v>930</v>
      </c>
      <c r="N1173" s="4">
        <f>IF(L1173="","",IF(OR(Registro2[[#This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73" t="str">
        <f t="shared" si="18"/>
        <v>mar/25</v>
      </c>
      <c r="P1173" t="str">
        <f>IF(Registro2[[#This Row],[Data de Pagamento]]&gt;0,TEXT(A1173,"mmm/aa"),"")</f>
        <v>mar/25</v>
      </c>
      <c r="T1173" s="4">
        <f>IF(Registro2[[#This Row],[Data de Pagamento]]="",0,IF(Registro2[[#This Row],[Conta Financeira]]=base!$A$6,0,Registro2[[#This Row],[Valor Unitário]]))</f>
        <v>35</v>
      </c>
      <c r="U11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73" t="str">
        <f>VLOOKUP(Registro2[[#This Row],[Categoria]],'Plano de Contas'!$V$3:W1222,2,0)</f>
        <v>Receitas Serviços</v>
      </c>
      <c r="X117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174" spans="1:24" hidden="1">
      <c r="A1174" s="1">
        <v>45747</v>
      </c>
      <c r="B1174" s="1">
        <v>45747</v>
      </c>
      <c r="D1174" t="s">
        <v>354</v>
      </c>
      <c r="E1174" t="s">
        <v>149</v>
      </c>
      <c r="F1174" t="s">
        <v>147</v>
      </c>
      <c r="G1174" t="s">
        <v>163</v>
      </c>
      <c r="I1174" s="4">
        <v>35</v>
      </c>
      <c r="J1174" s="4">
        <v>35</v>
      </c>
      <c r="L1174" t="s">
        <v>252</v>
      </c>
      <c r="M1174" t="s">
        <v>1872</v>
      </c>
      <c r="N1174" s="4">
        <f>IF(L1174="","",IF(OR(Registro2[[#This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74" t="str">
        <f t="shared" si="18"/>
        <v>mar/25</v>
      </c>
      <c r="P1174" t="str">
        <f>IF(Registro2[[#This Row],[Data de Pagamento]]&gt;0,TEXT(A1174,"mmm/aa"),"")</f>
        <v>mar/25</v>
      </c>
      <c r="T1174" s="4">
        <f>IF(Registro2[[#This Row],[Data de Pagamento]]="",0,IF(Registro2[[#This Row],[Conta Financeira]]=base!$A$6,0,Registro2[[#This Row],[Valor Unitário]]))</f>
        <v>35</v>
      </c>
      <c r="U11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74" t="str">
        <f>VLOOKUP(Registro2[[#This Row],[Categoria]],'Plano de Contas'!$V$3:W1223,2,0)</f>
        <v>Receitas Serviços</v>
      </c>
      <c r="X117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175" spans="1:24" hidden="1">
      <c r="A1175" s="1">
        <v>45747</v>
      </c>
      <c r="B1175" s="1">
        <v>45747</v>
      </c>
      <c r="D1175" t="s">
        <v>354</v>
      </c>
      <c r="E1175" t="s">
        <v>149</v>
      </c>
      <c r="F1175" t="s">
        <v>147</v>
      </c>
      <c r="G1175" t="s">
        <v>163</v>
      </c>
      <c r="I1175" s="4">
        <v>35</v>
      </c>
      <c r="J1175" s="4">
        <v>35</v>
      </c>
      <c r="L1175" t="s">
        <v>253</v>
      </c>
      <c r="M1175" t="s">
        <v>1874</v>
      </c>
      <c r="N1175" s="4">
        <f>IF(L1175="","",IF(OR(Registro2[[#This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75" t="str">
        <f t="shared" si="18"/>
        <v>mar/25</v>
      </c>
      <c r="P1175" t="str">
        <f>IF(Registro2[[#This Row],[Data de Pagamento]]&gt;0,TEXT(A1175,"mmm/aa"),"")</f>
        <v>mar/25</v>
      </c>
      <c r="T1175" s="4">
        <f>IF(Registro2[[#This Row],[Data de Pagamento]]="",0,IF(Registro2[[#This Row],[Conta Financeira]]=base!$A$6,0,Registro2[[#This Row],[Valor Unitário]]))</f>
        <v>35</v>
      </c>
      <c r="U11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75" t="str">
        <f>VLOOKUP(Registro2[[#This Row],[Categoria]],'Plano de Contas'!$V$3:W1224,2,0)</f>
        <v>Receitas Serviços</v>
      </c>
      <c r="X117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176" spans="1:24" hidden="1">
      <c r="A1176" s="1">
        <v>45747</v>
      </c>
      <c r="B1176" s="1">
        <v>45747</v>
      </c>
      <c r="D1176" t="s">
        <v>354</v>
      </c>
      <c r="E1176" t="s">
        <v>149</v>
      </c>
      <c r="F1176" t="s">
        <v>147</v>
      </c>
      <c r="G1176" t="s">
        <v>163</v>
      </c>
      <c r="I1176" s="4">
        <v>35</v>
      </c>
      <c r="J1176" s="4">
        <v>70</v>
      </c>
      <c r="L1176" t="s">
        <v>252</v>
      </c>
      <c r="M1176" t="s">
        <v>936</v>
      </c>
      <c r="N1176" s="4">
        <f>IF(L1176="","",IF(OR(Registro2[[#This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76" t="str">
        <f t="shared" si="18"/>
        <v>mar/25</v>
      </c>
      <c r="P1176" t="str">
        <f>IF(Registro2[[#This Row],[Data de Pagamento]]&gt;0,TEXT(A1176,"mmm/aa"),"")</f>
        <v>mar/25</v>
      </c>
      <c r="T1176" s="4">
        <f>IF(Registro2[[#This Row],[Data de Pagamento]]="",0,IF(Registro2[[#This Row],[Conta Financeira]]=base!$A$6,0,Registro2[[#This Row],[Valor Unitário]]))</f>
        <v>35</v>
      </c>
      <c r="U11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76" t="str">
        <f>VLOOKUP(Registro2[[#This Row],[Categoria]],'Plano de Contas'!$V$3:W1225,2,0)</f>
        <v>Receitas Serviços</v>
      </c>
      <c r="X117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177" spans="1:24" hidden="1">
      <c r="A1177" s="1">
        <v>45747</v>
      </c>
      <c r="B1177" s="1">
        <v>45747</v>
      </c>
      <c r="D1177" t="s">
        <v>1</v>
      </c>
      <c r="E1177" t="s">
        <v>149</v>
      </c>
      <c r="F1177" t="s">
        <v>147</v>
      </c>
      <c r="G1177" t="s">
        <v>163</v>
      </c>
      <c r="I1177" s="4">
        <v>35</v>
      </c>
      <c r="J1177" s="4">
        <v>35</v>
      </c>
      <c r="L1177" t="s">
        <v>253</v>
      </c>
      <c r="M1177" t="s">
        <v>1879</v>
      </c>
      <c r="N1177" s="4">
        <f>IF(L1177="","",IF(OR(Registro2[[#This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77" t="str">
        <f t="shared" si="18"/>
        <v>mar/25</v>
      </c>
      <c r="P1177" t="str">
        <f>IF(Registro2[[#This Row],[Data de Pagamento]]&gt;0,TEXT(A1177,"mmm/aa"),"")</f>
        <v>mar/25</v>
      </c>
      <c r="T1177" s="4">
        <f>IF(Registro2[[#This Row],[Data de Pagamento]]="",0,IF(Registro2[[#This Row],[Conta Financeira]]=base!$A$6,0,Registro2[[#This Row],[Valor Unitário]]))</f>
        <v>35</v>
      </c>
      <c r="U11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77" t="str">
        <f>VLOOKUP(Registro2[[#This Row],[Categoria]],'Plano de Contas'!$V$3:W1226,2,0)</f>
        <v>Receitas Serviços</v>
      </c>
      <c r="X117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78" spans="1:24" hidden="1">
      <c r="A1178" s="1">
        <v>45747</v>
      </c>
      <c r="B1178" s="1">
        <v>45747</v>
      </c>
      <c r="D1178" t="s">
        <v>354</v>
      </c>
      <c r="E1178" t="s">
        <v>149</v>
      </c>
      <c r="F1178" t="s">
        <v>147</v>
      </c>
      <c r="G1178" t="s">
        <v>163</v>
      </c>
      <c r="I1178" s="4">
        <v>35</v>
      </c>
      <c r="J1178" s="4">
        <v>35</v>
      </c>
      <c r="L1178" t="s">
        <v>253</v>
      </c>
      <c r="M1178" t="s">
        <v>933</v>
      </c>
      <c r="N1178" s="4">
        <f>IF(L1178="","",IF(OR(Registro2[[#This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78" t="str">
        <f t="shared" si="18"/>
        <v>mar/25</v>
      </c>
      <c r="P1178" t="str">
        <f>IF(Registro2[[#This Row],[Data de Pagamento]]&gt;0,TEXT(A1178,"mmm/aa"),"")</f>
        <v>mar/25</v>
      </c>
      <c r="T1178" s="4">
        <f>IF(Registro2[[#This Row],[Data de Pagamento]]="",0,IF(Registro2[[#This Row],[Conta Financeira]]=base!$A$6,0,Registro2[[#This Row],[Valor Unitário]]))</f>
        <v>35</v>
      </c>
      <c r="U11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78" t="str">
        <f>VLOOKUP(Registro2[[#This Row],[Categoria]],'Plano de Contas'!$V$3:W1227,2,0)</f>
        <v>Receitas Serviços</v>
      </c>
      <c r="X117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179" spans="1:24" hidden="1">
      <c r="A1179" s="1">
        <v>45747</v>
      </c>
      <c r="B1179" s="1">
        <v>45747</v>
      </c>
      <c r="D1179" t="s">
        <v>354</v>
      </c>
      <c r="E1179" t="s">
        <v>149</v>
      </c>
      <c r="F1179" t="s">
        <v>147</v>
      </c>
      <c r="G1179" t="s">
        <v>163</v>
      </c>
      <c r="I1179" s="4">
        <v>35</v>
      </c>
      <c r="J1179" s="4">
        <v>35</v>
      </c>
      <c r="L1179" t="s">
        <v>253</v>
      </c>
      <c r="M1179" t="s">
        <v>928</v>
      </c>
      <c r="N1179" s="4">
        <f>IF(L1179="","",IF(OR(Registro2[[#This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79" t="str">
        <f t="shared" si="18"/>
        <v>mar/25</v>
      </c>
      <c r="P1179" t="str">
        <f>IF(Registro2[[#This Row],[Data de Pagamento]]&gt;0,TEXT(A1179,"mmm/aa"),"")</f>
        <v>mar/25</v>
      </c>
      <c r="T1179" s="4">
        <f>IF(Registro2[[#This Row],[Data de Pagamento]]="",0,IF(Registro2[[#This Row],[Conta Financeira]]=base!$A$6,0,Registro2[[#This Row],[Valor Unitário]]))</f>
        <v>35</v>
      </c>
      <c r="U11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79" t="str">
        <f>VLOOKUP(Registro2[[#This Row],[Categoria]],'Plano de Contas'!$V$3:W1228,2,0)</f>
        <v>Receitas Serviços</v>
      </c>
      <c r="X117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180" spans="1:24" hidden="1">
      <c r="A1180" s="1">
        <v>45747</v>
      </c>
      <c r="B1180" s="1">
        <v>45747</v>
      </c>
      <c r="D1180" t="s">
        <v>947</v>
      </c>
      <c r="E1180" t="s">
        <v>137</v>
      </c>
      <c r="F1180" t="s">
        <v>139</v>
      </c>
      <c r="G1180" t="s">
        <v>336</v>
      </c>
      <c r="H1180" t="s">
        <v>1919</v>
      </c>
      <c r="I1180" s="4">
        <v>2959.5</v>
      </c>
      <c r="J1180" s="4"/>
      <c r="L1180" t="s">
        <v>252</v>
      </c>
      <c r="N1180" s="4" t="str">
        <f>IF(L1180="","",IF(OR(Registro2[[#This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180" t="str">
        <f t="shared" si="18"/>
        <v>mar/25</v>
      </c>
      <c r="P1180" t="str">
        <f>IF(Registro2[[#This Row],[Data de Pagamento]]&gt;0,TEXT(A1180,"mmm/aa"),"")</f>
        <v>mar/25</v>
      </c>
      <c r="T1180" s="4">
        <f>IF(Registro2[[#This Row],[Data de Pagamento]]="",0,IF(Registro2[[#This Row],[Conta Financeira]]=base!$A$6,0,Registro2[[#This Row],[Valor Unitário]]))</f>
        <v>2959.5</v>
      </c>
      <c r="U11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80" t="str">
        <f>VLOOKUP(Registro2[[#This Row],[Categoria]],'Plano de Contas'!$V$3:W1255,2,0)</f>
        <v>Custos Operacionais</v>
      </c>
      <c r="X118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81" spans="1:24" hidden="1">
      <c r="A1181" s="1">
        <v>45747</v>
      </c>
      <c r="B1181" s="1">
        <v>45747</v>
      </c>
      <c r="D1181" t="s">
        <v>947</v>
      </c>
      <c r="E1181" t="s">
        <v>137</v>
      </c>
      <c r="F1181" t="s">
        <v>139</v>
      </c>
      <c r="G1181" t="s">
        <v>336</v>
      </c>
      <c r="H1181" t="s">
        <v>1920</v>
      </c>
      <c r="I1181" s="4">
        <v>2105.9</v>
      </c>
      <c r="J1181" s="4"/>
      <c r="L1181" t="s">
        <v>264</v>
      </c>
      <c r="N1181" s="4" t="str">
        <f>IF(L1181="","",IF(OR(Registro2[[#This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181" t="str">
        <f t="shared" si="18"/>
        <v>mar/25</v>
      </c>
      <c r="P1181" t="str">
        <f>IF(Registro2[[#This Row],[Data de Pagamento]]&gt;0,TEXT(A1181,"mmm/aa"),"")</f>
        <v>mar/25</v>
      </c>
      <c r="T1181" s="4">
        <f>IF(Registro2[[#This Row],[Data de Pagamento]]="",0,IF(Registro2[[#This Row],[Conta Financeira]]=base!$A$6,0,Registro2[[#This Row],[Valor Unitário]]))</f>
        <v>2105.9</v>
      </c>
      <c r="U11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81" t="str">
        <f>VLOOKUP(Registro2[[#This Row],[Categoria]],'Plano de Contas'!$V$3:W1256,2,0)</f>
        <v>Custos Operacionais</v>
      </c>
      <c r="X118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82" spans="1:24" hidden="1">
      <c r="A1182" s="1">
        <v>45747</v>
      </c>
      <c r="B1182" s="1">
        <v>45747</v>
      </c>
      <c r="D1182" t="s">
        <v>947</v>
      </c>
      <c r="E1182" t="s">
        <v>137</v>
      </c>
      <c r="F1182" t="s">
        <v>139</v>
      </c>
      <c r="G1182" t="s">
        <v>336</v>
      </c>
      <c r="H1182" t="s">
        <v>1921</v>
      </c>
      <c r="I1182" s="4">
        <v>2687.05</v>
      </c>
      <c r="J1182" s="4"/>
      <c r="L1182" t="s">
        <v>253</v>
      </c>
      <c r="N1182" s="4" t="str">
        <f>IF(L1182="","",IF(OR(Registro2[[#This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182" t="str">
        <f t="shared" si="18"/>
        <v>mar/25</v>
      </c>
      <c r="P1182" t="str">
        <f>IF(Registro2[[#This Row],[Data de Pagamento]]&gt;0,TEXT(A1182,"mmm/aa"),"")</f>
        <v>mar/25</v>
      </c>
      <c r="T1182" s="4">
        <f>IF(Registro2[[#This Row],[Data de Pagamento]]="",0,IF(Registro2[[#This Row],[Conta Financeira]]=base!$A$6,0,Registro2[[#This Row],[Valor Unitário]]))</f>
        <v>2687.05</v>
      </c>
      <c r="U11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82" t="str">
        <f>VLOOKUP(Registro2[[#This Row],[Categoria]],'Plano de Contas'!$V$3:W1257,2,0)</f>
        <v>Custos Operacionais</v>
      </c>
      <c r="X11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83" spans="1:24" hidden="1">
      <c r="A1183" s="1">
        <v>45748</v>
      </c>
      <c r="B1183" s="1">
        <v>45748</v>
      </c>
      <c r="D1183" t="s">
        <v>1</v>
      </c>
      <c r="E1183" t="s">
        <v>149</v>
      </c>
      <c r="F1183" t="s">
        <v>147</v>
      </c>
      <c r="G1183" t="s">
        <v>163</v>
      </c>
      <c r="I1183" s="4">
        <v>35</v>
      </c>
      <c r="J1183" s="4">
        <v>55</v>
      </c>
      <c r="L1183" t="s">
        <v>264</v>
      </c>
      <c r="M1183" t="s">
        <v>202</v>
      </c>
      <c r="N1183" s="4">
        <f>IF(L1183="","",IF(OR(Registro2[[#This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83" t="str">
        <f t="shared" si="18"/>
        <v>abr/25</v>
      </c>
      <c r="P1183" t="str">
        <f>IF(Registro2[[#This Row],[Data de Pagamento]]&gt;0,TEXT(A1183,"mmm/aa"),"")</f>
        <v>abr/25</v>
      </c>
      <c r="T1183" s="4">
        <f>IF(Registro2[[#This Row],[Data de Pagamento]]="",0,IF(Registro2[[#This Row],[Conta Financeira]]=base!$A$6,0,Registro2[[#This Row],[Valor Unitário]]))</f>
        <v>35</v>
      </c>
      <c r="U11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83" t="str">
        <f>VLOOKUP(Registro2[[#This Row],[Categoria]],'Plano de Contas'!$V$3:W1258,2,0)</f>
        <v>Receitas Serviços</v>
      </c>
      <c r="X11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84" spans="1:24" hidden="1">
      <c r="A1184" s="1">
        <v>45748</v>
      </c>
      <c r="B1184" s="1">
        <v>45748</v>
      </c>
      <c r="D1184" t="s">
        <v>1</v>
      </c>
      <c r="E1184" t="s">
        <v>149</v>
      </c>
      <c r="F1184" t="s">
        <v>147</v>
      </c>
      <c r="G1184" t="s">
        <v>166</v>
      </c>
      <c r="I1184" s="4">
        <v>20</v>
      </c>
      <c r="J1184" s="4" t="s">
        <v>1604</v>
      </c>
      <c r="L1184" t="s">
        <v>264</v>
      </c>
      <c r="M1184" t="s">
        <v>202</v>
      </c>
      <c r="N1184" s="4">
        <f>IF(L1184="","",IF(OR(Registro2[[#This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184" t="str">
        <f t="shared" si="18"/>
        <v>abr/25</v>
      </c>
      <c r="P1184" t="str">
        <f>IF(Registro2[[#This Row],[Data de Pagamento]]&gt;0,TEXT(A1184,"mmm/aa"),"")</f>
        <v>abr/25</v>
      </c>
      <c r="T1184" s="4">
        <f>IF(Registro2[[#This Row],[Data de Pagamento]]="",0,IF(Registro2[[#This Row],[Conta Financeira]]=base!$A$6,0,Registro2[[#This Row],[Valor Unitário]]))</f>
        <v>20</v>
      </c>
      <c r="U11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84" t="str">
        <f>VLOOKUP(Registro2[[#This Row],[Categoria]],'Plano de Contas'!$V$3:W1259,2,0)</f>
        <v>Receitas Serviços</v>
      </c>
      <c r="X118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85" spans="1:24" hidden="1">
      <c r="A1185" s="1">
        <v>45748</v>
      </c>
      <c r="B1185" s="1">
        <v>45748</v>
      </c>
      <c r="D1185" t="s">
        <v>1</v>
      </c>
      <c r="E1185" t="s">
        <v>149</v>
      </c>
      <c r="F1185" t="s">
        <v>147</v>
      </c>
      <c r="G1185" t="s">
        <v>163</v>
      </c>
      <c r="I1185" s="4">
        <v>35</v>
      </c>
      <c r="J1185" s="4">
        <v>35</v>
      </c>
      <c r="L1185" t="s">
        <v>252</v>
      </c>
      <c r="M1185" t="s">
        <v>469</v>
      </c>
      <c r="N1185" s="4">
        <f>IF(L1185="","",IF(OR(Registro2[[#This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85" t="str">
        <f t="shared" si="18"/>
        <v>abr/25</v>
      </c>
      <c r="P1185" t="str">
        <f>IF(Registro2[[#This Row],[Data de Pagamento]]&gt;0,TEXT(A1185,"mmm/aa"),"")</f>
        <v>abr/25</v>
      </c>
      <c r="T1185" s="4">
        <f>IF(Registro2[[#This Row],[Data de Pagamento]]="",0,IF(Registro2[[#This Row],[Conta Financeira]]=base!$A$6,0,Registro2[[#This Row],[Valor Unitário]]))</f>
        <v>35</v>
      </c>
      <c r="U11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85" t="str">
        <f>VLOOKUP(Registro2[[#This Row],[Categoria]],'Plano de Contas'!$V$3:W1260,2,0)</f>
        <v>Receitas Serviços</v>
      </c>
      <c r="X118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86" spans="1:24" hidden="1">
      <c r="A1186" s="1">
        <v>45748</v>
      </c>
      <c r="B1186" s="1">
        <v>45748</v>
      </c>
      <c r="D1186" t="s">
        <v>2</v>
      </c>
      <c r="E1186" t="s">
        <v>149</v>
      </c>
      <c r="F1186" t="s">
        <v>147</v>
      </c>
      <c r="G1186" t="s">
        <v>167</v>
      </c>
      <c r="I1186" s="4">
        <v>10</v>
      </c>
      <c r="J1186" s="4">
        <v>15</v>
      </c>
      <c r="L1186" t="s">
        <v>252</v>
      </c>
      <c r="M1186" t="s">
        <v>885</v>
      </c>
      <c r="N1186" s="4">
        <f>IF(L1186="","",IF(OR(Registro2[[#This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186" t="str">
        <f t="shared" si="18"/>
        <v>abr/25</v>
      </c>
      <c r="P1186" t="str">
        <f>IF(Registro2[[#This Row],[Data de Pagamento]]&gt;0,TEXT(A1186,"mmm/aa"),"")</f>
        <v>abr/25</v>
      </c>
      <c r="T1186" s="4">
        <f>IF(Registro2[[#This Row],[Data de Pagamento]]="",0,IF(Registro2[[#This Row],[Conta Financeira]]=base!$A$6,0,Registro2[[#This Row],[Valor Unitário]]))</f>
        <v>10</v>
      </c>
      <c r="U11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86" t="str">
        <f>VLOOKUP(Registro2[[#This Row],[Categoria]],'Plano de Contas'!$V$3:W1261,2,0)</f>
        <v>Receitas Serviços</v>
      </c>
      <c r="X118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87" spans="1:24" hidden="1">
      <c r="A1187" s="1">
        <v>45748</v>
      </c>
      <c r="B1187" s="1">
        <v>45748</v>
      </c>
      <c r="D1187" t="s">
        <v>1</v>
      </c>
      <c r="E1187" t="s">
        <v>149</v>
      </c>
      <c r="F1187" t="s">
        <v>147</v>
      </c>
      <c r="G1187" t="s">
        <v>160</v>
      </c>
      <c r="I1187" s="4">
        <v>12</v>
      </c>
      <c r="J1187" s="4">
        <v>25</v>
      </c>
      <c r="L1187" t="s">
        <v>264</v>
      </c>
      <c r="M1187" t="s">
        <v>286</v>
      </c>
      <c r="N1187" s="4">
        <f>IF(L1187="","",IF(OR(Registro2[[#This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1187" t="str">
        <f t="shared" si="18"/>
        <v>abr/25</v>
      </c>
      <c r="P1187" t="str">
        <f>IF(Registro2[[#This Row],[Data de Pagamento]]&gt;0,TEXT(A1187,"mmm/aa"),"")</f>
        <v>abr/25</v>
      </c>
      <c r="T1187" s="4">
        <f>IF(Registro2[[#This Row],[Data de Pagamento]]="",0,IF(Registro2[[#This Row],[Conta Financeira]]=base!$A$6,0,Registro2[[#This Row],[Valor Unitário]]))</f>
        <v>12</v>
      </c>
      <c r="U11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87" t="str">
        <f>VLOOKUP(Registro2[[#This Row],[Categoria]],'Plano de Contas'!$V$3:W1262,2,0)</f>
        <v>Receitas Serviços</v>
      </c>
      <c r="X118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88" spans="1:24" hidden="1">
      <c r="A1188" s="1">
        <v>45748</v>
      </c>
      <c r="B1188" s="1">
        <v>45748</v>
      </c>
      <c r="D1188" t="s">
        <v>1</v>
      </c>
      <c r="E1188" t="s">
        <v>149</v>
      </c>
      <c r="F1188" t="s">
        <v>147</v>
      </c>
      <c r="G1188" t="s">
        <v>163</v>
      </c>
      <c r="I1188" s="4">
        <v>35</v>
      </c>
      <c r="J1188" s="4">
        <v>35</v>
      </c>
      <c r="L1188" t="s">
        <v>253</v>
      </c>
      <c r="M1188" t="s">
        <v>40</v>
      </c>
      <c r="N1188" s="4">
        <f>IF(L1188="","",IF(OR(Registro2[[#This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88" t="str">
        <f t="shared" si="18"/>
        <v>abr/25</v>
      </c>
      <c r="P1188" t="str">
        <f>IF(Registro2[[#This Row],[Data de Pagamento]]&gt;0,TEXT(A1188,"mmm/aa"),"")</f>
        <v>abr/25</v>
      </c>
      <c r="T1188" s="4">
        <f>IF(Registro2[[#This Row],[Data de Pagamento]]="",0,IF(Registro2[[#This Row],[Conta Financeira]]=base!$A$6,0,Registro2[[#This Row],[Valor Unitário]]))</f>
        <v>35</v>
      </c>
      <c r="U11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88" t="str">
        <f>VLOOKUP(Registro2[[#This Row],[Categoria]],'Plano de Contas'!$V$3:W1263,2,0)</f>
        <v>Receitas Serviços</v>
      </c>
      <c r="X118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89" spans="1:24" hidden="1">
      <c r="A1189" s="1">
        <v>45748</v>
      </c>
      <c r="B1189" s="1">
        <v>45748</v>
      </c>
      <c r="D1189" t="s">
        <v>1</v>
      </c>
      <c r="E1189" t="s">
        <v>149</v>
      </c>
      <c r="F1189" t="s">
        <v>147</v>
      </c>
      <c r="G1189" t="s">
        <v>163</v>
      </c>
      <c r="I1189" s="4">
        <v>35</v>
      </c>
      <c r="J1189" s="4">
        <v>50</v>
      </c>
      <c r="L1189" t="s">
        <v>253</v>
      </c>
      <c r="M1189" t="s">
        <v>1894</v>
      </c>
      <c r="N1189" s="4">
        <f>IF(L1189="","",IF(OR(Registro2[[#This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89" t="str">
        <f t="shared" si="18"/>
        <v>abr/25</v>
      </c>
      <c r="P1189" t="str">
        <f>IF(Registro2[[#This Row],[Data de Pagamento]]&gt;0,TEXT(A1189,"mmm/aa"),"")</f>
        <v>abr/25</v>
      </c>
      <c r="T1189" s="4">
        <f>IF(Registro2[[#This Row],[Data de Pagamento]]="",0,IF(Registro2[[#This Row],[Conta Financeira]]=base!$A$6,0,Registro2[[#This Row],[Valor Unitário]]))</f>
        <v>35</v>
      </c>
      <c r="U11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89" t="str">
        <f>VLOOKUP(Registro2[[#This Row],[Categoria]],'Plano de Contas'!$V$3:W1265,2,0)</f>
        <v>Receitas Serviços</v>
      </c>
      <c r="X118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90" spans="1:24" hidden="1">
      <c r="A1190" s="1">
        <v>45748</v>
      </c>
      <c r="B1190" s="1">
        <v>45748</v>
      </c>
      <c r="D1190" t="s">
        <v>1</v>
      </c>
      <c r="E1190" t="s">
        <v>149</v>
      </c>
      <c r="F1190" t="s">
        <v>147</v>
      </c>
      <c r="G1190" t="s">
        <v>1046</v>
      </c>
      <c r="I1190" s="4">
        <v>15</v>
      </c>
      <c r="J1190" s="4" t="s">
        <v>1604</v>
      </c>
      <c r="L1190" t="s">
        <v>253</v>
      </c>
      <c r="M1190" t="s">
        <v>1894</v>
      </c>
      <c r="N1190" s="4">
        <f>IF(L1190="","",IF(OR(Registro2[[#This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190" t="str">
        <f t="shared" si="18"/>
        <v>abr/25</v>
      </c>
      <c r="P1190" t="str">
        <f>IF(Registro2[[#This Row],[Data de Pagamento]]&gt;0,TEXT(A1190,"mmm/aa"),"")</f>
        <v>abr/25</v>
      </c>
      <c r="T1190" s="4">
        <f>IF(Registro2[[#This Row],[Data de Pagamento]]="",0,IF(Registro2[[#This Row],[Conta Financeira]]=base!$A$6,0,Registro2[[#This Row],[Valor Unitário]]))</f>
        <v>15</v>
      </c>
      <c r="U11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90" t="str">
        <f>VLOOKUP(Registro2[[#This Row],[Categoria]],'Plano de Contas'!$V$3:W1266,2,0)</f>
        <v>Receitas Serviços</v>
      </c>
      <c r="X119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91" spans="1:24" hidden="1">
      <c r="A1191" s="1">
        <v>45748</v>
      </c>
      <c r="B1191" s="1">
        <v>45748</v>
      </c>
      <c r="D1191" t="s">
        <v>310</v>
      </c>
      <c r="E1191" t="s">
        <v>149</v>
      </c>
      <c r="F1191" t="s">
        <v>147</v>
      </c>
      <c r="G1191" t="s">
        <v>163</v>
      </c>
      <c r="I1191" s="4">
        <v>35</v>
      </c>
      <c r="J1191" s="4">
        <v>35</v>
      </c>
      <c r="L1191" t="s">
        <v>252</v>
      </c>
      <c r="M1191" t="s">
        <v>95</v>
      </c>
      <c r="N1191" s="4">
        <f>IF(L1191="","",IF(OR(Registro2[[#This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91" t="str">
        <f t="shared" si="18"/>
        <v>abr/25</v>
      </c>
      <c r="P1191" t="str">
        <f>IF(Registro2[[#This Row],[Data de Pagamento]]&gt;0,TEXT(A1191,"mmm/aa"),"")</f>
        <v>abr/25</v>
      </c>
      <c r="T1191" s="4">
        <f>IF(Registro2[[#This Row],[Data de Pagamento]]="",0,IF(Registro2[[#This Row],[Conta Financeira]]=base!$A$6,0,Registro2[[#This Row],[Valor Unitário]]))</f>
        <v>35</v>
      </c>
      <c r="U11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91" t="str">
        <f>VLOOKUP(Registro2[[#This Row],[Categoria]],'Plano de Contas'!$V$3:W1267,2,0)</f>
        <v>Receitas Serviços</v>
      </c>
      <c r="X119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192" spans="1:24" hidden="1">
      <c r="A1192" s="1">
        <v>45748</v>
      </c>
      <c r="B1192" s="1">
        <v>45748</v>
      </c>
      <c r="D1192" t="s">
        <v>354</v>
      </c>
      <c r="E1192" t="s">
        <v>149</v>
      </c>
      <c r="F1192" t="s">
        <v>147</v>
      </c>
      <c r="G1192" t="s">
        <v>163</v>
      </c>
      <c r="I1192" s="4">
        <v>35</v>
      </c>
      <c r="J1192" s="4">
        <v>60</v>
      </c>
      <c r="L1192" t="s">
        <v>253</v>
      </c>
      <c r="M1192" t="s">
        <v>1899</v>
      </c>
      <c r="N1192" s="4">
        <f>IF(L1192="","",IF(OR(Registro2[[#This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92" t="str">
        <f t="shared" si="18"/>
        <v>abr/25</v>
      </c>
      <c r="P1192" t="str">
        <f>IF(Registro2[[#This Row],[Data de Pagamento]]&gt;0,TEXT(A1192,"mmm/aa"),"")</f>
        <v>abr/25</v>
      </c>
      <c r="T1192" s="4">
        <f>IF(Registro2[[#This Row],[Data de Pagamento]]="",0,IF(Registro2[[#This Row],[Conta Financeira]]=base!$A$6,0,Registro2[[#This Row],[Valor Unitário]]))</f>
        <v>35</v>
      </c>
      <c r="U11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92" t="str">
        <f>VLOOKUP(Registro2[[#This Row],[Categoria]],'Plano de Contas'!$V$3:W1268,2,0)</f>
        <v>Receitas Serviços</v>
      </c>
      <c r="X119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193" spans="1:24" hidden="1">
      <c r="A1193" s="1">
        <v>45748</v>
      </c>
      <c r="B1193" s="1">
        <v>45748</v>
      </c>
      <c r="D1193" t="s">
        <v>354</v>
      </c>
      <c r="E1193" t="s">
        <v>149</v>
      </c>
      <c r="F1193" t="s">
        <v>150</v>
      </c>
      <c r="G1193" t="s">
        <v>508</v>
      </c>
      <c r="I1193" s="4">
        <v>25</v>
      </c>
      <c r="J1193" s="4" t="s">
        <v>1604</v>
      </c>
      <c r="L1193" t="s">
        <v>252</v>
      </c>
      <c r="M1193" t="s">
        <v>1899</v>
      </c>
      <c r="N1193" s="4">
        <f>IF(L1193="","",IF(OR(Registro2[[#This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193" t="str">
        <f t="shared" si="18"/>
        <v>abr/25</v>
      </c>
      <c r="P1193" t="str">
        <f>IF(Registro2[[#This Row],[Data de Pagamento]]&gt;0,TEXT(A1193,"mmm/aa"),"")</f>
        <v>abr/25</v>
      </c>
      <c r="T1193" s="4">
        <f>IF(Registro2[[#This Row],[Data de Pagamento]]="",0,IF(Registro2[[#This Row],[Conta Financeira]]=base!$A$6,0,Registro2[[#This Row],[Valor Unitário]]))</f>
        <v>25</v>
      </c>
      <c r="U11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93" t="str">
        <f>VLOOKUP(Registro2[[#This Row],[Categoria]],'Plano de Contas'!$V$3:W1269,2,0)</f>
        <v>Receitas Produtos</v>
      </c>
      <c r="X119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0.78749999999999998</v>
      </c>
    </row>
    <row r="1194" spans="1:24" hidden="1">
      <c r="A1194" s="1">
        <v>45748</v>
      </c>
      <c r="B1194" s="1">
        <v>45748</v>
      </c>
      <c r="D1194" t="s">
        <v>2</v>
      </c>
      <c r="E1194" t="s">
        <v>149</v>
      </c>
      <c r="F1194" t="s">
        <v>147</v>
      </c>
      <c r="G1194" t="s">
        <v>160</v>
      </c>
      <c r="I1194" s="4">
        <v>12</v>
      </c>
      <c r="J1194" s="4">
        <v>10</v>
      </c>
      <c r="L1194" t="s">
        <v>252</v>
      </c>
      <c r="M1194" t="s">
        <v>491</v>
      </c>
      <c r="N1194" s="4">
        <f>IF(L1194="","",IF(OR(Registro2[[#This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1194" t="str">
        <f t="shared" si="18"/>
        <v>abr/25</v>
      </c>
      <c r="P1194" t="str">
        <f>IF(Registro2[[#This Row],[Data de Pagamento]]&gt;0,TEXT(A1194,"mmm/aa"),"")</f>
        <v>abr/25</v>
      </c>
      <c r="T1194" s="4">
        <f>IF(Registro2[[#This Row],[Data de Pagamento]]="",0,IF(Registro2[[#This Row],[Conta Financeira]]=base!$A$6,0,Registro2[[#This Row],[Valor Unitário]]))</f>
        <v>12</v>
      </c>
      <c r="U11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94" t="str">
        <f>VLOOKUP(Registro2[[#This Row],[Categoria]],'Plano de Contas'!$V$3:W1270,2,0)</f>
        <v>Receitas Serviços</v>
      </c>
      <c r="X119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95" spans="1:24" hidden="1">
      <c r="A1195" s="1">
        <v>45748</v>
      </c>
      <c r="B1195" s="1">
        <v>45748</v>
      </c>
      <c r="D1195" t="s">
        <v>354</v>
      </c>
      <c r="E1195" t="s">
        <v>149</v>
      </c>
      <c r="F1195" t="s">
        <v>147</v>
      </c>
      <c r="G1195" t="s">
        <v>163</v>
      </c>
      <c r="I1195" s="4">
        <v>35</v>
      </c>
      <c r="J1195" s="4">
        <v>35</v>
      </c>
      <c r="L1195" t="s">
        <v>264</v>
      </c>
      <c r="M1195" t="s">
        <v>1903</v>
      </c>
      <c r="N1195" s="4">
        <f>IF(L1195="","",IF(OR(Registro2[[#This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95" t="str">
        <f t="shared" si="18"/>
        <v>abr/25</v>
      </c>
      <c r="P1195" t="str">
        <f>IF(Registro2[[#This Row],[Data de Pagamento]]&gt;0,TEXT(A1195,"mmm/aa"),"")</f>
        <v>abr/25</v>
      </c>
      <c r="T1195" s="4">
        <f>IF(Registro2[[#This Row],[Data de Pagamento]]="",0,IF(Registro2[[#This Row],[Conta Financeira]]=base!$A$6,0,Registro2[[#This Row],[Valor Unitário]]))</f>
        <v>35</v>
      </c>
      <c r="U11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95" t="str">
        <f>VLOOKUP(Registro2[[#This Row],[Categoria]],'Plano de Contas'!$V$3:W1271,2,0)</f>
        <v>Receitas Serviços</v>
      </c>
      <c r="X119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196" spans="1:24" hidden="1">
      <c r="A1196" s="1">
        <v>45748</v>
      </c>
      <c r="B1196" s="1">
        <v>45748</v>
      </c>
      <c r="D1196" t="s">
        <v>1</v>
      </c>
      <c r="E1196" t="s">
        <v>149</v>
      </c>
      <c r="F1196" t="s">
        <v>152</v>
      </c>
      <c r="G1196" t="s">
        <v>353</v>
      </c>
      <c r="I1196" s="4">
        <v>60</v>
      </c>
      <c r="J1196" s="4">
        <v>55</v>
      </c>
      <c r="L1196" t="s">
        <v>252</v>
      </c>
      <c r="M1196" t="s">
        <v>783</v>
      </c>
      <c r="N1196" s="4">
        <f>IF(L1196="","",IF(OR(Registro2[[#This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196" t="str">
        <f t="shared" si="18"/>
        <v>abr/25</v>
      </c>
      <c r="P1196" t="str">
        <f>IF(Registro2[[#This Row],[Data de Pagamento]]&gt;0,TEXT(A1196,"mmm/aa"),"")</f>
        <v>abr/25</v>
      </c>
      <c r="T1196" s="4">
        <f>IF(Registro2[[#This Row],[Data de Pagamento]]="",0,IF(Registro2[[#This Row],[Conta Financeira]]=base!$A$6,0,Registro2[[#This Row],[Valor Unitário]]))</f>
        <v>60</v>
      </c>
      <c r="U11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96" t="str">
        <f>VLOOKUP(Registro2[[#This Row],[Categoria]],'Plano de Contas'!$V$3:W1272,2,0)</f>
        <v>Receitas Serviços</v>
      </c>
      <c r="X119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97" spans="1:24" hidden="1">
      <c r="A1197" s="1">
        <v>45748</v>
      </c>
      <c r="B1197" s="1">
        <v>45748</v>
      </c>
      <c r="D1197" t="s">
        <v>1</v>
      </c>
      <c r="E1197" t="s">
        <v>149</v>
      </c>
      <c r="F1197" t="s">
        <v>152</v>
      </c>
      <c r="G1197" t="s">
        <v>353</v>
      </c>
      <c r="I1197" s="4">
        <v>60</v>
      </c>
      <c r="J1197" s="4">
        <v>90</v>
      </c>
      <c r="L1197" t="s">
        <v>253</v>
      </c>
      <c r="M1197" t="s">
        <v>1908</v>
      </c>
      <c r="N1197" s="4">
        <f>IF(L1197="","",IF(OR(Registro2[[#This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197" t="str">
        <f t="shared" si="18"/>
        <v>abr/25</v>
      </c>
      <c r="P1197" t="str">
        <f>IF(Registro2[[#This Row],[Data de Pagamento]]&gt;0,TEXT(A1197,"mmm/aa"),"")</f>
        <v>abr/25</v>
      </c>
      <c r="T1197" s="4">
        <f>IF(Registro2[[#This Row],[Data de Pagamento]]="",0,IF(Registro2[[#This Row],[Conta Financeira]]=base!$A$6,0,Registro2[[#This Row],[Valor Unitário]]))</f>
        <v>60</v>
      </c>
      <c r="U11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97" t="str">
        <f>VLOOKUP(Registro2[[#This Row],[Categoria]],'Plano de Contas'!$V$3:W1273,2,0)</f>
        <v>Receitas Serviços</v>
      </c>
      <c r="X119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98" spans="1:24" hidden="1">
      <c r="A1198" s="1">
        <v>45748</v>
      </c>
      <c r="B1198" s="1">
        <v>45748</v>
      </c>
      <c r="D1198" t="s">
        <v>1</v>
      </c>
      <c r="E1198" t="s">
        <v>149</v>
      </c>
      <c r="F1198" t="s">
        <v>150</v>
      </c>
      <c r="G1198" t="s">
        <v>513</v>
      </c>
      <c r="I1198" s="4">
        <v>30</v>
      </c>
      <c r="J1198" s="4" t="s">
        <v>1604</v>
      </c>
      <c r="L1198" t="s">
        <v>253</v>
      </c>
      <c r="M1198" t="s">
        <v>1908</v>
      </c>
      <c r="N1198" s="4">
        <f>IF(L1198="","",IF(OR(Registro2[[#This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12</v>
      </c>
      <c r="O1198" t="str">
        <f t="shared" si="18"/>
        <v>abr/25</v>
      </c>
      <c r="P1198" t="str">
        <f>IF(Registro2[[#This Row],[Data de Pagamento]]&gt;0,TEXT(A1198,"mmm/aa"),"")</f>
        <v>abr/25</v>
      </c>
      <c r="T1198" s="4">
        <f>IF(Registro2[[#This Row],[Data de Pagamento]]="",0,IF(Registro2[[#This Row],[Conta Financeira]]=base!$A$6,0,Registro2[[#This Row],[Valor Unitário]]))</f>
        <v>30</v>
      </c>
      <c r="U11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98" t="str">
        <f>VLOOKUP(Registro2[[#This Row],[Categoria]],'Plano de Contas'!$V$3:W1274,2,0)</f>
        <v>Receitas Produtos</v>
      </c>
      <c r="X119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199" spans="1:24" hidden="1">
      <c r="A1199" s="1">
        <v>45749</v>
      </c>
      <c r="B1199" s="1">
        <v>45749</v>
      </c>
      <c r="D1199" t="s">
        <v>2</v>
      </c>
      <c r="E1199" t="s">
        <v>149</v>
      </c>
      <c r="F1199" t="s">
        <v>147</v>
      </c>
      <c r="G1199" t="s">
        <v>163</v>
      </c>
      <c r="I1199" s="4">
        <v>35</v>
      </c>
      <c r="J1199" s="4">
        <v>35</v>
      </c>
      <c r="L1199" t="s">
        <v>253</v>
      </c>
      <c r="M1199" t="s">
        <v>89</v>
      </c>
      <c r="N1199" s="4">
        <f>IF(L1199="","",IF(OR(Registro2[[#This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199" t="str">
        <f t="shared" si="18"/>
        <v>abr/25</v>
      </c>
      <c r="P1199" t="str">
        <f>IF(Registro2[[#This Row],[Data de Pagamento]]&gt;0,TEXT(A1199,"mmm/aa"),"")</f>
        <v>abr/25</v>
      </c>
      <c r="T1199" s="4">
        <f>IF(Registro2[[#This Row],[Data de Pagamento]]="",0,IF(Registro2[[#This Row],[Conta Financeira]]=base!$A$6,0,Registro2[[#This Row],[Valor Unitário]]))</f>
        <v>35</v>
      </c>
      <c r="U11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199" t="str">
        <f>VLOOKUP(Registro2[[#This Row],[Categoria]],'Plano de Contas'!$V$3:W1275,2,0)</f>
        <v>Receitas Serviços</v>
      </c>
      <c r="X119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00" spans="1:24" hidden="1">
      <c r="A1200" s="1">
        <v>45749</v>
      </c>
      <c r="B1200" s="1">
        <v>45749</v>
      </c>
      <c r="D1200" t="s">
        <v>354</v>
      </c>
      <c r="E1200" t="s">
        <v>149</v>
      </c>
      <c r="F1200" t="s">
        <v>147</v>
      </c>
      <c r="G1200" t="s">
        <v>163</v>
      </c>
      <c r="I1200" s="4">
        <v>35</v>
      </c>
      <c r="J1200" s="4">
        <v>35</v>
      </c>
      <c r="L1200" t="s">
        <v>264</v>
      </c>
      <c r="M1200" t="s">
        <v>1457</v>
      </c>
      <c r="N1200" s="4">
        <f>IF(L1200="","",IF(OR(Registro2[[#This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00" t="str">
        <f t="shared" si="18"/>
        <v>abr/25</v>
      </c>
      <c r="P1200" t="str">
        <f>IF(Registro2[[#This Row],[Data de Pagamento]]&gt;0,TEXT(A1200,"mmm/aa"),"")</f>
        <v>abr/25</v>
      </c>
      <c r="T1200" s="4">
        <f>IF(Registro2[[#This Row],[Data de Pagamento]]="",0,IF(Registro2[[#This Row],[Conta Financeira]]=base!$A$6,0,Registro2[[#This Row],[Valor Unitário]]))</f>
        <v>35</v>
      </c>
      <c r="U12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00" t="str">
        <f>VLOOKUP(Registro2[[#This Row],[Categoria]],'Plano de Contas'!$V$3:W1280,2,0)</f>
        <v>Receitas Serviços</v>
      </c>
      <c r="X120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201" spans="1:24" hidden="1">
      <c r="A1201" s="1">
        <v>45749</v>
      </c>
      <c r="B1201" s="1">
        <v>45749</v>
      </c>
      <c r="D1201" t="s">
        <v>310</v>
      </c>
      <c r="E1201" t="s">
        <v>149</v>
      </c>
      <c r="F1201" t="s">
        <v>152</v>
      </c>
      <c r="G1201" t="s">
        <v>306</v>
      </c>
      <c r="I1201" s="4">
        <v>55</v>
      </c>
      <c r="J1201" s="4">
        <v>80</v>
      </c>
      <c r="L1201" t="s">
        <v>253</v>
      </c>
      <c r="M1201" t="s">
        <v>1936</v>
      </c>
      <c r="N1201" s="4">
        <f>IF(L1201="","",IF(OR(Registro2[[#This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1201" t="str">
        <f t="shared" si="18"/>
        <v>abr/25</v>
      </c>
      <c r="P1201" t="str">
        <f>IF(Registro2[[#This Row],[Data de Pagamento]]&gt;0,TEXT(A1201,"mmm/aa"),"")</f>
        <v>abr/25</v>
      </c>
      <c r="T1201" s="4">
        <f>IF(Registro2[[#This Row],[Data de Pagamento]]="",0,IF(Registro2[[#This Row],[Conta Financeira]]=base!$A$6,0,Registro2[[#This Row],[Valor Unitário]]))</f>
        <v>55</v>
      </c>
      <c r="U12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01" t="str">
        <f>VLOOKUP(Registro2[[#This Row],[Categoria]],'Plano de Contas'!$V$3:W1281,2,0)</f>
        <v>Receitas Serviços</v>
      </c>
      <c r="X120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0.48949999999999999</v>
      </c>
    </row>
    <row r="1202" spans="1:24" hidden="1">
      <c r="A1202" s="1">
        <v>45749</v>
      </c>
      <c r="B1202" s="1">
        <v>45749</v>
      </c>
      <c r="D1202" t="s">
        <v>310</v>
      </c>
      <c r="E1202" t="s">
        <v>149</v>
      </c>
      <c r="F1202" t="s">
        <v>147</v>
      </c>
      <c r="G1202" t="s">
        <v>1046</v>
      </c>
      <c r="I1202" s="4">
        <v>25</v>
      </c>
      <c r="J1202" s="4" t="s">
        <v>1604</v>
      </c>
      <c r="L1202" t="s">
        <v>253</v>
      </c>
      <c r="M1202" t="s">
        <v>1936</v>
      </c>
      <c r="N1202" s="4">
        <f>IF(L1202="","",IF(OR(Registro2[[#This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1202" t="str">
        <f t="shared" si="18"/>
        <v>abr/25</v>
      </c>
      <c r="P1202" t="str">
        <f>IF(Registro2[[#This Row],[Data de Pagamento]]&gt;0,TEXT(A1202,"mmm/aa"),"")</f>
        <v>abr/25</v>
      </c>
      <c r="T1202" s="4">
        <f>IF(Registro2[[#This Row],[Data de Pagamento]]="",0,IF(Registro2[[#This Row],[Conta Financeira]]=base!$A$6,0,Registro2[[#This Row],[Valor Unitário]]))</f>
        <v>25</v>
      </c>
      <c r="U12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02" t="str">
        <f>VLOOKUP(Registro2[[#This Row],[Categoria]],'Plano de Contas'!$V$3:W1282,2,0)</f>
        <v>Receitas Serviços</v>
      </c>
      <c r="X120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0.2225</v>
      </c>
    </row>
    <row r="1203" spans="1:24" hidden="1">
      <c r="A1203" s="1">
        <v>45749</v>
      </c>
      <c r="B1203" s="1">
        <v>45749</v>
      </c>
      <c r="D1203" t="s">
        <v>1</v>
      </c>
      <c r="E1203" t="s">
        <v>149</v>
      </c>
      <c r="F1203" t="s">
        <v>147</v>
      </c>
      <c r="G1203" t="s">
        <v>163</v>
      </c>
      <c r="I1203" s="4">
        <v>35</v>
      </c>
      <c r="J1203" s="4">
        <v>35</v>
      </c>
      <c r="L1203" t="s">
        <v>253</v>
      </c>
      <c r="M1203" t="s">
        <v>487</v>
      </c>
      <c r="N1203" s="4">
        <f>IF(L1203="","",IF(OR(Registro2[[#This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03" t="str">
        <f t="shared" si="18"/>
        <v>abr/25</v>
      </c>
      <c r="P1203" t="str">
        <f>IF(Registro2[[#This Row],[Data de Pagamento]]&gt;0,TEXT(A1203,"mmm/aa"),"")</f>
        <v>abr/25</v>
      </c>
      <c r="T1203" s="4">
        <f>IF(Registro2[[#This Row],[Data de Pagamento]]="",0,IF(Registro2[[#This Row],[Conta Financeira]]=base!$A$6,0,Registro2[[#This Row],[Valor Unitário]]))</f>
        <v>35</v>
      </c>
      <c r="U12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03" t="str">
        <f>VLOOKUP(Registro2[[#This Row],[Categoria]],'Plano de Contas'!$V$3:W1284,2,0)</f>
        <v>Receitas Serviços</v>
      </c>
      <c r="X12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04" spans="1:24" hidden="1">
      <c r="A1204" s="1">
        <v>45749</v>
      </c>
      <c r="B1204" s="1">
        <v>45749</v>
      </c>
      <c r="D1204" t="s">
        <v>1</v>
      </c>
      <c r="E1204" t="s">
        <v>149</v>
      </c>
      <c r="F1204" t="s">
        <v>152</v>
      </c>
      <c r="G1204" t="s">
        <v>353</v>
      </c>
      <c r="I1204" s="4">
        <v>50</v>
      </c>
      <c r="J1204" s="4">
        <v>50</v>
      </c>
      <c r="L1204" t="s">
        <v>264</v>
      </c>
      <c r="M1204" t="s">
        <v>483</v>
      </c>
      <c r="N1204" s="4">
        <f>IF(L1204="","",IF(OR(Registro2[[#This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204" t="str">
        <f t="shared" si="18"/>
        <v>abr/25</v>
      </c>
      <c r="P1204" t="str">
        <f>IF(Registro2[[#This Row],[Data de Pagamento]]&gt;0,TEXT(A1204,"mmm/aa"),"")</f>
        <v>abr/25</v>
      </c>
      <c r="T1204" s="4">
        <f>IF(Registro2[[#This Row],[Data de Pagamento]]="",0,IF(Registro2[[#This Row],[Conta Financeira]]=base!$A$6,0,Registro2[[#This Row],[Valor Unitário]]))</f>
        <v>50</v>
      </c>
      <c r="U12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04" t="str">
        <f>VLOOKUP(Registro2[[#This Row],[Categoria]],'Plano de Contas'!$V$3:W1285,2,0)</f>
        <v>Receitas Serviços</v>
      </c>
      <c r="X12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05" spans="1:24" hidden="1">
      <c r="A1205" s="1">
        <v>45749</v>
      </c>
      <c r="B1205" s="1">
        <v>45749</v>
      </c>
      <c r="D1205" t="s">
        <v>2</v>
      </c>
      <c r="E1205" t="s">
        <v>149</v>
      </c>
      <c r="F1205" t="s">
        <v>147</v>
      </c>
      <c r="G1205" t="s">
        <v>163</v>
      </c>
      <c r="I1205" s="4">
        <v>35</v>
      </c>
      <c r="J1205" s="4">
        <v>35</v>
      </c>
      <c r="L1205" t="s">
        <v>253</v>
      </c>
      <c r="M1205" t="s">
        <v>53</v>
      </c>
      <c r="N1205" s="4">
        <f>IF(L1205="","",IF(OR(Registro2[[#This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05" t="str">
        <f t="shared" si="18"/>
        <v>abr/25</v>
      </c>
      <c r="P1205" t="str">
        <f>IF(Registro2[[#This Row],[Data de Pagamento]]&gt;0,TEXT(A1205,"mmm/aa"),"")</f>
        <v>abr/25</v>
      </c>
      <c r="T1205" s="4">
        <f>IF(Registro2[[#This Row],[Data de Pagamento]]="",0,IF(Registro2[[#This Row],[Conta Financeira]]=base!$A$6,0,Registro2[[#This Row],[Valor Unitário]]))</f>
        <v>35</v>
      </c>
      <c r="U12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05" t="str">
        <f>VLOOKUP(Registro2[[#This Row],[Categoria]],'Plano de Contas'!$V$3:W1286,2,0)</f>
        <v>Receitas Serviços</v>
      </c>
      <c r="X12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06" spans="1:24" hidden="1">
      <c r="A1206" s="1">
        <v>45749</v>
      </c>
      <c r="B1206" s="1">
        <v>45749</v>
      </c>
      <c r="D1206" t="s">
        <v>1</v>
      </c>
      <c r="E1206" t="s">
        <v>149</v>
      </c>
      <c r="F1206" t="s">
        <v>147</v>
      </c>
      <c r="G1206" t="s">
        <v>163</v>
      </c>
      <c r="I1206" s="4">
        <v>35</v>
      </c>
      <c r="J1206" s="4">
        <v>35</v>
      </c>
      <c r="L1206" t="s">
        <v>264</v>
      </c>
      <c r="M1206" t="s">
        <v>1947</v>
      </c>
      <c r="N1206" s="4">
        <f>IF(L1206="","",IF(OR(Registro2[[#This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06" t="str">
        <f t="shared" si="18"/>
        <v>abr/25</v>
      </c>
      <c r="P1206" t="str">
        <f>IF(Registro2[[#This Row],[Data de Pagamento]]&gt;0,TEXT(A1206,"mmm/aa"),"")</f>
        <v>abr/25</v>
      </c>
      <c r="T1206" s="4">
        <f>IF(Registro2[[#This Row],[Data de Pagamento]]="",0,IF(Registro2[[#This Row],[Conta Financeira]]=base!$A$6,0,Registro2[[#This Row],[Valor Unitário]]))</f>
        <v>35</v>
      </c>
      <c r="U12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06" t="str">
        <f>VLOOKUP(Registro2[[#This Row],[Categoria]],'Plano de Contas'!$V$3:W1287,2,0)</f>
        <v>Receitas Serviços</v>
      </c>
      <c r="X120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07" spans="1:24" hidden="1">
      <c r="A1207" s="1">
        <v>45749</v>
      </c>
      <c r="B1207" s="1">
        <v>45749</v>
      </c>
      <c r="D1207" t="s">
        <v>310</v>
      </c>
      <c r="E1207" t="s">
        <v>149</v>
      </c>
      <c r="F1207" t="s">
        <v>152</v>
      </c>
      <c r="G1207" t="s">
        <v>353</v>
      </c>
      <c r="I1207" s="4">
        <v>60</v>
      </c>
      <c r="J1207" s="4">
        <v>110</v>
      </c>
      <c r="L1207" t="s">
        <v>253</v>
      </c>
      <c r="M1207" t="s">
        <v>1950</v>
      </c>
      <c r="N1207" s="4">
        <f>IF(L1207="","",IF(OR(Registro2[[#This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207" t="str">
        <f t="shared" si="18"/>
        <v>abr/25</v>
      </c>
      <c r="P1207" t="str">
        <f>IF(Registro2[[#This Row],[Data de Pagamento]]&gt;0,TEXT(A1207,"mmm/aa"),"")</f>
        <v>abr/25</v>
      </c>
      <c r="T1207" s="4">
        <f>IF(Registro2[[#This Row],[Data de Pagamento]]="",0,IF(Registro2[[#This Row],[Conta Financeira]]=base!$A$6,0,Registro2[[#This Row],[Valor Unitário]]))</f>
        <v>60</v>
      </c>
      <c r="U12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07" t="str">
        <f>VLOOKUP(Registro2[[#This Row],[Categoria]],'Plano de Contas'!$V$3:W1288,2,0)</f>
        <v>Receitas Serviços</v>
      </c>
      <c r="X120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</row>
    <row r="1208" spans="1:24" hidden="1">
      <c r="A1208" s="1">
        <v>45749</v>
      </c>
      <c r="B1208" s="1">
        <v>45749</v>
      </c>
      <c r="D1208" t="s">
        <v>310</v>
      </c>
      <c r="E1208" t="s">
        <v>149</v>
      </c>
      <c r="F1208" t="s">
        <v>147</v>
      </c>
      <c r="G1208" t="s">
        <v>1187</v>
      </c>
      <c r="I1208" s="4">
        <v>15</v>
      </c>
      <c r="J1208" s="4" t="s">
        <v>1604</v>
      </c>
      <c r="L1208" t="s">
        <v>253</v>
      </c>
      <c r="M1208" t="s">
        <v>1950</v>
      </c>
      <c r="N1208" s="4">
        <f>IF(L1208="","",IF(OR(Registro2[[#This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208" t="str">
        <f t="shared" si="18"/>
        <v>abr/25</v>
      </c>
      <c r="P1208" t="str">
        <f>IF(Registro2[[#This Row],[Data de Pagamento]]&gt;0,TEXT(A1208,"mmm/aa"),"")</f>
        <v>abr/25</v>
      </c>
      <c r="T1208" s="4">
        <f>IF(Registro2[[#This Row],[Data de Pagamento]]="",0,IF(Registro2[[#This Row],[Conta Financeira]]=base!$A$6,0,Registro2[[#This Row],[Valor Unitário]]))</f>
        <v>15</v>
      </c>
      <c r="U12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08" t="str">
        <f>VLOOKUP(Registro2[[#This Row],[Categoria]],'Plano de Contas'!$V$3:W1289,2,0)</f>
        <v>Receitas Serviços</v>
      </c>
      <c r="X120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</row>
    <row r="1209" spans="1:24" hidden="1">
      <c r="A1209" s="1">
        <v>45749</v>
      </c>
      <c r="B1209" s="1">
        <v>45749</v>
      </c>
      <c r="D1209" t="s">
        <v>310</v>
      </c>
      <c r="E1209" t="s">
        <v>149</v>
      </c>
      <c r="F1209" t="s">
        <v>150</v>
      </c>
      <c r="G1209" t="s">
        <v>513</v>
      </c>
      <c r="I1209" s="4">
        <v>35</v>
      </c>
      <c r="J1209" s="4" t="s">
        <v>1604</v>
      </c>
      <c r="L1209" t="s">
        <v>253</v>
      </c>
      <c r="M1209" t="s">
        <v>1950</v>
      </c>
      <c r="N1209" s="4">
        <f>IF(L1209="","",IF(OR(Registro2[[#This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14</v>
      </c>
      <c r="O1209" t="str">
        <f t="shared" si="18"/>
        <v>abr/25</v>
      </c>
      <c r="P1209" t="str">
        <f>IF(Registro2[[#This Row],[Data de Pagamento]]&gt;0,TEXT(A1209,"mmm/aa"),"")</f>
        <v>abr/25</v>
      </c>
      <c r="T1209" s="4">
        <f>IF(Registro2[[#This Row],[Data de Pagamento]]="",0,IF(Registro2[[#This Row],[Conta Financeira]]=base!$A$6,0,Registro2[[#This Row],[Valor Unitário]]))</f>
        <v>35</v>
      </c>
      <c r="U12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09" t="str">
        <f>VLOOKUP(Registro2[[#This Row],[Categoria]],'Plano de Contas'!$V$3:W1290,2,0)</f>
        <v>Receitas Produtos</v>
      </c>
      <c r="X120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210" spans="1:24" hidden="1">
      <c r="A1210" s="1">
        <v>45749</v>
      </c>
      <c r="B1210" s="1">
        <v>45749</v>
      </c>
      <c r="D1210" t="s">
        <v>354</v>
      </c>
      <c r="E1210" t="s">
        <v>149</v>
      </c>
      <c r="F1210" t="s">
        <v>147</v>
      </c>
      <c r="G1210" t="s">
        <v>1046</v>
      </c>
      <c r="I1210" s="4">
        <v>35</v>
      </c>
      <c r="J1210" s="4">
        <v>35</v>
      </c>
      <c r="L1210" t="s">
        <v>264</v>
      </c>
      <c r="M1210" t="s">
        <v>1154</v>
      </c>
      <c r="N1210" s="4">
        <f>IF(L1210="","",IF(OR(Registro2[[#This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10" t="str">
        <f t="shared" si="18"/>
        <v>abr/25</v>
      </c>
      <c r="P1210" t="str">
        <f>IF(Registro2[[#This Row],[Data de Pagamento]]&gt;0,TEXT(A1210,"mmm/aa"),"")</f>
        <v>abr/25</v>
      </c>
      <c r="T1210" s="4">
        <f>IF(Registro2[[#This Row],[Data de Pagamento]]="",0,IF(Registro2[[#This Row],[Conta Financeira]]=base!$A$6,0,Registro2[[#This Row],[Valor Unitário]]))</f>
        <v>35</v>
      </c>
      <c r="U12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10" t="str">
        <f>VLOOKUP(Registro2[[#This Row],[Categoria]],'Plano de Contas'!$V$3:W1291,2,0)</f>
        <v>Receitas Serviços</v>
      </c>
      <c r="X121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211" spans="1:24" hidden="1">
      <c r="A1211" s="1">
        <v>45749</v>
      </c>
      <c r="B1211" s="1">
        <v>45749</v>
      </c>
      <c r="D1211" t="s">
        <v>354</v>
      </c>
      <c r="E1211" t="s">
        <v>149</v>
      </c>
      <c r="F1211" t="s">
        <v>147</v>
      </c>
      <c r="G1211" t="s">
        <v>163</v>
      </c>
      <c r="I1211" s="4">
        <v>35</v>
      </c>
      <c r="J1211" s="4">
        <v>80</v>
      </c>
      <c r="L1211" t="s">
        <v>264</v>
      </c>
      <c r="M1211" t="s">
        <v>382</v>
      </c>
      <c r="N1211" s="4">
        <f>IF(L1211="","",IF(OR(Registro2[[#This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11" t="str">
        <f t="shared" si="18"/>
        <v>abr/25</v>
      </c>
      <c r="P1211" t="str">
        <f>IF(Registro2[[#This Row],[Data de Pagamento]]&gt;0,TEXT(A1211,"mmm/aa"),"")</f>
        <v>abr/25</v>
      </c>
      <c r="T1211" s="4">
        <f>IF(Registro2[[#This Row],[Data de Pagamento]]="",0,IF(Registro2[[#This Row],[Conta Financeira]]=base!$A$6,0,Registro2[[#This Row],[Valor Unitário]]))</f>
        <v>35</v>
      </c>
      <c r="U12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11" t="str">
        <f>VLOOKUP(Registro2[[#This Row],[Categoria]],'Plano de Contas'!$V$3:W1292,2,0)</f>
        <v>Receitas Serviços</v>
      </c>
      <c r="X121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212" spans="1:24" hidden="1">
      <c r="A1212" s="1">
        <v>45749</v>
      </c>
      <c r="B1212" s="1">
        <v>45749</v>
      </c>
      <c r="D1212" t="s">
        <v>354</v>
      </c>
      <c r="E1212" t="s">
        <v>149</v>
      </c>
      <c r="F1212" t="s">
        <v>147</v>
      </c>
      <c r="G1212" t="s">
        <v>163</v>
      </c>
      <c r="I1212" s="4">
        <v>35</v>
      </c>
      <c r="J1212" s="4" t="s">
        <v>1604</v>
      </c>
      <c r="L1212" t="s">
        <v>264</v>
      </c>
      <c r="M1212" t="s">
        <v>382</v>
      </c>
      <c r="N1212" s="4">
        <f>IF(L1212="","",IF(OR(Registro2[[#This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12" t="str">
        <f t="shared" si="18"/>
        <v>abr/25</v>
      </c>
      <c r="P1212" t="str">
        <f>IF(Registro2[[#This Row],[Data de Pagamento]]&gt;0,TEXT(A1212,"mmm/aa"),"")</f>
        <v>abr/25</v>
      </c>
      <c r="T1212" s="4">
        <f>IF(Registro2[[#This Row],[Data de Pagamento]]="",0,IF(Registro2[[#This Row],[Conta Financeira]]=base!$A$6,0,Registro2[[#This Row],[Valor Unitário]]))</f>
        <v>35</v>
      </c>
      <c r="U12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12" t="str">
        <f>VLOOKUP(Registro2[[#This Row],[Categoria]],'Plano de Contas'!$V$3:W1293,2,0)</f>
        <v>Receitas Serviços</v>
      </c>
      <c r="X121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213" spans="1:24" hidden="1">
      <c r="A1213" s="1">
        <v>45749</v>
      </c>
      <c r="B1213" s="1">
        <v>45749</v>
      </c>
      <c r="D1213" t="s">
        <v>354</v>
      </c>
      <c r="E1213" t="s">
        <v>149</v>
      </c>
      <c r="F1213" t="s">
        <v>147</v>
      </c>
      <c r="G1213" t="s">
        <v>167</v>
      </c>
      <c r="I1213" s="4">
        <v>10</v>
      </c>
      <c r="J1213" s="4" t="s">
        <v>1604</v>
      </c>
      <c r="L1213" t="s">
        <v>264</v>
      </c>
      <c r="M1213" t="s">
        <v>382</v>
      </c>
      <c r="N1213" s="4">
        <f>IF(L1213="","",IF(OR(Registro2[[#This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213" t="str">
        <f t="shared" si="18"/>
        <v>abr/25</v>
      </c>
      <c r="P1213" t="str">
        <f>IF(Registro2[[#This Row],[Data de Pagamento]]&gt;0,TEXT(A1213,"mmm/aa"),"")</f>
        <v>abr/25</v>
      </c>
      <c r="T1213" s="4">
        <f>IF(Registro2[[#This Row],[Data de Pagamento]]="",0,IF(Registro2[[#This Row],[Conta Financeira]]=base!$A$6,0,Registro2[[#This Row],[Valor Unitário]]))</f>
        <v>10</v>
      </c>
      <c r="U12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13" t="str">
        <f>VLOOKUP(Registro2[[#This Row],[Categoria]],'Plano de Contas'!$V$3:W1294,2,0)</f>
        <v>Receitas Serviços</v>
      </c>
      <c r="X121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</row>
    <row r="1214" spans="1:24" hidden="1">
      <c r="A1214" s="1">
        <v>45749</v>
      </c>
      <c r="B1214" s="1">
        <v>45749</v>
      </c>
      <c r="D1214" t="s">
        <v>1</v>
      </c>
      <c r="E1214" t="s">
        <v>149</v>
      </c>
      <c r="F1214" t="s">
        <v>147</v>
      </c>
      <c r="G1214" t="s">
        <v>163</v>
      </c>
      <c r="I1214" s="4">
        <v>35</v>
      </c>
      <c r="J1214" s="4">
        <v>60</v>
      </c>
      <c r="L1214" t="s">
        <v>253</v>
      </c>
      <c r="M1214" t="s">
        <v>362</v>
      </c>
      <c r="N1214" s="4">
        <f>IF(L1214="","",IF(OR(Registro2[[#This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14" t="str">
        <f t="shared" si="18"/>
        <v>abr/25</v>
      </c>
      <c r="P1214" t="str">
        <f>IF(Registro2[[#This Row],[Data de Pagamento]]&gt;0,TEXT(A1214,"mmm/aa"),"")</f>
        <v>abr/25</v>
      </c>
      <c r="T1214" s="4">
        <f>IF(Registro2[[#This Row],[Data de Pagamento]]="",0,IF(Registro2[[#This Row],[Conta Financeira]]=base!$A$6,0,Registro2[[#This Row],[Valor Unitário]]))</f>
        <v>35</v>
      </c>
      <c r="U12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14" t="str">
        <f>VLOOKUP(Registro2[[#This Row],[Categoria]],'Plano de Contas'!$V$3:W1295,2,0)</f>
        <v>Receitas Serviços</v>
      </c>
      <c r="X121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15" spans="1:24" hidden="1">
      <c r="A1215" s="1">
        <v>45749</v>
      </c>
      <c r="B1215" s="1">
        <v>45749</v>
      </c>
      <c r="D1215" t="s">
        <v>1</v>
      </c>
      <c r="E1215" t="s">
        <v>149</v>
      </c>
      <c r="F1215" t="s">
        <v>150</v>
      </c>
      <c r="G1215" t="s">
        <v>508</v>
      </c>
      <c r="I1215" s="4">
        <v>25</v>
      </c>
      <c r="J1215" s="4" t="s">
        <v>1604</v>
      </c>
      <c r="L1215" t="s">
        <v>253</v>
      </c>
      <c r="M1215" t="s">
        <v>362</v>
      </c>
      <c r="N1215" s="4">
        <f>IF(L1215="","",IF(OR(Registro2[[#This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215" t="str">
        <f t="shared" si="18"/>
        <v>abr/25</v>
      </c>
      <c r="P1215" t="str">
        <f>IF(Registro2[[#This Row],[Data de Pagamento]]&gt;0,TEXT(A1215,"mmm/aa"),"")</f>
        <v>abr/25</v>
      </c>
      <c r="T1215" s="4">
        <f>IF(Registro2[[#This Row],[Data de Pagamento]]="",0,IF(Registro2[[#This Row],[Conta Financeira]]=base!$A$6,0,Registro2[[#This Row],[Valor Unitário]]))</f>
        <v>25</v>
      </c>
      <c r="U12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15" t="str">
        <f>VLOOKUP(Registro2[[#This Row],[Categoria]],'Plano de Contas'!$V$3:W1296,2,0)</f>
        <v>Receitas Produtos</v>
      </c>
      <c r="X121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16" spans="1:24" hidden="1">
      <c r="A1216" s="1">
        <v>45749</v>
      </c>
      <c r="B1216" s="1">
        <v>45749</v>
      </c>
      <c r="D1216" t="s">
        <v>1</v>
      </c>
      <c r="E1216" t="s">
        <v>149</v>
      </c>
      <c r="F1216" t="s">
        <v>147</v>
      </c>
      <c r="G1216" t="s">
        <v>163</v>
      </c>
      <c r="I1216" s="4">
        <v>35</v>
      </c>
      <c r="J1216" s="4">
        <v>35</v>
      </c>
      <c r="L1216" t="s">
        <v>264</v>
      </c>
      <c r="M1216" t="s">
        <v>1959</v>
      </c>
      <c r="N1216" s="4">
        <f>IF(L1216="","",IF(OR(Registro2[[#This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16" t="str">
        <f t="shared" si="18"/>
        <v>abr/25</v>
      </c>
      <c r="P1216" t="str">
        <f>IF(Registro2[[#This Row],[Data de Pagamento]]&gt;0,TEXT(A1216,"mmm/aa"),"")</f>
        <v>abr/25</v>
      </c>
      <c r="T1216" s="4">
        <f>IF(Registro2[[#This Row],[Data de Pagamento]]="",0,IF(Registro2[[#This Row],[Conta Financeira]]=base!$A$6,0,Registro2[[#This Row],[Valor Unitário]]))</f>
        <v>35</v>
      </c>
      <c r="U12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16" t="str">
        <f>VLOOKUP(Registro2[[#This Row],[Categoria]],'Plano de Contas'!$V$3:W1297,2,0)</f>
        <v>Receitas Serviços</v>
      </c>
      <c r="X121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17" spans="1:24" hidden="1">
      <c r="A1217" s="1">
        <v>45749</v>
      </c>
      <c r="B1217" s="1">
        <v>45749</v>
      </c>
      <c r="D1217" t="s">
        <v>354</v>
      </c>
      <c r="E1217" t="s">
        <v>149</v>
      </c>
      <c r="F1217" t="s">
        <v>152</v>
      </c>
      <c r="G1217" t="s">
        <v>353</v>
      </c>
      <c r="I1217" s="4">
        <v>50</v>
      </c>
      <c r="J1217" s="4">
        <v>50</v>
      </c>
      <c r="L1217" t="s">
        <v>253</v>
      </c>
      <c r="M1217" t="s">
        <v>1962</v>
      </c>
      <c r="N1217" s="4">
        <f>IF(L1217="","",IF(OR(Registro2[[#This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217" t="str">
        <f t="shared" si="18"/>
        <v>abr/25</v>
      </c>
      <c r="P1217" t="str">
        <f>IF(Registro2[[#This Row],[Data de Pagamento]]&gt;0,TEXT(A1217,"mmm/aa"),"")</f>
        <v>abr/25</v>
      </c>
      <c r="T1217" s="4">
        <f>IF(Registro2[[#This Row],[Data de Pagamento]]="",0,IF(Registro2[[#This Row],[Conta Financeira]]=base!$A$6,0,Registro2[[#This Row],[Valor Unitário]]))</f>
        <v>50</v>
      </c>
      <c r="U12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17" t="str">
        <f>VLOOKUP(Registro2[[#This Row],[Categoria]],'Plano de Contas'!$V$3:W1298,2,0)</f>
        <v>Receitas Serviços</v>
      </c>
      <c r="X121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1.575</v>
      </c>
    </row>
    <row r="1218" spans="1:24" hidden="1">
      <c r="A1218" s="1">
        <v>45749</v>
      </c>
      <c r="B1218" s="1">
        <v>45749</v>
      </c>
      <c r="D1218" t="s">
        <v>1</v>
      </c>
      <c r="E1218" t="s">
        <v>149</v>
      </c>
      <c r="F1218" t="s">
        <v>147</v>
      </c>
      <c r="G1218" t="s">
        <v>163</v>
      </c>
      <c r="I1218" s="4">
        <v>35</v>
      </c>
      <c r="J1218" s="4">
        <v>35</v>
      </c>
      <c r="L1218" t="s">
        <v>253</v>
      </c>
      <c r="M1218" t="s">
        <v>59</v>
      </c>
      <c r="N1218" s="4">
        <f>IF(L1218="","",IF(OR(Registro2[[#This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18" t="str">
        <f t="shared" ref="O1218:O1281" si="19">TEXT(B1218,"mmm/aa")</f>
        <v>abr/25</v>
      </c>
      <c r="P1218" t="str">
        <f>IF(Registro2[[#This Row],[Data de Pagamento]]&gt;0,TEXT(A1218,"mmm/aa"),"")</f>
        <v>abr/25</v>
      </c>
      <c r="T1218" s="4">
        <f>IF(Registro2[[#This Row],[Data de Pagamento]]="",0,IF(Registro2[[#This Row],[Conta Financeira]]=base!$A$6,0,Registro2[[#This Row],[Valor Unitário]]))</f>
        <v>35</v>
      </c>
      <c r="U12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18" t="str">
        <f>VLOOKUP(Registro2[[#This Row],[Categoria]],'Plano de Contas'!$V$3:W1299,2,0)</f>
        <v>Receitas Serviços</v>
      </c>
      <c r="X12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19" spans="1:24" hidden="1">
      <c r="A1219" s="1">
        <v>45749</v>
      </c>
      <c r="B1219" s="1">
        <v>45749</v>
      </c>
      <c r="D1219" t="s">
        <v>1</v>
      </c>
      <c r="E1219" t="s">
        <v>149</v>
      </c>
      <c r="F1219" t="s">
        <v>152</v>
      </c>
      <c r="G1219" t="s">
        <v>353</v>
      </c>
      <c r="I1219" s="4">
        <v>60</v>
      </c>
      <c r="J1219" s="4">
        <v>60</v>
      </c>
      <c r="L1219" t="s">
        <v>264</v>
      </c>
      <c r="M1219" t="s">
        <v>1198</v>
      </c>
      <c r="N1219" s="4">
        <f>IF(L1219="","",IF(OR(Registro2[[#This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219" t="str">
        <f t="shared" si="19"/>
        <v>abr/25</v>
      </c>
      <c r="P1219" t="str">
        <f>IF(Registro2[[#This Row],[Data de Pagamento]]&gt;0,TEXT(A1219,"mmm/aa"),"")</f>
        <v>abr/25</v>
      </c>
      <c r="T1219" s="4">
        <f>IF(Registro2[[#This Row],[Data de Pagamento]]="",0,IF(Registro2[[#This Row],[Conta Financeira]]=base!$A$6,0,Registro2[[#This Row],[Valor Unitário]]))</f>
        <v>60</v>
      </c>
      <c r="U12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19" t="str">
        <f>VLOOKUP(Registro2[[#This Row],[Categoria]],'Plano de Contas'!$V$3:W1300,2,0)</f>
        <v>Receitas Serviços</v>
      </c>
      <c r="X121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20" spans="1:24" hidden="1">
      <c r="A1220" s="1">
        <v>45749</v>
      </c>
      <c r="B1220" s="1">
        <v>45749</v>
      </c>
      <c r="D1220" t="s">
        <v>1</v>
      </c>
      <c r="E1220" t="s">
        <v>149</v>
      </c>
      <c r="F1220" t="s">
        <v>147</v>
      </c>
      <c r="G1220" t="s">
        <v>163</v>
      </c>
      <c r="I1220" s="4">
        <v>35</v>
      </c>
      <c r="J1220" s="4">
        <v>35</v>
      </c>
      <c r="L1220" t="s">
        <v>253</v>
      </c>
      <c r="M1220" t="s">
        <v>1968</v>
      </c>
      <c r="N1220" s="4">
        <f>IF(L1220="","",IF(OR(Registro2[[#This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20" t="str">
        <f t="shared" si="19"/>
        <v>abr/25</v>
      </c>
      <c r="P1220" t="str">
        <f>IF(Registro2[[#This Row],[Data de Pagamento]]&gt;0,TEXT(A1220,"mmm/aa"),"")</f>
        <v>abr/25</v>
      </c>
      <c r="T1220" s="4">
        <f>IF(Registro2[[#This Row],[Data de Pagamento]]="",0,IF(Registro2[[#This Row],[Conta Financeira]]=base!$A$6,0,Registro2[[#This Row],[Valor Unitário]]))</f>
        <v>35</v>
      </c>
      <c r="U12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20" t="str">
        <f>VLOOKUP(Registro2[[#This Row],[Categoria]],'Plano de Contas'!$V$3:W1301,2,0)</f>
        <v>Receitas Serviços</v>
      </c>
      <c r="X122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21" spans="1:24" hidden="1">
      <c r="A1221" s="1">
        <v>45749</v>
      </c>
      <c r="B1221" s="1">
        <v>45749</v>
      </c>
      <c r="D1221" t="s">
        <v>2</v>
      </c>
      <c r="E1221" t="s">
        <v>149</v>
      </c>
      <c r="F1221" t="s">
        <v>147</v>
      </c>
      <c r="G1221" t="s">
        <v>163</v>
      </c>
      <c r="I1221" s="4">
        <v>35</v>
      </c>
      <c r="J1221" s="4">
        <v>37</v>
      </c>
      <c r="L1221" t="s">
        <v>264</v>
      </c>
      <c r="M1221" t="s">
        <v>497</v>
      </c>
      <c r="N1221" s="4">
        <f>IF(L1221="","",IF(OR(Registro2[[#This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21" t="str">
        <f t="shared" si="19"/>
        <v>abr/25</v>
      </c>
      <c r="P1221" t="str">
        <f>IF(Registro2[[#This Row],[Data de Pagamento]]&gt;0,TEXT(A1221,"mmm/aa"),"")</f>
        <v>abr/25</v>
      </c>
      <c r="T1221" s="4">
        <f>IF(Registro2[[#This Row],[Data de Pagamento]]="",0,IF(Registro2[[#This Row],[Conta Financeira]]=base!$A$6,0,Registro2[[#This Row],[Valor Unitário]]))</f>
        <v>35</v>
      </c>
      <c r="U12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21" t="str">
        <f>VLOOKUP(Registro2[[#This Row],[Categoria]],'Plano de Contas'!$V$3:W1303,2,0)</f>
        <v>Receitas Serviços</v>
      </c>
      <c r="X122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22" spans="1:24" hidden="1">
      <c r="A1222" s="1">
        <v>45749</v>
      </c>
      <c r="B1222" s="1">
        <v>45749</v>
      </c>
      <c r="D1222" t="s">
        <v>2</v>
      </c>
      <c r="E1222" t="s">
        <v>149</v>
      </c>
      <c r="F1222" t="s">
        <v>152</v>
      </c>
      <c r="G1222" t="s">
        <v>910</v>
      </c>
      <c r="I1222" s="4">
        <v>2</v>
      </c>
      <c r="J1222" s="4" t="s">
        <v>1604</v>
      </c>
      <c r="L1222" t="s">
        <v>264</v>
      </c>
      <c r="M1222" t="s">
        <v>497</v>
      </c>
      <c r="N1222" s="4">
        <f>IF(L1222="","",IF(OR(Registro2[[#This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0.9</v>
      </c>
      <c r="O1222" t="str">
        <f t="shared" si="19"/>
        <v>abr/25</v>
      </c>
      <c r="P1222" t="str">
        <f>IF(Registro2[[#This Row],[Data de Pagamento]]&gt;0,TEXT(A1222,"mmm/aa"),"")</f>
        <v>abr/25</v>
      </c>
      <c r="T1222" s="4">
        <f>IF(Registro2[[#This Row],[Data de Pagamento]]="",0,IF(Registro2[[#This Row],[Conta Financeira]]=base!$A$6,0,Registro2[[#This Row],[Valor Unitário]]))</f>
        <v>2</v>
      </c>
      <c r="U12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22" t="str">
        <f>VLOOKUP(Registro2[[#This Row],[Categoria]],'Plano de Contas'!$V$3:W1304,2,0)</f>
        <v>Outras Receitas</v>
      </c>
      <c r="X122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23" spans="1:24" hidden="1">
      <c r="A1223" s="1">
        <v>45749</v>
      </c>
      <c r="B1223" s="1">
        <v>45749</v>
      </c>
      <c r="D1223" t="s">
        <v>947</v>
      </c>
      <c r="E1223" t="s">
        <v>137</v>
      </c>
      <c r="F1223" t="s">
        <v>138</v>
      </c>
      <c r="G1223" t="s">
        <v>141</v>
      </c>
      <c r="H1223" t="s">
        <v>1261</v>
      </c>
      <c r="I1223" s="4">
        <v>60</v>
      </c>
      <c r="J1223" s="4"/>
      <c r="N1223" s="4" t="str">
        <f>IF(L1223="","",IF(OR(Registro2[[#This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223" t="str">
        <f t="shared" si="19"/>
        <v>abr/25</v>
      </c>
      <c r="P1223" t="str">
        <f>IF(Registro2[[#This Row],[Data de Pagamento]]&gt;0,TEXT(A1223,"mmm/aa"),"")</f>
        <v>abr/25</v>
      </c>
      <c r="T1223" s="4">
        <f>IF(Registro2[[#This Row],[Data de Pagamento]]="",0,IF(Registro2[[#This Row],[Conta Financeira]]=base!$A$6,0,Registro2[[#This Row],[Valor Unitário]]))</f>
        <v>60</v>
      </c>
      <c r="U12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23" t="str">
        <f>VLOOKUP(Registro2[[#This Row],[Categoria]],'Plano de Contas'!$V$3:W1527,2,0)</f>
        <v>Custos Operacionais</v>
      </c>
      <c r="X122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24" spans="1:24" hidden="1">
      <c r="A1224" s="1">
        <v>45750</v>
      </c>
      <c r="B1224" s="1">
        <v>45750</v>
      </c>
      <c r="D1224" t="s">
        <v>1</v>
      </c>
      <c r="E1224" t="s">
        <v>149</v>
      </c>
      <c r="F1224" t="s">
        <v>147</v>
      </c>
      <c r="G1224" t="s">
        <v>163</v>
      </c>
      <c r="I1224" s="4">
        <v>35</v>
      </c>
      <c r="J1224" s="4">
        <v>35</v>
      </c>
      <c r="L1224" t="s">
        <v>252</v>
      </c>
      <c r="M1224" t="s">
        <v>364</v>
      </c>
      <c r="N1224" s="4">
        <f>IF(L1224="","",IF(OR(Registro2[[#This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24" t="str">
        <f t="shared" si="19"/>
        <v>abr/25</v>
      </c>
      <c r="P1224" t="str">
        <f>IF(Registro2[[#This Row],[Data de Pagamento]]&gt;0,TEXT(A1224,"mmm/aa"),"")</f>
        <v>abr/25</v>
      </c>
      <c r="T1224" s="4">
        <f>IF(Registro2[[#This Row],[Data de Pagamento]]="",0,IF(Registro2[[#This Row],[Conta Financeira]]=base!$A$6,0,Registro2[[#This Row],[Valor Unitário]]))</f>
        <v>35</v>
      </c>
      <c r="U12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24" t="str">
        <f>VLOOKUP(Registro2[[#This Row],[Categoria]],'Plano de Contas'!$V$3:W1305,2,0)</f>
        <v>Receitas Serviços</v>
      </c>
      <c r="X122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25" spans="1:24" hidden="1">
      <c r="A1225" s="1">
        <v>45750</v>
      </c>
      <c r="B1225" s="1">
        <v>45750</v>
      </c>
      <c r="D1225" t="s">
        <v>1</v>
      </c>
      <c r="E1225" t="s">
        <v>149</v>
      </c>
      <c r="F1225" t="s">
        <v>147</v>
      </c>
      <c r="G1225" t="s">
        <v>163</v>
      </c>
      <c r="I1225" s="4">
        <v>35</v>
      </c>
      <c r="J1225" s="4">
        <v>35</v>
      </c>
      <c r="L1225" t="s">
        <v>253</v>
      </c>
      <c r="M1225" t="s">
        <v>1130</v>
      </c>
      <c r="N1225" s="4">
        <f>IF(L1225="","",IF(OR(Registro2[[#This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25" t="str">
        <f t="shared" si="19"/>
        <v>abr/25</v>
      </c>
      <c r="P1225" t="str">
        <f>IF(Registro2[[#This Row],[Data de Pagamento]]&gt;0,TEXT(A1225,"mmm/aa"),"")</f>
        <v>abr/25</v>
      </c>
      <c r="T1225" s="4">
        <f>IF(Registro2[[#This Row],[Data de Pagamento]]="",0,IF(Registro2[[#This Row],[Conta Financeira]]=base!$A$6,0,Registro2[[#This Row],[Valor Unitário]]))</f>
        <v>35</v>
      </c>
      <c r="U12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25" t="str">
        <f>VLOOKUP(Registro2[[#This Row],[Categoria]],'Plano de Contas'!$V$3:W1306,2,0)</f>
        <v>Receitas Serviços</v>
      </c>
      <c r="X122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26" spans="1:24" hidden="1">
      <c r="A1226" s="1">
        <v>45750</v>
      </c>
      <c r="B1226" s="1">
        <v>45750</v>
      </c>
      <c r="D1226" t="s">
        <v>1</v>
      </c>
      <c r="E1226" t="s">
        <v>149</v>
      </c>
      <c r="F1226" t="s">
        <v>147</v>
      </c>
      <c r="G1226" t="s">
        <v>163</v>
      </c>
      <c r="I1226" s="4">
        <v>35</v>
      </c>
      <c r="J1226" s="4">
        <v>35</v>
      </c>
      <c r="L1226" t="s">
        <v>252</v>
      </c>
      <c r="M1226" t="s">
        <v>200</v>
      </c>
      <c r="N1226" s="4">
        <f>IF(L1226="","",IF(OR(Registro2[[#This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26" t="str">
        <f t="shared" si="19"/>
        <v>abr/25</v>
      </c>
      <c r="P1226" t="str">
        <f>IF(Registro2[[#This Row],[Data de Pagamento]]&gt;0,TEXT(A1226,"mmm/aa"),"")</f>
        <v>abr/25</v>
      </c>
      <c r="T1226" s="4">
        <f>IF(Registro2[[#This Row],[Data de Pagamento]]="",0,IF(Registro2[[#This Row],[Conta Financeira]]=base!$A$6,0,Registro2[[#This Row],[Valor Unitário]]))</f>
        <v>35</v>
      </c>
      <c r="U12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26" t="str">
        <f>VLOOKUP(Registro2[[#This Row],[Categoria]],'Plano de Contas'!$V$3:W1307,2,0)</f>
        <v>Receitas Serviços</v>
      </c>
      <c r="X122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27" spans="1:24" hidden="1">
      <c r="A1227" s="1">
        <v>45750</v>
      </c>
      <c r="B1227" s="1">
        <v>45750</v>
      </c>
      <c r="D1227" t="s">
        <v>2</v>
      </c>
      <c r="E1227" t="s">
        <v>149</v>
      </c>
      <c r="F1227" t="s">
        <v>147</v>
      </c>
      <c r="G1227" t="s">
        <v>163</v>
      </c>
      <c r="I1227" s="4">
        <v>35</v>
      </c>
      <c r="J1227" s="4">
        <v>35</v>
      </c>
      <c r="L1227" t="s">
        <v>252</v>
      </c>
      <c r="M1227" t="s">
        <v>1981</v>
      </c>
      <c r="N1227" s="4">
        <f>IF(L1227="","",IF(OR(Registro2[[#This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27" t="str">
        <f t="shared" si="19"/>
        <v>abr/25</v>
      </c>
      <c r="P1227" t="str">
        <f>IF(Registro2[[#This Row],[Data de Pagamento]]&gt;0,TEXT(A1227,"mmm/aa"),"")</f>
        <v>abr/25</v>
      </c>
      <c r="T1227" s="4">
        <f>IF(Registro2[[#This Row],[Data de Pagamento]]="",0,IF(Registro2[[#This Row],[Conta Financeira]]=base!$A$6,0,Registro2[[#This Row],[Valor Unitário]]))</f>
        <v>35</v>
      </c>
      <c r="U12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27" t="str">
        <f>VLOOKUP(Registro2[[#This Row],[Categoria]],'Plano de Contas'!$V$3:W1308,2,0)</f>
        <v>Receitas Serviços</v>
      </c>
      <c r="X12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28" spans="1:24" hidden="1">
      <c r="A1228" s="1">
        <v>45750</v>
      </c>
      <c r="B1228" s="1">
        <v>45750</v>
      </c>
      <c r="D1228" t="s">
        <v>1</v>
      </c>
      <c r="E1228" t="s">
        <v>149</v>
      </c>
      <c r="F1228" t="s">
        <v>147</v>
      </c>
      <c r="G1228" t="s">
        <v>163</v>
      </c>
      <c r="I1228" s="4">
        <v>35</v>
      </c>
      <c r="J1228" s="4">
        <v>20</v>
      </c>
      <c r="L1228" t="s">
        <v>252</v>
      </c>
      <c r="M1228" t="s">
        <v>1077</v>
      </c>
      <c r="N1228" s="4">
        <f>IF(L1228="","",IF(OR(Registro2[[#This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28" t="str">
        <f t="shared" si="19"/>
        <v>abr/25</v>
      </c>
      <c r="P1228" t="str">
        <f>IF(Registro2[[#This Row],[Data de Pagamento]]&gt;0,TEXT(A1228,"mmm/aa"),"")</f>
        <v>abr/25</v>
      </c>
      <c r="T1228" s="4">
        <f>IF(Registro2[[#This Row],[Data de Pagamento]]="",0,IF(Registro2[[#This Row],[Conta Financeira]]=base!$A$6,0,Registro2[[#This Row],[Valor Unitário]]))</f>
        <v>35</v>
      </c>
      <c r="U12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28" t="str">
        <f>VLOOKUP(Registro2[[#This Row],[Categoria]],'Plano de Contas'!$V$3:W1309,2,0)</f>
        <v>Receitas Serviços</v>
      </c>
      <c r="X122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29" spans="1:24" hidden="1">
      <c r="A1229" s="1">
        <v>45750</v>
      </c>
      <c r="B1229" s="1">
        <v>45750</v>
      </c>
      <c r="D1229" t="s">
        <v>1</v>
      </c>
      <c r="E1229" t="s">
        <v>149</v>
      </c>
      <c r="F1229" t="s">
        <v>152</v>
      </c>
      <c r="G1229" t="s">
        <v>353</v>
      </c>
      <c r="I1229" s="4">
        <v>50</v>
      </c>
      <c r="J1229" s="4">
        <v>50</v>
      </c>
      <c r="L1229" t="s">
        <v>264</v>
      </c>
      <c r="M1229" t="s">
        <v>479</v>
      </c>
      <c r="N1229" s="4">
        <f>IF(L1229="","",IF(OR(Registro2[[#This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229" t="str">
        <f t="shared" si="19"/>
        <v>abr/25</v>
      </c>
      <c r="P1229" t="str">
        <f>IF(Registro2[[#This Row],[Data de Pagamento]]&gt;0,TEXT(A1229,"mmm/aa"),"")</f>
        <v>abr/25</v>
      </c>
      <c r="T1229" s="4">
        <f>IF(Registro2[[#This Row],[Data de Pagamento]]="",0,IF(Registro2[[#This Row],[Conta Financeira]]=base!$A$6,0,Registro2[[#This Row],[Valor Unitário]]))</f>
        <v>50</v>
      </c>
      <c r="U12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29" t="str">
        <f>VLOOKUP(Registro2[[#This Row],[Categoria]],'Plano de Contas'!$V$3:W1310,2,0)</f>
        <v>Receitas Serviços</v>
      </c>
      <c r="X12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30" spans="1:24" hidden="1">
      <c r="A1230" s="1">
        <v>45750</v>
      </c>
      <c r="B1230" s="1">
        <v>45750</v>
      </c>
      <c r="D1230" t="s">
        <v>1</v>
      </c>
      <c r="E1230" t="s">
        <v>149</v>
      </c>
      <c r="F1230" t="s">
        <v>147</v>
      </c>
      <c r="G1230" t="s">
        <v>163</v>
      </c>
      <c r="I1230" s="4">
        <v>35</v>
      </c>
      <c r="J1230" s="4">
        <v>35</v>
      </c>
      <c r="L1230" t="s">
        <v>252</v>
      </c>
      <c r="M1230" t="s">
        <v>1988</v>
      </c>
      <c r="N1230" s="4">
        <f>IF(L1230="","",IF(OR(Registro2[[#This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30" t="str">
        <f t="shared" si="19"/>
        <v>abr/25</v>
      </c>
      <c r="P1230" t="str">
        <f>IF(Registro2[[#This Row],[Data de Pagamento]]&gt;0,TEXT(A1230,"mmm/aa"),"")</f>
        <v>abr/25</v>
      </c>
      <c r="T1230" s="4">
        <f>IF(Registro2[[#This Row],[Data de Pagamento]]="",0,IF(Registro2[[#This Row],[Conta Financeira]]=base!$A$6,0,Registro2[[#This Row],[Valor Unitário]]))</f>
        <v>35</v>
      </c>
      <c r="U12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30" t="str">
        <f>VLOOKUP(Registro2[[#This Row],[Categoria]],'Plano de Contas'!$V$3:W1311,2,0)</f>
        <v>Receitas Serviços</v>
      </c>
      <c r="X123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31" spans="1:24" hidden="1">
      <c r="A1231" s="1">
        <v>45750</v>
      </c>
      <c r="B1231" s="1">
        <v>45750</v>
      </c>
      <c r="D1231" t="s">
        <v>1</v>
      </c>
      <c r="E1231" t="s">
        <v>149</v>
      </c>
      <c r="F1231" t="s">
        <v>147</v>
      </c>
      <c r="G1231" t="s">
        <v>1046</v>
      </c>
      <c r="I1231" s="4">
        <v>20</v>
      </c>
      <c r="J1231" s="4">
        <v>20</v>
      </c>
      <c r="L1231" t="s">
        <v>253</v>
      </c>
      <c r="M1231" t="s">
        <v>120</v>
      </c>
      <c r="N1231" s="4">
        <f>IF(L1231="","",IF(OR(Registro2[[#This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231" t="str">
        <f t="shared" si="19"/>
        <v>abr/25</v>
      </c>
      <c r="P1231" t="str">
        <f>IF(Registro2[[#This Row],[Data de Pagamento]]&gt;0,TEXT(A1231,"mmm/aa"),"")</f>
        <v>abr/25</v>
      </c>
      <c r="T1231" s="4">
        <f>IF(Registro2[[#This Row],[Data de Pagamento]]="",0,IF(Registro2[[#This Row],[Conta Financeira]]=base!$A$6,0,Registro2[[#This Row],[Valor Unitário]]))</f>
        <v>20</v>
      </c>
      <c r="U12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31" t="str">
        <f>VLOOKUP(Registro2[[#This Row],[Categoria]],'Plano de Contas'!$V$3:W1312,2,0)</f>
        <v>Receitas Serviços</v>
      </c>
      <c r="X123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32" spans="1:24" hidden="1">
      <c r="A1232" s="1">
        <v>45750</v>
      </c>
      <c r="B1232" s="1">
        <v>45750</v>
      </c>
      <c r="D1232" t="s">
        <v>1</v>
      </c>
      <c r="E1232" t="s">
        <v>149</v>
      </c>
      <c r="F1232" t="s">
        <v>147</v>
      </c>
      <c r="G1232" t="s">
        <v>163</v>
      </c>
      <c r="I1232" s="4">
        <v>35</v>
      </c>
      <c r="J1232" s="4">
        <v>35</v>
      </c>
      <c r="L1232" t="s">
        <v>252</v>
      </c>
      <c r="M1232" t="s">
        <v>482</v>
      </c>
      <c r="N1232" s="4">
        <f>IF(L1232="","",IF(OR(Registro2[[#This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32" t="str">
        <f t="shared" si="19"/>
        <v>abr/25</v>
      </c>
      <c r="P1232" t="str">
        <f>IF(Registro2[[#This Row],[Data de Pagamento]]&gt;0,TEXT(A1232,"mmm/aa"),"")</f>
        <v>abr/25</v>
      </c>
      <c r="T1232" s="4">
        <f>IF(Registro2[[#This Row],[Data de Pagamento]]="",0,IF(Registro2[[#This Row],[Conta Financeira]]=base!$A$6,0,Registro2[[#This Row],[Valor Unitário]]))</f>
        <v>35</v>
      </c>
      <c r="U12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32" t="str">
        <f>VLOOKUP(Registro2[[#This Row],[Categoria]],'Plano de Contas'!$V$3:W1313,2,0)</f>
        <v>Receitas Serviços</v>
      </c>
      <c r="X123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33" spans="1:24" hidden="1">
      <c r="A1233" s="1">
        <v>45750</v>
      </c>
      <c r="B1233" s="1">
        <v>45750</v>
      </c>
      <c r="D1233" t="s">
        <v>1</v>
      </c>
      <c r="E1233" t="s">
        <v>149</v>
      </c>
      <c r="F1233" t="s">
        <v>152</v>
      </c>
      <c r="G1233" t="s">
        <v>353</v>
      </c>
      <c r="I1233" s="4">
        <v>60</v>
      </c>
      <c r="J1233" s="4">
        <v>60</v>
      </c>
      <c r="L1233" t="s">
        <v>253</v>
      </c>
      <c r="M1233" t="s">
        <v>183</v>
      </c>
      <c r="N1233" s="4">
        <f>IF(L1233="","",IF(OR(Registro2[[#This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233" t="str">
        <f t="shared" si="19"/>
        <v>abr/25</v>
      </c>
      <c r="P1233" t="str">
        <f>IF(Registro2[[#This Row],[Data de Pagamento]]&gt;0,TEXT(A1233,"mmm/aa"),"")</f>
        <v>abr/25</v>
      </c>
      <c r="T1233" s="4">
        <f>IF(Registro2[[#This Row],[Data de Pagamento]]="",0,IF(Registro2[[#This Row],[Conta Financeira]]=base!$A$6,0,Registro2[[#This Row],[Valor Unitário]]))</f>
        <v>60</v>
      </c>
      <c r="U12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33" t="str">
        <f>VLOOKUP(Registro2[[#This Row],[Categoria]],'Plano de Contas'!$V$3:W1314,2,0)</f>
        <v>Receitas Serviços</v>
      </c>
      <c r="X123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34" spans="1:24" hidden="1">
      <c r="A1234" s="1">
        <v>45750</v>
      </c>
      <c r="B1234" s="1">
        <v>45750</v>
      </c>
      <c r="D1234" t="s">
        <v>1</v>
      </c>
      <c r="E1234" t="s">
        <v>149</v>
      </c>
      <c r="F1234" t="s">
        <v>147</v>
      </c>
      <c r="G1234" t="s">
        <v>163</v>
      </c>
      <c r="I1234" s="4">
        <v>35</v>
      </c>
      <c r="J1234" s="4">
        <v>45</v>
      </c>
      <c r="L1234" t="s">
        <v>264</v>
      </c>
      <c r="M1234" t="s">
        <v>1083</v>
      </c>
      <c r="N1234" s="4">
        <f>IF(L1234="","",IF(OR(Registro2[[#This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34" t="str">
        <f t="shared" si="19"/>
        <v>abr/25</v>
      </c>
      <c r="P1234" t="str">
        <f>IF(Registro2[[#This Row],[Data de Pagamento]]&gt;0,TEXT(A1234,"mmm/aa"),"")</f>
        <v>abr/25</v>
      </c>
      <c r="T1234" s="4">
        <f>IF(Registro2[[#This Row],[Data de Pagamento]]="",0,IF(Registro2[[#This Row],[Conta Financeira]]=base!$A$6,0,Registro2[[#This Row],[Valor Unitário]]))</f>
        <v>35</v>
      </c>
      <c r="U12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34" t="str">
        <f>VLOOKUP(Registro2[[#This Row],[Categoria]],'Plano de Contas'!$V$3:W1315,2,0)</f>
        <v>Receitas Serviços</v>
      </c>
      <c r="X123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35" spans="1:24" hidden="1">
      <c r="A1235" s="1">
        <v>45750</v>
      </c>
      <c r="B1235" s="1">
        <v>45750</v>
      </c>
      <c r="D1235" t="s">
        <v>1</v>
      </c>
      <c r="E1235" t="s">
        <v>149</v>
      </c>
      <c r="F1235" t="s">
        <v>147</v>
      </c>
      <c r="G1235" t="s">
        <v>167</v>
      </c>
      <c r="I1235" s="4">
        <v>10</v>
      </c>
      <c r="J1235" s="4" t="s">
        <v>1604</v>
      </c>
      <c r="L1235" t="s">
        <v>264</v>
      </c>
      <c r="M1235" t="s">
        <v>1083</v>
      </c>
      <c r="N1235" s="4">
        <f>IF(L1235="","",IF(OR(Registro2[[#This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235" t="str">
        <f t="shared" si="19"/>
        <v>abr/25</v>
      </c>
      <c r="P1235" t="str">
        <f>IF(Registro2[[#This Row],[Data de Pagamento]]&gt;0,TEXT(A1235,"mmm/aa"),"")</f>
        <v>abr/25</v>
      </c>
      <c r="T1235" s="4">
        <f>IF(Registro2[[#This Row],[Data de Pagamento]]="",0,IF(Registro2[[#This Row],[Conta Financeira]]=base!$A$6,0,Registro2[[#This Row],[Valor Unitário]]))</f>
        <v>10</v>
      </c>
      <c r="U12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35" t="str">
        <f>VLOOKUP(Registro2[[#This Row],[Categoria]],'Plano de Contas'!$V$3:W1316,2,0)</f>
        <v>Receitas Serviços</v>
      </c>
      <c r="X123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36" spans="1:24" hidden="1">
      <c r="A1236" s="1">
        <v>45750</v>
      </c>
      <c r="B1236" s="1">
        <v>45750</v>
      </c>
      <c r="D1236" t="s">
        <v>354</v>
      </c>
      <c r="E1236" t="s">
        <v>149</v>
      </c>
      <c r="F1236" t="s">
        <v>152</v>
      </c>
      <c r="G1236" t="s">
        <v>353</v>
      </c>
      <c r="I1236" s="4">
        <v>60</v>
      </c>
      <c r="J1236" s="4">
        <v>60</v>
      </c>
      <c r="L1236" t="s">
        <v>253</v>
      </c>
      <c r="M1236" t="s">
        <v>122</v>
      </c>
      <c r="N1236" s="4">
        <f>IF(L1236="","",IF(OR(Registro2[[#This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236" t="str">
        <f t="shared" si="19"/>
        <v>abr/25</v>
      </c>
      <c r="P1236" t="str">
        <f>IF(Registro2[[#This Row],[Data de Pagamento]]&gt;0,TEXT(A1236,"mmm/aa"),"")</f>
        <v>abr/25</v>
      </c>
      <c r="T1236" s="4">
        <f>IF(Registro2[[#This Row],[Data de Pagamento]]="",0,IF(Registro2[[#This Row],[Conta Financeira]]=base!$A$6,0,Registro2[[#This Row],[Valor Unitário]]))</f>
        <v>60</v>
      </c>
      <c r="U12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36" t="str">
        <f>VLOOKUP(Registro2[[#This Row],[Categoria]],'Plano de Contas'!$V$3:W1317,2,0)</f>
        <v>Receitas Serviços</v>
      </c>
      <c r="X123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</row>
    <row r="1237" spans="1:24" hidden="1">
      <c r="A1237" s="1">
        <v>45750</v>
      </c>
      <c r="B1237" s="1">
        <v>45750</v>
      </c>
      <c r="D1237" t="s">
        <v>1</v>
      </c>
      <c r="E1237" t="s">
        <v>149</v>
      </c>
      <c r="F1237" t="s">
        <v>147</v>
      </c>
      <c r="G1237" t="s">
        <v>163</v>
      </c>
      <c r="I1237" s="4">
        <v>35</v>
      </c>
      <c r="J1237" s="4">
        <v>50</v>
      </c>
      <c r="L1237" t="s">
        <v>252</v>
      </c>
      <c r="M1237" t="s">
        <v>110</v>
      </c>
      <c r="N1237" s="4">
        <f>IF(L1237="","",IF(OR(Registro2[[#This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37" t="str">
        <f t="shared" si="19"/>
        <v>abr/25</v>
      </c>
      <c r="P1237" t="str">
        <f>IF(Registro2[[#This Row],[Data de Pagamento]]&gt;0,TEXT(A1237,"mmm/aa"),"")</f>
        <v>abr/25</v>
      </c>
      <c r="T1237" s="4">
        <f>IF(Registro2[[#This Row],[Data de Pagamento]]="",0,IF(Registro2[[#This Row],[Conta Financeira]]=base!$A$6,0,Registro2[[#This Row],[Valor Unitário]]))</f>
        <v>35</v>
      </c>
      <c r="U12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37" t="str">
        <f>VLOOKUP(Registro2[[#This Row],[Categoria]],'Plano de Contas'!$V$3:W1318,2,0)</f>
        <v>Receitas Serviços</v>
      </c>
      <c r="X123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38" spans="1:24" hidden="1">
      <c r="A1238" s="1">
        <v>45750</v>
      </c>
      <c r="B1238" s="1">
        <v>45750</v>
      </c>
      <c r="D1238" t="s">
        <v>1</v>
      </c>
      <c r="E1238" t="s">
        <v>149</v>
      </c>
      <c r="F1238" t="s">
        <v>147</v>
      </c>
      <c r="G1238" t="s">
        <v>167</v>
      </c>
      <c r="I1238" s="4">
        <v>10</v>
      </c>
      <c r="J1238" s="4" t="s">
        <v>1604</v>
      </c>
      <c r="L1238" t="s">
        <v>252</v>
      </c>
      <c r="M1238" t="s">
        <v>110</v>
      </c>
      <c r="N1238" s="4">
        <f>IF(L1238="","",IF(OR(Registro2[[#This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238" t="str">
        <f t="shared" si="19"/>
        <v>abr/25</v>
      </c>
      <c r="P1238" t="str">
        <f>IF(Registro2[[#This Row],[Data de Pagamento]]&gt;0,TEXT(A1238,"mmm/aa"),"")</f>
        <v>abr/25</v>
      </c>
      <c r="T1238" s="4">
        <f>IF(Registro2[[#This Row],[Data de Pagamento]]="",0,IF(Registro2[[#This Row],[Conta Financeira]]=base!$A$6,0,Registro2[[#This Row],[Valor Unitário]]))</f>
        <v>10</v>
      </c>
      <c r="U12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38" t="str">
        <f>VLOOKUP(Registro2[[#This Row],[Categoria]],'Plano de Contas'!$V$3:W1319,2,0)</f>
        <v>Receitas Serviços</v>
      </c>
      <c r="X123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39" spans="1:24" hidden="1">
      <c r="A1239" s="1">
        <v>45750</v>
      </c>
      <c r="B1239" s="1">
        <v>45750</v>
      </c>
      <c r="D1239" t="s">
        <v>1</v>
      </c>
      <c r="E1239" t="s">
        <v>149</v>
      </c>
      <c r="F1239" t="s">
        <v>147</v>
      </c>
      <c r="G1239" t="s">
        <v>1046</v>
      </c>
      <c r="I1239" s="4">
        <v>35</v>
      </c>
      <c r="J1239" s="4">
        <v>35</v>
      </c>
      <c r="L1239" t="s">
        <v>253</v>
      </c>
      <c r="M1239" t="s">
        <v>1533</v>
      </c>
      <c r="N1239" s="4">
        <f>IF(L1239="","",IF(OR(Registro2[[#This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39" t="str">
        <f t="shared" si="19"/>
        <v>abr/25</v>
      </c>
      <c r="P1239" t="str">
        <f>IF(Registro2[[#This Row],[Data de Pagamento]]&gt;0,TEXT(A1239,"mmm/aa"),"")</f>
        <v>abr/25</v>
      </c>
      <c r="T1239" s="4">
        <f>IF(Registro2[[#This Row],[Data de Pagamento]]="",0,IF(Registro2[[#This Row],[Conta Financeira]]=base!$A$6,0,Registro2[[#This Row],[Valor Unitário]]))</f>
        <v>35</v>
      </c>
      <c r="U12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39" t="str">
        <f>VLOOKUP(Registro2[[#This Row],[Categoria]],'Plano de Contas'!$V$3:W1320,2,0)</f>
        <v>Receitas Serviços</v>
      </c>
      <c r="X123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40" spans="1:24" hidden="1">
      <c r="A1240" s="1">
        <v>45750</v>
      </c>
      <c r="B1240" s="1">
        <v>45750</v>
      </c>
      <c r="D1240" t="s">
        <v>1</v>
      </c>
      <c r="E1240" t="s">
        <v>149</v>
      </c>
      <c r="F1240" t="s">
        <v>147</v>
      </c>
      <c r="G1240" t="s">
        <v>1046</v>
      </c>
      <c r="I1240" s="4">
        <v>35</v>
      </c>
      <c r="J1240" s="4">
        <v>45</v>
      </c>
      <c r="L1240" t="s">
        <v>264</v>
      </c>
      <c r="M1240" t="s">
        <v>271</v>
      </c>
      <c r="N1240" s="4">
        <f>IF(L1240="","",IF(OR(Registro2[[#This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40" t="str">
        <f t="shared" si="19"/>
        <v>abr/25</v>
      </c>
      <c r="P1240" t="str">
        <f>IF(Registro2[[#This Row],[Data de Pagamento]]&gt;0,TEXT(A1240,"mmm/aa"),"")</f>
        <v>abr/25</v>
      </c>
      <c r="T1240" s="4">
        <f>IF(Registro2[[#This Row],[Data de Pagamento]]="",0,IF(Registro2[[#This Row],[Conta Financeira]]=base!$A$6,0,Registro2[[#This Row],[Valor Unitário]]))</f>
        <v>35</v>
      </c>
      <c r="U12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40" t="str">
        <f>VLOOKUP(Registro2[[#This Row],[Categoria]],'Plano de Contas'!$V$3:W1321,2,0)</f>
        <v>Receitas Serviços</v>
      </c>
      <c r="X124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41" spans="1:24" hidden="1">
      <c r="A1241" s="1">
        <v>45750</v>
      </c>
      <c r="B1241" s="1">
        <v>45750</v>
      </c>
      <c r="D1241" t="s">
        <v>1</v>
      </c>
      <c r="E1241" t="s">
        <v>149</v>
      </c>
      <c r="F1241" t="s">
        <v>147</v>
      </c>
      <c r="G1241" t="s">
        <v>167</v>
      </c>
      <c r="I1241" s="4">
        <v>10</v>
      </c>
      <c r="J1241" s="4" t="s">
        <v>1604</v>
      </c>
      <c r="L1241" t="s">
        <v>264</v>
      </c>
      <c r="M1241" t="s">
        <v>271</v>
      </c>
      <c r="N1241" s="4">
        <f>IF(L1241="","",IF(OR(Registro2[[#This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241" t="str">
        <f t="shared" si="19"/>
        <v>abr/25</v>
      </c>
      <c r="P1241" t="str">
        <f>IF(Registro2[[#This Row],[Data de Pagamento]]&gt;0,TEXT(A1241,"mmm/aa"),"")</f>
        <v>abr/25</v>
      </c>
      <c r="T1241" s="4">
        <f>IF(Registro2[[#This Row],[Data de Pagamento]]="",0,IF(Registro2[[#This Row],[Conta Financeira]]=base!$A$6,0,Registro2[[#This Row],[Valor Unitário]]))</f>
        <v>10</v>
      </c>
      <c r="U12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41" t="str">
        <f>VLOOKUP(Registro2[[#This Row],[Categoria]],'Plano de Contas'!$V$3:W1322,2,0)</f>
        <v>Receitas Serviços</v>
      </c>
      <c r="X124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42" spans="1:24" hidden="1">
      <c r="A1242" s="1">
        <v>45751</v>
      </c>
      <c r="B1242" s="1">
        <v>45751</v>
      </c>
      <c r="D1242" t="s">
        <v>1</v>
      </c>
      <c r="E1242" t="s">
        <v>149</v>
      </c>
      <c r="F1242" t="s">
        <v>147</v>
      </c>
      <c r="G1242" t="s">
        <v>163</v>
      </c>
      <c r="I1242" s="4">
        <v>35</v>
      </c>
      <c r="J1242" s="4">
        <v>35</v>
      </c>
      <c r="L1242" t="s">
        <v>253</v>
      </c>
      <c r="M1242" t="s">
        <v>384</v>
      </c>
      <c r="N1242" s="4">
        <f>IF(L1242="","",IF(OR(Registro2[[#This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42" t="str">
        <f t="shared" si="19"/>
        <v>abr/25</v>
      </c>
      <c r="P1242" t="str">
        <f>IF(Registro2[[#This Row],[Data de Pagamento]]&gt;0,TEXT(A1242,"mmm/aa"),"")</f>
        <v>abr/25</v>
      </c>
      <c r="T1242" s="4">
        <f>IF(Registro2[[#This Row],[Data de Pagamento]]="",0,IF(Registro2[[#This Row],[Conta Financeira]]=base!$A$6,0,Registro2[[#This Row],[Valor Unitário]]))</f>
        <v>35</v>
      </c>
      <c r="U12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42" t="str">
        <f>VLOOKUP(Registro2[[#This Row],[Categoria]],'Plano de Contas'!$V$3:W1264,2,0)</f>
        <v>Receitas Serviços</v>
      </c>
      <c r="X124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43" spans="1:24" hidden="1">
      <c r="A1243" s="1">
        <v>45751</v>
      </c>
      <c r="B1243" s="1">
        <v>45751</v>
      </c>
      <c r="D1243" t="s">
        <v>1</v>
      </c>
      <c r="E1243" t="s">
        <v>149</v>
      </c>
      <c r="F1243" t="s">
        <v>147</v>
      </c>
      <c r="G1243" t="s">
        <v>163</v>
      </c>
      <c r="I1243" s="4">
        <v>35</v>
      </c>
      <c r="J1243" s="4">
        <v>50</v>
      </c>
      <c r="L1243" t="s">
        <v>253</v>
      </c>
      <c r="M1243" t="s">
        <v>486</v>
      </c>
      <c r="N1243" s="4">
        <f>IF(L1243="","",IF(OR(Registro2[[#This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43" t="str">
        <f t="shared" si="19"/>
        <v>abr/25</v>
      </c>
      <c r="P1243" t="str">
        <f>IF(Registro2[[#This Row],[Data de Pagamento]]&gt;0,TEXT(A1243,"mmm/aa"),"")</f>
        <v>abr/25</v>
      </c>
      <c r="T1243" s="4">
        <f>IF(Registro2[[#This Row],[Data de Pagamento]]="",0,IF(Registro2[[#This Row],[Conta Financeira]]=base!$A$6,0,Registro2[[#This Row],[Valor Unitário]]))</f>
        <v>35</v>
      </c>
      <c r="U12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43" t="str">
        <f>VLOOKUP(Registro2[[#This Row],[Categoria]],'Plano de Contas'!$V$3:W1276,2,0)</f>
        <v>Receitas Serviços</v>
      </c>
      <c r="X124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44" spans="1:24" hidden="1">
      <c r="A1244" s="1">
        <v>45751</v>
      </c>
      <c r="B1244" s="1">
        <v>45751</v>
      </c>
      <c r="D1244" t="s">
        <v>1</v>
      </c>
      <c r="E1244" t="s">
        <v>149</v>
      </c>
      <c r="F1244" t="s">
        <v>147</v>
      </c>
      <c r="G1244" t="s">
        <v>1046</v>
      </c>
      <c r="I1244" s="4">
        <v>15</v>
      </c>
      <c r="J1244" s="4" t="s">
        <v>1604</v>
      </c>
      <c r="L1244" t="s">
        <v>253</v>
      </c>
      <c r="M1244" t="s">
        <v>486</v>
      </c>
      <c r="N1244" s="4">
        <f>IF(L1244="","",IF(OR(Registro2[[#This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244" t="str">
        <f t="shared" si="19"/>
        <v>abr/25</v>
      </c>
      <c r="P1244" t="str">
        <f>IF(Registro2[[#This Row],[Data de Pagamento]]&gt;0,TEXT(A1244,"mmm/aa"),"")</f>
        <v>abr/25</v>
      </c>
      <c r="T1244" s="4">
        <f>IF(Registro2[[#This Row],[Data de Pagamento]]="",0,IF(Registro2[[#This Row],[Conta Financeira]]=base!$A$6,0,Registro2[[#This Row],[Valor Unitário]]))</f>
        <v>15</v>
      </c>
      <c r="U12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44" t="str">
        <f>VLOOKUP(Registro2[[#This Row],[Categoria]],'Plano de Contas'!$V$3:W1277,2,0)</f>
        <v>Receitas Serviços</v>
      </c>
      <c r="X124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45" spans="1:24" hidden="1">
      <c r="A1245" s="1">
        <v>45751</v>
      </c>
      <c r="B1245" s="1">
        <v>45751</v>
      </c>
      <c r="D1245" t="s">
        <v>1</v>
      </c>
      <c r="E1245" t="s">
        <v>149</v>
      </c>
      <c r="F1245" t="s">
        <v>147</v>
      </c>
      <c r="G1245" t="s">
        <v>167</v>
      </c>
      <c r="I1245" s="4">
        <v>15</v>
      </c>
      <c r="J1245" s="4">
        <v>15</v>
      </c>
      <c r="L1245" t="s">
        <v>253</v>
      </c>
      <c r="M1245" t="s">
        <v>14</v>
      </c>
      <c r="N1245" s="4">
        <f>IF(L1245="","",IF(OR(Registro2[[#This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245" t="str">
        <f t="shared" si="19"/>
        <v>abr/25</v>
      </c>
      <c r="P1245" t="str">
        <f>IF(Registro2[[#This Row],[Data de Pagamento]]&gt;0,TEXT(A1245,"mmm/aa"),"")</f>
        <v>abr/25</v>
      </c>
      <c r="T1245" s="4">
        <f>IF(Registro2[[#This Row],[Data de Pagamento]]="",0,IF(Registro2[[#This Row],[Conta Financeira]]=base!$A$6,0,Registro2[[#This Row],[Valor Unitário]]))</f>
        <v>15</v>
      </c>
      <c r="U12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45" t="str">
        <f>VLOOKUP(Registro2[[#This Row],[Categoria]],'Plano de Contas'!$V$3:W1323,2,0)</f>
        <v>Receitas Serviços</v>
      </c>
      <c r="X12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46" spans="1:24" hidden="1">
      <c r="A1246" s="1">
        <v>45751</v>
      </c>
      <c r="B1246" s="1">
        <v>45751</v>
      </c>
      <c r="D1246" t="s">
        <v>1</v>
      </c>
      <c r="E1246" t="s">
        <v>149</v>
      </c>
      <c r="F1246" t="s">
        <v>147</v>
      </c>
      <c r="G1246" t="s">
        <v>163</v>
      </c>
      <c r="I1246" s="4">
        <v>35</v>
      </c>
      <c r="J1246" s="4">
        <v>45</v>
      </c>
      <c r="L1246" t="s">
        <v>252</v>
      </c>
      <c r="M1246" t="s">
        <v>68</v>
      </c>
      <c r="N1246" s="4">
        <f>IF(L1246="","",IF(OR(Registro2[[#This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46" t="str">
        <f t="shared" si="19"/>
        <v>abr/25</v>
      </c>
      <c r="P1246" t="str">
        <f>IF(Registro2[[#This Row],[Data de Pagamento]]&gt;0,TEXT(A1246,"mmm/aa"),"")</f>
        <v>abr/25</v>
      </c>
      <c r="T1246" s="4">
        <f>IF(Registro2[[#This Row],[Data de Pagamento]]="",0,IF(Registro2[[#This Row],[Conta Financeira]]=base!$A$6,0,Registro2[[#This Row],[Valor Unitário]]))</f>
        <v>35</v>
      </c>
      <c r="U12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46" t="str">
        <f>VLOOKUP(Registro2[[#This Row],[Categoria]],'Plano de Contas'!$V$3:W1324,2,0)</f>
        <v>Receitas Serviços</v>
      </c>
      <c r="X124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47" spans="1:24" hidden="1">
      <c r="A1247" s="1">
        <v>45751</v>
      </c>
      <c r="B1247" s="1">
        <v>45751</v>
      </c>
      <c r="D1247" t="s">
        <v>1</v>
      </c>
      <c r="E1247" t="s">
        <v>149</v>
      </c>
      <c r="F1247" t="s">
        <v>147</v>
      </c>
      <c r="G1247" t="s">
        <v>167</v>
      </c>
      <c r="I1247" s="4">
        <v>10</v>
      </c>
      <c r="J1247" s="4" t="s">
        <v>1604</v>
      </c>
      <c r="L1247" t="s">
        <v>252</v>
      </c>
      <c r="M1247" t="s">
        <v>68</v>
      </c>
      <c r="N1247" s="4">
        <f>IF(L1247="","",IF(OR(Registro2[[#This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247" t="str">
        <f t="shared" si="19"/>
        <v>abr/25</v>
      </c>
      <c r="P1247" t="str">
        <f>IF(Registro2[[#This Row],[Data de Pagamento]]&gt;0,TEXT(A1247,"mmm/aa"),"")</f>
        <v>abr/25</v>
      </c>
      <c r="T1247" s="4">
        <f>IF(Registro2[[#This Row],[Data de Pagamento]]="",0,IF(Registro2[[#This Row],[Conta Financeira]]=base!$A$6,0,Registro2[[#This Row],[Valor Unitário]]))</f>
        <v>10</v>
      </c>
      <c r="U12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47" t="str">
        <f>VLOOKUP(Registro2[[#This Row],[Categoria]],'Plano de Contas'!$V$3:W1325,2,0)</f>
        <v>Receitas Serviços</v>
      </c>
      <c r="X124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48" spans="1:24" hidden="1">
      <c r="A1248" s="1">
        <v>45751</v>
      </c>
      <c r="B1248" s="1">
        <v>45751</v>
      </c>
      <c r="D1248" t="s">
        <v>1</v>
      </c>
      <c r="E1248" t="s">
        <v>149</v>
      </c>
      <c r="F1248" t="s">
        <v>147</v>
      </c>
      <c r="G1248" t="s">
        <v>163</v>
      </c>
      <c r="I1248" s="4">
        <v>35</v>
      </c>
      <c r="J1248" s="4">
        <v>35</v>
      </c>
      <c r="L1248" t="s">
        <v>253</v>
      </c>
      <c r="M1248" t="s">
        <v>2008</v>
      </c>
      <c r="N1248" s="4">
        <f>IF(L1248="","",IF(OR(Registro2[[#This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48" t="str">
        <f t="shared" si="19"/>
        <v>abr/25</v>
      </c>
      <c r="P1248" t="str">
        <f>IF(Registro2[[#This Row],[Data de Pagamento]]&gt;0,TEXT(A1248,"mmm/aa"),"")</f>
        <v>abr/25</v>
      </c>
      <c r="T1248" s="4">
        <f>IF(Registro2[[#This Row],[Data de Pagamento]]="",0,IF(Registro2[[#This Row],[Conta Financeira]]=base!$A$6,0,Registro2[[#This Row],[Valor Unitário]]))</f>
        <v>35</v>
      </c>
      <c r="U12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48" t="str">
        <f>VLOOKUP(Registro2[[#This Row],[Categoria]],'Plano de Contas'!$V$3:W1326,2,0)</f>
        <v>Receitas Serviços</v>
      </c>
      <c r="X124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49" spans="1:24" hidden="1">
      <c r="A1249" s="1">
        <v>45751</v>
      </c>
      <c r="B1249" s="1">
        <v>45751</v>
      </c>
      <c r="D1249" t="s">
        <v>1</v>
      </c>
      <c r="E1249" t="s">
        <v>149</v>
      </c>
      <c r="F1249" t="s">
        <v>152</v>
      </c>
      <c r="G1249" t="s">
        <v>353</v>
      </c>
      <c r="I1249" s="4">
        <v>50</v>
      </c>
      <c r="J1249" s="4">
        <v>50</v>
      </c>
      <c r="L1249" t="s">
        <v>264</v>
      </c>
      <c r="M1249" t="s">
        <v>383</v>
      </c>
      <c r="N1249" s="4">
        <f>IF(L1249="","",IF(OR(Registro2[[#This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249" t="str">
        <f t="shared" si="19"/>
        <v>abr/25</v>
      </c>
      <c r="P1249" t="str">
        <f>IF(Registro2[[#This Row],[Data de Pagamento]]&gt;0,TEXT(A1249,"mmm/aa"),"")</f>
        <v>abr/25</v>
      </c>
      <c r="T1249" s="4">
        <f>IF(Registro2[[#This Row],[Data de Pagamento]]="",0,IF(Registro2[[#This Row],[Conta Financeira]]=base!$A$6,0,Registro2[[#This Row],[Valor Unitário]]))</f>
        <v>50</v>
      </c>
      <c r="U12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49" t="str">
        <f>VLOOKUP(Registro2[[#This Row],[Categoria]],'Plano de Contas'!$V$3:W1328,2,0)</f>
        <v>Receitas Serviços</v>
      </c>
      <c r="X124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50" spans="1:24" hidden="1">
      <c r="A1250" s="1">
        <v>45751</v>
      </c>
      <c r="B1250" s="1">
        <v>45751</v>
      </c>
      <c r="D1250" t="s">
        <v>1</v>
      </c>
      <c r="E1250" t="s">
        <v>149</v>
      </c>
      <c r="F1250" t="s">
        <v>147</v>
      </c>
      <c r="G1250" t="s">
        <v>163</v>
      </c>
      <c r="I1250" s="4">
        <v>35</v>
      </c>
      <c r="J1250" s="4">
        <v>35</v>
      </c>
      <c r="L1250" t="s">
        <v>253</v>
      </c>
      <c r="M1250" t="s">
        <v>127</v>
      </c>
      <c r="N1250" s="4">
        <f>IF(L1250="","",IF(OR(Registro2[[#This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50" t="str">
        <f t="shared" si="19"/>
        <v>abr/25</v>
      </c>
      <c r="P1250" t="str">
        <f>IF(Registro2[[#This Row],[Data de Pagamento]]&gt;0,TEXT(A1250,"mmm/aa"),"")</f>
        <v>abr/25</v>
      </c>
      <c r="T1250" s="4">
        <f>IF(Registro2[[#This Row],[Data de Pagamento]]="",0,IF(Registro2[[#This Row],[Conta Financeira]]=base!$A$6,0,Registro2[[#This Row],[Valor Unitário]]))</f>
        <v>35</v>
      </c>
      <c r="U12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50" t="str">
        <f>VLOOKUP(Registro2[[#This Row],[Categoria]],'Plano de Contas'!$V$3:W1329,2,0)</f>
        <v>Receitas Serviços</v>
      </c>
      <c r="X125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51" spans="1:24" hidden="1">
      <c r="A1251" s="1">
        <v>45751</v>
      </c>
      <c r="B1251" s="1">
        <v>45751</v>
      </c>
      <c r="D1251" t="s">
        <v>1</v>
      </c>
      <c r="E1251" t="s">
        <v>149</v>
      </c>
      <c r="F1251" t="s">
        <v>152</v>
      </c>
      <c r="G1251" t="s">
        <v>353</v>
      </c>
      <c r="I1251" s="4">
        <v>60</v>
      </c>
      <c r="J1251" s="4">
        <v>70</v>
      </c>
      <c r="L1251" t="s">
        <v>264</v>
      </c>
      <c r="M1251" t="s">
        <v>275</v>
      </c>
      <c r="N1251" s="4">
        <f>IF(L1251="","",IF(OR(Registro2[[#This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251" t="str">
        <f t="shared" si="19"/>
        <v>abr/25</v>
      </c>
      <c r="P1251" t="str">
        <f>IF(Registro2[[#This Row],[Data de Pagamento]]&gt;0,TEXT(A1251,"mmm/aa"),"")</f>
        <v>abr/25</v>
      </c>
      <c r="T1251" s="4">
        <f>IF(Registro2[[#This Row],[Data de Pagamento]]="",0,IF(Registro2[[#This Row],[Conta Financeira]]=base!$A$6,0,Registro2[[#This Row],[Valor Unitário]]))</f>
        <v>60</v>
      </c>
      <c r="U12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51" t="str">
        <f>VLOOKUP(Registro2[[#This Row],[Categoria]],'Plano de Contas'!$V$3:W1330,2,0)</f>
        <v>Receitas Serviços</v>
      </c>
      <c r="X125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52" spans="1:24" hidden="1">
      <c r="A1252" s="1">
        <v>45751</v>
      </c>
      <c r="B1252" s="1">
        <v>45751</v>
      </c>
      <c r="D1252" t="s">
        <v>1</v>
      </c>
      <c r="E1252" t="s">
        <v>149</v>
      </c>
      <c r="F1252" t="s">
        <v>147</v>
      </c>
      <c r="G1252" t="s">
        <v>166</v>
      </c>
      <c r="I1252" s="4">
        <v>10</v>
      </c>
      <c r="J1252" s="4" t="s">
        <v>1604</v>
      </c>
      <c r="L1252" t="s">
        <v>264</v>
      </c>
      <c r="M1252" t="s">
        <v>275</v>
      </c>
      <c r="N1252" s="4">
        <f>IF(L1252="","",IF(OR(Registro2[[#This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252" t="str">
        <f t="shared" si="19"/>
        <v>abr/25</v>
      </c>
      <c r="P1252" t="str">
        <f>IF(Registro2[[#This Row],[Data de Pagamento]]&gt;0,TEXT(A1252,"mmm/aa"),"")</f>
        <v>abr/25</v>
      </c>
      <c r="T1252" s="4">
        <f>IF(Registro2[[#This Row],[Data de Pagamento]]="",0,IF(Registro2[[#This Row],[Conta Financeira]]=base!$A$6,0,Registro2[[#This Row],[Valor Unitário]]))</f>
        <v>10</v>
      </c>
      <c r="U12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52" t="str">
        <f>VLOOKUP(Registro2[[#This Row],[Categoria]],'Plano de Contas'!$V$3:W1331,2,0)</f>
        <v>Receitas Serviços</v>
      </c>
      <c r="X125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53" spans="1:24" hidden="1">
      <c r="A1253" s="1">
        <v>45751</v>
      </c>
      <c r="B1253" s="1">
        <v>45751</v>
      </c>
      <c r="D1253" t="s">
        <v>1</v>
      </c>
      <c r="E1253" t="s">
        <v>149</v>
      </c>
      <c r="F1253" t="s">
        <v>147</v>
      </c>
      <c r="G1253" t="s">
        <v>163</v>
      </c>
      <c r="I1253" s="4">
        <v>35</v>
      </c>
      <c r="J1253" s="4">
        <v>75</v>
      </c>
      <c r="L1253" t="s">
        <v>253</v>
      </c>
      <c r="M1253" t="s">
        <v>1523</v>
      </c>
      <c r="N1253" s="4">
        <f>IF(L1253="","",IF(OR(Registro2[[#This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53" t="str">
        <f t="shared" si="19"/>
        <v>abr/25</v>
      </c>
      <c r="P1253" t="str">
        <f>IF(Registro2[[#This Row],[Data de Pagamento]]&gt;0,TEXT(A1253,"mmm/aa"),"")</f>
        <v>abr/25</v>
      </c>
      <c r="T1253" s="4">
        <f>IF(Registro2[[#This Row],[Data de Pagamento]]="",0,IF(Registro2[[#This Row],[Conta Financeira]]=base!$A$6,0,Registro2[[#This Row],[Valor Unitário]]))</f>
        <v>35</v>
      </c>
      <c r="U12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53" t="str">
        <f>VLOOKUP(Registro2[[#This Row],[Categoria]],'Plano de Contas'!$V$3:W1332,2,0)</f>
        <v>Receitas Serviços</v>
      </c>
      <c r="X125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54" spans="1:24" hidden="1">
      <c r="A1254" s="1">
        <v>45751</v>
      </c>
      <c r="B1254" s="1">
        <v>45751</v>
      </c>
      <c r="D1254" t="s">
        <v>1</v>
      </c>
      <c r="E1254" t="s">
        <v>149</v>
      </c>
      <c r="F1254" t="s">
        <v>147</v>
      </c>
      <c r="G1254" t="s">
        <v>1046</v>
      </c>
      <c r="I1254" s="4">
        <v>15</v>
      </c>
      <c r="J1254" s="4" t="s">
        <v>1604</v>
      </c>
      <c r="L1254" t="s">
        <v>253</v>
      </c>
      <c r="M1254" t="s">
        <v>1523</v>
      </c>
      <c r="N1254" s="4">
        <f>IF(L1254="","",IF(OR(Registro2[[#This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254" t="str">
        <f t="shared" si="19"/>
        <v>abr/25</v>
      </c>
      <c r="P1254" t="str">
        <f>IF(Registro2[[#This Row],[Data de Pagamento]]&gt;0,TEXT(A1254,"mmm/aa"),"")</f>
        <v>abr/25</v>
      </c>
      <c r="T1254" s="4">
        <f>IF(Registro2[[#This Row],[Data de Pagamento]]="",0,IF(Registro2[[#This Row],[Conta Financeira]]=base!$A$6,0,Registro2[[#This Row],[Valor Unitário]]))</f>
        <v>15</v>
      </c>
      <c r="U12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54" t="str">
        <f>VLOOKUP(Registro2[[#This Row],[Categoria]],'Plano de Contas'!$V$3:W1333,2,0)</f>
        <v>Receitas Serviços</v>
      </c>
      <c r="X125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55" spans="1:24" hidden="1">
      <c r="A1255" s="1">
        <v>45751</v>
      </c>
      <c r="B1255" s="1">
        <v>45751</v>
      </c>
      <c r="D1255" t="s">
        <v>1</v>
      </c>
      <c r="E1255" t="s">
        <v>149</v>
      </c>
      <c r="F1255" t="s">
        <v>150</v>
      </c>
      <c r="G1255" t="s">
        <v>509</v>
      </c>
      <c r="I1255" s="4">
        <v>25</v>
      </c>
      <c r="J1255" s="4" t="s">
        <v>1604</v>
      </c>
      <c r="L1255" t="s">
        <v>253</v>
      </c>
      <c r="M1255" t="s">
        <v>1523</v>
      </c>
      <c r="N1255" s="4">
        <f>IF(L1255="","",IF(OR(Registro2[[#This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255" t="str">
        <f t="shared" si="19"/>
        <v>abr/25</v>
      </c>
      <c r="P1255" t="str">
        <f>IF(Registro2[[#This Row],[Data de Pagamento]]&gt;0,TEXT(A1255,"mmm/aa"),"")</f>
        <v>abr/25</v>
      </c>
      <c r="T1255" s="4">
        <f>IF(Registro2[[#This Row],[Data de Pagamento]]="",0,IF(Registro2[[#This Row],[Conta Financeira]]=base!$A$6,0,Registro2[[#This Row],[Valor Unitário]]))</f>
        <v>25</v>
      </c>
      <c r="U12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55" t="str">
        <f>VLOOKUP(Registro2[[#This Row],[Categoria]],'Plano de Contas'!$V$3:W1334,2,0)</f>
        <v>Receitas Produtos</v>
      </c>
      <c r="X12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56" spans="1:24" hidden="1">
      <c r="A1256" s="1">
        <v>45751</v>
      </c>
      <c r="B1256" s="1">
        <v>45751</v>
      </c>
      <c r="D1256" t="s">
        <v>1</v>
      </c>
      <c r="E1256" t="s">
        <v>149</v>
      </c>
      <c r="F1256" t="s">
        <v>152</v>
      </c>
      <c r="G1256" t="s">
        <v>353</v>
      </c>
      <c r="I1256" s="4">
        <v>55</v>
      </c>
      <c r="J1256" s="4">
        <v>55</v>
      </c>
      <c r="L1256" t="s">
        <v>264</v>
      </c>
      <c r="M1256" t="s">
        <v>376</v>
      </c>
      <c r="N1256" s="4">
        <f>IF(L1256="","",IF(OR(Registro2[[#This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1256" t="str">
        <f t="shared" si="19"/>
        <v>abr/25</v>
      </c>
      <c r="P1256" t="str">
        <f>IF(Registro2[[#This Row],[Data de Pagamento]]&gt;0,TEXT(A1256,"mmm/aa"),"")</f>
        <v>abr/25</v>
      </c>
      <c r="T1256" s="4">
        <f>IF(Registro2[[#This Row],[Data de Pagamento]]="",0,IF(Registro2[[#This Row],[Conta Financeira]]=base!$A$6,0,Registro2[[#This Row],[Valor Unitário]]))</f>
        <v>55</v>
      </c>
      <c r="U12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56" t="str">
        <f>VLOOKUP(Registro2[[#This Row],[Categoria]],'Plano de Contas'!$V$3:W1335,2,0)</f>
        <v>Receitas Serviços</v>
      </c>
      <c r="X125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57" spans="1:24" hidden="1">
      <c r="A1257" s="1">
        <v>45751</v>
      </c>
      <c r="B1257" s="1">
        <v>45751</v>
      </c>
      <c r="D1257" t="s">
        <v>1</v>
      </c>
      <c r="E1257" t="s">
        <v>149</v>
      </c>
      <c r="F1257" t="s">
        <v>147</v>
      </c>
      <c r="G1257" t="s">
        <v>163</v>
      </c>
      <c r="I1257" s="4">
        <v>35</v>
      </c>
      <c r="J1257" s="4">
        <v>35</v>
      </c>
      <c r="L1257" t="s">
        <v>253</v>
      </c>
      <c r="M1257" t="s">
        <v>63</v>
      </c>
      <c r="N1257" s="4">
        <f>IF(L1257="","",IF(OR(Registro2[[#This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57" t="str">
        <f t="shared" si="19"/>
        <v>abr/25</v>
      </c>
      <c r="P1257" t="str">
        <f>IF(Registro2[[#This Row],[Data de Pagamento]]&gt;0,TEXT(A1257,"mmm/aa"),"")</f>
        <v>abr/25</v>
      </c>
      <c r="T1257" s="4">
        <f>IF(Registro2[[#This Row],[Data de Pagamento]]="",0,IF(Registro2[[#This Row],[Conta Financeira]]=base!$A$6,0,Registro2[[#This Row],[Valor Unitário]]))</f>
        <v>35</v>
      </c>
      <c r="U12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57" t="str">
        <f>VLOOKUP(Registro2[[#This Row],[Categoria]],'Plano de Contas'!$V$3:W1336,2,0)</f>
        <v>Receitas Serviços</v>
      </c>
      <c r="X12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58" spans="1:24" hidden="1">
      <c r="A1258" s="1">
        <v>45751</v>
      </c>
      <c r="B1258" s="1">
        <v>45751</v>
      </c>
      <c r="D1258" t="s">
        <v>1</v>
      </c>
      <c r="E1258" t="s">
        <v>149</v>
      </c>
      <c r="F1258" t="s">
        <v>147</v>
      </c>
      <c r="G1258" t="s">
        <v>163</v>
      </c>
      <c r="I1258" s="4">
        <v>35</v>
      </c>
      <c r="J1258" s="4">
        <v>35</v>
      </c>
      <c r="L1258" t="s">
        <v>252</v>
      </c>
      <c r="M1258" t="s">
        <v>2025</v>
      </c>
      <c r="N1258" s="4">
        <f>IF(L1258="","",IF(OR(Registro2[[#This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58" t="str">
        <f t="shared" si="19"/>
        <v>abr/25</v>
      </c>
      <c r="P1258" t="str">
        <f>IF(Registro2[[#This Row],[Data de Pagamento]]&gt;0,TEXT(A1258,"mmm/aa"),"")</f>
        <v>abr/25</v>
      </c>
      <c r="T1258" s="4">
        <f>IF(Registro2[[#This Row],[Data de Pagamento]]="",0,IF(Registro2[[#This Row],[Conta Financeira]]=base!$A$6,0,Registro2[[#This Row],[Valor Unitário]]))</f>
        <v>35</v>
      </c>
      <c r="U12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58" t="str">
        <f>VLOOKUP(Registro2[[#This Row],[Categoria]],'Plano de Contas'!$V$3:W1337,2,0)</f>
        <v>Receitas Serviços</v>
      </c>
      <c r="X12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59" spans="1:24" hidden="1">
      <c r="A1259" s="1">
        <v>45751</v>
      </c>
      <c r="B1259" s="1">
        <v>45751</v>
      </c>
      <c r="D1259" t="s">
        <v>1</v>
      </c>
      <c r="E1259" t="s">
        <v>149</v>
      </c>
      <c r="F1259" t="s">
        <v>152</v>
      </c>
      <c r="G1259" t="s">
        <v>353</v>
      </c>
      <c r="I1259" s="4">
        <v>50</v>
      </c>
      <c r="J1259" s="4">
        <v>50</v>
      </c>
      <c r="L1259" t="s">
        <v>264</v>
      </c>
      <c r="M1259" t="s">
        <v>1184</v>
      </c>
      <c r="N1259" s="4">
        <f>IF(L1259="","",IF(OR(Registro2[[#This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259" t="str">
        <f t="shared" si="19"/>
        <v>abr/25</v>
      </c>
      <c r="P1259" t="str">
        <f>IF(Registro2[[#This Row],[Data de Pagamento]]&gt;0,TEXT(A1259,"mmm/aa"),"")</f>
        <v>abr/25</v>
      </c>
      <c r="T1259" s="4">
        <f>IF(Registro2[[#This Row],[Data de Pagamento]]="",0,IF(Registro2[[#This Row],[Conta Financeira]]=base!$A$6,0,Registro2[[#This Row],[Valor Unitário]]))</f>
        <v>50</v>
      </c>
      <c r="U12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59" t="str">
        <f>VLOOKUP(Registro2[[#This Row],[Categoria]],'Plano de Contas'!$V$3:W1338,2,0)</f>
        <v>Receitas Serviços</v>
      </c>
      <c r="X125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60" spans="1:24" hidden="1">
      <c r="A1260" s="1">
        <v>45751</v>
      </c>
      <c r="B1260" s="1">
        <v>45751</v>
      </c>
      <c r="D1260" t="s">
        <v>2</v>
      </c>
      <c r="E1260" t="s">
        <v>149</v>
      </c>
      <c r="F1260" t="s">
        <v>147</v>
      </c>
      <c r="G1260" t="s">
        <v>163</v>
      </c>
      <c r="I1260" s="4">
        <v>35</v>
      </c>
      <c r="J1260" s="4">
        <v>45</v>
      </c>
      <c r="L1260" t="s">
        <v>253</v>
      </c>
      <c r="M1260" t="s">
        <v>1109</v>
      </c>
      <c r="N1260" s="4">
        <f>IF(L1260="","",IF(OR(Registro2[[#This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60" t="str">
        <f t="shared" si="19"/>
        <v>abr/25</v>
      </c>
      <c r="P1260" t="str">
        <f>IF(Registro2[[#This Row],[Data de Pagamento]]&gt;0,TEXT(A1260,"mmm/aa"),"")</f>
        <v>abr/25</v>
      </c>
      <c r="T1260" s="4">
        <f>IF(Registro2[[#This Row],[Data de Pagamento]]="",0,IF(Registro2[[#This Row],[Conta Financeira]]=base!$A$6,0,Registro2[[#This Row],[Valor Unitário]]))</f>
        <v>35</v>
      </c>
      <c r="U12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60" t="str">
        <f>VLOOKUP(Registro2[[#This Row],[Categoria]],'Plano de Contas'!$V$3:W1339,2,0)</f>
        <v>Receitas Serviços</v>
      </c>
      <c r="X12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61" spans="1:24" hidden="1">
      <c r="A1261" s="1">
        <v>45751</v>
      </c>
      <c r="B1261" s="1">
        <v>45751</v>
      </c>
      <c r="D1261" t="s">
        <v>2</v>
      </c>
      <c r="E1261" t="s">
        <v>149</v>
      </c>
      <c r="F1261" t="s">
        <v>147</v>
      </c>
      <c r="G1261" t="s">
        <v>167</v>
      </c>
      <c r="I1261" s="4">
        <v>10</v>
      </c>
      <c r="J1261" s="4" t="s">
        <v>1604</v>
      </c>
      <c r="L1261" t="s">
        <v>253</v>
      </c>
      <c r="M1261" t="s">
        <v>1109</v>
      </c>
      <c r="N1261" s="4">
        <f>IF(L1261="","",IF(OR(Registro2[[#This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261" t="str">
        <f t="shared" si="19"/>
        <v>abr/25</v>
      </c>
      <c r="P1261" t="str">
        <f>IF(Registro2[[#This Row],[Data de Pagamento]]&gt;0,TEXT(A1261,"mmm/aa"),"")</f>
        <v>abr/25</v>
      </c>
      <c r="T1261" s="4">
        <f>IF(Registro2[[#This Row],[Data de Pagamento]]="",0,IF(Registro2[[#This Row],[Conta Financeira]]=base!$A$6,0,Registro2[[#This Row],[Valor Unitário]]))</f>
        <v>10</v>
      </c>
      <c r="U12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61" t="str">
        <f>VLOOKUP(Registro2[[#This Row],[Categoria]],'Plano de Contas'!$V$3:W1340,2,0)</f>
        <v>Receitas Serviços</v>
      </c>
      <c r="X12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62" spans="1:24" hidden="1">
      <c r="A1262" s="1">
        <v>45751</v>
      </c>
      <c r="B1262" s="1">
        <v>45751</v>
      </c>
      <c r="D1262" t="s">
        <v>1</v>
      </c>
      <c r="E1262" t="s">
        <v>149</v>
      </c>
      <c r="F1262" t="s">
        <v>147</v>
      </c>
      <c r="G1262" t="s">
        <v>163</v>
      </c>
      <c r="I1262" s="4">
        <v>35</v>
      </c>
      <c r="J1262" s="4">
        <v>35</v>
      </c>
      <c r="L1262" t="s">
        <v>264</v>
      </c>
      <c r="M1262" t="s">
        <v>470</v>
      </c>
      <c r="N1262" s="4">
        <f>IF(L1262="","",IF(OR(Registro2[[#This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62" t="str">
        <f t="shared" si="19"/>
        <v>abr/25</v>
      </c>
      <c r="P1262" t="str">
        <f>IF(Registro2[[#This Row],[Data de Pagamento]]&gt;0,TEXT(A1262,"mmm/aa"),"")</f>
        <v>abr/25</v>
      </c>
      <c r="T1262" s="4">
        <f>IF(Registro2[[#This Row],[Data de Pagamento]]="",0,IF(Registro2[[#This Row],[Conta Financeira]]=base!$A$6,0,Registro2[[#This Row],[Valor Unitário]]))</f>
        <v>35</v>
      </c>
      <c r="U12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62" t="str">
        <f>VLOOKUP(Registro2[[#This Row],[Categoria]],'Plano de Contas'!$V$3:W1341,2,0)</f>
        <v>Receitas Serviços</v>
      </c>
      <c r="X126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63" spans="1:24" hidden="1">
      <c r="A1263" s="1">
        <v>45751</v>
      </c>
      <c r="B1263" s="1">
        <v>45751</v>
      </c>
      <c r="D1263" t="s">
        <v>1</v>
      </c>
      <c r="E1263" t="s">
        <v>149</v>
      </c>
      <c r="F1263" t="s">
        <v>147</v>
      </c>
      <c r="G1263" t="s">
        <v>163</v>
      </c>
      <c r="I1263" s="4">
        <v>35</v>
      </c>
      <c r="J1263" s="4">
        <v>45</v>
      </c>
      <c r="L1263" t="s">
        <v>264</v>
      </c>
      <c r="M1263" t="s">
        <v>501</v>
      </c>
      <c r="N1263" s="4">
        <f>IF(L1263="","",IF(OR(Registro2[[#This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63" t="str">
        <f t="shared" si="19"/>
        <v>abr/25</v>
      </c>
      <c r="P1263" t="str">
        <f>IF(Registro2[[#This Row],[Data de Pagamento]]&gt;0,TEXT(A1263,"mmm/aa"),"")</f>
        <v>abr/25</v>
      </c>
      <c r="T1263" s="4">
        <f>IF(Registro2[[#This Row],[Data de Pagamento]]="",0,IF(Registro2[[#This Row],[Conta Financeira]]=base!$A$6,0,Registro2[[#This Row],[Valor Unitário]]))</f>
        <v>35</v>
      </c>
      <c r="U12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63" t="str">
        <f>VLOOKUP(Registro2[[#This Row],[Categoria]],'Plano de Contas'!$V$3:W1343,2,0)</f>
        <v>Receitas Serviços</v>
      </c>
      <c r="X126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64" spans="1:24" hidden="1">
      <c r="A1264" s="1">
        <v>45751</v>
      </c>
      <c r="B1264" s="1">
        <v>45751</v>
      </c>
      <c r="D1264" t="s">
        <v>1</v>
      </c>
      <c r="E1264" t="s">
        <v>149</v>
      </c>
      <c r="F1264" t="s">
        <v>147</v>
      </c>
      <c r="G1264" t="s">
        <v>167</v>
      </c>
      <c r="I1264" s="4">
        <v>10</v>
      </c>
      <c r="J1264" s="4" t="s">
        <v>1604</v>
      </c>
      <c r="L1264" t="s">
        <v>264</v>
      </c>
      <c r="M1264" t="s">
        <v>501</v>
      </c>
      <c r="N1264" s="4">
        <f>IF(L1264="","",IF(OR(Registro2[[#This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264" t="str">
        <f t="shared" si="19"/>
        <v>abr/25</v>
      </c>
      <c r="P1264" t="str">
        <f>IF(Registro2[[#This Row],[Data de Pagamento]]&gt;0,TEXT(A1264,"mmm/aa"),"")</f>
        <v>abr/25</v>
      </c>
      <c r="T1264" s="4">
        <f>IF(Registro2[[#This Row],[Data de Pagamento]]="",0,IF(Registro2[[#This Row],[Conta Financeira]]=base!$A$6,0,Registro2[[#This Row],[Valor Unitário]]))</f>
        <v>10</v>
      </c>
      <c r="U12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64" t="str">
        <f>VLOOKUP(Registro2[[#This Row],[Categoria]],'Plano de Contas'!$V$3:W1344,2,0)</f>
        <v>Receitas Serviços</v>
      </c>
      <c r="X126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65" spans="1:24" hidden="1">
      <c r="A1265" s="1">
        <v>45751</v>
      </c>
      <c r="B1265" s="1">
        <v>45751</v>
      </c>
      <c r="D1265" t="s">
        <v>2</v>
      </c>
      <c r="E1265" t="s">
        <v>149</v>
      </c>
      <c r="F1265" t="s">
        <v>152</v>
      </c>
      <c r="G1265" t="s">
        <v>353</v>
      </c>
      <c r="I1265" s="4">
        <v>60</v>
      </c>
      <c r="J1265" s="4">
        <v>75</v>
      </c>
      <c r="L1265" t="s">
        <v>252</v>
      </c>
      <c r="M1265" t="s">
        <v>1026</v>
      </c>
      <c r="N1265" s="4">
        <f>IF(L1265="","",IF(OR(Registro2[[#This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265" t="str">
        <f t="shared" si="19"/>
        <v>abr/25</v>
      </c>
      <c r="P1265" t="str">
        <f>IF(Registro2[[#This Row],[Data de Pagamento]]&gt;0,TEXT(A1265,"mmm/aa"),"")</f>
        <v>abr/25</v>
      </c>
      <c r="T1265" s="4">
        <f>IF(Registro2[[#This Row],[Data de Pagamento]]="",0,IF(Registro2[[#This Row],[Conta Financeira]]=base!$A$6,0,Registro2[[#This Row],[Valor Unitário]]))</f>
        <v>60</v>
      </c>
      <c r="U12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65" t="str">
        <f>VLOOKUP(Registro2[[#This Row],[Categoria]],'Plano de Contas'!$V$3:W1345,2,0)</f>
        <v>Receitas Serviços</v>
      </c>
      <c r="X126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66" spans="1:24" hidden="1">
      <c r="A1266" s="1">
        <v>45751</v>
      </c>
      <c r="B1266" s="1">
        <v>45751</v>
      </c>
      <c r="D1266" t="s">
        <v>2</v>
      </c>
      <c r="E1266" t="s">
        <v>149</v>
      </c>
      <c r="F1266" t="s">
        <v>147</v>
      </c>
      <c r="G1266" t="s">
        <v>1187</v>
      </c>
      <c r="I1266" s="4">
        <v>15</v>
      </c>
      <c r="J1266" s="4" t="s">
        <v>1604</v>
      </c>
      <c r="L1266" t="s">
        <v>252</v>
      </c>
      <c r="M1266" t="s">
        <v>1026</v>
      </c>
      <c r="N1266" s="4">
        <f>IF(L1266="","",IF(OR(Registro2[[#This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266" t="str">
        <f t="shared" si="19"/>
        <v>abr/25</v>
      </c>
      <c r="P1266" t="str">
        <f>IF(Registro2[[#This Row],[Data de Pagamento]]&gt;0,TEXT(A1266,"mmm/aa"),"")</f>
        <v>abr/25</v>
      </c>
      <c r="T1266" s="4">
        <f>IF(Registro2[[#This Row],[Data de Pagamento]]="",0,IF(Registro2[[#This Row],[Conta Financeira]]=base!$A$6,0,Registro2[[#This Row],[Valor Unitário]]))</f>
        <v>15</v>
      </c>
      <c r="U12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66" t="str">
        <f>VLOOKUP(Registro2[[#This Row],[Categoria]],'Plano de Contas'!$V$3:W1346,2,0)</f>
        <v>Receitas Serviços</v>
      </c>
      <c r="X12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67" spans="1:24" hidden="1">
      <c r="A1267" s="1">
        <v>45751</v>
      </c>
      <c r="B1267" s="1">
        <v>45751</v>
      </c>
      <c r="D1267" t="s">
        <v>136</v>
      </c>
      <c r="E1267" t="s">
        <v>137</v>
      </c>
      <c r="F1267" t="s">
        <v>138</v>
      </c>
      <c r="G1267" t="s">
        <v>143</v>
      </c>
      <c r="H1267" t="s">
        <v>2344</v>
      </c>
      <c r="I1267" s="4">
        <v>16.989999999999998</v>
      </c>
      <c r="J1267" s="4"/>
      <c r="N1267" s="4" t="str">
        <f>IF(L1267="","",IF(OR(Registro2[[#This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267" t="str">
        <f t="shared" si="19"/>
        <v>abr/25</v>
      </c>
      <c r="P1267" t="str">
        <f>IF(Registro2[[#This Row],[Data de Pagamento]]&gt;0,TEXT(A1267,"mmm/aa"),"")</f>
        <v>abr/25</v>
      </c>
      <c r="T1267" s="4">
        <f>IF(Registro2[[#This Row],[Data de Pagamento]]="",0,IF(Registro2[[#This Row],[Conta Financeira]]=base!$A$6,0,Registro2[[#This Row],[Valor Unitário]]))</f>
        <v>16.989999999999998</v>
      </c>
      <c r="U12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67" t="str">
        <f>VLOOKUP(Registro2[[#This Row],[Categoria]],'Plano de Contas'!$V$3:W1528,2,0)</f>
        <v>Custos Operacionais</v>
      </c>
      <c r="X126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68" spans="1:24" hidden="1">
      <c r="A1268" s="1">
        <v>45751</v>
      </c>
      <c r="B1268" s="1">
        <v>45751</v>
      </c>
      <c r="D1268" t="s">
        <v>136</v>
      </c>
      <c r="E1268" t="s">
        <v>137</v>
      </c>
      <c r="F1268" t="s">
        <v>138</v>
      </c>
      <c r="G1268" t="s">
        <v>143</v>
      </c>
      <c r="H1268" t="s">
        <v>2349</v>
      </c>
      <c r="I1268" s="4">
        <v>3</v>
      </c>
      <c r="J1268" s="4"/>
      <c r="N1268" s="4" t="str">
        <f>IF(L1268="","",IF(OR(Registro2[[#This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268" t="str">
        <f t="shared" si="19"/>
        <v>abr/25</v>
      </c>
      <c r="P1268" t="str">
        <f>IF(Registro2[[#This Row],[Data de Pagamento]]&gt;0,TEXT(A1268,"mmm/aa"),"")</f>
        <v>abr/25</v>
      </c>
      <c r="T1268" s="4">
        <f>IF(Registro2[[#This Row],[Data de Pagamento]]="",0,IF(Registro2[[#This Row],[Conta Financeira]]=base!$A$6,0,Registro2[[#This Row],[Valor Unitário]]))</f>
        <v>3</v>
      </c>
      <c r="U12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68" t="str">
        <f>VLOOKUP(Registro2[[#This Row],[Categoria]],'Plano de Contas'!$V$3:W1529,2,0)</f>
        <v>Custos Operacionais</v>
      </c>
      <c r="X126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69" spans="1:24" hidden="1">
      <c r="A1269" s="1">
        <v>45751</v>
      </c>
      <c r="B1269" s="1">
        <v>45751</v>
      </c>
      <c r="D1269" t="s">
        <v>136</v>
      </c>
      <c r="E1269" t="s">
        <v>137</v>
      </c>
      <c r="F1269" t="s">
        <v>139</v>
      </c>
      <c r="G1269" t="s">
        <v>332</v>
      </c>
      <c r="H1269" t="s">
        <v>2365</v>
      </c>
      <c r="I1269" s="4">
        <v>35.97</v>
      </c>
      <c r="J1269" s="4"/>
      <c r="N1269" s="4" t="str">
        <f>IF(L1269="","",IF(OR(Registro2[[#This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269" t="str">
        <f t="shared" si="19"/>
        <v>abr/25</v>
      </c>
      <c r="P1269" t="str">
        <f>IF(Registro2[[#This Row],[Data de Pagamento]]&gt;0,TEXT(A1269,"mmm/aa"),"")</f>
        <v>abr/25</v>
      </c>
      <c r="T1269" s="4">
        <f>IF(Registro2[[#This Row],[Data de Pagamento]]="",0,IF(Registro2[[#This Row],[Conta Financeira]]=base!$A$6,0,Registro2[[#This Row],[Valor Unitário]]))</f>
        <v>35.97</v>
      </c>
      <c r="U12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69" t="str">
        <f>VLOOKUP(Registro2[[#This Row],[Categoria]],'Plano de Contas'!$V$3:W1530,2,0)</f>
        <v>Custos Operacionais</v>
      </c>
      <c r="X126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70" spans="1:24" hidden="1">
      <c r="A1270" s="1">
        <v>45752</v>
      </c>
      <c r="B1270" s="1">
        <v>45752</v>
      </c>
      <c r="D1270" t="s">
        <v>354</v>
      </c>
      <c r="E1270" t="s">
        <v>149</v>
      </c>
      <c r="F1270" t="s">
        <v>147</v>
      </c>
      <c r="G1270" t="s">
        <v>163</v>
      </c>
      <c r="I1270" s="4">
        <v>35</v>
      </c>
      <c r="J1270" s="4">
        <v>45</v>
      </c>
      <c r="L1270" t="s">
        <v>253</v>
      </c>
      <c r="M1270" t="s">
        <v>466</v>
      </c>
      <c r="N1270" s="4">
        <f>IF(L1270="","",IF(OR(Registro2[[#This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70" t="str">
        <f t="shared" si="19"/>
        <v>abr/25</v>
      </c>
      <c r="P1270" t="str">
        <f>IF(Registro2[[#This Row],[Data de Pagamento]]&gt;0,TEXT(A1270,"mmm/aa"),"")</f>
        <v>abr/25</v>
      </c>
      <c r="T1270" s="4">
        <f>IF(Registro2[[#This Row],[Data de Pagamento]]="",0,IF(Registro2[[#This Row],[Conta Financeira]]=base!$A$6,0,Registro2[[#This Row],[Valor Unitário]]))</f>
        <v>35</v>
      </c>
      <c r="U12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70" t="str">
        <f>VLOOKUP(Registro2[[#This Row],[Categoria]],'Plano de Contas'!$V$3:W1278,2,0)</f>
        <v>Receitas Serviços</v>
      </c>
      <c r="X127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271" spans="1:24" hidden="1">
      <c r="A1271" s="1">
        <v>45752</v>
      </c>
      <c r="B1271" s="1">
        <v>45752</v>
      </c>
      <c r="D1271" t="s">
        <v>354</v>
      </c>
      <c r="E1271" t="s">
        <v>149</v>
      </c>
      <c r="F1271" t="s">
        <v>147</v>
      </c>
      <c r="G1271" t="s">
        <v>167</v>
      </c>
      <c r="I1271" s="4">
        <v>10</v>
      </c>
      <c r="J1271" s="4" t="s">
        <v>1604</v>
      </c>
      <c r="L1271" t="s">
        <v>253</v>
      </c>
      <c r="M1271" t="s">
        <v>466</v>
      </c>
      <c r="N1271" s="4">
        <f>IF(L1271="","",IF(OR(Registro2[[#This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271" t="str">
        <f t="shared" si="19"/>
        <v>abr/25</v>
      </c>
      <c r="P1271" t="str">
        <f>IF(Registro2[[#This Row],[Data de Pagamento]]&gt;0,TEXT(A1271,"mmm/aa"),"")</f>
        <v>abr/25</v>
      </c>
      <c r="T1271" s="4">
        <f>IF(Registro2[[#This Row],[Data de Pagamento]]="",0,IF(Registro2[[#This Row],[Conta Financeira]]=base!$A$6,0,Registro2[[#This Row],[Valor Unitário]]))</f>
        <v>10</v>
      </c>
      <c r="U12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71" t="str">
        <f>VLOOKUP(Registro2[[#This Row],[Categoria]],'Plano de Contas'!$V$3:W1279,2,0)</f>
        <v>Receitas Serviços</v>
      </c>
      <c r="X127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</row>
    <row r="1272" spans="1:24" hidden="1">
      <c r="A1272" s="1">
        <v>45752</v>
      </c>
      <c r="B1272" s="1">
        <v>45752</v>
      </c>
      <c r="D1272" t="s">
        <v>1</v>
      </c>
      <c r="E1272" t="s">
        <v>149</v>
      </c>
      <c r="F1272" t="s">
        <v>147</v>
      </c>
      <c r="G1272" t="s">
        <v>163</v>
      </c>
      <c r="I1272" s="4">
        <v>35</v>
      </c>
      <c r="J1272" s="4">
        <v>35</v>
      </c>
      <c r="L1272" t="s">
        <v>252</v>
      </c>
      <c r="M1272" t="s">
        <v>798</v>
      </c>
      <c r="N1272" s="4">
        <f>IF(L1272="","",IF(OR(Registro2[[#This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72" t="str">
        <f t="shared" si="19"/>
        <v>abr/25</v>
      </c>
      <c r="P1272" t="str">
        <f>IF(Registro2[[#This Row],[Data de Pagamento]]&gt;0,TEXT(A1272,"mmm/aa"),"")</f>
        <v>abr/25</v>
      </c>
      <c r="T1272" s="4">
        <f>IF(Registro2[[#This Row],[Data de Pagamento]]="",0,IF(Registro2[[#This Row],[Conta Financeira]]=base!$A$6,0,Registro2[[#This Row],[Valor Unitário]]))</f>
        <v>35</v>
      </c>
      <c r="U12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72" t="str">
        <f>VLOOKUP(Registro2[[#This Row],[Categoria]],'Plano de Contas'!$V$3:W1283,2,0)</f>
        <v>Receitas Serviços</v>
      </c>
      <c r="X127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73" spans="1:24" hidden="1">
      <c r="A1273" s="1">
        <v>45752</v>
      </c>
      <c r="B1273" s="1">
        <v>45752</v>
      </c>
      <c r="D1273" t="s">
        <v>1</v>
      </c>
      <c r="E1273" t="s">
        <v>149</v>
      </c>
      <c r="F1273" t="s">
        <v>147</v>
      </c>
      <c r="G1273" t="s">
        <v>163</v>
      </c>
      <c r="I1273" s="4">
        <v>35</v>
      </c>
      <c r="J1273" s="4">
        <v>35</v>
      </c>
      <c r="L1273" t="s">
        <v>252</v>
      </c>
      <c r="M1273" t="s">
        <v>73</v>
      </c>
      <c r="N1273" s="4">
        <f>IF(L1273="","",IF(OR(Registro2[[#This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73" t="str">
        <f t="shared" si="19"/>
        <v>abr/25</v>
      </c>
      <c r="P1273" t="str">
        <f>IF(Registro2[[#This Row],[Data de Pagamento]]&gt;0,TEXT(A1273,"mmm/aa"),"")</f>
        <v>abr/25</v>
      </c>
      <c r="T1273" s="4">
        <f>IF(Registro2[[#This Row],[Data de Pagamento]]="",0,IF(Registro2[[#This Row],[Conta Financeira]]=base!$A$6,0,Registro2[[#This Row],[Valor Unitário]]))</f>
        <v>35</v>
      </c>
      <c r="U12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73" t="str">
        <f>VLOOKUP(Registro2[[#This Row],[Categoria]],'Plano de Contas'!$V$3:W1302,2,0)</f>
        <v>Receitas Serviços</v>
      </c>
      <c r="X127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74" spans="1:24" hidden="1">
      <c r="A1274" s="1">
        <v>45752</v>
      </c>
      <c r="B1274" s="1">
        <v>45752</v>
      </c>
      <c r="D1274" t="s">
        <v>1</v>
      </c>
      <c r="E1274" t="s">
        <v>149</v>
      </c>
      <c r="F1274" t="s">
        <v>147</v>
      </c>
      <c r="G1274" t="s">
        <v>163</v>
      </c>
      <c r="I1274" s="4">
        <v>35</v>
      </c>
      <c r="J1274" s="4">
        <v>35</v>
      </c>
      <c r="L1274" t="s">
        <v>253</v>
      </c>
      <c r="M1274" t="s">
        <v>12</v>
      </c>
      <c r="N1274" s="4">
        <f>IF(L1274="","",IF(OR(Registro2[[#This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74" t="str">
        <f t="shared" si="19"/>
        <v>abr/25</v>
      </c>
      <c r="P1274" t="str">
        <f>IF(Registro2[[#This Row],[Data de Pagamento]]&gt;0,TEXT(A1274,"mmm/aa"),"")</f>
        <v>abr/25</v>
      </c>
      <c r="T1274" s="4">
        <f>IF(Registro2[[#This Row],[Data de Pagamento]]="",0,IF(Registro2[[#This Row],[Conta Financeira]]=base!$A$6,0,Registro2[[#This Row],[Valor Unitário]]))</f>
        <v>35</v>
      </c>
      <c r="U12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74" t="str">
        <f>VLOOKUP(Registro2[[#This Row],[Categoria]],'Plano de Contas'!$V$3:W1327,2,0)</f>
        <v>Receitas Serviços</v>
      </c>
      <c r="X127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75" spans="1:24" hidden="1">
      <c r="A1275" s="1">
        <v>45752</v>
      </c>
      <c r="B1275" s="1">
        <v>45752</v>
      </c>
      <c r="D1275" t="s">
        <v>1</v>
      </c>
      <c r="E1275" t="s">
        <v>149</v>
      </c>
      <c r="F1275" t="s">
        <v>147</v>
      </c>
      <c r="G1275" t="s">
        <v>163</v>
      </c>
      <c r="I1275" s="4">
        <v>35</v>
      </c>
      <c r="J1275" s="4">
        <v>35</v>
      </c>
      <c r="L1275" t="s">
        <v>253</v>
      </c>
      <c r="M1275" t="s">
        <v>11</v>
      </c>
      <c r="N1275" s="4">
        <f>IF(L1275="","",IF(OR(Registro2[[#This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75" t="str">
        <f t="shared" si="19"/>
        <v>abr/25</v>
      </c>
      <c r="P1275" t="str">
        <f>IF(Registro2[[#This Row],[Data de Pagamento]]&gt;0,TEXT(A1275,"mmm/aa"),"")</f>
        <v>abr/25</v>
      </c>
      <c r="T1275" s="4">
        <f>IF(Registro2[[#This Row],[Data de Pagamento]]="",0,IF(Registro2[[#This Row],[Conta Financeira]]=base!$A$6,0,Registro2[[#This Row],[Valor Unitário]]))</f>
        <v>35</v>
      </c>
      <c r="U12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75" t="str">
        <f>VLOOKUP(Registro2[[#This Row],[Categoria]],'Plano de Contas'!$V$3:W1342,2,0)</f>
        <v>Receitas Serviços</v>
      </c>
      <c r="X127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76" spans="1:24" hidden="1">
      <c r="A1276" s="1">
        <v>45752</v>
      </c>
      <c r="B1276" s="1">
        <v>45752</v>
      </c>
      <c r="D1276" t="s">
        <v>1</v>
      </c>
      <c r="E1276" t="s">
        <v>149</v>
      </c>
      <c r="F1276" t="s">
        <v>147</v>
      </c>
      <c r="G1276" t="s">
        <v>163</v>
      </c>
      <c r="I1276" s="4">
        <v>35</v>
      </c>
      <c r="J1276" s="4">
        <v>35</v>
      </c>
      <c r="L1276" t="s">
        <v>253</v>
      </c>
      <c r="M1276" t="s">
        <v>37</v>
      </c>
      <c r="N1276" s="4">
        <f>IF(L1276="","",IF(OR(Registro2[[#This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76" t="str">
        <f t="shared" si="19"/>
        <v>abr/25</v>
      </c>
      <c r="P1276" t="str">
        <f>IF(Registro2[[#This Row],[Data de Pagamento]]&gt;0,TEXT(A1276,"mmm/aa"),"")</f>
        <v>abr/25</v>
      </c>
      <c r="T1276" s="4">
        <f>IF(Registro2[[#This Row],[Data de Pagamento]]="",0,IF(Registro2[[#This Row],[Conta Financeira]]=base!$A$6,0,Registro2[[#This Row],[Valor Unitário]]))</f>
        <v>35</v>
      </c>
      <c r="U12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76" t="str">
        <f>VLOOKUP(Registro2[[#This Row],[Categoria]],'Plano de Contas'!$V$3:W1347,2,0)</f>
        <v>Receitas Serviços</v>
      </c>
      <c r="X127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77" spans="1:24" hidden="1">
      <c r="A1277" s="1">
        <v>45752</v>
      </c>
      <c r="B1277" s="1">
        <v>45752</v>
      </c>
      <c r="D1277" t="s">
        <v>1</v>
      </c>
      <c r="E1277" t="s">
        <v>149</v>
      </c>
      <c r="F1277" t="s">
        <v>147</v>
      </c>
      <c r="G1277" t="s">
        <v>163</v>
      </c>
      <c r="I1277" s="4">
        <v>35</v>
      </c>
      <c r="J1277" s="4">
        <v>35</v>
      </c>
      <c r="L1277" t="s">
        <v>253</v>
      </c>
      <c r="M1277" t="s">
        <v>133</v>
      </c>
      <c r="N1277" s="4">
        <f>IF(L1277="","",IF(OR(Registro2[[#This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77" t="str">
        <f t="shared" si="19"/>
        <v>abr/25</v>
      </c>
      <c r="P1277" t="str">
        <f>IF(Registro2[[#This Row],[Data de Pagamento]]&gt;0,TEXT(A1277,"mmm/aa"),"")</f>
        <v>abr/25</v>
      </c>
      <c r="T1277" s="4">
        <f>IF(Registro2[[#This Row],[Data de Pagamento]]="",0,IF(Registro2[[#This Row],[Conta Financeira]]=base!$A$6,0,Registro2[[#This Row],[Valor Unitário]]))</f>
        <v>35</v>
      </c>
      <c r="U12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77" t="str">
        <f>VLOOKUP(Registro2[[#This Row],[Categoria]],'Plano de Contas'!$V$3:W1348,2,0)</f>
        <v>Receitas Serviços</v>
      </c>
      <c r="X127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78" spans="1:24" hidden="1">
      <c r="A1278" s="1">
        <v>45752</v>
      </c>
      <c r="B1278" s="1">
        <v>45752</v>
      </c>
      <c r="D1278" t="s">
        <v>310</v>
      </c>
      <c r="E1278" t="s">
        <v>149</v>
      </c>
      <c r="F1278" t="s">
        <v>147</v>
      </c>
      <c r="G1278" t="s">
        <v>163</v>
      </c>
      <c r="I1278" s="4">
        <v>35</v>
      </c>
      <c r="J1278" s="4">
        <v>35</v>
      </c>
      <c r="L1278" t="s">
        <v>252</v>
      </c>
      <c r="M1278" t="s">
        <v>856</v>
      </c>
      <c r="N1278" s="4">
        <f>IF(L1278="","",IF(OR(Registro2[[#This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78" t="str">
        <f t="shared" si="19"/>
        <v>abr/25</v>
      </c>
      <c r="P1278" t="str">
        <f>IF(Registro2[[#This Row],[Data de Pagamento]]&gt;0,TEXT(A1278,"mmm/aa"),"")</f>
        <v>abr/25</v>
      </c>
      <c r="T1278" s="4">
        <f>IF(Registro2[[#This Row],[Data de Pagamento]]="",0,IF(Registro2[[#This Row],[Conta Financeira]]=base!$A$6,0,Registro2[[#This Row],[Valor Unitário]]))</f>
        <v>35</v>
      </c>
      <c r="U12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78" t="str">
        <f>VLOOKUP(Registro2[[#This Row],[Categoria]],'Plano de Contas'!$V$3:W1349,2,0)</f>
        <v>Receitas Serviços</v>
      </c>
      <c r="X127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279" spans="1:24" hidden="1">
      <c r="A1279" s="1">
        <v>45752</v>
      </c>
      <c r="B1279" s="1">
        <v>45752</v>
      </c>
      <c r="D1279" t="s">
        <v>2</v>
      </c>
      <c r="E1279" t="s">
        <v>149</v>
      </c>
      <c r="F1279" t="s">
        <v>147</v>
      </c>
      <c r="G1279" t="s">
        <v>163</v>
      </c>
      <c r="I1279" s="4">
        <v>35</v>
      </c>
      <c r="J1279" s="4">
        <v>60</v>
      </c>
      <c r="L1279" t="s">
        <v>252</v>
      </c>
      <c r="M1279" t="s">
        <v>22</v>
      </c>
      <c r="N1279" s="4">
        <f>IF(L1279="","",IF(OR(Registro2[[#This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79" t="str">
        <f t="shared" si="19"/>
        <v>abr/25</v>
      </c>
      <c r="P1279" t="str">
        <f>IF(Registro2[[#This Row],[Data de Pagamento]]&gt;0,TEXT(A1279,"mmm/aa"),"")</f>
        <v>abr/25</v>
      </c>
      <c r="T1279" s="4">
        <f>IF(Registro2[[#This Row],[Data de Pagamento]]="",0,IF(Registro2[[#This Row],[Conta Financeira]]=base!$A$6,0,Registro2[[#This Row],[Valor Unitário]]))</f>
        <v>35</v>
      </c>
      <c r="U12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79" t="str">
        <f>VLOOKUP(Registro2[[#This Row],[Categoria]],'Plano de Contas'!$V$3:W1350,2,0)</f>
        <v>Receitas Serviços</v>
      </c>
      <c r="X127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80" spans="1:24" hidden="1">
      <c r="A1280" s="1">
        <v>45752</v>
      </c>
      <c r="B1280" s="1">
        <v>45752</v>
      </c>
      <c r="D1280" t="s">
        <v>2</v>
      </c>
      <c r="E1280" t="s">
        <v>149</v>
      </c>
      <c r="F1280" t="s">
        <v>150</v>
      </c>
      <c r="G1280" t="s">
        <v>510</v>
      </c>
      <c r="I1280" s="4">
        <v>25</v>
      </c>
      <c r="J1280" s="4" t="s">
        <v>1604</v>
      </c>
      <c r="L1280" t="s">
        <v>252</v>
      </c>
      <c r="M1280" t="s">
        <v>22</v>
      </c>
      <c r="N1280" s="4">
        <f>IF(L1280="","",IF(OR(Registro2[[#This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280" t="str">
        <f t="shared" si="19"/>
        <v>abr/25</v>
      </c>
      <c r="P1280" t="str">
        <f>IF(Registro2[[#This Row],[Data de Pagamento]]&gt;0,TEXT(A1280,"mmm/aa"),"")</f>
        <v>abr/25</v>
      </c>
      <c r="T1280" s="4">
        <f>IF(Registro2[[#This Row],[Data de Pagamento]]="",0,IF(Registro2[[#This Row],[Conta Financeira]]=base!$A$6,0,Registro2[[#This Row],[Valor Unitário]]))</f>
        <v>25</v>
      </c>
      <c r="U12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80" t="str">
        <f>VLOOKUP(Registro2[[#This Row],[Categoria]],'Plano de Contas'!$V$3:W1351,2,0)</f>
        <v>Receitas Produtos</v>
      </c>
      <c r="X128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81" spans="1:24" hidden="1">
      <c r="A1281" s="1">
        <v>45752</v>
      </c>
      <c r="B1281" s="1">
        <v>45752</v>
      </c>
      <c r="D1281" t="s">
        <v>1</v>
      </c>
      <c r="E1281" t="s">
        <v>149</v>
      </c>
      <c r="F1281" t="s">
        <v>147</v>
      </c>
      <c r="G1281" t="s">
        <v>163</v>
      </c>
      <c r="I1281" s="4">
        <v>35</v>
      </c>
      <c r="J1281" s="4">
        <v>35</v>
      </c>
      <c r="L1281" t="s">
        <v>253</v>
      </c>
      <c r="M1281" t="s">
        <v>1517</v>
      </c>
      <c r="N1281" s="4">
        <f>IF(L1281="","",IF(OR(Registro2[[#This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81" t="str">
        <f t="shared" si="19"/>
        <v>abr/25</v>
      </c>
      <c r="P1281" t="str">
        <f>IF(Registro2[[#This Row],[Data de Pagamento]]&gt;0,TEXT(A1281,"mmm/aa"),"")</f>
        <v>abr/25</v>
      </c>
      <c r="T1281" s="4">
        <f>IF(Registro2[[#This Row],[Data de Pagamento]]="",0,IF(Registro2[[#This Row],[Conta Financeira]]=base!$A$6,0,Registro2[[#This Row],[Valor Unitário]]))</f>
        <v>35</v>
      </c>
      <c r="U12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81" t="str">
        <f>VLOOKUP(Registro2[[#This Row],[Categoria]],'Plano de Contas'!$V$3:W1352,2,0)</f>
        <v>Receitas Serviços</v>
      </c>
      <c r="X128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82" spans="1:24" hidden="1">
      <c r="A1282" s="1">
        <v>45752</v>
      </c>
      <c r="B1282" s="1">
        <v>45752</v>
      </c>
      <c r="D1282" t="s">
        <v>2</v>
      </c>
      <c r="E1282" t="s">
        <v>149</v>
      </c>
      <c r="F1282" t="s">
        <v>147</v>
      </c>
      <c r="G1282" t="s">
        <v>163</v>
      </c>
      <c r="I1282" s="4">
        <v>35</v>
      </c>
      <c r="J1282" s="4">
        <v>45</v>
      </c>
      <c r="L1282" t="s">
        <v>252</v>
      </c>
      <c r="M1282" t="s">
        <v>45</v>
      </c>
      <c r="N1282" s="4">
        <f>IF(L1282="","",IF(OR(Registro2[[#This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82" t="str">
        <f t="shared" ref="O1282:O1345" si="20">TEXT(B1282,"mmm/aa")</f>
        <v>abr/25</v>
      </c>
      <c r="P1282" t="str">
        <f>IF(Registro2[[#This Row],[Data de Pagamento]]&gt;0,TEXT(A1282,"mmm/aa"),"")</f>
        <v>abr/25</v>
      </c>
      <c r="T1282" s="4">
        <f>IF(Registro2[[#This Row],[Data de Pagamento]]="",0,IF(Registro2[[#This Row],[Conta Financeira]]=base!$A$6,0,Registro2[[#This Row],[Valor Unitário]]))</f>
        <v>35</v>
      </c>
      <c r="U12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82" t="str">
        <f>VLOOKUP(Registro2[[#This Row],[Categoria]],'Plano de Contas'!$V$3:W1353,2,0)</f>
        <v>Receitas Serviços</v>
      </c>
      <c r="X12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83" spans="1:24" hidden="1">
      <c r="A1283" s="1">
        <v>45752</v>
      </c>
      <c r="B1283" s="1">
        <v>45752</v>
      </c>
      <c r="D1283" t="s">
        <v>2</v>
      </c>
      <c r="E1283" t="s">
        <v>149</v>
      </c>
      <c r="F1283" t="s">
        <v>147</v>
      </c>
      <c r="G1283" t="s">
        <v>167</v>
      </c>
      <c r="I1283" s="4">
        <v>10</v>
      </c>
      <c r="J1283" s="4" t="s">
        <v>1604</v>
      </c>
      <c r="L1283" t="s">
        <v>252</v>
      </c>
      <c r="M1283" t="s">
        <v>45</v>
      </c>
      <c r="N1283" s="4">
        <f>IF(L1283="","",IF(OR(Registro2[[#This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283" t="str">
        <f t="shared" si="20"/>
        <v>abr/25</v>
      </c>
      <c r="P1283" t="str">
        <f>IF(Registro2[[#This Row],[Data de Pagamento]]&gt;0,TEXT(A1283,"mmm/aa"),"")</f>
        <v>abr/25</v>
      </c>
      <c r="T1283" s="4">
        <f>IF(Registro2[[#This Row],[Data de Pagamento]]="",0,IF(Registro2[[#This Row],[Conta Financeira]]=base!$A$6,0,Registro2[[#This Row],[Valor Unitário]]))</f>
        <v>10</v>
      </c>
      <c r="U12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83" t="str">
        <f>VLOOKUP(Registro2[[#This Row],[Categoria]],'Plano de Contas'!$V$3:W1354,2,0)</f>
        <v>Receitas Serviços</v>
      </c>
      <c r="X12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84" spans="1:24" hidden="1">
      <c r="A1284" s="1">
        <v>45752</v>
      </c>
      <c r="B1284" s="1">
        <v>45752</v>
      </c>
      <c r="D1284" t="s">
        <v>310</v>
      </c>
      <c r="E1284" t="s">
        <v>149</v>
      </c>
      <c r="F1284" t="s">
        <v>147</v>
      </c>
      <c r="G1284" t="s">
        <v>163</v>
      </c>
      <c r="I1284" s="4">
        <v>35</v>
      </c>
      <c r="J1284" s="4">
        <v>100</v>
      </c>
      <c r="L1284" t="s">
        <v>253</v>
      </c>
      <c r="M1284" t="s">
        <v>79</v>
      </c>
      <c r="N1284" s="4">
        <f>IF(L1284="","",IF(OR(Registro2[[#This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84" t="str">
        <f t="shared" si="20"/>
        <v>abr/25</v>
      </c>
      <c r="P1284" t="str">
        <f>IF(Registro2[[#This Row],[Data de Pagamento]]&gt;0,TEXT(A1284,"mmm/aa"),"")</f>
        <v>abr/25</v>
      </c>
      <c r="T1284" s="4">
        <f>IF(Registro2[[#This Row],[Data de Pagamento]]="",0,IF(Registro2[[#This Row],[Conta Financeira]]=base!$A$6,0,Registro2[[#This Row],[Valor Unitário]]))</f>
        <v>35</v>
      </c>
      <c r="U12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84" t="str">
        <f>VLOOKUP(Registro2[[#This Row],[Categoria]],'Plano de Contas'!$V$3:W1355,2,0)</f>
        <v>Receitas Serviços</v>
      </c>
      <c r="X128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285" spans="1:24" hidden="1">
      <c r="A1285" s="1">
        <v>45752</v>
      </c>
      <c r="B1285" s="1">
        <v>45752</v>
      </c>
      <c r="D1285" t="s">
        <v>310</v>
      </c>
      <c r="E1285" t="s">
        <v>149</v>
      </c>
      <c r="F1285" t="s">
        <v>147</v>
      </c>
      <c r="G1285" t="s">
        <v>166</v>
      </c>
      <c r="I1285" s="4">
        <v>20</v>
      </c>
      <c r="J1285" s="4" t="s">
        <v>1604</v>
      </c>
      <c r="L1285" t="s">
        <v>253</v>
      </c>
      <c r="M1285" t="s">
        <v>79</v>
      </c>
      <c r="N1285" s="4">
        <f>IF(L1285="","",IF(OR(Registro2[[#This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285" t="str">
        <f t="shared" si="20"/>
        <v>abr/25</v>
      </c>
      <c r="P1285" t="str">
        <f>IF(Registro2[[#This Row],[Data de Pagamento]]&gt;0,TEXT(A1285,"mmm/aa"),"")</f>
        <v>abr/25</v>
      </c>
      <c r="T1285" s="4">
        <f>IF(Registro2[[#This Row],[Data de Pagamento]]="",0,IF(Registro2[[#This Row],[Conta Financeira]]=base!$A$6,0,Registro2[[#This Row],[Valor Unitário]]))</f>
        <v>20</v>
      </c>
      <c r="U12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85" t="str">
        <f>VLOOKUP(Registro2[[#This Row],[Categoria]],'Plano de Contas'!$V$3:W1356,2,0)</f>
        <v>Receitas Serviços</v>
      </c>
      <c r="X128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</row>
    <row r="1286" spans="1:24" hidden="1">
      <c r="A1286" s="1">
        <v>45752</v>
      </c>
      <c r="B1286" s="1">
        <v>45752</v>
      </c>
      <c r="D1286" t="s">
        <v>310</v>
      </c>
      <c r="E1286" t="s">
        <v>149</v>
      </c>
      <c r="F1286" t="s">
        <v>147</v>
      </c>
      <c r="G1286" t="s">
        <v>163</v>
      </c>
      <c r="I1286" s="4">
        <v>35</v>
      </c>
      <c r="J1286" s="4" t="s">
        <v>1604</v>
      </c>
      <c r="L1286" t="s">
        <v>253</v>
      </c>
      <c r="M1286" t="s">
        <v>79</v>
      </c>
      <c r="N1286" s="4">
        <f>IF(L1286="","",IF(OR(Registro2[[#This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86" t="str">
        <f t="shared" si="20"/>
        <v>abr/25</v>
      </c>
      <c r="P1286" t="str">
        <f>IF(Registro2[[#This Row],[Data de Pagamento]]&gt;0,TEXT(A1286,"mmm/aa"),"")</f>
        <v>abr/25</v>
      </c>
      <c r="T1286" s="4">
        <f>IF(Registro2[[#This Row],[Data de Pagamento]]="",0,IF(Registro2[[#This Row],[Conta Financeira]]=base!$A$6,0,Registro2[[#This Row],[Valor Unitário]]))</f>
        <v>35</v>
      </c>
      <c r="U12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86" t="str">
        <f>VLOOKUP(Registro2[[#This Row],[Categoria]],'Plano de Contas'!$V$3:W1357,2,0)</f>
        <v>Receitas Serviços</v>
      </c>
      <c r="X128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287" spans="1:24" hidden="1">
      <c r="A1287" s="1">
        <v>45752</v>
      </c>
      <c r="B1287" s="1">
        <v>45752</v>
      </c>
      <c r="D1287" t="s">
        <v>310</v>
      </c>
      <c r="E1287" t="s">
        <v>149</v>
      </c>
      <c r="F1287" t="s">
        <v>147</v>
      </c>
      <c r="G1287" t="s">
        <v>167</v>
      </c>
      <c r="I1287" s="4">
        <v>10</v>
      </c>
      <c r="J1287" s="4" t="s">
        <v>1604</v>
      </c>
      <c r="L1287" t="s">
        <v>253</v>
      </c>
      <c r="M1287" t="s">
        <v>79</v>
      </c>
      <c r="N1287" s="4">
        <f>IF(L1287="","",IF(OR(Registro2[[#This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287" t="str">
        <f t="shared" si="20"/>
        <v>abr/25</v>
      </c>
      <c r="P1287" t="str">
        <f>IF(Registro2[[#This Row],[Data de Pagamento]]&gt;0,TEXT(A1287,"mmm/aa"),"")</f>
        <v>abr/25</v>
      </c>
      <c r="T1287" s="4">
        <f>IF(Registro2[[#This Row],[Data de Pagamento]]="",0,IF(Registro2[[#This Row],[Conta Financeira]]=base!$A$6,0,Registro2[[#This Row],[Valor Unitário]]))</f>
        <v>10</v>
      </c>
      <c r="U12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87" t="str">
        <f>VLOOKUP(Registro2[[#This Row],[Categoria]],'Plano de Contas'!$V$3:W1358,2,0)</f>
        <v>Receitas Serviços</v>
      </c>
      <c r="X128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8.8999999999999996E-2</v>
      </c>
    </row>
    <row r="1288" spans="1:24" hidden="1">
      <c r="A1288" s="1">
        <v>45752</v>
      </c>
      <c r="B1288" s="1">
        <v>45752</v>
      </c>
      <c r="D1288" t="s">
        <v>2</v>
      </c>
      <c r="E1288" t="s">
        <v>149</v>
      </c>
      <c r="F1288" t="s">
        <v>147</v>
      </c>
      <c r="G1288" t="s">
        <v>163</v>
      </c>
      <c r="I1288" s="4">
        <v>35</v>
      </c>
      <c r="J1288" s="4">
        <v>35</v>
      </c>
      <c r="L1288" t="s">
        <v>253</v>
      </c>
      <c r="M1288" t="s">
        <v>76</v>
      </c>
      <c r="N1288" s="4">
        <f>IF(L1288="","",IF(OR(Registro2[[#This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88" t="str">
        <f t="shared" si="20"/>
        <v>abr/25</v>
      </c>
      <c r="P1288" t="str">
        <f>IF(Registro2[[#This Row],[Data de Pagamento]]&gt;0,TEXT(A1288,"mmm/aa"),"")</f>
        <v>abr/25</v>
      </c>
      <c r="T1288" s="4">
        <f>IF(Registro2[[#This Row],[Data de Pagamento]]="",0,IF(Registro2[[#This Row],[Conta Financeira]]=base!$A$6,0,Registro2[[#This Row],[Valor Unitário]]))</f>
        <v>35</v>
      </c>
      <c r="U12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88" t="str">
        <f>VLOOKUP(Registro2[[#This Row],[Categoria]],'Plano de Contas'!$V$3:W1359,2,0)</f>
        <v>Receitas Serviços</v>
      </c>
      <c r="X128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89" spans="1:24" hidden="1">
      <c r="A1289" s="1">
        <v>45752</v>
      </c>
      <c r="B1289" s="1">
        <v>45752</v>
      </c>
      <c r="D1289" t="s">
        <v>310</v>
      </c>
      <c r="E1289" t="s">
        <v>149</v>
      </c>
      <c r="F1289" t="s">
        <v>147</v>
      </c>
      <c r="G1289" t="s">
        <v>163</v>
      </c>
      <c r="I1289" s="4">
        <v>35</v>
      </c>
      <c r="J1289" s="4">
        <v>35</v>
      </c>
      <c r="L1289" t="s">
        <v>264</v>
      </c>
      <c r="M1289" t="s">
        <v>2052</v>
      </c>
      <c r="N1289" s="4">
        <f>IF(L1289="","",IF(OR(Registro2[[#This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89" t="str">
        <f t="shared" si="20"/>
        <v>abr/25</v>
      </c>
      <c r="P1289" t="str">
        <f>IF(Registro2[[#This Row],[Data de Pagamento]]&gt;0,TEXT(A1289,"mmm/aa"),"")</f>
        <v>abr/25</v>
      </c>
      <c r="T1289" s="4">
        <f>IF(Registro2[[#This Row],[Data de Pagamento]]="",0,IF(Registro2[[#This Row],[Conta Financeira]]=base!$A$6,0,Registro2[[#This Row],[Valor Unitário]]))</f>
        <v>35</v>
      </c>
      <c r="U12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89" t="str">
        <f>VLOOKUP(Registro2[[#This Row],[Categoria]],'Plano de Contas'!$V$3:W1360,2,0)</f>
        <v>Receitas Serviços</v>
      </c>
      <c r="X128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290" spans="1:24" hidden="1">
      <c r="A1290" s="1">
        <v>45752</v>
      </c>
      <c r="B1290" s="1">
        <v>45752</v>
      </c>
      <c r="D1290" t="s">
        <v>310</v>
      </c>
      <c r="E1290" t="s">
        <v>149</v>
      </c>
      <c r="F1290" t="s">
        <v>147</v>
      </c>
      <c r="G1290" t="s">
        <v>163</v>
      </c>
      <c r="I1290" s="4">
        <v>35</v>
      </c>
      <c r="J1290" s="4">
        <v>35</v>
      </c>
      <c r="L1290" t="s">
        <v>264</v>
      </c>
      <c r="M1290" t="s">
        <v>1216</v>
      </c>
      <c r="N1290" s="4">
        <f>IF(L1290="","",IF(OR(Registro2[[#This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90" t="str">
        <f t="shared" si="20"/>
        <v>abr/25</v>
      </c>
      <c r="P1290" t="str">
        <f>IF(Registro2[[#This Row],[Data de Pagamento]]&gt;0,TEXT(A1290,"mmm/aa"),"")</f>
        <v>abr/25</v>
      </c>
      <c r="T1290" s="4">
        <f>IF(Registro2[[#This Row],[Data de Pagamento]]="",0,IF(Registro2[[#This Row],[Conta Financeira]]=base!$A$6,0,Registro2[[#This Row],[Valor Unitário]]))</f>
        <v>35</v>
      </c>
      <c r="U12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90" t="str">
        <f>VLOOKUP(Registro2[[#This Row],[Categoria]],'Plano de Contas'!$V$3:W1361,2,0)</f>
        <v>Receitas Serviços</v>
      </c>
      <c r="X129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291" spans="1:24" hidden="1">
      <c r="A1291" s="1">
        <v>45752</v>
      </c>
      <c r="B1291" s="1">
        <v>45752</v>
      </c>
      <c r="D1291" t="s">
        <v>1</v>
      </c>
      <c r="E1291" t="s">
        <v>149</v>
      </c>
      <c r="F1291" t="s">
        <v>147</v>
      </c>
      <c r="G1291" t="s">
        <v>163</v>
      </c>
      <c r="I1291" s="4">
        <v>35</v>
      </c>
      <c r="J1291" s="4">
        <v>35</v>
      </c>
      <c r="L1291" t="s">
        <v>252</v>
      </c>
      <c r="M1291" t="s">
        <v>2056</v>
      </c>
      <c r="N1291" s="4">
        <f>IF(L1291="","",IF(OR(Registro2[[#This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91" t="str">
        <f t="shared" si="20"/>
        <v>abr/25</v>
      </c>
      <c r="P1291" t="str">
        <f>IF(Registro2[[#This Row],[Data de Pagamento]]&gt;0,TEXT(A1291,"mmm/aa"),"")</f>
        <v>abr/25</v>
      </c>
      <c r="T1291" s="4">
        <f>IF(Registro2[[#This Row],[Data de Pagamento]]="",0,IF(Registro2[[#This Row],[Conta Financeira]]=base!$A$6,0,Registro2[[#This Row],[Valor Unitário]]))</f>
        <v>35</v>
      </c>
      <c r="U12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91" t="str">
        <f>VLOOKUP(Registro2[[#This Row],[Categoria]],'Plano de Contas'!$V$3:W1362,2,0)</f>
        <v>Receitas Serviços</v>
      </c>
      <c r="X129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92" spans="1:24" hidden="1">
      <c r="A1292" s="1">
        <v>45752</v>
      </c>
      <c r="B1292" s="1">
        <v>45752</v>
      </c>
      <c r="D1292" t="s">
        <v>1</v>
      </c>
      <c r="E1292" t="s">
        <v>149</v>
      </c>
      <c r="F1292" t="s">
        <v>147</v>
      </c>
      <c r="G1292" t="s">
        <v>163</v>
      </c>
      <c r="I1292" s="4">
        <v>35</v>
      </c>
      <c r="J1292" s="4">
        <v>35</v>
      </c>
      <c r="L1292" t="s">
        <v>264</v>
      </c>
      <c r="M1292" t="s">
        <v>496</v>
      </c>
      <c r="N1292" s="4">
        <f>IF(L1292="","",IF(OR(Registro2[[#This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92" t="str">
        <f t="shared" si="20"/>
        <v>abr/25</v>
      </c>
      <c r="P1292" t="str">
        <f>IF(Registro2[[#This Row],[Data de Pagamento]]&gt;0,TEXT(A1292,"mmm/aa"),"")</f>
        <v>abr/25</v>
      </c>
      <c r="T1292" s="4">
        <f>IF(Registro2[[#This Row],[Data de Pagamento]]="",0,IF(Registro2[[#This Row],[Conta Financeira]]=base!$A$6,0,Registro2[[#This Row],[Valor Unitário]]))</f>
        <v>35</v>
      </c>
      <c r="U12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92" t="str">
        <f>VLOOKUP(Registro2[[#This Row],[Categoria]],'Plano de Contas'!$V$3:W1363,2,0)</f>
        <v>Receitas Serviços</v>
      </c>
      <c r="X129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93" spans="1:24" hidden="1">
      <c r="A1293" s="1">
        <v>45752</v>
      </c>
      <c r="B1293" s="1">
        <v>45752</v>
      </c>
      <c r="D1293" t="s">
        <v>1</v>
      </c>
      <c r="E1293" t="s">
        <v>149</v>
      </c>
      <c r="F1293" t="s">
        <v>147</v>
      </c>
      <c r="G1293" t="s">
        <v>163</v>
      </c>
      <c r="I1293" s="4">
        <v>35</v>
      </c>
      <c r="J1293" s="4">
        <v>35</v>
      </c>
      <c r="L1293" t="s">
        <v>253</v>
      </c>
      <c r="M1293" t="s">
        <v>2060</v>
      </c>
      <c r="N1293" s="4">
        <f>IF(L1293="","",IF(OR(Registro2[[#This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93" t="str">
        <f t="shared" si="20"/>
        <v>abr/25</v>
      </c>
      <c r="P1293" t="str">
        <f>IF(Registro2[[#This Row],[Data de Pagamento]]&gt;0,TEXT(A1293,"mmm/aa"),"")</f>
        <v>abr/25</v>
      </c>
      <c r="T1293" s="4">
        <f>IF(Registro2[[#This Row],[Data de Pagamento]]="",0,IF(Registro2[[#This Row],[Conta Financeira]]=base!$A$6,0,Registro2[[#This Row],[Valor Unitário]]))</f>
        <v>35</v>
      </c>
      <c r="U12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93" t="str">
        <f>VLOOKUP(Registro2[[#This Row],[Categoria]],'Plano de Contas'!$V$3:W1364,2,0)</f>
        <v>Receitas Serviços</v>
      </c>
      <c r="X129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94" spans="1:24" hidden="1">
      <c r="A1294" s="1">
        <v>45752</v>
      </c>
      <c r="B1294" s="1">
        <v>45752</v>
      </c>
      <c r="D1294" t="s">
        <v>1</v>
      </c>
      <c r="E1294" t="s">
        <v>149</v>
      </c>
      <c r="F1294" t="s">
        <v>147</v>
      </c>
      <c r="G1294" t="s">
        <v>163</v>
      </c>
      <c r="I1294" s="4">
        <v>35</v>
      </c>
      <c r="J1294" s="4">
        <v>35</v>
      </c>
      <c r="L1294" t="s">
        <v>253</v>
      </c>
      <c r="M1294" t="s">
        <v>133</v>
      </c>
      <c r="N1294" s="4">
        <f>IF(L1294="","",IF(OR(Registro2[[#This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94" t="str">
        <f t="shared" si="20"/>
        <v>abr/25</v>
      </c>
      <c r="P1294" t="str">
        <f>IF(Registro2[[#This Row],[Data de Pagamento]]&gt;0,TEXT(A1294,"mmm/aa"),"")</f>
        <v>abr/25</v>
      </c>
      <c r="T1294" s="4">
        <f>IF(Registro2[[#This Row],[Data de Pagamento]]="",0,IF(Registro2[[#This Row],[Conta Financeira]]=base!$A$6,0,Registro2[[#This Row],[Valor Unitário]]))</f>
        <v>35</v>
      </c>
      <c r="U12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94" t="str">
        <f>VLOOKUP(Registro2[[#This Row],[Categoria]],'Plano de Contas'!$V$3:W1365,2,0)</f>
        <v>Receitas Serviços</v>
      </c>
      <c r="X129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95" spans="1:24" hidden="1">
      <c r="A1295" s="1">
        <v>45752</v>
      </c>
      <c r="B1295" s="1">
        <v>45752</v>
      </c>
      <c r="D1295" t="s">
        <v>2</v>
      </c>
      <c r="E1295" t="s">
        <v>149</v>
      </c>
      <c r="F1295" t="s">
        <v>147</v>
      </c>
      <c r="G1295" t="s">
        <v>163</v>
      </c>
      <c r="I1295" s="4">
        <v>35</v>
      </c>
      <c r="J1295" s="4">
        <v>50</v>
      </c>
      <c r="L1295" t="s">
        <v>252</v>
      </c>
      <c r="M1295" t="s">
        <v>24</v>
      </c>
      <c r="N1295" s="4">
        <f>IF(L1295="","",IF(OR(Registro2[[#This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95" t="str">
        <f t="shared" si="20"/>
        <v>abr/25</v>
      </c>
      <c r="P1295" t="str">
        <f>IF(Registro2[[#This Row],[Data de Pagamento]]&gt;0,TEXT(A1295,"mmm/aa"),"")</f>
        <v>abr/25</v>
      </c>
      <c r="T1295" s="4">
        <f>IF(Registro2[[#This Row],[Data de Pagamento]]="",0,IF(Registro2[[#This Row],[Conta Financeira]]=base!$A$6,0,Registro2[[#This Row],[Valor Unitário]]))</f>
        <v>35</v>
      </c>
      <c r="U12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95" t="str">
        <f>VLOOKUP(Registro2[[#This Row],[Categoria]],'Plano de Contas'!$V$3:W1366,2,0)</f>
        <v>Receitas Serviços</v>
      </c>
      <c r="X129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96" spans="1:24" hidden="1">
      <c r="A1296" s="1">
        <v>45752</v>
      </c>
      <c r="B1296" s="1">
        <v>45752</v>
      </c>
      <c r="D1296" t="s">
        <v>2</v>
      </c>
      <c r="E1296" t="s">
        <v>149</v>
      </c>
      <c r="F1296" t="s">
        <v>147</v>
      </c>
      <c r="G1296" t="s">
        <v>167</v>
      </c>
      <c r="I1296" s="4">
        <v>10</v>
      </c>
      <c r="J1296" s="4" t="s">
        <v>1604</v>
      </c>
      <c r="L1296" t="s">
        <v>252</v>
      </c>
      <c r="M1296" t="s">
        <v>24</v>
      </c>
      <c r="N1296" s="4">
        <f>IF(L1296="","",IF(OR(Registro2[[#This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296" t="str">
        <f t="shared" si="20"/>
        <v>abr/25</v>
      </c>
      <c r="P1296" t="str">
        <f>IF(Registro2[[#This Row],[Data de Pagamento]]&gt;0,TEXT(A1296,"mmm/aa"),"")</f>
        <v>abr/25</v>
      </c>
      <c r="T1296" s="4">
        <f>IF(Registro2[[#This Row],[Data de Pagamento]]="",0,IF(Registro2[[#This Row],[Conta Financeira]]=base!$A$6,0,Registro2[[#This Row],[Valor Unitário]]))</f>
        <v>10</v>
      </c>
      <c r="U12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96" t="str">
        <f>VLOOKUP(Registro2[[#This Row],[Categoria]],'Plano de Contas'!$V$3:W1367,2,0)</f>
        <v>Receitas Serviços</v>
      </c>
      <c r="X129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97" spans="1:24" hidden="1">
      <c r="A1297" s="1">
        <v>45752</v>
      </c>
      <c r="B1297" s="1">
        <v>45752</v>
      </c>
      <c r="D1297" t="s">
        <v>2</v>
      </c>
      <c r="E1297" t="s">
        <v>149</v>
      </c>
      <c r="F1297" t="s">
        <v>910</v>
      </c>
      <c r="G1297" t="s">
        <v>910</v>
      </c>
      <c r="I1297" s="4">
        <v>5</v>
      </c>
      <c r="J1297" s="4" t="s">
        <v>1604</v>
      </c>
      <c r="L1297" t="s">
        <v>252</v>
      </c>
      <c r="M1297" t="s">
        <v>24</v>
      </c>
      <c r="N1297" s="4" t="str">
        <f>IF(L1297="","",IF(OR(Registro2[[#This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297" t="str">
        <f t="shared" si="20"/>
        <v>abr/25</v>
      </c>
      <c r="P1297" t="str">
        <f>IF(Registro2[[#This Row],[Data de Pagamento]]&gt;0,TEXT(A1297,"mmm/aa"),"")</f>
        <v>abr/25</v>
      </c>
      <c r="T1297" s="4">
        <f>IF(Registro2[[#This Row],[Data de Pagamento]]="",0,IF(Registro2[[#This Row],[Conta Financeira]]=base!$A$6,0,Registro2[[#This Row],[Valor Unitário]]))</f>
        <v>5</v>
      </c>
      <c r="U12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97" t="str">
        <f>VLOOKUP(Registro2[[#This Row],[Categoria]],'Plano de Contas'!$V$3:W1368,2,0)</f>
        <v>Outras Receitas</v>
      </c>
      <c r="X129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98" spans="1:24" hidden="1">
      <c r="A1298" s="1">
        <v>45752</v>
      </c>
      <c r="B1298" s="1">
        <v>45752</v>
      </c>
      <c r="D1298" t="s">
        <v>1</v>
      </c>
      <c r="E1298" t="s">
        <v>149</v>
      </c>
      <c r="F1298" t="s">
        <v>147</v>
      </c>
      <c r="G1298" t="s">
        <v>163</v>
      </c>
      <c r="I1298" s="4">
        <v>35</v>
      </c>
      <c r="J1298" s="4">
        <v>85</v>
      </c>
      <c r="L1298" t="s">
        <v>253</v>
      </c>
      <c r="M1298" t="s">
        <v>28</v>
      </c>
      <c r="N1298" s="4">
        <f>IF(L1298="","",IF(OR(Registro2[[#This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298" t="str">
        <f t="shared" si="20"/>
        <v>abr/25</v>
      </c>
      <c r="P1298" t="str">
        <f>IF(Registro2[[#This Row],[Data de Pagamento]]&gt;0,TEXT(A1298,"mmm/aa"),"")</f>
        <v>abr/25</v>
      </c>
      <c r="T1298" s="4">
        <f>IF(Registro2[[#This Row],[Data de Pagamento]]="",0,IF(Registro2[[#This Row],[Conta Financeira]]=base!$A$6,0,Registro2[[#This Row],[Valor Unitário]]))</f>
        <v>35</v>
      </c>
      <c r="U12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98" t="str">
        <f>VLOOKUP(Registro2[[#This Row],[Categoria]],'Plano de Contas'!$V$3:W1369,2,0)</f>
        <v>Receitas Serviços</v>
      </c>
      <c r="X129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299" spans="1:24" hidden="1">
      <c r="A1299" s="1">
        <v>45752</v>
      </c>
      <c r="B1299" s="1">
        <v>45752</v>
      </c>
      <c r="D1299" t="s">
        <v>1</v>
      </c>
      <c r="E1299" t="s">
        <v>149</v>
      </c>
      <c r="F1299" t="s">
        <v>147</v>
      </c>
      <c r="G1299" t="s">
        <v>1046</v>
      </c>
      <c r="I1299" s="4">
        <v>15</v>
      </c>
      <c r="J1299" s="4" t="s">
        <v>1604</v>
      </c>
      <c r="L1299" t="s">
        <v>253</v>
      </c>
      <c r="M1299" t="s">
        <v>28</v>
      </c>
      <c r="N1299" s="4">
        <f>IF(L1299="","",IF(OR(Registro2[[#This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299" t="str">
        <f t="shared" si="20"/>
        <v>abr/25</v>
      </c>
      <c r="P1299" t="str">
        <f>IF(Registro2[[#This Row],[Data de Pagamento]]&gt;0,TEXT(A1299,"mmm/aa"),"")</f>
        <v>abr/25</v>
      </c>
      <c r="T1299" s="4">
        <f>IF(Registro2[[#This Row],[Data de Pagamento]]="",0,IF(Registro2[[#This Row],[Conta Financeira]]=base!$A$6,0,Registro2[[#This Row],[Valor Unitário]]))</f>
        <v>15</v>
      </c>
      <c r="U12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299" t="str">
        <f>VLOOKUP(Registro2[[#This Row],[Categoria]],'Plano de Contas'!$V$3:W1370,2,0)</f>
        <v>Receitas Serviços</v>
      </c>
      <c r="X129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00" spans="1:24" hidden="1">
      <c r="A1300" s="1">
        <v>45752</v>
      </c>
      <c r="B1300" s="1">
        <v>45752</v>
      </c>
      <c r="D1300" t="s">
        <v>1</v>
      </c>
      <c r="E1300" t="s">
        <v>149</v>
      </c>
      <c r="F1300" t="s">
        <v>147</v>
      </c>
      <c r="G1300" t="s">
        <v>163</v>
      </c>
      <c r="I1300" s="4">
        <v>35</v>
      </c>
      <c r="J1300" s="4">
        <v>45</v>
      </c>
      <c r="L1300" t="s">
        <v>253</v>
      </c>
      <c r="M1300" t="s">
        <v>2069</v>
      </c>
      <c r="N1300" s="4">
        <f>IF(L1300="","",IF(OR(Registro2[[#This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00" t="str">
        <f t="shared" si="20"/>
        <v>abr/25</v>
      </c>
      <c r="P1300" t="str">
        <f>IF(Registro2[[#This Row],[Data de Pagamento]]&gt;0,TEXT(A1300,"mmm/aa"),"")</f>
        <v>abr/25</v>
      </c>
      <c r="T1300" s="4">
        <f>IF(Registro2[[#This Row],[Data de Pagamento]]="",0,IF(Registro2[[#This Row],[Conta Financeira]]=base!$A$6,0,Registro2[[#This Row],[Valor Unitário]]))</f>
        <v>35</v>
      </c>
      <c r="U13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00" t="str">
        <f>VLOOKUP(Registro2[[#This Row],[Categoria]],'Plano de Contas'!$V$3:W1371,2,0)</f>
        <v>Receitas Serviços</v>
      </c>
      <c r="X130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01" spans="1:24" hidden="1">
      <c r="A1301" s="1">
        <v>45752</v>
      </c>
      <c r="B1301" s="1">
        <v>45752</v>
      </c>
      <c r="D1301" t="s">
        <v>1</v>
      </c>
      <c r="E1301" t="s">
        <v>149</v>
      </c>
      <c r="F1301" t="s">
        <v>147</v>
      </c>
      <c r="G1301" t="s">
        <v>167</v>
      </c>
      <c r="I1301" s="4">
        <v>10</v>
      </c>
      <c r="J1301" s="4" t="s">
        <v>1604</v>
      </c>
      <c r="L1301" t="s">
        <v>253</v>
      </c>
      <c r="M1301" t="s">
        <v>2069</v>
      </c>
      <c r="N1301" s="4">
        <f>IF(L1301="","",IF(OR(Registro2[[#This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301" t="str">
        <f t="shared" si="20"/>
        <v>abr/25</v>
      </c>
      <c r="P1301" t="str">
        <f>IF(Registro2[[#This Row],[Data de Pagamento]]&gt;0,TEXT(A1301,"mmm/aa"),"")</f>
        <v>abr/25</v>
      </c>
      <c r="T1301" s="4">
        <f>IF(Registro2[[#This Row],[Data de Pagamento]]="",0,IF(Registro2[[#This Row],[Conta Financeira]]=base!$A$6,0,Registro2[[#This Row],[Valor Unitário]]))</f>
        <v>10</v>
      </c>
      <c r="U13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01" t="str">
        <f>VLOOKUP(Registro2[[#This Row],[Categoria]],'Plano de Contas'!$V$3:W1372,2,0)</f>
        <v>Receitas Serviços</v>
      </c>
      <c r="X130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02" spans="1:24" hidden="1">
      <c r="A1302" s="1">
        <v>45752</v>
      </c>
      <c r="B1302" s="1">
        <v>45752</v>
      </c>
      <c r="D1302" t="s">
        <v>1</v>
      </c>
      <c r="E1302" t="s">
        <v>149</v>
      </c>
      <c r="F1302" t="s">
        <v>147</v>
      </c>
      <c r="G1302" t="s">
        <v>163</v>
      </c>
      <c r="I1302" s="4">
        <v>35</v>
      </c>
      <c r="J1302" s="4">
        <v>35</v>
      </c>
      <c r="L1302" t="s">
        <v>252</v>
      </c>
      <c r="M1302" t="s">
        <v>83</v>
      </c>
      <c r="N1302" s="4">
        <f>IF(L1302="","",IF(OR(Registro2[[#This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02" t="str">
        <f t="shared" si="20"/>
        <v>abr/25</v>
      </c>
      <c r="P1302" t="str">
        <f>IF(Registro2[[#This Row],[Data de Pagamento]]&gt;0,TEXT(A1302,"mmm/aa"),"")</f>
        <v>abr/25</v>
      </c>
      <c r="T1302" s="4">
        <f>IF(Registro2[[#This Row],[Data de Pagamento]]="",0,IF(Registro2[[#This Row],[Conta Financeira]]=base!$A$6,0,Registro2[[#This Row],[Valor Unitário]]))</f>
        <v>35</v>
      </c>
      <c r="U13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02" t="str">
        <f>VLOOKUP(Registro2[[#This Row],[Categoria]],'Plano de Contas'!$V$3:W1373,2,0)</f>
        <v>Receitas Serviços</v>
      </c>
      <c r="X130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03" spans="1:24" hidden="1">
      <c r="A1303" s="1">
        <v>45752</v>
      </c>
      <c r="B1303" s="1">
        <v>45752</v>
      </c>
      <c r="D1303" t="s">
        <v>2</v>
      </c>
      <c r="E1303" t="s">
        <v>149</v>
      </c>
      <c r="F1303" t="s">
        <v>147</v>
      </c>
      <c r="G1303" t="s">
        <v>163</v>
      </c>
      <c r="I1303" s="4">
        <v>35</v>
      </c>
      <c r="J1303" s="4">
        <v>35</v>
      </c>
      <c r="L1303" t="s">
        <v>264</v>
      </c>
      <c r="M1303" t="s">
        <v>495</v>
      </c>
      <c r="N1303" s="4">
        <f>IF(L1303="","",IF(OR(Registro2[[#This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03" t="str">
        <f t="shared" si="20"/>
        <v>abr/25</v>
      </c>
      <c r="P1303" t="str">
        <f>IF(Registro2[[#This Row],[Data de Pagamento]]&gt;0,TEXT(A1303,"mmm/aa"),"")</f>
        <v>abr/25</v>
      </c>
      <c r="T1303" s="4">
        <f>IF(Registro2[[#This Row],[Data de Pagamento]]="",0,IF(Registro2[[#This Row],[Conta Financeira]]=base!$A$6,0,Registro2[[#This Row],[Valor Unitário]]))</f>
        <v>35</v>
      </c>
      <c r="U13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03" t="str">
        <f>VLOOKUP(Registro2[[#This Row],[Categoria]],'Plano de Contas'!$V$3:W1374,2,0)</f>
        <v>Receitas Serviços</v>
      </c>
      <c r="X13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04" spans="1:24" hidden="1">
      <c r="A1304" s="1">
        <v>45752</v>
      </c>
      <c r="B1304" s="1">
        <v>45752</v>
      </c>
      <c r="D1304" t="s">
        <v>1</v>
      </c>
      <c r="E1304" t="s">
        <v>149</v>
      </c>
      <c r="F1304" t="s">
        <v>147</v>
      </c>
      <c r="G1304" t="s">
        <v>163</v>
      </c>
      <c r="I1304" s="4">
        <v>35</v>
      </c>
      <c r="J1304" s="4">
        <v>35</v>
      </c>
      <c r="L1304" t="s">
        <v>252</v>
      </c>
      <c r="M1304" t="s">
        <v>296</v>
      </c>
      <c r="N1304" s="4">
        <f>IF(L1304="","",IF(OR(Registro2[[#This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04" t="str">
        <f t="shared" si="20"/>
        <v>abr/25</v>
      </c>
      <c r="P1304" t="str">
        <f>IF(Registro2[[#This Row],[Data de Pagamento]]&gt;0,TEXT(A1304,"mmm/aa"),"")</f>
        <v>abr/25</v>
      </c>
      <c r="T1304" s="4">
        <f>IF(Registro2[[#This Row],[Data de Pagamento]]="",0,IF(Registro2[[#This Row],[Conta Financeira]]=base!$A$6,0,Registro2[[#This Row],[Valor Unitário]]))</f>
        <v>35</v>
      </c>
      <c r="U13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04" t="str">
        <f>VLOOKUP(Registro2[[#This Row],[Categoria]],'Plano de Contas'!$V$3:W1375,2,0)</f>
        <v>Receitas Serviços</v>
      </c>
      <c r="X13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05" spans="1:24" hidden="1">
      <c r="A1305" s="1">
        <v>45752</v>
      </c>
      <c r="B1305" s="1">
        <v>45752</v>
      </c>
      <c r="D1305" t="s">
        <v>1</v>
      </c>
      <c r="E1305" t="s">
        <v>149</v>
      </c>
      <c r="F1305" t="s">
        <v>147</v>
      </c>
      <c r="G1305" t="s">
        <v>163</v>
      </c>
      <c r="I1305" s="4">
        <v>35</v>
      </c>
      <c r="J1305" s="4">
        <v>60</v>
      </c>
      <c r="L1305" t="s">
        <v>253</v>
      </c>
      <c r="M1305" t="s">
        <v>492</v>
      </c>
      <c r="N1305" s="4">
        <f>IF(L1305="","",IF(OR(Registro2[[#This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05" t="str">
        <f t="shared" si="20"/>
        <v>abr/25</v>
      </c>
      <c r="P1305" t="str">
        <f>IF(Registro2[[#This Row],[Data de Pagamento]]&gt;0,TEXT(A1305,"mmm/aa"),"")</f>
        <v>abr/25</v>
      </c>
      <c r="T1305" s="4">
        <f>IF(Registro2[[#This Row],[Data de Pagamento]]="",0,IF(Registro2[[#This Row],[Conta Financeira]]=base!$A$6,0,Registro2[[#This Row],[Valor Unitário]]))</f>
        <v>35</v>
      </c>
      <c r="U13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05" t="str">
        <f>VLOOKUP(Registro2[[#This Row],[Categoria]],'Plano de Contas'!$V$3:W1376,2,0)</f>
        <v>Receitas Serviços</v>
      </c>
      <c r="X13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06" spans="1:24" hidden="1">
      <c r="A1306" s="1">
        <v>45752</v>
      </c>
      <c r="B1306" s="1">
        <v>45752</v>
      </c>
      <c r="D1306" t="s">
        <v>1</v>
      </c>
      <c r="E1306" t="s">
        <v>149</v>
      </c>
      <c r="F1306" t="s">
        <v>147</v>
      </c>
      <c r="G1306" t="s">
        <v>167</v>
      </c>
      <c r="I1306" s="4">
        <v>10</v>
      </c>
      <c r="J1306" s="4" t="s">
        <v>1604</v>
      </c>
      <c r="L1306" t="s">
        <v>253</v>
      </c>
      <c r="M1306" t="s">
        <v>492</v>
      </c>
      <c r="N1306" s="4">
        <f>IF(L1306="","",IF(OR(Registro2[[#This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306" t="str">
        <f t="shared" si="20"/>
        <v>abr/25</v>
      </c>
      <c r="P1306" t="str">
        <f>IF(Registro2[[#This Row],[Data de Pagamento]]&gt;0,TEXT(A1306,"mmm/aa"),"")</f>
        <v>abr/25</v>
      </c>
      <c r="T1306" s="4">
        <f>IF(Registro2[[#This Row],[Data de Pagamento]]="",0,IF(Registro2[[#This Row],[Conta Financeira]]=base!$A$6,0,Registro2[[#This Row],[Valor Unitário]]))</f>
        <v>10</v>
      </c>
      <c r="U13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06" t="str">
        <f>VLOOKUP(Registro2[[#This Row],[Categoria]],'Plano de Contas'!$V$3:W1377,2,0)</f>
        <v>Receitas Serviços</v>
      </c>
      <c r="X130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07" spans="1:24" hidden="1">
      <c r="A1307" s="1">
        <v>45752</v>
      </c>
      <c r="B1307" s="1">
        <v>45752</v>
      </c>
      <c r="D1307" t="s">
        <v>1</v>
      </c>
      <c r="E1307" t="s">
        <v>149</v>
      </c>
      <c r="F1307" t="s">
        <v>147</v>
      </c>
      <c r="G1307" t="s">
        <v>1187</v>
      </c>
      <c r="I1307" s="4">
        <v>15</v>
      </c>
      <c r="J1307" s="4" t="s">
        <v>1604</v>
      </c>
      <c r="L1307" t="s">
        <v>253</v>
      </c>
      <c r="M1307" t="s">
        <v>492</v>
      </c>
      <c r="N1307" s="4">
        <f>IF(L1307="","",IF(OR(Registro2[[#This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307" t="str">
        <f t="shared" si="20"/>
        <v>abr/25</v>
      </c>
      <c r="P1307" t="str">
        <f>IF(Registro2[[#This Row],[Data de Pagamento]]&gt;0,TEXT(A1307,"mmm/aa"),"")</f>
        <v>abr/25</v>
      </c>
      <c r="T1307" s="4">
        <f>IF(Registro2[[#This Row],[Data de Pagamento]]="",0,IF(Registro2[[#This Row],[Conta Financeira]]=base!$A$6,0,Registro2[[#This Row],[Valor Unitário]]))</f>
        <v>15</v>
      </c>
      <c r="U13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07" t="str">
        <f>VLOOKUP(Registro2[[#This Row],[Categoria]],'Plano de Contas'!$V$3:W1378,2,0)</f>
        <v>Receitas Serviços</v>
      </c>
      <c r="X130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08" spans="1:24" hidden="1">
      <c r="A1308" s="1">
        <v>45752</v>
      </c>
      <c r="B1308" s="1">
        <v>45752</v>
      </c>
      <c r="D1308" t="s">
        <v>1</v>
      </c>
      <c r="E1308" t="s">
        <v>149</v>
      </c>
      <c r="F1308" t="s">
        <v>147</v>
      </c>
      <c r="G1308" t="s">
        <v>163</v>
      </c>
      <c r="I1308" s="4">
        <v>35</v>
      </c>
      <c r="J1308" s="4">
        <v>35</v>
      </c>
      <c r="L1308" t="s">
        <v>264</v>
      </c>
      <c r="M1308" t="s">
        <v>1348</v>
      </c>
      <c r="N1308" s="4">
        <f>IF(L1308="","",IF(OR(Registro2[[#This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08" t="str">
        <f t="shared" si="20"/>
        <v>abr/25</v>
      </c>
      <c r="P1308" t="str">
        <f>IF(Registro2[[#This Row],[Data de Pagamento]]&gt;0,TEXT(A1308,"mmm/aa"),"")</f>
        <v>abr/25</v>
      </c>
      <c r="T1308" s="4">
        <f>IF(Registro2[[#This Row],[Data de Pagamento]]="",0,IF(Registro2[[#This Row],[Conta Financeira]]=base!$A$6,0,Registro2[[#This Row],[Valor Unitário]]))</f>
        <v>35</v>
      </c>
      <c r="U13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08" t="str">
        <f>VLOOKUP(Registro2[[#This Row],[Categoria]],'Plano de Contas'!$V$3:W1379,2,0)</f>
        <v>Receitas Serviços</v>
      </c>
      <c r="X130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09" spans="1:24" hidden="1">
      <c r="A1309" s="1">
        <v>45752</v>
      </c>
      <c r="B1309" s="1">
        <v>45752</v>
      </c>
      <c r="D1309" t="s">
        <v>2</v>
      </c>
      <c r="E1309" t="s">
        <v>149</v>
      </c>
      <c r="F1309" t="s">
        <v>147</v>
      </c>
      <c r="G1309" t="s">
        <v>163</v>
      </c>
      <c r="I1309" s="4">
        <v>35</v>
      </c>
      <c r="J1309" s="4">
        <v>20</v>
      </c>
      <c r="L1309" t="s">
        <v>252</v>
      </c>
      <c r="M1309" t="s">
        <v>2081</v>
      </c>
      <c r="N1309" s="4">
        <f>IF(L1309="","",IF(OR(Registro2[[#This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09" t="str">
        <f t="shared" si="20"/>
        <v>abr/25</v>
      </c>
      <c r="P1309" t="str">
        <f>IF(Registro2[[#This Row],[Data de Pagamento]]&gt;0,TEXT(A1309,"mmm/aa"),"")</f>
        <v>abr/25</v>
      </c>
      <c r="T1309" s="4">
        <f>IF(Registro2[[#This Row],[Data de Pagamento]]="",0,IF(Registro2[[#This Row],[Conta Financeira]]=base!$A$6,0,Registro2[[#This Row],[Valor Unitário]]))</f>
        <v>35</v>
      </c>
      <c r="U13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09" t="str">
        <f>VLOOKUP(Registro2[[#This Row],[Categoria]],'Plano de Contas'!$V$3:W1380,2,0)</f>
        <v>Receitas Serviços</v>
      </c>
      <c r="X130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10" spans="1:24" hidden="1">
      <c r="A1310" s="1">
        <v>45752</v>
      </c>
      <c r="B1310" s="1">
        <v>45752</v>
      </c>
      <c r="D1310" t="s">
        <v>1</v>
      </c>
      <c r="E1310" t="s">
        <v>149</v>
      </c>
      <c r="F1310" t="s">
        <v>152</v>
      </c>
      <c r="G1310" t="s">
        <v>353</v>
      </c>
      <c r="I1310" s="4">
        <v>50</v>
      </c>
      <c r="J1310" s="4">
        <v>50</v>
      </c>
      <c r="L1310" t="s">
        <v>264</v>
      </c>
      <c r="M1310" t="s">
        <v>1499</v>
      </c>
      <c r="N1310" s="4">
        <f>IF(L1310="","",IF(OR(Registro2[[#This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310" t="str">
        <f t="shared" si="20"/>
        <v>abr/25</v>
      </c>
      <c r="P1310" t="str">
        <f>IF(Registro2[[#This Row],[Data de Pagamento]]&gt;0,TEXT(A1310,"mmm/aa"),"")</f>
        <v>abr/25</v>
      </c>
      <c r="T1310" s="4">
        <f>IF(Registro2[[#This Row],[Data de Pagamento]]="",0,IF(Registro2[[#This Row],[Conta Financeira]]=base!$A$6,0,Registro2[[#This Row],[Valor Unitário]]))</f>
        <v>50</v>
      </c>
      <c r="U13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10" t="str">
        <f>VLOOKUP(Registro2[[#This Row],[Categoria]],'Plano de Contas'!$V$3:W1381,2,0)</f>
        <v>Receitas Serviços</v>
      </c>
      <c r="X131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11" spans="1:24" hidden="1">
      <c r="A1311" s="1">
        <v>45752</v>
      </c>
      <c r="B1311" s="1">
        <v>45752</v>
      </c>
      <c r="D1311" t="s">
        <v>354</v>
      </c>
      <c r="E1311" t="s">
        <v>149</v>
      </c>
      <c r="F1311" t="s">
        <v>147</v>
      </c>
      <c r="G1311" t="s">
        <v>163</v>
      </c>
      <c r="I1311" s="4">
        <v>35</v>
      </c>
      <c r="J1311" s="4">
        <v>70</v>
      </c>
      <c r="L1311" t="s">
        <v>253</v>
      </c>
      <c r="M1311" t="s">
        <v>112</v>
      </c>
      <c r="N1311" s="4">
        <f>IF(L1311="","",IF(OR(Registro2[[#This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11" t="str">
        <f t="shared" si="20"/>
        <v>abr/25</v>
      </c>
      <c r="P1311" t="str">
        <f>IF(Registro2[[#This Row],[Data de Pagamento]]&gt;0,TEXT(A1311,"mmm/aa"),"")</f>
        <v>abr/25</v>
      </c>
      <c r="T1311" s="4">
        <f>IF(Registro2[[#This Row],[Data de Pagamento]]="",0,IF(Registro2[[#This Row],[Conta Financeira]]=base!$A$6,0,Registro2[[#This Row],[Valor Unitário]]))</f>
        <v>35</v>
      </c>
      <c r="U13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11" t="str">
        <f>VLOOKUP(Registro2[[#This Row],[Categoria]],'Plano de Contas'!$V$3:W1382,2,0)</f>
        <v>Receitas Serviços</v>
      </c>
      <c r="X131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312" spans="1:24" hidden="1">
      <c r="A1312" s="1">
        <v>45752</v>
      </c>
      <c r="B1312" s="1">
        <v>45752</v>
      </c>
      <c r="D1312" t="s">
        <v>354</v>
      </c>
      <c r="E1312" t="s">
        <v>149</v>
      </c>
      <c r="F1312" t="s">
        <v>147</v>
      </c>
      <c r="G1312" t="s">
        <v>163</v>
      </c>
      <c r="I1312" s="4">
        <v>35</v>
      </c>
      <c r="J1312" s="4" t="s">
        <v>1604</v>
      </c>
      <c r="L1312" t="s">
        <v>252</v>
      </c>
      <c r="M1312" t="s">
        <v>112</v>
      </c>
      <c r="N1312" s="4">
        <f>IF(L1312="","",IF(OR(Registro2[[#This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12" t="str">
        <f t="shared" si="20"/>
        <v>abr/25</v>
      </c>
      <c r="P1312" t="str">
        <f>IF(Registro2[[#This Row],[Data de Pagamento]]&gt;0,TEXT(A1312,"mmm/aa"),"")</f>
        <v>abr/25</v>
      </c>
      <c r="T1312" s="4">
        <f>IF(Registro2[[#This Row],[Data de Pagamento]]="",0,IF(Registro2[[#This Row],[Conta Financeira]]=base!$A$6,0,Registro2[[#This Row],[Valor Unitário]]))</f>
        <v>35</v>
      </c>
      <c r="U13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12" t="str">
        <f>VLOOKUP(Registro2[[#This Row],[Categoria]],'Plano de Contas'!$V$3:W1383,2,0)</f>
        <v>Receitas Serviços</v>
      </c>
      <c r="X131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313" spans="1:24" hidden="1">
      <c r="A1313" s="1">
        <v>45752</v>
      </c>
      <c r="B1313" s="1">
        <v>45752</v>
      </c>
      <c r="D1313" t="s">
        <v>2</v>
      </c>
      <c r="E1313" t="s">
        <v>149</v>
      </c>
      <c r="F1313" t="s">
        <v>152</v>
      </c>
      <c r="G1313" t="s">
        <v>306</v>
      </c>
      <c r="I1313" s="4">
        <v>55</v>
      </c>
      <c r="J1313" s="4">
        <v>70</v>
      </c>
      <c r="L1313" t="s">
        <v>253</v>
      </c>
      <c r="M1313" t="s">
        <v>2088</v>
      </c>
      <c r="N1313" s="4">
        <f>IF(L1313="","",IF(OR(Registro2[[#This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1313" t="str">
        <f t="shared" si="20"/>
        <v>abr/25</v>
      </c>
      <c r="P1313" t="str">
        <f>IF(Registro2[[#This Row],[Data de Pagamento]]&gt;0,TEXT(A1313,"mmm/aa"),"")</f>
        <v>abr/25</v>
      </c>
      <c r="T1313" s="4">
        <f>IF(Registro2[[#This Row],[Data de Pagamento]]="",0,IF(Registro2[[#This Row],[Conta Financeira]]=base!$A$6,0,Registro2[[#This Row],[Valor Unitário]]))</f>
        <v>55</v>
      </c>
      <c r="U13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13" t="str">
        <f>VLOOKUP(Registro2[[#This Row],[Categoria]],'Plano de Contas'!$V$3:W1384,2,0)</f>
        <v>Receitas Serviços</v>
      </c>
      <c r="X131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14" spans="1:24" hidden="1">
      <c r="A1314" s="1">
        <v>45752</v>
      </c>
      <c r="B1314" s="1">
        <v>45752</v>
      </c>
      <c r="D1314" t="s">
        <v>2</v>
      </c>
      <c r="E1314" t="s">
        <v>149</v>
      </c>
      <c r="F1314" t="s">
        <v>147</v>
      </c>
      <c r="G1314" t="s">
        <v>1046</v>
      </c>
      <c r="I1314" s="4">
        <v>15</v>
      </c>
      <c r="J1314" s="4" t="s">
        <v>1604</v>
      </c>
      <c r="L1314" t="s">
        <v>253</v>
      </c>
      <c r="M1314" t="s">
        <v>2088</v>
      </c>
      <c r="N1314" s="4">
        <f>IF(L1314="","",IF(OR(Registro2[[#This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314" t="str">
        <f t="shared" si="20"/>
        <v>abr/25</v>
      </c>
      <c r="P1314" t="str">
        <f>IF(Registro2[[#This Row],[Data de Pagamento]]&gt;0,TEXT(A1314,"mmm/aa"),"")</f>
        <v>abr/25</v>
      </c>
      <c r="T1314" s="4">
        <f>IF(Registro2[[#This Row],[Data de Pagamento]]="",0,IF(Registro2[[#This Row],[Conta Financeira]]=base!$A$6,0,Registro2[[#This Row],[Valor Unitário]]))</f>
        <v>15</v>
      </c>
      <c r="U13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14" t="str">
        <f>VLOOKUP(Registro2[[#This Row],[Categoria]],'Plano de Contas'!$V$3:W1385,2,0)</f>
        <v>Receitas Serviços</v>
      </c>
      <c r="X131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15" spans="1:24" hidden="1">
      <c r="A1315" s="1">
        <v>45752</v>
      </c>
      <c r="B1315" s="1">
        <v>45752</v>
      </c>
      <c r="D1315" t="s">
        <v>310</v>
      </c>
      <c r="E1315" t="s">
        <v>149</v>
      </c>
      <c r="F1315" t="s">
        <v>150</v>
      </c>
      <c r="G1315" t="s">
        <v>509</v>
      </c>
      <c r="I1315" s="4">
        <v>25</v>
      </c>
      <c r="J1315" s="4">
        <v>25</v>
      </c>
      <c r="L1315" t="s">
        <v>253</v>
      </c>
      <c r="M1315" t="s">
        <v>2091</v>
      </c>
      <c r="N1315" s="4">
        <f>IF(L1315="","",IF(OR(Registro2[[#This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315" t="str">
        <f t="shared" si="20"/>
        <v>abr/25</v>
      </c>
      <c r="P1315" t="str">
        <f>IF(Registro2[[#This Row],[Data de Pagamento]]&gt;0,TEXT(A1315,"mmm/aa"),"")</f>
        <v>abr/25</v>
      </c>
      <c r="T1315" s="4">
        <f>IF(Registro2[[#This Row],[Data de Pagamento]]="",0,IF(Registro2[[#This Row],[Conta Financeira]]=base!$A$6,0,Registro2[[#This Row],[Valor Unitário]]))</f>
        <v>25</v>
      </c>
      <c r="U13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15" t="str">
        <f>VLOOKUP(Registro2[[#This Row],[Categoria]],'Plano de Contas'!$V$3:W1386,2,0)</f>
        <v>Receitas Produtos</v>
      </c>
      <c r="X131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0.2225</v>
      </c>
    </row>
    <row r="1316" spans="1:24" hidden="1">
      <c r="A1316" s="1">
        <v>45752</v>
      </c>
      <c r="B1316" s="1">
        <v>45752</v>
      </c>
      <c r="D1316" t="s">
        <v>354</v>
      </c>
      <c r="E1316" t="s">
        <v>149</v>
      </c>
      <c r="F1316" t="s">
        <v>147</v>
      </c>
      <c r="G1316" t="s">
        <v>163</v>
      </c>
      <c r="I1316" s="4">
        <v>35</v>
      </c>
      <c r="J1316" s="4">
        <v>75</v>
      </c>
      <c r="L1316" t="s">
        <v>264</v>
      </c>
      <c r="M1316" t="s">
        <v>2094</v>
      </c>
      <c r="N1316" s="4">
        <f>IF(L1316="","",IF(OR(Registro2[[#This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16" t="str">
        <f t="shared" si="20"/>
        <v>abr/25</v>
      </c>
      <c r="P1316" t="str">
        <f>IF(Registro2[[#This Row],[Data de Pagamento]]&gt;0,TEXT(A1316,"mmm/aa"),"")</f>
        <v>abr/25</v>
      </c>
      <c r="T1316" s="4">
        <f>IF(Registro2[[#This Row],[Data de Pagamento]]="",0,IF(Registro2[[#This Row],[Conta Financeira]]=base!$A$6,0,Registro2[[#This Row],[Valor Unitário]]))</f>
        <v>35</v>
      </c>
      <c r="U13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16" t="str">
        <f>VLOOKUP(Registro2[[#This Row],[Categoria]],'Plano de Contas'!$V$3:W1387,2,0)</f>
        <v>Receitas Serviços</v>
      </c>
      <c r="X131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317" spans="1:24" hidden="1">
      <c r="A1317" s="1">
        <v>45752</v>
      </c>
      <c r="B1317" s="1">
        <v>45752</v>
      </c>
      <c r="D1317" t="s">
        <v>354</v>
      </c>
      <c r="E1317" t="s">
        <v>149</v>
      </c>
      <c r="F1317" t="s">
        <v>150</v>
      </c>
      <c r="G1317" t="s">
        <v>472</v>
      </c>
      <c r="I1317" s="4">
        <v>40</v>
      </c>
      <c r="J1317" s="4" t="s">
        <v>1604</v>
      </c>
      <c r="L1317" t="s">
        <v>264</v>
      </c>
      <c r="M1317" t="s">
        <v>2094</v>
      </c>
      <c r="N1317" s="4">
        <f>IF(L1317="","",IF(OR(Registro2[[#This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1317" t="str">
        <f t="shared" si="20"/>
        <v>abr/25</v>
      </c>
      <c r="P1317" t="str">
        <f>IF(Registro2[[#This Row],[Data de Pagamento]]&gt;0,TEXT(A1317,"mmm/aa"),"")</f>
        <v>abr/25</v>
      </c>
      <c r="T1317" s="4">
        <f>IF(Registro2[[#This Row],[Data de Pagamento]]="",0,IF(Registro2[[#This Row],[Conta Financeira]]=base!$A$6,0,Registro2[[#This Row],[Valor Unitário]]))</f>
        <v>40</v>
      </c>
      <c r="U13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17" t="str">
        <f>VLOOKUP(Registro2[[#This Row],[Categoria]],'Plano de Contas'!$V$3:W1388,2,0)</f>
        <v>Receitas Produtos</v>
      </c>
      <c r="X131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1.26</v>
      </c>
    </row>
    <row r="1318" spans="1:24" hidden="1">
      <c r="A1318" s="1">
        <v>45754</v>
      </c>
      <c r="B1318" s="1">
        <v>45754</v>
      </c>
      <c r="D1318" t="s">
        <v>947</v>
      </c>
      <c r="E1318" t="s">
        <v>137</v>
      </c>
      <c r="F1318" t="s">
        <v>146</v>
      </c>
      <c r="G1318" t="s">
        <v>315</v>
      </c>
      <c r="H1318" t="s">
        <v>431</v>
      </c>
      <c r="I1318" s="4">
        <v>231.02</v>
      </c>
      <c r="J1318" s="4"/>
      <c r="N1318" s="4" t="str">
        <f>IF(L1318="","",IF(OR(Registro2[[#This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318" t="str">
        <f t="shared" si="20"/>
        <v>abr/25</v>
      </c>
      <c r="P1318" t="str">
        <f>IF(Registro2[[#This Row],[Data de Pagamento]]&gt;0,TEXT(A1318,"mmm/aa"),"")</f>
        <v>abr/25</v>
      </c>
      <c r="T1318" s="4">
        <f>IF(Registro2[[#This Row],[Data de Pagamento]]="",0,IF(Registro2[[#This Row],[Conta Financeira]]=base!$A$6,0,Registro2[[#This Row],[Valor Unitário]]))</f>
        <v>231.02</v>
      </c>
      <c r="U13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18" t="str">
        <f>VLOOKUP(Registro2[[#This Row],[Categoria]],'Plano de Contas'!$V$3:W1254,2,0)</f>
        <v>Despesas Operacionais</v>
      </c>
      <c r="X13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19" spans="1:24" hidden="1">
      <c r="A1319" s="1">
        <v>45754</v>
      </c>
      <c r="B1319" s="1">
        <v>45754</v>
      </c>
      <c r="D1319" t="s">
        <v>310</v>
      </c>
      <c r="E1319" t="s">
        <v>149</v>
      </c>
      <c r="F1319" t="s">
        <v>147</v>
      </c>
      <c r="G1319" t="s">
        <v>163</v>
      </c>
      <c r="I1319" s="4">
        <v>35</v>
      </c>
      <c r="J1319" s="4">
        <v>35</v>
      </c>
      <c r="L1319" t="s">
        <v>253</v>
      </c>
      <c r="M1319" t="s">
        <v>44</v>
      </c>
      <c r="N1319" s="4">
        <f>IF(L1319="","",IF(OR(Registro2[[#This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19" t="str">
        <f t="shared" si="20"/>
        <v>abr/25</v>
      </c>
      <c r="P1319" t="str">
        <f>IF(Registro2[[#This Row],[Data de Pagamento]]&gt;0,TEXT(A1319,"mmm/aa"),"")</f>
        <v>abr/25</v>
      </c>
      <c r="T1319" s="4">
        <f>IF(Registro2[[#This Row],[Data de Pagamento]]="",0,IF(Registro2[[#This Row],[Conta Financeira]]=base!$A$6,0,Registro2[[#This Row],[Valor Unitário]]))</f>
        <v>35</v>
      </c>
      <c r="U13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19" t="str">
        <f>VLOOKUP(Registro2[[#This Row],[Categoria]],'Plano de Contas'!$V$3:W1389,2,0)</f>
        <v>Receitas Serviços</v>
      </c>
      <c r="X131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320" spans="1:24" hidden="1">
      <c r="A1320" s="1">
        <v>45754</v>
      </c>
      <c r="B1320" s="1">
        <v>45754</v>
      </c>
      <c r="D1320" t="s">
        <v>1</v>
      </c>
      <c r="E1320" t="s">
        <v>149</v>
      </c>
      <c r="F1320" t="s">
        <v>147</v>
      </c>
      <c r="G1320" t="s">
        <v>163</v>
      </c>
      <c r="I1320" s="4">
        <v>35</v>
      </c>
      <c r="J1320" s="4">
        <v>35</v>
      </c>
      <c r="L1320" t="s">
        <v>253</v>
      </c>
      <c r="M1320" t="s">
        <v>288</v>
      </c>
      <c r="N1320" s="4">
        <f>IF(L1320="","",IF(OR(Registro2[[#This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20" t="str">
        <f t="shared" si="20"/>
        <v>abr/25</v>
      </c>
      <c r="P1320" t="str">
        <f>IF(Registro2[[#This Row],[Data de Pagamento]]&gt;0,TEXT(A1320,"mmm/aa"),"")</f>
        <v>abr/25</v>
      </c>
      <c r="T1320" s="4">
        <f>IF(Registro2[[#This Row],[Data de Pagamento]]="",0,IF(Registro2[[#This Row],[Conta Financeira]]=base!$A$6,0,Registro2[[#This Row],[Valor Unitário]]))</f>
        <v>35</v>
      </c>
      <c r="U13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20" t="str">
        <f>VLOOKUP(Registro2[[#This Row],[Categoria]],'Plano de Contas'!$V$3:W1390,2,0)</f>
        <v>Receitas Serviços</v>
      </c>
      <c r="X132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21" spans="1:24" hidden="1">
      <c r="A1321" s="1">
        <v>45754</v>
      </c>
      <c r="B1321" s="1">
        <v>45754</v>
      </c>
      <c r="D1321" t="s">
        <v>1</v>
      </c>
      <c r="E1321" t="s">
        <v>149</v>
      </c>
      <c r="F1321" t="s">
        <v>147</v>
      </c>
      <c r="G1321" t="s">
        <v>163</v>
      </c>
      <c r="I1321" s="4">
        <v>35</v>
      </c>
      <c r="J1321" s="4">
        <v>35</v>
      </c>
      <c r="L1321" t="s">
        <v>253</v>
      </c>
      <c r="M1321" t="s">
        <v>1099</v>
      </c>
      <c r="N1321" s="4">
        <f>IF(L1321="","",IF(OR(Registro2[[#This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21" t="str">
        <f t="shared" si="20"/>
        <v>abr/25</v>
      </c>
      <c r="P1321" t="str">
        <f>IF(Registro2[[#This Row],[Data de Pagamento]]&gt;0,TEXT(A1321,"mmm/aa"),"")</f>
        <v>abr/25</v>
      </c>
      <c r="T1321" s="4">
        <f>IF(Registro2[[#This Row],[Data de Pagamento]]="",0,IF(Registro2[[#This Row],[Conta Financeira]]=base!$A$6,0,Registro2[[#This Row],[Valor Unitário]]))</f>
        <v>35</v>
      </c>
      <c r="U13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21" t="str">
        <f>VLOOKUP(Registro2[[#This Row],[Categoria]],'Plano de Contas'!$V$3:W1391,2,0)</f>
        <v>Receitas Serviços</v>
      </c>
      <c r="X132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22" spans="1:24" hidden="1">
      <c r="A1322" s="1">
        <v>45754</v>
      </c>
      <c r="B1322" s="1">
        <v>45754</v>
      </c>
      <c r="D1322" t="s">
        <v>1</v>
      </c>
      <c r="E1322" t="s">
        <v>149</v>
      </c>
      <c r="F1322" t="s">
        <v>150</v>
      </c>
      <c r="G1322" t="s">
        <v>513</v>
      </c>
      <c r="I1322" s="4">
        <v>35</v>
      </c>
      <c r="J1322" s="4">
        <v>35</v>
      </c>
      <c r="L1322" t="s">
        <v>253</v>
      </c>
      <c r="M1322" t="s">
        <v>1746</v>
      </c>
      <c r="N1322" s="4">
        <f>IF(L1322="","",IF(OR(Registro2[[#This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14</v>
      </c>
      <c r="O1322" t="str">
        <f t="shared" si="20"/>
        <v>abr/25</v>
      </c>
      <c r="P1322" t="str">
        <f>IF(Registro2[[#This Row],[Data de Pagamento]]&gt;0,TEXT(A1322,"mmm/aa"),"")</f>
        <v>abr/25</v>
      </c>
      <c r="T1322" s="4">
        <f>IF(Registro2[[#This Row],[Data de Pagamento]]="",0,IF(Registro2[[#This Row],[Conta Financeira]]=base!$A$6,0,Registro2[[#This Row],[Valor Unitário]]))</f>
        <v>35</v>
      </c>
      <c r="U13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22" t="str">
        <f>VLOOKUP(Registro2[[#This Row],[Categoria]],'Plano de Contas'!$V$3:W1392,2,0)</f>
        <v>Receitas Produtos</v>
      </c>
      <c r="X132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23" spans="1:24" hidden="1">
      <c r="A1323" s="1">
        <v>45754</v>
      </c>
      <c r="B1323" s="1">
        <v>45754</v>
      </c>
      <c r="D1323" t="s">
        <v>2</v>
      </c>
      <c r="E1323" t="s">
        <v>149</v>
      </c>
      <c r="F1323" t="s">
        <v>147</v>
      </c>
      <c r="G1323" t="s">
        <v>163</v>
      </c>
      <c r="I1323" s="4">
        <v>35</v>
      </c>
      <c r="J1323" s="4">
        <v>35</v>
      </c>
      <c r="L1323" t="s">
        <v>253</v>
      </c>
      <c r="M1323" t="s">
        <v>1161</v>
      </c>
      <c r="N1323" s="4">
        <f>IF(L1323="","",IF(OR(Registro2[[#This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23" t="str">
        <f t="shared" si="20"/>
        <v>abr/25</v>
      </c>
      <c r="P1323" t="str">
        <f>IF(Registro2[[#This Row],[Data de Pagamento]]&gt;0,TEXT(A1323,"mmm/aa"),"")</f>
        <v>abr/25</v>
      </c>
      <c r="T1323" s="4">
        <f>IF(Registro2[[#This Row],[Data de Pagamento]]="",0,IF(Registro2[[#This Row],[Conta Financeira]]=base!$A$6,0,Registro2[[#This Row],[Valor Unitário]]))</f>
        <v>35</v>
      </c>
      <c r="U13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23" t="str">
        <f>VLOOKUP(Registro2[[#This Row],[Categoria]],'Plano de Contas'!$V$3:W1393,2,0)</f>
        <v>Receitas Serviços</v>
      </c>
      <c r="X132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24" spans="1:24" hidden="1">
      <c r="A1324" s="1">
        <v>45754</v>
      </c>
      <c r="B1324" s="1">
        <v>45754</v>
      </c>
      <c r="D1324" t="s">
        <v>136</v>
      </c>
      <c r="E1324" t="s">
        <v>137</v>
      </c>
      <c r="F1324" t="s">
        <v>967</v>
      </c>
      <c r="G1324" t="s">
        <v>144</v>
      </c>
      <c r="H1324" t="s">
        <v>2341</v>
      </c>
      <c r="I1324" s="4">
        <v>28</v>
      </c>
      <c r="J1324" s="4"/>
      <c r="N1324" s="4" t="str">
        <f>IF(L1324="","",IF(OR(Registro2[[#This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324" t="str">
        <f t="shared" si="20"/>
        <v>abr/25</v>
      </c>
      <c r="P1324" t="str">
        <f>IF(Registro2[[#This Row],[Data de Pagamento]]&gt;0,TEXT(A1324,"mmm/aa"),"")</f>
        <v>abr/25</v>
      </c>
      <c r="T1324" s="4">
        <f>IF(Registro2[[#This Row],[Data de Pagamento]]="",0,IF(Registro2[[#This Row],[Conta Financeira]]=base!$A$6,0,Registro2[[#This Row],[Valor Unitário]]))</f>
        <v>28</v>
      </c>
      <c r="U13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24" t="str">
        <f>VLOOKUP(Registro2[[#This Row],[Categoria]],'Plano de Contas'!$V$3:W1532,2,0)</f>
        <v>Despesas Administrativas</v>
      </c>
      <c r="X132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25" spans="1:24" hidden="1">
      <c r="A1325" s="1">
        <v>45754</v>
      </c>
      <c r="B1325" s="1">
        <v>45754</v>
      </c>
      <c r="D1325" t="s">
        <v>947</v>
      </c>
      <c r="E1325" t="s">
        <v>137</v>
      </c>
      <c r="F1325" t="s">
        <v>138</v>
      </c>
      <c r="G1325" t="s">
        <v>143</v>
      </c>
      <c r="H1325" t="s">
        <v>2348</v>
      </c>
      <c r="I1325" s="4">
        <v>120</v>
      </c>
      <c r="J1325" s="4"/>
      <c r="N1325" s="4" t="str">
        <f>IF(L1325="","",IF(OR(Registro2[[#This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325" t="str">
        <f t="shared" si="20"/>
        <v>abr/25</v>
      </c>
      <c r="P1325" t="str">
        <f>IF(Registro2[[#This Row],[Data de Pagamento]]&gt;0,TEXT(A1325,"mmm/aa"),"")</f>
        <v>abr/25</v>
      </c>
      <c r="T1325" s="4">
        <f>IF(Registro2[[#This Row],[Data de Pagamento]]="",0,IF(Registro2[[#This Row],[Conta Financeira]]=base!$A$6,0,Registro2[[#This Row],[Valor Unitário]]))</f>
        <v>120</v>
      </c>
      <c r="U13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25" t="str">
        <f>VLOOKUP(Registro2[[#This Row],[Categoria]],'Plano de Contas'!$V$3:W1533,2,0)</f>
        <v>Custos Operacionais</v>
      </c>
      <c r="X132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26" spans="1:24" hidden="1">
      <c r="A1326" s="1">
        <v>45754</v>
      </c>
      <c r="B1326" s="1">
        <v>45754</v>
      </c>
      <c r="D1326" t="s">
        <v>947</v>
      </c>
      <c r="E1326" t="s">
        <v>137</v>
      </c>
      <c r="F1326" t="s">
        <v>138</v>
      </c>
      <c r="G1326" t="s">
        <v>338</v>
      </c>
      <c r="H1326" t="s">
        <v>959</v>
      </c>
      <c r="I1326" s="4">
        <v>55.78</v>
      </c>
      <c r="J1326" s="4"/>
      <c r="N1326" s="4" t="str">
        <f>IF(L1326="","",IF(OR(Registro2[[#This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326" t="str">
        <f t="shared" si="20"/>
        <v>abr/25</v>
      </c>
      <c r="P1326" t="str">
        <f>IF(Registro2[[#This Row],[Data de Pagamento]]&gt;0,TEXT(A1326,"mmm/aa"),"")</f>
        <v>abr/25</v>
      </c>
      <c r="T1326" s="4">
        <f>IF(Registro2[[#This Row],[Data de Pagamento]]="",0,IF(Registro2[[#This Row],[Conta Financeira]]=base!$A$6,0,Registro2[[#This Row],[Valor Unitário]]))</f>
        <v>55.78</v>
      </c>
      <c r="U13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26" t="str">
        <f>VLOOKUP(Registro2[[#This Row],[Categoria]],'Plano de Contas'!$V$3:W1534,2,0)</f>
        <v>Despesas Administrativas</v>
      </c>
      <c r="X132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27" spans="1:24" hidden="1">
      <c r="A1327" s="1">
        <v>45755</v>
      </c>
      <c r="B1327" s="1">
        <v>45755</v>
      </c>
      <c r="D1327" t="s">
        <v>1</v>
      </c>
      <c r="E1327" t="s">
        <v>149</v>
      </c>
      <c r="F1327" t="s">
        <v>147</v>
      </c>
      <c r="G1327" t="s">
        <v>163</v>
      </c>
      <c r="I1327" s="4">
        <v>35</v>
      </c>
      <c r="J1327" s="4">
        <v>35</v>
      </c>
      <c r="L1327" t="s">
        <v>252</v>
      </c>
      <c r="M1327" t="s">
        <v>2107</v>
      </c>
      <c r="N1327" s="4">
        <f>IF(L1327="","",IF(OR(Registro2[[#This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27" t="str">
        <f t="shared" si="20"/>
        <v>abr/25</v>
      </c>
      <c r="P1327" t="str">
        <f>IF(Registro2[[#This Row],[Data de Pagamento]]&gt;0,TEXT(A1327,"mmm/aa"),"")</f>
        <v>abr/25</v>
      </c>
      <c r="T1327" s="4">
        <f>IF(Registro2[[#This Row],[Data de Pagamento]]="",0,IF(Registro2[[#This Row],[Conta Financeira]]=base!$A$6,0,Registro2[[#This Row],[Valor Unitário]]))</f>
        <v>35</v>
      </c>
      <c r="U13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27" t="str">
        <f>VLOOKUP(Registro2[[#This Row],[Categoria]],'Plano de Contas'!$V$3:W1394,2,0)</f>
        <v>Receitas Serviços</v>
      </c>
      <c r="X13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28" spans="1:24" hidden="1">
      <c r="A1328" s="1">
        <v>45755</v>
      </c>
      <c r="B1328" s="1">
        <v>45755</v>
      </c>
      <c r="D1328" t="s">
        <v>354</v>
      </c>
      <c r="E1328" t="s">
        <v>149</v>
      </c>
      <c r="F1328" t="s">
        <v>147</v>
      </c>
      <c r="G1328" t="s">
        <v>163</v>
      </c>
      <c r="I1328" s="4">
        <v>35</v>
      </c>
      <c r="J1328" s="4">
        <v>35</v>
      </c>
      <c r="L1328" t="s">
        <v>252</v>
      </c>
      <c r="M1328" t="s">
        <v>96</v>
      </c>
      <c r="N1328" s="4">
        <f>IF(L1328="","",IF(OR(Registro2[[#This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28" t="str">
        <f t="shared" si="20"/>
        <v>abr/25</v>
      </c>
      <c r="P1328" t="str">
        <f>IF(Registro2[[#This Row],[Data de Pagamento]]&gt;0,TEXT(A1328,"mmm/aa"),"")</f>
        <v>abr/25</v>
      </c>
      <c r="T1328" s="4">
        <f>IF(Registro2[[#This Row],[Data de Pagamento]]="",0,IF(Registro2[[#This Row],[Conta Financeira]]=base!$A$6,0,Registro2[[#This Row],[Valor Unitário]]))</f>
        <v>35</v>
      </c>
      <c r="U13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28" t="str">
        <f>VLOOKUP(Registro2[[#This Row],[Categoria]],'Plano de Contas'!$V$3:W1396,2,0)</f>
        <v>Receitas Serviços</v>
      </c>
      <c r="X132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329" spans="1:24" hidden="1">
      <c r="A1329" s="1">
        <v>45755</v>
      </c>
      <c r="B1329" s="1">
        <v>45755</v>
      </c>
      <c r="D1329" t="s">
        <v>1</v>
      </c>
      <c r="E1329" t="s">
        <v>149</v>
      </c>
      <c r="F1329" t="s">
        <v>147</v>
      </c>
      <c r="G1329" t="s">
        <v>163</v>
      </c>
      <c r="I1329" s="4">
        <v>35</v>
      </c>
      <c r="J1329" s="4">
        <v>35</v>
      </c>
      <c r="L1329" t="s">
        <v>253</v>
      </c>
      <c r="M1329" t="s">
        <v>66</v>
      </c>
      <c r="N1329" s="4">
        <f>IF(L1329="","",IF(OR(Registro2[[#This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29" t="str">
        <f t="shared" si="20"/>
        <v>abr/25</v>
      </c>
      <c r="P1329" t="str">
        <f>IF(Registro2[[#This Row],[Data de Pagamento]]&gt;0,TEXT(A1329,"mmm/aa"),"")</f>
        <v>abr/25</v>
      </c>
      <c r="T1329" s="4">
        <f>IF(Registro2[[#This Row],[Data de Pagamento]]="",0,IF(Registro2[[#This Row],[Conta Financeira]]=base!$A$6,0,Registro2[[#This Row],[Valor Unitário]]))</f>
        <v>35</v>
      </c>
      <c r="U13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29" t="str">
        <f>VLOOKUP(Registro2[[#This Row],[Categoria]],'Plano de Contas'!$V$3:W1397,2,0)</f>
        <v>Receitas Serviços</v>
      </c>
      <c r="X13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30" spans="1:24" hidden="1">
      <c r="A1330" s="1">
        <v>45755</v>
      </c>
      <c r="B1330" s="1">
        <v>45755</v>
      </c>
      <c r="D1330" t="s">
        <v>2</v>
      </c>
      <c r="E1330" t="s">
        <v>149</v>
      </c>
      <c r="F1330" t="s">
        <v>147</v>
      </c>
      <c r="G1330" t="s">
        <v>163</v>
      </c>
      <c r="I1330" s="4">
        <v>35</v>
      </c>
      <c r="J1330" s="4">
        <v>35</v>
      </c>
      <c r="L1330" t="s">
        <v>253</v>
      </c>
      <c r="M1330" t="s">
        <v>71</v>
      </c>
      <c r="N1330" s="4">
        <f>IF(L1330="","",IF(OR(Registro2[[#This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30" t="str">
        <f t="shared" si="20"/>
        <v>abr/25</v>
      </c>
      <c r="P1330" t="str">
        <f>IF(Registro2[[#This Row],[Data de Pagamento]]&gt;0,TEXT(A1330,"mmm/aa"),"")</f>
        <v>abr/25</v>
      </c>
      <c r="T1330" s="4">
        <f>IF(Registro2[[#This Row],[Data de Pagamento]]="",0,IF(Registro2[[#This Row],[Conta Financeira]]=base!$A$6,0,Registro2[[#This Row],[Valor Unitário]]))</f>
        <v>35</v>
      </c>
      <c r="U13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30" t="str">
        <f>VLOOKUP(Registro2[[#This Row],[Categoria]],'Plano de Contas'!$V$3:W1398,2,0)</f>
        <v>Receitas Serviços</v>
      </c>
      <c r="X133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31" spans="1:24" hidden="1">
      <c r="A1331" s="1">
        <v>45755</v>
      </c>
      <c r="B1331" s="1">
        <v>45755</v>
      </c>
      <c r="D1331" t="s">
        <v>2</v>
      </c>
      <c r="E1331" t="s">
        <v>149</v>
      </c>
      <c r="F1331" t="s">
        <v>147</v>
      </c>
      <c r="G1331" t="s">
        <v>163</v>
      </c>
      <c r="I1331" s="4">
        <v>35</v>
      </c>
      <c r="J1331" s="4">
        <v>35</v>
      </c>
      <c r="L1331" t="s">
        <v>264</v>
      </c>
      <c r="M1331" t="s">
        <v>2118</v>
      </c>
      <c r="N1331" s="4">
        <f>IF(L1331="","",IF(OR(Registro2[[#This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31" t="str">
        <f t="shared" si="20"/>
        <v>abr/25</v>
      </c>
      <c r="P1331" t="str">
        <f>IF(Registro2[[#This Row],[Data de Pagamento]]&gt;0,TEXT(A1331,"mmm/aa"),"")</f>
        <v>abr/25</v>
      </c>
      <c r="T1331" s="4">
        <f>IF(Registro2[[#This Row],[Data de Pagamento]]="",0,IF(Registro2[[#This Row],[Conta Financeira]]=base!$A$6,0,Registro2[[#This Row],[Valor Unitário]]))</f>
        <v>35</v>
      </c>
      <c r="U13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31" t="str">
        <f>VLOOKUP(Registro2[[#This Row],[Categoria]],'Plano de Contas'!$V$3:W1399,2,0)</f>
        <v>Receitas Serviços</v>
      </c>
      <c r="X133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32" spans="1:24" hidden="1">
      <c r="A1332" s="1">
        <v>45755</v>
      </c>
      <c r="B1332" s="1">
        <v>45755</v>
      </c>
      <c r="D1332" t="s">
        <v>1</v>
      </c>
      <c r="E1332" t="s">
        <v>149</v>
      </c>
      <c r="F1332" t="s">
        <v>147</v>
      </c>
      <c r="G1332" t="s">
        <v>160</v>
      </c>
      <c r="I1332" s="4">
        <v>15</v>
      </c>
      <c r="J1332" s="4">
        <v>15</v>
      </c>
      <c r="L1332" t="s">
        <v>264</v>
      </c>
      <c r="M1332" t="s">
        <v>295</v>
      </c>
      <c r="N1332" s="4">
        <f>IF(L1332="","",IF(OR(Registro2[[#This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332" t="str">
        <f t="shared" si="20"/>
        <v>abr/25</v>
      </c>
      <c r="P1332" t="str">
        <f>IF(Registro2[[#This Row],[Data de Pagamento]]&gt;0,TEXT(A1332,"mmm/aa"),"")</f>
        <v>abr/25</v>
      </c>
      <c r="T1332" s="4">
        <f>IF(Registro2[[#This Row],[Data de Pagamento]]="",0,IF(Registro2[[#This Row],[Conta Financeira]]=base!$A$6,0,Registro2[[#This Row],[Valor Unitário]]))</f>
        <v>15</v>
      </c>
      <c r="U13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32" t="str">
        <f>VLOOKUP(Registro2[[#This Row],[Categoria]],'Plano de Contas'!$V$3:W1400,2,0)</f>
        <v>Receitas Serviços</v>
      </c>
      <c r="X133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33" spans="1:24" hidden="1">
      <c r="A1333" s="1">
        <v>45755</v>
      </c>
      <c r="B1333" s="1">
        <v>45755</v>
      </c>
      <c r="D1333" t="s">
        <v>1</v>
      </c>
      <c r="E1333" t="s">
        <v>149</v>
      </c>
      <c r="F1333" t="s">
        <v>147</v>
      </c>
      <c r="G1333" t="s">
        <v>163</v>
      </c>
      <c r="I1333" s="4">
        <v>30</v>
      </c>
      <c r="J1333" s="4">
        <v>30</v>
      </c>
      <c r="L1333" t="s">
        <v>253</v>
      </c>
      <c r="M1333" t="s">
        <v>10</v>
      </c>
      <c r="N1333" s="4">
        <f>IF(L1333="","",IF(OR(Registro2[[#This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1333" t="str">
        <f t="shared" si="20"/>
        <v>abr/25</v>
      </c>
      <c r="P1333" t="str">
        <f>IF(Registro2[[#This Row],[Data de Pagamento]]&gt;0,TEXT(A1333,"mmm/aa"),"")</f>
        <v>abr/25</v>
      </c>
      <c r="T1333" s="4">
        <f>IF(Registro2[[#This Row],[Data de Pagamento]]="",0,IF(Registro2[[#This Row],[Conta Financeira]]=base!$A$6,0,Registro2[[#This Row],[Valor Unitário]]))</f>
        <v>30</v>
      </c>
      <c r="U13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33" t="str">
        <f>VLOOKUP(Registro2[[#This Row],[Categoria]],'Plano de Contas'!$V$3:W1401,2,0)</f>
        <v>Receitas Serviços</v>
      </c>
      <c r="X133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34" spans="1:24" hidden="1">
      <c r="A1334" s="1">
        <v>45755</v>
      </c>
      <c r="B1334" s="1">
        <v>45755</v>
      </c>
      <c r="D1334" t="s">
        <v>354</v>
      </c>
      <c r="E1334" t="s">
        <v>149</v>
      </c>
      <c r="F1334" t="s">
        <v>152</v>
      </c>
      <c r="G1334" t="s">
        <v>353</v>
      </c>
      <c r="I1334" s="4">
        <v>60</v>
      </c>
      <c r="J1334" s="4">
        <v>95</v>
      </c>
      <c r="L1334" t="s">
        <v>252</v>
      </c>
      <c r="M1334" t="s">
        <v>2124</v>
      </c>
      <c r="N1334" s="4">
        <f>IF(L1334="","",IF(OR(Registro2[[#This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334" t="str">
        <f t="shared" si="20"/>
        <v>abr/25</v>
      </c>
      <c r="P1334" t="str">
        <f>IF(Registro2[[#This Row],[Data de Pagamento]]&gt;0,TEXT(A1334,"mmm/aa"),"")</f>
        <v>abr/25</v>
      </c>
      <c r="T1334" s="4">
        <f>IF(Registro2[[#This Row],[Data de Pagamento]]="",0,IF(Registro2[[#This Row],[Conta Financeira]]=base!$A$6,0,Registro2[[#This Row],[Valor Unitário]]))</f>
        <v>60</v>
      </c>
      <c r="U13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34" t="str">
        <f>VLOOKUP(Registro2[[#This Row],[Categoria]],'Plano de Contas'!$V$3:W1402,2,0)</f>
        <v>Receitas Serviços</v>
      </c>
      <c r="X133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</row>
    <row r="1335" spans="1:24" hidden="1">
      <c r="A1335" s="1">
        <v>45755</v>
      </c>
      <c r="B1335" s="1">
        <v>45755</v>
      </c>
      <c r="D1335" t="s">
        <v>354</v>
      </c>
      <c r="E1335" t="s">
        <v>149</v>
      </c>
      <c r="F1335" t="s">
        <v>150</v>
      </c>
      <c r="G1335" t="s">
        <v>513</v>
      </c>
      <c r="I1335" s="4">
        <v>35</v>
      </c>
      <c r="J1335" s="4" t="s">
        <v>1604</v>
      </c>
      <c r="L1335" t="s">
        <v>252</v>
      </c>
      <c r="M1335" t="s">
        <v>2124</v>
      </c>
      <c r="N1335" s="4">
        <f>IF(L1335="","",IF(OR(Registro2[[#This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14</v>
      </c>
      <c r="O1335" t="str">
        <f t="shared" si="20"/>
        <v>abr/25</v>
      </c>
      <c r="P1335" t="str">
        <f>IF(Registro2[[#This Row],[Data de Pagamento]]&gt;0,TEXT(A1335,"mmm/aa"),"")</f>
        <v>abr/25</v>
      </c>
      <c r="T1335" s="4">
        <f>IF(Registro2[[#This Row],[Data de Pagamento]]="",0,IF(Registro2[[#This Row],[Conta Financeira]]=base!$A$6,0,Registro2[[#This Row],[Valor Unitário]]))</f>
        <v>35</v>
      </c>
      <c r="U13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35" t="str">
        <f>VLOOKUP(Registro2[[#This Row],[Categoria]],'Plano de Contas'!$V$3:W1403,2,0)</f>
        <v>Receitas Produtos</v>
      </c>
      <c r="X133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336" spans="1:24" hidden="1">
      <c r="A1336" s="1">
        <v>45755</v>
      </c>
      <c r="B1336" s="1">
        <v>45755</v>
      </c>
      <c r="D1336" t="s">
        <v>1120</v>
      </c>
      <c r="E1336" t="s">
        <v>149</v>
      </c>
      <c r="F1336" t="s">
        <v>152</v>
      </c>
      <c r="G1336" t="s">
        <v>353</v>
      </c>
      <c r="I1336" s="4">
        <v>50</v>
      </c>
      <c r="J1336" s="4">
        <v>50</v>
      </c>
      <c r="L1336" t="s">
        <v>253</v>
      </c>
      <c r="M1336" t="s">
        <v>52</v>
      </c>
      <c r="N1336" s="4">
        <f>IF(L1336="","",IF(OR(Registro2[[#This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336" t="str">
        <f t="shared" si="20"/>
        <v>abr/25</v>
      </c>
      <c r="P1336" t="str">
        <f>IF(Registro2[[#This Row],[Data de Pagamento]]&gt;0,TEXT(A1336,"mmm/aa"),"")</f>
        <v>abr/25</v>
      </c>
      <c r="T1336" s="4">
        <f>IF(Registro2[[#This Row],[Data de Pagamento]]="",0,IF(Registro2[[#This Row],[Conta Financeira]]=base!$A$6,0,Registro2[[#This Row],[Valor Unitário]]))</f>
        <v>50</v>
      </c>
      <c r="U13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36" t="str">
        <f>VLOOKUP(Registro2[[#This Row],[Categoria]],'Plano de Contas'!$V$3:W1404,2,0)</f>
        <v>Receitas Serviços</v>
      </c>
      <c r="X133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37" spans="1:24" hidden="1">
      <c r="A1337" s="1">
        <v>45755</v>
      </c>
      <c r="B1337" s="1">
        <v>45755</v>
      </c>
      <c r="D1337" t="s">
        <v>354</v>
      </c>
      <c r="E1337" t="s">
        <v>149</v>
      </c>
      <c r="F1337" t="s">
        <v>147</v>
      </c>
      <c r="G1337" t="s">
        <v>163</v>
      </c>
      <c r="I1337" s="4">
        <v>35</v>
      </c>
      <c r="J1337" s="4">
        <v>35</v>
      </c>
      <c r="L1337" t="s">
        <v>264</v>
      </c>
      <c r="M1337" t="s">
        <v>2129</v>
      </c>
      <c r="N1337" s="4">
        <f>IF(L1337="","",IF(OR(Registro2[[#This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37" t="str">
        <f t="shared" si="20"/>
        <v>abr/25</v>
      </c>
      <c r="P1337" t="str">
        <f>IF(Registro2[[#This Row],[Data de Pagamento]]&gt;0,TEXT(A1337,"mmm/aa"),"")</f>
        <v>abr/25</v>
      </c>
      <c r="T1337" s="4">
        <f>IF(Registro2[[#This Row],[Data de Pagamento]]="",0,IF(Registro2[[#This Row],[Conta Financeira]]=base!$A$6,0,Registro2[[#This Row],[Valor Unitário]]))</f>
        <v>35</v>
      </c>
      <c r="U13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37" t="str">
        <f>VLOOKUP(Registro2[[#This Row],[Categoria]],'Plano de Contas'!$V$3:W1405,2,0)</f>
        <v>Receitas Serviços</v>
      </c>
      <c r="X133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338" spans="1:24" hidden="1">
      <c r="A1338" s="1">
        <v>45755</v>
      </c>
      <c r="B1338" s="1">
        <v>45755</v>
      </c>
      <c r="D1338" t="s">
        <v>2</v>
      </c>
      <c r="E1338" t="s">
        <v>149</v>
      </c>
      <c r="F1338" t="s">
        <v>147</v>
      </c>
      <c r="G1338" t="s">
        <v>163</v>
      </c>
      <c r="I1338" s="4">
        <v>35</v>
      </c>
      <c r="J1338" s="4">
        <v>35</v>
      </c>
      <c r="L1338" t="s">
        <v>264</v>
      </c>
      <c r="M1338" t="s">
        <v>2132</v>
      </c>
      <c r="N1338" s="4">
        <f>IF(L1338="","",IF(OR(Registro2[[#This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38" t="str">
        <f t="shared" si="20"/>
        <v>abr/25</v>
      </c>
      <c r="P1338" t="str">
        <f>IF(Registro2[[#This Row],[Data de Pagamento]]&gt;0,TEXT(A1338,"mmm/aa"),"")</f>
        <v>abr/25</v>
      </c>
      <c r="T1338" s="4">
        <f>IF(Registro2[[#This Row],[Data de Pagamento]]="",0,IF(Registro2[[#This Row],[Conta Financeira]]=base!$A$6,0,Registro2[[#This Row],[Valor Unitário]]))</f>
        <v>35</v>
      </c>
      <c r="U13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38" t="str">
        <f>VLOOKUP(Registro2[[#This Row],[Categoria]],'Plano de Contas'!$V$3:W1406,2,0)</f>
        <v>Receitas Serviços</v>
      </c>
      <c r="X133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39" spans="1:24" hidden="1">
      <c r="A1339" s="1">
        <v>45755</v>
      </c>
      <c r="B1339" s="1">
        <v>45755</v>
      </c>
      <c r="D1339" t="s">
        <v>1</v>
      </c>
      <c r="E1339" t="s">
        <v>149</v>
      </c>
      <c r="F1339" t="s">
        <v>147</v>
      </c>
      <c r="G1339" t="s">
        <v>163</v>
      </c>
      <c r="I1339" s="4">
        <v>35</v>
      </c>
      <c r="J1339" s="4">
        <v>35</v>
      </c>
      <c r="L1339" t="s">
        <v>252</v>
      </c>
      <c r="M1339" t="s">
        <v>2137</v>
      </c>
      <c r="N1339" s="4">
        <f>IF(L1339="","",IF(OR(Registro2[[#This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39" t="str">
        <f t="shared" si="20"/>
        <v>abr/25</v>
      </c>
      <c r="P1339" t="str">
        <f>IF(Registro2[[#This Row],[Data de Pagamento]]&gt;0,TEXT(A1339,"mmm/aa"),"")</f>
        <v>abr/25</v>
      </c>
      <c r="T1339" s="4">
        <f>IF(Registro2[[#This Row],[Data de Pagamento]]="",0,IF(Registro2[[#This Row],[Conta Financeira]]=base!$A$6,0,Registro2[[#This Row],[Valor Unitário]]))</f>
        <v>35</v>
      </c>
      <c r="U13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39" t="str">
        <f>VLOOKUP(Registro2[[#This Row],[Categoria]],'Plano de Contas'!$V$3:W1408,2,0)</f>
        <v>Receitas Serviços</v>
      </c>
      <c r="X133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40" spans="1:24" hidden="1">
      <c r="A1340" s="1">
        <v>45755</v>
      </c>
      <c r="B1340" s="1">
        <v>45755</v>
      </c>
      <c r="D1340" t="s">
        <v>136</v>
      </c>
      <c r="E1340" t="s">
        <v>137</v>
      </c>
      <c r="F1340" t="s">
        <v>138</v>
      </c>
      <c r="G1340" t="s">
        <v>143</v>
      </c>
      <c r="H1340" t="s">
        <v>2352</v>
      </c>
      <c r="I1340" s="4">
        <v>2.9</v>
      </c>
      <c r="J1340" s="4"/>
      <c r="N1340" s="4" t="str">
        <f>IF(L1340="","",IF(OR(Registro2[[#This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340" t="str">
        <f t="shared" si="20"/>
        <v>abr/25</v>
      </c>
      <c r="P1340" t="str">
        <f>IF(Registro2[[#This Row],[Data de Pagamento]]&gt;0,TEXT(A1340,"mmm/aa"),"")</f>
        <v>abr/25</v>
      </c>
      <c r="T1340" s="4">
        <f>IF(Registro2[[#This Row],[Data de Pagamento]]="",0,IF(Registro2[[#This Row],[Conta Financeira]]=base!$A$6,0,Registro2[[#This Row],[Valor Unitário]]))</f>
        <v>2.9</v>
      </c>
      <c r="U13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40" t="str">
        <f>VLOOKUP(Registro2[[#This Row],[Categoria]],'Plano de Contas'!$V$3:W1535,2,0)</f>
        <v>Custos Operacionais</v>
      </c>
      <c r="X134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41" spans="1:24" hidden="1">
      <c r="A1341" s="1">
        <v>45755</v>
      </c>
      <c r="B1341" s="1">
        <v>45755</v>
      </c>
      <c r="D1341" t="s">
        <v>136</v>
      </c>
      <c r="E1341" t="s">
        <v>137</v>
      </c>
      <c r="F1341" t="s">
        <v>138</v>
      </c>
      <c r="G1341" t="s">
        <v>143</v>
      </c>
      <c r="H1341" t="s">
        <v>2358</v>
      </c>
      <c r="I1341" s="4">
        <v>2.8</v>
      </c>
      <c r="J1341" s="4"/>
      <c r="N1341" s="4" t="str">
        <f>IF(L1341="","",IF(OR(Registro2[[#This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341" t="str">
        <f t="shared" si="20"/>
        <v>abr/25</v>
      </c>
      <c r="P1341" t="str">
        <f>IF(Registro2[[#This Row],[Data de Pagamento]]&gt;0,TEXT(A1341,"mmm/aa"),"")</f>
        <v>abr/25</v>
      </c>
      <c r="T1341" s="4">
        <f>IF(Registro2[[#This Row],[Data de Pagamento]]="",0,IF(Registro2[[#This Row],[Conta Financeira]]=base!$A$6,0,Registro2[[#This Row],[Valor Unitário]]))</f>
        <v>2.8</v>
      </c>
      <c r="U13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41" t="str">
        <f>VLOOKUP(Registro2[[#This Row],[Categoria]],'Plano de Contas'!$V$3:W1536,2,0)</f>
        <v>Custos Operacionais</v>
      </c>
      <c r="X134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42" spans="1:24" hidden="1">
      <c r="A1342" s="1">
        <v>45755</v>
      </c>
      <c r="B1342" s="1">
        <v>45755</v>
      </c>
      <c r="D1342" t="s">
        <v>136</v>
      </c>
      <c r="E1342" t="s">
        <v>137</v>
      </c>
      <c r="F1342" t="s">
        <v>139</v>
      </c>
      <c r="G1342" t="s">
        <v>337</v>
      </c>
      <c r="H1342" t="s">
        <v>2367</v>
      </c>
      <c r="I1342" s="4">
        <v>300</v>
      </c>
      <c r="J1342" s="4"/>
      <c r="N1342" s="4" t="str">
        <f>IF(L1342="","",IF(OR(Registro2[[#This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342" t="str">
        <f t="shared" si="20"/>
        <v>abr/25</v>
      </c>
      <c r="P1342" t="str">
        <f>IF(Registro2[[#This Row],[Data de Pagamento]]&gt;0,TEXT(A1342,"mmm/aa"),"")</f>
        <v>abr/25</v>
      </c>
      <c r="T1342" s="4">
        <f>IF(Registro2[[#This Row],[Data de Pagamento]]="",0,IF(Registro2[[#This Row],[Conta Financeira]]=base!$A$6,0,Registro2[[#This Row],[Valor Unitário]]))</f>
        <v>300</v>
      </c>
      <c r="U13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42" t="str">
        <f>VLOOKUP(Registro2[[#This Row],[Categoria]],'Plano de Contas'!$V$3:W1537,2,0)</f>
        <v>Despesas Gerias &amp; Vendas</v>
      </c>
      <c r="X134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43" spans="1:24" hidden="1">
      <c r="A1343" s="1">
        <v>45756</v>
      </c>
      <c r="B1343" s="1">
        <v>45756</v>
      </c>
      <c r="D1343" t="s">
        <v>947</v>
      </c>
      <c r="E1343" t="s">
        <v>137</v>
      </c>
      <c r="F1343" t="s">
        <v>146</v>
      </c>
      <c r="G1343" t="s">
        <v>314</v>
      </c>
      <c r="H1343" t="s">
        <v>438</v>
      </c>
      <c r="I1343" s="4">
        <v>128.62</v>
      </c>
      <c r="J1343" s="4"/>
      <c r="N1343" s="4" t="str">
        <f>IF(L1343="","",IF(OR(Registro2[[#This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343" t="str">
        <f t="shared" si="20"/>
        <v>abr/25</v>
      </c>
      <c r="P1343" t="str">
        <f>IF(Registro2[[#This Row],[Data de Pagamento]]&gt;0,TEXT(A1343,"mmm/aa"),"")</f>
        <v>abr/25</v>
      </c>
      <c r="T1343" s="4">
        <f>IF(Registro2[[#This Row],[Data de Pagamento]]="",0,IF(Registro2[[#This Row],[Conta Financeira]]=base!$A$6,0,Registro2[[#This Row],[Valor Unitário]]))</f>
        <v>128.62</v>
      </c>
      <c r="U13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43" t="str">
        <f>VLOOKUP(Registro2[[#This Row],[Categoria]],'Plano de Contas'!$V$3:W1253,2,0)</f>
        <v>Despesas Operacionais</v>
      </c>
      <c r="X134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44" spans="1:24" hidden="1">
      <c r="A1344" s="1">
        <v>45756</v>
      </c>
      <c r="B1344" s="1">
        <v>45756</v>
      </c>
      <c r="D1344" t="s">
        <v>1</v>
      </c>
      <c r="E1344" t="s">
        <v>149</v>
      </c>
      <c r="F1344" t="s">
        <v>152</v>
      </c>
      <c r="G1344" t="s">
        <v>353</v>
      </c>
      <c r="I1344" s="4">
        <v>60</v>
      </c>
      <c r="J1344" s="4">
        <v>60</v>
      </c>
      <c r="L1344" t="s">
        <v>253</v>
      </c>
      <c r="M1344" t="s">
        <v>41</v>
      </c>
      <c r="N1344" s="4">
        <f>IF(L1344="","",IF(OR(Registro2[[#This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344" t="str">
        <f t="shared" si="20"/>
        <v>abr/25</v>
      </c>
      <c r="P1344" t="str">
        <f>IF(Registro2[[#This Row],[Data de Pagamento]]&gt;0,TEXT(A1344,"mmm/aa"),"")</f>
        <v>abr/25</v>
      </c>
      <c r="T1344" s="4">
        <f>IF(Registro2[[#This Row],[Data de Pagamento]]="",0,IF(Registro2[[#This Row],[Conta Financeira]]=base!$A$6,0,Registro2[[#This Row],[Valor Unitário]]))</f>
        <v>60</v>
      </c>
      <c r="U13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44" t="str">
        <f>VLOOKUP(Registro2[[#This Row],[Categoria]],'Plano de Contas'!$V$3:W1407,2,0)</f>
        <v>Receitas Serviços</v>
      </c>
      <c r="X134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45" spans="1:24" hidden="1">
      <c r="A1345" s="1">
        <v>45756</v>
      </c>
      <c r="B1345" s="1">
        <v>45756</v>
      </c>
      <c r="D1345" t="s">
        <v>1</v>
      </c>
      <c r="E1345" t="s">
        <v>149</v>
      </c>
      <c r="F1345" t="s">
        <v>147</v>
      </c>
      <c r="G1345" t="s">
        <v>163</v>
      </c>
      <c r="I1345" s="4">
        <v>35</v>
      </c>
      <c r="J1345" s="4">
        <v>35</v>
      </c>
      <c r="L1345" t="s">
        <v>253</v>
      </c>
      <c r="M1345" t="s">
        <v>1209</v>
      </c>
      <c r="N1345" s="4">
        <f>IF(L1345="","",IF(OR(Registro2[[#This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45" t="str">
        <f t="shared" si="20"/>
        <v>abr/25</v>
      </c>
      <c r="P1345" t="str">
        <f>IF(Registro2[[#This Row],[Data de Pagamento]]&gt;0,TEXT(A1345,"mmm/aa"),"")</f>
        <v>abr/25</v>
      </c>
      <c r="T1345" s="4">
        <f>IF(Registro2[[#This Row],[Data de Pagamento]]="",0,IF(Registro2[[#This Row],[Conta Financeira]]=base!$A$6,0,Registro2[[#This Row],[Valor Unitário]]))</f>
        <v>35</v>
      </c>
      <c r="U13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45" t="str">
        <f>VLOOKUP(Registro2[[#This Row],[Categoria]],'Plano de Contas'!$V$3:W1409,2,0)</f>
        <v>Receitas Serviços</v>
      </c>
      <c r="X13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46" spans="1:24" hidden="1">
      <c r="A1346" s="1">
        <v>45756</v>
      </c>
      <c r="B1346" s="1">
        <v>45756</v>
      </c>
      <c r="D1346" t="s">
        <v>310</v>
      </c>
      <c r="E1346" t="s">
        <v>149</v>
      </c>
      <c r="F1346" t="s">
        <v>147</v>
      </c>
      <c r="G1346" t="s">
        <v>163</v>
      </c>
      <c r="I1346" s="4">
        <v>35</v>
      </c>
      <c r="J1346" s="4">
        <v>35</v>
      </c>
      <c r="L1346" t="s">
        <v>252</v>
      </c>
      <c r="M1346" t="s">
        <v>276</v>
      </c>
      <c r="N1346" s="4">
        <f>IF(L1346="","",IF(OR(Registro2[[#This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46" t="str">
        <f t="shared" ref="O1346:O1409" si="21">TEXT(B1346,"mmm/aa")</f>
        <v>abr/25</v>
      </c>
      <c r="P1346" t="str">
        <f>IF(Registro2[[#This Row],[Data de Pagamento]]&gt;0,TEXT(A1346,"mmm/aa"),"")</f>
        <v>abr/25</v>
      </c>
      <c r="T1346" s="4">
        <f>IF(Registro2[[#This Row],[Data de Pagamento]]="",0,IF(Registro2[[#This Row],[Conta Financeira]]=base!$A$6,0,Registro2[[#This Row],[Valor Unitário]]))</f>
        <v>35</v>
      </c>
      <c r="U13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46" t="str">
        <f>VLOOKUP(Registro2[[#This Row],[Categoria]],'Plano de Contas'!$V$3:W1410,2,0)</f>
        <v>Receitas Serviços</v>
      </c>
      <c r="X134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347" spans="1:24" hidden="1">
      <c r="A1347" s="1">
        <v>45756</v>
      </c>
      <c r="B1347" s="1">
        <v>45756</v>
      </c>
      <c r="D1347" t="s">
        <v>2</v>
      </c>
      <c r="E1347" t="s">
        <v>149</v>
      </c>
      <c r="F1347" t="s">
        <v>147</v>
      </c>
      <c r="G1347" t="s">
        <v>163</v>
      </c>
      <c r="I1347" s="4">
        <v>35</v>
      </c>
      <c r="J1347" s="4">
        <v>35</v>
      </c>
      <c r="L1347" t="s">
        <v>253</v>
      </c>
      <c r="M1347" t="s">
        <v>191</v>
      </c>
      <c r="N1347" s="4">
        <f>IF(L1347="","",IF(OR(Registro2[[#This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47" t="str">
        <f t="shared" si="21"/>
        <v>abr/25</v>
      </c>
      <c r="P1347" t="str">
        <f>IF(Registro2[[#This Row],[Data de Pagamento]]&gt;0,TEXT(A1347,"mmm/aa"),"")</f>
        <v>abr/25</v>
      </c>
      <c r="T1347" s="4">
        <f>IF(Registro2[[#This Row],[Data de Pagamento]]="",0,IF(Registro2[[#This Row],[Conta Financeira]]=base!$A$6,0,Registro2[[#This Row],[Valor Unitário]]))</f>
        <v>35</v>
      </c>
      <c r="U13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47" t="str">
        <f>VLOOKUP(Registro2[[#This Row],[Categoria]],'Plano de Contas'!$V$3:W1411,2,0)</f>
        <v>Receitas Serviços</v>
      </c>
      <c r="X134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48" spans="1:24" hidden="1">
      <c r="A1348" s="1">
        <v>45756</v>
      </c>
      <c r="B1348" s="1">
        <v>45756</v>
      </c>
      <c r="D1348" t="s">
        <v>1</v>
      </c>
      <c r="E1348" t="s">
        <v>149</v>
      </c>
      <c r="F1348" t="s">
        <v>147</v>
      </c>
      <c r="G1348" t="s">
        <v>163</v>
      </c>
      <c r="I1348" s="4">
        <v>35</v>
      </c>
      <c r="J1348" s="4">
        <v>45</v>
      </c>
      <c r="L1348" t="s">
        <v>252</v>
      </c>
      <c r="M1348" t="s">
        <v>364</v>
      </c>
      <c r="N1348" s="4">
        <f>IF(L1348="","",IF(OR(Registro2[[#This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48" t="str">
        <f t="shared" si="21"/>
        <v>abr/25</v>
      </c>
      <c r="P1348" t="str">
        <f>IF(Registro2[[#This Row],[Data de Pagamento]]&gt;0,TEXT(A1348,"mmm/aa"),"")</f>
        <v>abr/25</v>
      </c>
      <c r="T1348" s="4">
        <f>IF(Registro2[[#This Row],[Data de Pagamento]]="",0,IF(Registro2[[#This Row],[Conta Financeira]]=base!$A$6,0,Registro2[[#This Row],[Valor Unitário]]))</f>
        <v>35</v>
      </c>
      <c r="U13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48" t="str">
        <f>VLOOKUP(Registro2[[#This Row],[Categoria]],'Plano de Contas'!$V$3:W1412,2,0)</f>
        <v>Receitas Serviços</v>
      </c>
      <c r="X134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49" spans="1:24" hidden="1">
      <c r="A1349" s="1">
        <v>45756</v>
      </c>
      <c r="B1349" s="1">
        <v>45756</v>
      </c>
      <c r="D1349" t="s">
        <v>1</v>
      </c>
      <c r="E1349" t="s">
        <v>149</v>
      </c>
      <c r="F1349" t="s">
        <v>147</v>
      </c>
      <c r="G1349" t="s">
        <v>167</v>
      </c>
      <c r="I1349" s="4">
        <v>10</v>
      </c>
      <c r="J1349" s="4" t="s">
        <v>1604</v>
      </c>
      <c r="L1349" t="s">
        <v>252</v>
      </c>
      <c r="M1349" t="s">
        <v>364</v>
      </c>
      <c r="N1349" s="4">
        <f>IF(L1349="","",IF(OR(Registro2[[#This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349" t="str">
        <f t="shared" si="21"/>
        <v>abr/25</v>
      </c>
      <c r="P1349" t="str">
        <f>IF(Registro2[[#This Row],[Data de Pagamento]]&gt;0,TEXT(A1349,"mmm/aa"),"")</f>
        <v>abr/25</v>
      </c>
      <c r="T1349" s="4">
        <f>IF(Registro2[[#This Row],[Data de Pagamento]]="",0,IF(Registro2[[#This Row],[Conta Financeira]]=base!$A$6,0,Registro2[[#This Row],[Valor Unitário]]))</f>
        <v>10</v>
      </c>
      <c r="U13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49" t="str">
        <f>VLOOKUP(Registro2[[#This Row],[Categoria]],'Plano de Contas'!$V$3:W1413,2,0)</f>
        <v>Receitas Serviços</v>
      </c>
      <c r="X134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50" spans="1:24" hidden="1">
      <c r="A1350" s="1">
        <v>45756</v>
      </c>
      <c r="B1350" s="1">
        <v>45756</v>
      </c>
      <c r="D1350" t="s">
        <v>310</v>
      </c>
      <c r="E1350" t="s">
        <v>149</v>
      </c>
      <c r="F1350" t="s">
        <v>147</v>
      </c>
      <c r="G1350" t="s">
        <v>163</v>
      </c>
      <c r="I1350" s="4">
        <v>35</v>
      </c>
      <c r="J1350" s="4">
        <v>35</v>
      </c>
      <c r="L1350" t="s">
        <v>264</v>
      </c>
      <c r="M1350" t="s">
        <v>2148</v>
      </c>
      <c r="N1350" s="4">
        <f>IF(L1350="","",IF(OR(Registro2[[#This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50" t="str">
        <f t="shared" si="21"/>
        <v>abr/25</v>
      </c>
      <c r="P1350" t="str">
        <f>IF(Registro2[[#This Row],[Data de Pagamento]]&gt;0,TEXT(A1350,"mmm/aa"),"")</f>
        <v>abr/25</v>
      </c>
      <c r="T1350" s="4">
        <f>IF(Registro2[[#This Row],[Data de Pagamento]]="",0,IF(Registro2[[#This Row],[Conta Financeira]]=base!$A$6,0,Registro2[[#This Row],[Valor Unitário]]))</f>
        <v>35</v>
      </c>
      <c r="U13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50" t="str">
        <f>VLOOKUP(Registro2[[#This Row],[Categoria]],'Plano de Contas'!$V$3:W1414,2,0)</f>
        <v>Receitas Serviços</v>
      </c>
      <c r="X135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351" spans="1:24" hidden="1">
      <c r="A1351" s="1">
        <v>45756</v>
      </c>
      <c r="B1351" s="1">
        <v>45756</v>
      </c>
      <c r="D1351" t="s">
        <v>2</v>
      </c>
      <c r="E1351" t="s">
        <v>149</v>
      </c>
      <c r="F1351" t="s">
        <v>147</v>
      </c>
      <c r="G1351" t="s">
        <v>163</v>
      </c>
      <c r="I1351" s="4">
        <v>35</v>
      </c>
      <c r="J1351" s="4">
        <v>35</v>
      </c>
      <c r="L1351" t="s">
        <v>252</v>
      </c>
      <c r="M1351" t="s">
        <v>185</v>
      </c>
      <c r="N1351" s="4">
        <f>IF(L1351="","",IF(OR(Registro2[[#This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51" t="str">
        <f t="shared" si="21"/>
        <v>abr/25</v>
      </c>
      <c r="P1351" t="str">
        <f>IF(Registro2[[#This Row],[Data de Pagamento]]&gt;0,TEXT(A1351,"mmm/aa"),"")</f>
        <v>abr/25</v>
      </c>
      <c r="T1351" s="4">
        <f>IF(Registro2[[#This Row],[Data de Pagamento]]="",0,IF(Registro2[[#This Row],[Conta Financeira]]=base!$A$6,0,Registro2[[#This Row],[Valor Unitário]]))</f>
        <v>35</v>
      </c>
      <c r="U13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51" t="str">
        <f>VLOOKUP(Registro2[[#This Row],[Categoria]],'Plano de Contas'!$V$3:W1420,2,0)</f>
        <v>Receitas Serviços</v>
      </c>
      <c r="X135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52" spans="1:24" hidden="1">
      <c r="A1352" s="1">
        <v>45757</v>
      </c>
      <c r="B1352" s="1">
        <v>45757</v>
      </c>
      <c r="D1352" t="s">
        <v>310</v>
      </c>
      <c r="E1352" t="s">
        <v>149</v>
      </c>
      <c r="F1352" t="s">
        <v>147</v>
      </c>
      <c r="G1352" t="s">
        <v>163</v>
      </c>
      <c r="I1352" s="4">
        <v>35</v>
      </c>
      <c r="J1352" s="4">
        <v>80</v>
      </c>
      <c r="L1352" t="s">
        <v>252</v>
      </c>
      <c r="M1352" t="s">
        <v>372</v>
      </c>
      <c r="N1352" s="4">
        <f>IF(L1352="","",IF(OR(Registro2[[#This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52" t="str">
        <f t="shared" si="21"/>
        <v>abr/25</v>
      </c>
      <c r="P1352" t="str">
        <f>IF(Registro2[[#This Row],[Data de Pagamento]]&gt;0,TEXT(A1352,"mmm/aa"),"")</f>
        <v>abr/25</v>
      </c>
      <c r="T1352" s="4">
        <f>IF(Registro2[[#This Row],[Data de Pagamento]]="",0,IF(Registro2[[#This Row],[Conta Financeira]]=base!$A$6,0,Registro2[[#This Row],[Valor Unitário]]))</f>
        <v>35</v>
      </c>
      <c r="U13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52" t="str">
        <f>VLOOKUP(Registro2[[#This Row],[Categoria]],'Plano de Contas'!$V$3:W1417,2,0)</f>
        <v>Receitas Serviços</v>
      </c>
      <c r="X135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353" spans="1:24" hidden="1">
      <c r="A1353" s="1">
        <v>45757</v>
      </c>
      <c r="B1353" s="1">
        <v>45757</v>
      </c>
      <c r="D1353" t="s">
        <v>310</v>
      </c>
      <c r="E1353" t="s">
        <v>149</v>
      </c>
      <c r="F1353" t="s">
        <v>147</v>
      </c>
      <c r="G1353" t="s">
        <v>163</v>
      </c>
      <c r="I1353" s="4">
        <v>35</v>
      </c>
      <c r="J1353" s="4" t="s">
        <v>1604</v>
      </c>
      <c r="L1353" t="s">
        <v>253</v>
      </c>
      <c r="M1353" t="s">
        <v>372</v>
      </c>
      <c r="N1353" s="4">
        <f>IF(L1353="","",IF(OR(Registro2[[#This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53" t="str">
        <f t="shared" si="21"/>
        <v>abr/25</v>
      </c>
      <c r="P1353" t="str">
        <f>IF(Registro2[[#This Row],[Data de Pagamento]]&gt;0,TEXT(A1353,"mmm/aa"),"")</f>
        <v>abr/25</v>
      </c>
      <c r="T1353" s="4">
        <f>IF(Registro2[[#This Row],[Data de Pagamento]]="",0,IF(Registro2[[#This Row],[Conta Financeira]]=base!$A$6,0,Registro2[[#This Row],[Valor Unitário]]))</f>
        <v>35</v>
      </c>
      <c r="U13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53" t="str">
        <f>VLOOKUP(Registro2[[#This Row],[Categoria]],'Plano de Contas'!$V$3:W1418,2,0)</f>
        <v>Receitas Serviços</v>
      </c>
      <c r="X135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354" spans="1:24" hidden="1">
      <c r="A1354" s="1">
        <v>45757</v>
      </c>
      <c r="B1354" s="1">
        <v>45757</v>
      </c>
      <c r="D1354" t="s">
        <v>310</v>
      </c>
      <c r="E1354" t="s">
        <v>149</v>
      </c>
      <c r="F1354" t="s">
        <v>147</v>
      </c>
      <c r="G1354" t="s">
        <v>167</v>
      </c>
      <c r="I1354" s="4">
        <v>10</v>
      </c>
      <c r="J1354" s="4" t="s">
        <v>1604</v>
      </c>
      <c r="L1354" t="s">
        <v>252</v>
      </c>
      <c r="M1354" t="s">
        <v>372</v>
      </c>
      <c r="N1354" s="4">
        <f>IF(L1354="","",IF(OR(Registro2[[#This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354" t="str">
        <f t="shared" si="21"/>
        <v>abr/25</v>
      </c>
      <c r="P1354" t="str">
        <f>IF(Registro2[[#This Row],[Data de Pagamento]]&gt;0,TEXT(A1354,"mmm/aa"),"")</f>
        <v>abr/25</v>
      </c>
      <c r="T1354" s="4">
        <f>IF(Registro2[[#This Row],[Data de Pagamento]]="",0,IF(Registro2[[#This Row],[Conta Financeira]]=base!$A$6,0,Registro2[[#This Row],[Valor Unitário]]))</f>
        <v>10</v>
      </c>
      <c r="U13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54" t="str">
        <f>VLOOKUP(Registro2[[#This Row],[Categoria]],'Plano de Contas'!$V$3:W1419,2,0)</f>
        <v>Receitas Serviços</v>
      </c>
      <c r="X135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8.8999999999999996E-2</v>
      </c>
    </row>
    <row r="1355" spans="1:24" hidden="1">
      <c r="A1355" s="1">
        <v>45757</v>
      </c>
      <c r="B1355" s="1">
        <v>45757</v>
      </c>
      <c r="D1355" t="s">
        <v>2</v>
      </c>
      <c r="E1355" t="s">
        <v>149</v>
      </c>
      <c r="F1355" t="s">
        <v>147</v>
      </c>
      <c r="G1355" t="s">
        <v>163</v>
      </c>
      <c r="I1355" s="4">
        <v>35</v>
      </c>
      <c r="J1355" s="4">
        <v>35</v>
      </c>
      <c r="L1355" t="s">
        <v>253</v>
      </c>
      <c r="M1355" t="s">
        <v>2157</v>
      </c>
      <c r="N1355" s="4">
        <f>IF(L1355="","",IF(OR(Registro2[[#This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55" t="str">
        <f t="shared" si="21"/>
        <v>abr/25</v>
      </c>
      <c r="P1355" t="str">
        <f>IF(Registro2[[#This Row],[Data de Pagamento]]&gt;0,TEXT(A1355,"mmm/aa"),"")</f>
        <v>abr/25</v>
      </c>
      <c r="T1355" s="4">
        <f>IF(Registro2[[#This Row],[Data de Pagamento]]="",0,IF(Registro2[[#This Row],[Conta Financeira]]=base!$A$6,0,Registro2[[#This Row],[Valor Unitário]]))</f>
        <v>35</v>
      </c>
      <c r="U13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55" t="str">
        <f>VLOOKUP(Registro2[[#This Row],[Categoria]],'Plano de Contas'!$V$3:W1421,2,0)</f>
        <v>Receitas Serviços</v>
      </c>
      <c r="X13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56" spans="1:24" hidden="1">
      <c r="A1356" s="1">
        <v>45757</v>
      </c>
      <c r="B1356" s="1">
        <v>45757</v>
      </c>
      <c r="D1356" t="s">
        <v>354</v>
      </c>
      <c r="E1356" t="s">
        <v>149</v>
      </c>
      <c r="F1356" t="s">
        <v>147</v>
      </c>
      <c r="G1356" t="s">
        <v>163</v>
      </c>
      <c r="I1356" s="4">
        <v>35</v>
      </c>
      <c r="J1356" s="4">
        <v>70</v>
      </c>
      <c r="L1356" t="s">
        <v>253</v>
      </c>
      <c r="M1356" t="s">
        <v>122</v>
      </c>
      <c r="N1356" s="4">
        <f>IF(L1356="","",IF(OR(Registro2[[#This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56" t="str">
        <f t="shared" si="21"/>
        <v>abr/25</v>
      </c>
      <c r="P1356" t="str">
        <f>IF(Registro2[[#This Row],[Data de Pagamento]]&gt;0,TEXT(A1356,"mmm/aa"),"")</f>
        <v>abr/25</v>
      </c>
      <c r="T1356" s="4">
        <f>IF(Registro2[[#This Row],[Data de Pagamento]]="",0,IF(Registro2[[#This Row],[Conta Financeira]]=base!$A$6,0,Registro2[[#This Row],[Valor Unitário]]))</f>
        <v>35</v>
      </c>
      <c r="U13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56" t="str">
        <f>VLOOKUP(Registro2[[#This Row],[Categoria]],'Plano de Contas'!$V$3:W1422,2,0)</f>
        <v>Receitas Serviços</v>
      </c>
      <c r="X135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357" spans="1:24" hidden="1">
      <c r="A1357" s="1">
        <v>45757</v>
      </c>
      <c r="B1357" s="1">
        <v>45757</v>
      </c>
      <c r="D1357" t="s">
        <v>354</v>
      </c>
      <c r="E1357" t="s">
        <v>149</v>
      </c>
      <c r="F1357" t="s">
        <v>147</v>
      </c>
      <c r="G1357" t="s">
        <v>1046</v>
      </c>
      <c r="I1357" s="4">
        <v>35</v>
      </c>
      <c r="J1357" s="4" t="s">
        <v>1604</v>
      </c>
      <c r="L1357" t="s">
        <v>253</v>
      </c>
      <c r="M1357" t="s">
        <v>122</v>
      </c>
      <c r="N1357" s="4">
        <f>IF(L1357="","",IF(OR(Registro2[[#This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57" t="str">
        <f t="shared" si="21"/>
        <v>abr/25</v>
      </c>
      <c r="P1357" t="str">
        <f>IF(Registro2[[#This Row],[Data de Pagamento]]&gt;0,TEXT(A1357,"mmm/aa"),"")</f>
        <v>abr/25</v>
      </c>
      <c r="T1357" s="4">
        <f>IF(Registro2[[#This Row],[Data de Pagamento]]="",0,IF(Registro2[[#This Row],[Conta Financeira]]=base!$A$6,0,Registro2[[#This Row],[Valor Unitário]]))</f>
        <v>35</v>
      </c>
      <c r="U13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57" t="str">
        <f>VLOOKUP(Registro2[[#This Row],[Categoria]],'Plano de Contas'!$V$3:W1423,2,0)</f>
        <v>Receitas Serviços</v>
      </c>
      <c r="X135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358" spans="1:24" hidden="1">
      <c r="A1358" s="1">
        <v>45757</v>
      </c>
      <c r="B1358" s="1">
        <v>45757</v>
      </c>
      <c r="D1358" t="s">
        <v>1</v>
      </c>
      <c r="E1358" t="s">
        <v>149</v>
      </c>
      <c r="F1358" t="s">
        <v>152</v>
      </c>
      <c r="G1358" t="s">
        <v>353</v>
      </c>
      <c r="I1358" s="4">
        <v>60</v>
      </c>
      <c r="J1358" s="4">
        <v>60</v>
      </c>
      <c r="L1358" t="s">
        <v>264</v>
      </c>
      <c r="M1358" t="s">
        <v>2162</v>
      </c>
      <c r="N1358" s="4">
        <f>IF(L1358="","",IF(OR(Registro2[[#This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358" t="str">
        <f t="shared" si="21"/>
        <v>abr/25</v>
      </c>
      <c r="P1358" t="str">
        <f>IF(Registro2[[#This Row],[Data de Pagamento]]&gt;0,TEXT(A1358,"mmm/aa"),"")</f>
        <v>abr/25</v>
      </c>
      <c r="T1358" s="4">
        <f>IF(Registro2[[#This Row],[Data de Pagamento]]="",0,IF(Registro2[[#This Row],[Conta Financeira]]=base!$A$6,0,Registro2[[#This Row],[Valor Unitário]]))</f>
        <v>60</v>
      </c>
      <c r="U13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58" t="str">
        <f>VLOOKUP(Registro2[[#This Row],[Categoria]],'Plano de Contas'!$V$3:W1424,2,0)</f>
        <v>Receitas Serviços</v>
      </c>
      <c r="X13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59" spans="1:24" hidden="1">
      <c r="A1359" s="1">
        <v>45757</v>
      </c>
      <c r="B1359" s="1">
        <v>45757</v>
      </c>
      <c r="D1359" t="s">
        <v>310</v>
      </c>
      <c r="E1359" t="s">
        <v>149</v>
      </c>
      <c r="F1359" t="s">
        <v>152</v>
      </c>
      <c r="G1359" t="s">
        <v>353</v>
      </c>
      <c r="I1359" s="4">
        <v>60</v>
      </c>
      <c r="J1359" s="4">
        <v>60</v>
      </c>
      <c r="L1359" t="s">
        <v>252</v>
      </c>
      <c r="M1359" t="s">
        <v>854</v>
      </c>
      <c r="N1359" s="4">
        <f>IF(L1359="","",IF(OR(Registro2[[#This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359" t="str">
        <f t="shared" si="21"/>
        <v>abr/25</v>
      </c>
      <c r="P1359" t="str">
        <f>IF(Registro2[[#This Row],[Data de Pagamento]]&gt;0,TEXT(A1359,"mmm/aa"),"")</f>
        <v>abr/25</v>
      </c>
      <c r="T1359" s="4">
        <f>IF(Registro2[[#This Row],[Data de Pagamento]]="",0,IF(Registro2[[#This Row],[Conta Financeira]]=base!$A$6,0,Registro2[[#This Row],[Valor Unitário]]))</f>
        <v>60</v>
      </c>
      <c r="U13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59" t="str">
        <f>VLOOKUP(Registro2[[#This Row],[Categoria]],'Plano de Contas'!$V$3:W1425,2,0)</f>
        <v>Receitas Serviços</v>
      </c>
      <c r="X135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</row>
    <row r="1360" spans="1:24" hidden="1">
      <c r="A1360" s="1">
        <v>45757</v>
      </c>
      <c r="B1360" s="1">
        <v>45757</v>
      </c>
      <c r="D1360" t="s">
        <v>1</v>
      </c>
      <c r="E1360" t="s">
        <v>149</v>
      </c>
      <c r="F1360" t="s">
        <v>147</v>
      </c>
      <c r="G1360" t="s">
        <v>1046</v>
      </c>
      <c r="I1360" s="4">
        <v>35</v>
      </c>
      <c r="J1360" s="4">
        <v>50</v>
      </c>
      <c r="L1360" t="s">
        <v>253</v>
      </c>
      <c r="M1360" t="s">
        <v>1981</v>
      </c>
      <c r="N1360" s="4">
        <f>IF(L1360="","",IF(OR(Registro2[[#This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60" t="str">
        <f t="shared" si="21"/>
        <v>abr/25</v>
      </c>
      <c r="P1360" t="str">
        <f>IF(Registro2[[#This Row],[Data de Pagamento]]&gt;0,TEXT(A1360,"mmm/aa"),"")</f>
        <v>abr/25</v>
      </c>
      <c r="T1360" s="4">
        <f>IF(Registro2[[#This Row],[Data de Pagamento]]="",0,IF(Registro2[[#This Row],[Conta Financeira]]=base!$A$6,0,Registro2[[#This Row],[Valor Unitário]]))</f>
        <v>35</v>
      </c>
      <c r="U13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60" t="str">
        <f>VLOOKUP(Registro2[[#This Row],[Categoria]],'Plano de Contas'!$V$3:W1426,2,0)</f>
        <v>Receitas Serviços</v>
      </c>
      <c r="X13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61" spans="1:24" hidden="1">
      <c r="A1361" s="1">
        <v>45757</v>
      </c>
      <c r="B1361" s="1">
        <v>45757</v>
      </c>
      <c r="D1361" t="s">
        <v>1</v>
      </c>
      <c r="E1361" t="s">
        <v>149</v>
      </c>
      <c r="F1361" t="s">
        <v>147</v>
      </c>
      <c r="G1361" t="s">
        <v>1446</v>
      </c>
      <c r="I1361" s="4">
        <v>15</v>
      </c>
      <c r="J1361" s="4" t="s">
        <v>1604</v>
      </c>
      <c r="L1361" t="s">
        <v>253</v>
      </c>
      <c r="M1361" t="s">
        <v>1981</v>
      </c>
      <c r="N1361" s="4">
        <f>IF(L1361="","",IF(OR(Registro2[[#This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361" t="str">
        <f t="shared" si="21"/>
        <v>abr/25</v>
      </c>
      <c r="P1361" t="str">
        <f>IF(Registro2[[#This Row],[Data de Pagamento]]&gt;0,TEXT(A1361,"mmm/aa"),"")</f>
        <v>abr/25</v>
      </c>
      <c r="T1361" s="4">
        <f>IF(Registro2[[#This Row],[Data de Pagamento]]="",0,IF(Registro2[[#This Row],[Conta Financeira]]=base!$A$6,0,Registro2[[#This Row],[Valor Unitário]]))</f>
        <v>15</v>
      </c>
      <c r="U13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61" t="e">
        <f>VLOOKUP(Registro2[[#This Row],[Categoria]],'Plano de Contas'!$V$3:W1427,2,0)</f>
        <v>#N/A</v>
      </c>
      <c r="X13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62" spans="1:24" hidden="1">
      <c r="A1362" s="1">
        <v>45757</v>
      </c>
      <c r="B1362" s="1">
        <v>45757</v>
      </c>
      <c r="D1362" t="s">
        <v>1</v>
      </c>
      <c r="E1362" t="s">
        <v>149</v>
      </c>
      <c r="F1362" t="s">
        <v>147</v>
      </c>
      <c r="G1362" t="s">
        <v>163</v>
      </c>
      <c r="I1362" s="4">
        <v>35</v>
      </c>
      <c r="J1362" s="4">
        <v>35</v>
      </c>
      <c r="L1362" t="s">
        <v>264</v>
      </c>
      <c r="M1362" t="s">
        <v>382</v>
      </c>
      <c r="N1362" s="4">
        <f>IF(L1362="","",IF(OR(Registro2[[#This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62" t="str">
        <f t="shared" si="21"/>
        <v>abr/25</v>
      </c>
      <c r="P1362" t="str">
        <f>IF(Registro2[[#This Row],[Data de Pagamento]]&gt;0,TEXT(A1362,"mmm/aa"),"")</f>
        <v>abr/25</v>
      </c>
      <c r="T1362" s="4">
        <f>IF(Registro2[[#This Row],[Data de Pagamento]]="",0,IF(Registro2[[#This Row],[Conta Financeira]]=base!$A$6,0,Registro2[[#This Row],[Valor Unitário]]))</f>
        <v>35</v>
      </c>
      <c r="U13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62" t="str">
        <f>VLOOKUP(Registro2[[#This Row],[Categoria]],'Plano de Contas'!$V$3:W1428,2,0)</f>
        <v>Receitas Serviços</v>
      </c>
      <c r="X136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63" spans="1:24" hidden="1">
      <c r="A1363" s="1">
        <v>45757</v>
      </c>
      <c r="B1363" s="1">
        <v>45757</v>
      </c>
      <c r="D1363" t="s">
        <v>1</v>
      </c>
      <c r="E1363" t="s">
        <v>149</v>
      </c>
      <c r="F1363" t="s">
        <v>147</v>
      </c>
      <c r="G1363" t="s">
        <v>163</v>
      </c>
      <c r="I1363" s="4">
        <v>35</v>
      </c>
      <c r="J1363" s="4">
        <v>45</v>
      </c>
      <c r="L1363" t="s">
        <v>253</v>
      </c>
      <c r="M1363" t="s">
        <v>1416</v>
      </c>
      <c r="N1363" s="4">
        <f>IF(L1363="","",IF(OR(Registro2[[#This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63" t="str">
        <f t="shared" si="21"/>
        <v>abr/25</v>
      </c>
      <c r="P1363" t="str">
        <f>IF(Registro2[[#This Row],[Data de Pagamento]]&gt;0,TEXT(A1363,"mmm/aa"),"")</f>
        <v>abr/25</v>
      </c>
      <c r="T1363" s="4">
        <f>IF(Registro2[[#This Row],[Data de Pagamento]]="",0,IF(Registro2[[#This Row],[Conta Financeira]]=base!$A$6,0,Registro2[[#This Row],[Valor Unitário]]))</f>
        <v>35</v>
      </c>
      <c r="U13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63" t="str">
        <f>VLOOKUP(Registro2[[#This Row],[Categoria]],'Plano de Contas'!$V$3:W1429,2,0)</f>
        <v>Receitas Serviços</v>
      </c>
      <c r="X136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64" spans="1:24" hidden="1">
      <c r="A1364" s="1">
        <v>45757</v>
      </c>
      <c r="B1364" s="1">
        <v>45757</v>
      </c>
      <c r="D1364" t="s">
        <v>1</v>
      </c>
      <c r="E1364" t="s">
        <v>149</v>
      </c>
      <c r="F1364" t="s">
        <v>147</v>
      </c>
      <c r="G1364" t="s">
        <v>167</v>
      </c>
      <c r="I1364" s="4">
        <v>10</v>
      </c>
      <c r="J1364" s="4" t="s">
        <v>1604</v>
      </c>
      <c r="L1364" t="s">
        <v>253</v>
      </c>
      <c r="M1364" t="s">
        <v>1416</v>
      </c>
      <c r="N1364" s="4">
        <f>IF(L1364="","",IF(OR(Registro2[[#This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364" t="str">
        <f t="shared" si="21"/>
        <v>abr/25</v>
      </c>
      <c r="P1364" t="str">
        <f>IF(Registro2[[#This Row],[Data de Pagamento]]&gt;0,TEXT(A1364,"mmm/aa"),"")</f>
        <v>abr/25</v>
      </c>
      <c r="T1364" s="4">
        <f>IF(Registro2[[#This Row],[Data de Pagamento]]="",0,IF(Registro2[[#This Row],[Conta Financeira]]=base!$A$6,0,Registro2[[#This Row],[Valor Unitário]]))</f>
        <v>10</v>
      </c>
      <c r="U13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64" t="str">
        <f>VLOOKUP(Registro2[[#This Row],[Categoria]],'Plano de Contas'!$V$3:W1430,2,0)</f>
        <v>Receitas Serviços</v>
      </c>
      <c r="X136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65" spans="1:24" hidden="1">
      <c r="A1365" s="1">
        <v>45757</v>
      </c>
      <c r="B1365" s="1">
        <v>45757</v>
      </c>
      <c r="D1365" t="s">
        <v>310</v>
      </c>
      <c r="E1365" t="s">
        <v>149</v>
      </c>
      <c r="F1365" t="s">
        <v>152</v>
      </c>
      <c r="G1365" t="s">
        <v>353</v>
      </c>
      <c r="I1365" s="4">
        <v>60</v>
      </c>
      <c r="J1365" s="4">
        <v>60</v>
      </c>
      <c r="L1365" t="s">
        <v>252</v>
      </c>
      <c r="M1365" t="s">
        <v>290</v>
      </c>
      <c r="N1365" s="4">
        <f>IF(L1365="","",IF(OR(Registro2[[#This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365" t="str">
        <f t="shared" si="21"/>
        <v>abr/25</v>
      </c>
      <c r="P1365" t="str">
        <f>IF(Registro2[[#This Row],[Data de Pagamento]]&gt;0,TEXT(A1365,"mmm/aa"),"")</f>
        <v>abr/25</v>
      </c>
      <c r="T1365" s="4">
        <f>IF(Registro2[[#This Row],[Data de Pagamento]]="",0,IF(Registro2[[#This Row],[Conta Financeira]]=base!$A$6,0,Registro2[[#This Row],[Valor Unitário]]))</f>
        <v>60</v>
      </c>
      <c r="U13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65" t="str">
        <f>VLOOKUP(Registro2[[#This Row],[Categoria]],'Plano de Contas'!$V$3:W1431,2,0)</f>
        <v>Receitas Serviços</v>
      </c>
      <c r="X136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</row>
    <row r="1366" spans="1:24" hidden="1">
      <c r="A1366" s="1">
        <v>45757</v>
      </c>
      <c r="B1366" s="1">
        <v>45757</v>
      </c>
      <c r="D1366" t="s">
        <v>2</v>
      </c>
      <c r="E1366" t="s">
        <v>149</v>
      </c>
      <c r="F1366" t="s">
        <v>147</v>
      </c>
      <c r="G1366" t="s">
        <v>163</v>
      </c>
      <c r="I1366" s="4">
        <v>35</v>
      </c>
      <c r="J1366" s="4">
        <v>35</v>
      </c>
      <c r="L1366" t="s">
        <v>264</v>
      </c>
      <c r="M1366" t="s">
        <v>1089</v>
      </c>
      <c r="N1366" s="4">
        <f>IF(L1366="","",IF(OR(Registro2[[#This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66" t="str">
        <f t="shared" si="21"/>
        <v>abr/25</v>
      </c>
      <c r="P1366" t="str">
        <f>IF(Registro2[[#This Row],[Data de Pagamento]]&gt;0,TEXT(A1366,"mmm/aa"),"")</f>
        <v>abr/25</v>
      </c>
      <c r="T1366" s="4">
        <f>IF(Registro2[[#This Row],[Data de Pagamento]]="",0,IF(Registro2[[#This Row],[Conta Financeira]]=base!$A$6,0,Registro2[[#This Row],[Valor Unitário]]))</f>
        <v>35</v>
      </c>
      <c r="U13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66" t="str">
        <f>VLOOKUP(Registro2[[#This Row],[Categoria]],'Plano de Contas'!$V$3:W1432,2,0)</f>
        <v>Receitas Serviços</v>
      </c>
      <c r="X13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67" spans="1:24" hidden="1">
      <c r="A1367" s="1">
        <v>45757</v>
      </c>
      <c r="B1367" s="1">
        <v>45757</v>
      </c>
      <c r="D1367" t="s">
        <v>310</v>
      </c>
      <c r="E1367" t="s">
        <v>149</v>
      </c>
      <c r="F1367" t="s">
        <v>147</v>
      </c>
      <c r="G1367" t="s">
        <v>163</v>
      </c>
      <c r="I1367" s="4">
        <v>35</v>
      </c>
      <c r="J1367" s="4">
        <v>55</v>
      </c>
      <c r="L1367" t="s">
        <v>253</v>
      </c>
      <c r="M1367" t="s">
        <v>281</v>
      </c>
      <c r="N1367" s="4">
        <f>IF(L1367="","",IF(OR(Registro2[[#This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67" t="str">
        <f t="shared" si="21"/>
        <v>abr/25</v>
      </c>
      <c r="P1367" t="str">
        <f>IF(Registro2[[#This Row],[Data de Pagamento]]&gt;0,TEXT(A1367,"mmm/aa"),"")</f>
        <v>abr/25</v>
      </c>
      <c r="T1367" s="4">
        <f>IF(Registro2[[#This Row],[Data de Pagamento]]="",0,IF(Registro2[[#This Row],[Conta Financeira]]=base!$A$6,0,Registro2[[#This Row],[Valor Unitário]]))</f>
        <v>35</v>
      </c>
      <c r="U13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67" t="str">
        <f>VLOOKUP(Registro2[[#This Row],[Categoria]],'Plano de Contas'!$V$3:W1433,2,0)</f>
        <v>Receitas Serviços</v>
      </c>
      <c r="X136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368" spans="1:24" hidden="1">
      <c r="A1368" s="1">
        <v>45757</v>
      </c>
      <c r="B1368" s="1">
        <v>45757</v>
      </c>
      <c r="D1368" t="s">
        <v>310</v>
      </c>
      <c r="E1368" t="s">
        <v>149</v>
      </c>
      <c r="F1368" t="s">
        <v>147</v>
      </c>
      <c r="G1368" t="s">
        <v>166</v>
      </c>
      <c r="I1368" s="4">
        <v>20</v>
      </c>
      <c r="J1368" s="4" t="s">
        <v>1604</v>
      </c>
      <c r="L1368" t="s">
        <v>253</v>
      </c>
      <c r="M1368" t="s">
        <v>281</v>
      </c>
      <c r="N1368" s="4">
        <f>IF(L1368="","",IF(OR(Registro2[[#This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368" t="str">
        <f t="shared" si="21"/>
        <v>abr/25</v>
      </c>
      <c r="P1368" t="str">
        <f>IF(Registro2[[#This Row],[Data de Pagamento]]&gt;0,TEXT(A1368,"mmm/aa"),"")</f>
        <v>abr/25</v>
      </c>
      <c r="T1368" s="4">
        <f>IF(Registro2[[#This Row],[Data de Pagamento]]="",0,IF(Registro2[[#This Row],[Conta Financeira]]=base!$A$6,0,Registro2[[#This Row],[Valor Unitário]]))</f>
        <v>20</v>
      </c>
      <c r="U13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68" t="str">
        <f>VLOOKUP(Registro2[[#This Row],[Categoria]],'Plano de Contas'!$V$3:W1434,2,0)</f>
        <v>Receitas Serviços</v>
      </c>
      <c r="X136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</row>
    <row r="1369" spans="1:24" hidden="1">
      <c r="A1369" s="1">
        <v>45757</v>
      </c>
      <c r="B1369" s="1">
        <v>45757</v>
      </c>
      <c r="D1369" t="s">
        <v>1</v>
      </c>
      <c r="E1369" t="s">
        <v>149</v>
      </c>
      <c r="F1369" t="s">
        <v>147</v>
      </c>
      <c r="G1369" t="s">
        <v>163</v>
      </c>
      <c r="I1369" s="4">
        <v>35</v>
      </c>
      <c r="J1369" s="4">
        <v>35</v>
      </c>
      <c r="L1369" t="s">
        <v>252</v>
      </c>
      <c r="M1369" t="s">
        <v>20</v>
      </c>
      <c r="N1369" s="4">
        <f>IF(L1369="","",IF(OR(Registro2[[#This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69" t="str">
        <f t="shared" si="21"/>
        <v>abr/25</v>
      </c>
      <c r="P1369" t="str">
        <f>IF(Registro2[[#This Row],[Data de Pagamento]]&gt;0,TEXT(A1369,"mmm/aa"),"")</f>
        <v>abr/25</v>
      </c>
      <c r="T1369" s="4">
        <f>IF(Registro2[[#This Row],[Data de Pagamento]]="",0,IF(Registro2[[#This Row],[Conta Financeira]]=base!$A$6,0,Registro2[[#This Row],[Valor Unitário]]))</f>
        <v>35</v>
      </c>
      <c r="U13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69" t="str">
        <f>VLOOKUP(Registro2[[#This Row],[Categoria]],'Plano de Contas'!$V$3:W1435,2,0)</f>
        <v>Receitas Serviços</v>
      </c>
      <c r="X136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70" spans="1:24" hidden="1">
      <c r="A1370" s="1">
        <v>45757</v>
      </c>
      <c r="B1370" s="1">
        <v>45757</v>
      </c>
      <c r="D1370" t="s">
        <v>1</v>
      </c>
      <c r="E1370" t="s">
        <v>149</v>
      </c>
      <c r="F1370" t="s">
        <v>147</v>
      </c>
      <c r="G1370" t="s">
        <v>163</v>
      </c>
      <c r="I1370" s="4">
        <v>35</v>
      </c>
      <c r="J1370" s="4">
        <v>40</v>
      </c>
      <c r="L1370" t="s">
        <v>264</v>
      </c>
      <c r="M1370" t="s">
        <v>495</v>
      </c>
      <c r="N1370" s="4">
        <f>IF(L1370="","",IF(OR(Registro2[[#This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70" t="str">
        <f t="shared" si="21"/>
        <v>abr/25</v>
      </c>
      <c r="P1370" t="str">
        <f>IF(Registro2[[#This Row],[Data de Pagamento]]&gt;0,TEXT(A1370,"mmm/aa"),"")</f>
        <v>abr/25</v>
      </c>
      <c r="T1370" s="4">
        <f>IF(Registro2[[#This Row],[Data de Pagamento]]="",0,IF(Registro2[[#This Row],[Conta Financeira]]=base!$A$6,0,Registro2[[#This Row],[Valor Unitário]]))</f>
        <v>35</v>
      </c>
      <c r="U13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70" t="str">
        <f>VLOOKUP(Registro2[[#This Row],[Categoria]],'Plano de Contas'!$V$3:W1436,2,0)</f>
        <v>Receitas Serviços</v>
      </c>
      <c r="X137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71" spans="1:24" hidden="1">
      <c r="A1371" s="1">
        <v>45757</v>
      </c>
      <c r="B1371" s="1">
        <v>45757</v>
      </c>
      <c r="D1371" t="s">
        <v>1</v>
      </c>
      <c r="E1371" t="s">
        <v>149</v>
      </c>
      <c r="F1371" t="s">
        <v>910</v>
      </c>
      <c r="G1371" t="s">
        <v>910</v>
      </c>
      <c r="I1371" s="4">
        <v>5</v>
      </c>
      <c r="J1371" s="4" t="s">
        <v>1604</v>
      </c>
      <c r="L1371" t="s">
        <v>264</v>
      </c>
      <c r="M1371" t="s">
        <v>495</v>
      </c>
      <c r="N1371" s="4" t="str">
        <f>IF(L1371="","",IF(OR(Registro2[[#This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371" t="str">
        <f t="shared" si="21"/>
        <v>abr/25</v>
      </c>
      <c r="P1371" t="str">
        <f>IF(Registro2[[#This Row],[Data de Pagamento]]&gt;0,TEXT(A1371,"mmm/aa"),"")</f>
        <v>abr/25</v>
      </c>
      <c r="T1371" s="4">
        <f>IF(Registro2[[#This Row],[Data de Pagamento]]="",0,IF(Registro2[[#This Row],[Conta Financeira]]=base!$A$6,0,Registro2[[#This Row],[Valor Unitário]]))</f>
        <v>5</v>
      </c>
      <c r="U13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71" t="str">
        <f>VLOOKUP(Registro2[[#This Row],[Categoria]],'Plano de Contas'!$V$3:W1437,2,0)</f>
        <v>Outras Receitas</v>
      </c>
      <c r="X137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72" spans="1:24" hidden="1">
      <c r="A1372" s="1">
        <v>45757</v>
      </c>
      <c r="B1372" s="1">
        <v>45757</v>
      </c>
      <c r="D1372" t="s">
        <v>1</v>
      </c>
      <c r="E1372" t="s">
        <v>149</v>
      </c>
      <c r="F1372" t="s">
        <v>152</v>
      </c>
      <c r="G1372" t="s">
        <v>353</v>
      </c>
      <c r="I1372" s="4">
        <v>55</v>
      </c>
      <c r="J1372" s="4">
        <v>55</v>
      </c>
      <c r="L1372" t="s">
        <v>253</v>
      </c>
      <c r="M1372" t="s">
        <v>126</v>
      </c>
      <c r="N1372" s="4">
        <f>IF(L1372="","",IF(OR(Registro2[[#This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1372" t="str">
        <f t="shared" si="21"/>
        <v>abr/25</v>
      </c>
      <c r="P1372" t="str">
        <f>IF(Registro2[[#This Row],[Data de Pagamento]]&gt;0,TEXT(A1372,"mmm/aa"),"")</f>
        <v>abr/25</v>
      </c>
      <c r="T1372" s="4">
        <f>IF(Registro2[[#This Row],[Data de Pagamento]]="",0,IF(Registro2[[#This Row],[Conta Financeira]]=base!$A$6,0,Registro2[[#This Row],[Valor Unitário]]))</f>
        <v>55</v>
      </c>
      <c r="U13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72" t="str">
        <f>VLOOKUP(Registro2[[#This Row],[Categoria]],'Plano de Contas'!$V$3:W1440,2,0)</f>
        <v>Receitas Serviços</v>
      </c>
      <c r="X137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73" spans="1:24" hidden="1">
      <c r="A1373" s="1">
        <v>45757</v>
      </c>
      <c r="B1373" s="1">
        <v>45757</v>
      </c>
      <c r="D1373" t="s">
        <v>354</v>
      </c>
      <c r="E1373" t="s">
        <v>149</v>
      </c>
      <c r="F1373" t="s">
        <v>152</v>
      </c>
      <c r="G1373" t="s">
        <v>353</v>
      </c>
      <c r="I1373" s="4">
        <v>50</v>
      </c>
      <c r="J1373" s="4">
        <v>50</v>
      </c>
      <c r="L1373" t="s">
        <v>253</v>
      </c>
      <c r="M1373" t="s">
        <v>467</v>
      </c>
      <c r="N1373" s="4">
        <f>IF(L1373="","",IF(OR(Registro2[[#This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373" t="str">
        <f t="shared" si="21"/>
        <v>abr/25</v>
      </c>
      <c r="P1373" t="str">
        <f>IF(Registro2[[#This Row],[Data de Pagamento]]&gt;0,TEXT(A1373,"mmm/aa"),"")</f>
        <v>abr/25</v>
      </c>
      <c r="T1373" s="4">
        <f>IF(Registro2[[#This Row],[Data de Pagamento]]="",0,IF(Registro2[[#This Row],[Conta Financeira]]=base!$A$6,0,Registro2[[#This Row],[Valor Unitário]]))</f>
        <v>50</v>
      </c>
      <c r="U13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73" t="str">
        <f>VLOOKUP(Registro2[[#This Row],[Categoria]],'Plano de Contas'!$V$3:W1441,2,0)</f>
        <v>Receitas Serviços</v>
      </c>
      <c r="X137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1.575</v>
      </c>
    </row>
    <row r="1374" spans="1:24" hidden="1">
      <c r="A1374" s="1">
        <v>45757</v>
      </c>
      <c r="B1374" s="1">
        <v>45757</v>
      </c>
      <c r="D1374" t="s">
        <v>1</v>
      </c>
      <c r="E1374" t="s">
        <v>149</v>
      </c>
      <c r="F1374" t="s">
        <v>147</v>
      </c>
      <c r="G1374" t="s">
        <v>163</v>
      </c>
      <c r="I1374" s="4">
        <v>35</v>
      </c>
      <c r="J1374" s="4">
        <v>35</v>
      </c>
      <c r="L1374" t="s">
        <v>252</v>
      </c>
      <c r="M1374" t="s">
        <v>24</v>
      </c>
      <c r="N1374" s="4">
        <f>IF(L1374="","",IF(OR(Registro2[[#This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74" t="str">
        <f t="shared" si="21"/>
        <v>abr/25</v>
      </c>
      <c r="P1374" t="str">
        <f>IF(Registro2[[#This Row],[Data de Pagamento]]&gt;0,TEXT(A1374,"mmm/aa"),"")</f>
        <v>abr/25</v>
      </c>
      <c r="T1374" s="4">
        <f>IF(Registro2[[#This Row],[Data de Pagamento]]="",0,IF(Registro2[[#This Row],[Conta Financeira]]=base!$A$6,0,Registro2[[#This Row],[Valor Unitário]]))</f>
        <v>35</v>
      </c>
      <c r="U13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74" t="str">
        <f>VLOOKUP(Registro2[[#This Row],[Categoria]],'Plano de Contas'!$V$3:W1442,2,0)</f>
        <v>Receitas Serviços</v>
      </c>
      <c r="X137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75" spans="1:24" hidden="1">
      <c r="A1375" s="1">
        <v>45758</v>
      </c>
      <c r="B1375" s="1">
        <v>45758</v>
      </c>
      <c r="D1375" t="s">
        <v>882</v>
      </c>
      <c r="E1375" t="s">
        <v>149</v>
      </c>
      <c r="F1375" t="s">
        <v>147</v>
      </c>
      <c r="G1375" t="s">
        <v>163</v>
      </c>
      <c r="I1375" s="4">
        <v>35</v>
      </c>
      <c r="J1375" s="4">
        <v>55</v>
      </c>
      <c r="L1375" t="s">
        <v>252</v>
      </c>
      <c r="M1375" t="s">
        <v>480</v>
      </c>
      <c r="N1375" s="4">
        <f>IF(L1375="","",IF(OR(Registro2[[#This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75" t="str">
        <f t="shared" si="21"/>
        <v>abr/25</v>
      </c>
      <c r="P1375" t="str">
        <f>IF(Registro2[[#This Row],[Data de Pagamento]]&gt;0,TEXT(A1375,"mmm/aa"),"")</f>
        <v>abr/25</v>
      </c>
      <c r="T1375" s="4">
        <f>IF(Registro2[[#This Row],[Data de Pagamento]]="",0,IF(Registro2[[#This Row],[Conta Financeira]]=base!$A$6,0,Registro2[[#This Row],[Valor Unitário]]))</f>
        <v>35</v>
      </c>
      <c r="U13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75" t="str">
        <f>VLOOKUP(Registro2[[#This Row],[Categoria]],'Plano de Contas'!$V$3:W1415,2,0)</f>
        <v>Receitas Serviços</v>
      </c>
      <c r="X137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76" spans="1:24" hidden="1">
      <c r="A1376" s="1">
        <v>45758</v>
      </c>
      <c r="B1376" s="1">
        <v>45758</v>
      </c>
      <c r="D1376" t="s">
        <v>882</v>
      </c>
      <c r="E1376" t="s">
        <v>149</v>
      </c>
      <c r="F1376" t="s">
        <v>147</v>
      </c>
      <c r="G1376" t="s">
        <v>166</v>
      </c>
      <c r="I1376" s="4">
        <v>20</v>
      </c>
      <c r="J1376" s="4" t="s">
        <v>1604</v>
      </c>
      <c r="L1376" t="s">
        <v>252</v>
      </c>
      <c r="M1376" t="s">
        <v>480</v>
      </c>
      <c r="N1376" s="4">
        <f>IF(L1376="","",IF(OR(Registro2[[#This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376" t="str">
        <f t="shared" si="21"/>
        <v>abr/25</v>
      </c>
      <c r="P1376" t="str">
        <f>IF(Registro2[[#This Row],[Data de Pagamento]]&gt;0,TEXT(A1376,"mmm/aa"),"")</f>
        <v>abr/25</v>
      </c>
      <c r="T1376" s="4">
        <f>IF(Registro2[[#This Row],[Data de Pagamento]]="",0,IF(Registro2[[#This Row],[Conta Financeira]]=base!$A$6,0,Registro2[[#This Row],[Valor Unitário]]))</f>
        <v>20</v>
      </c>
      <c r="U13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76" t="str">
        <f>VLOOKUP(Registro2[[#This Row],[Categoria]],'Plano de Contas'!$V$3:W1416,2,0)</f>
        <v>Receitas Serviços</v>
      </c>
      <c r="X137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77" spans="1:24" hidden="1">
      <c r="A1377" s="1">
        <v>45758</v>
      </c>
      <c r="B1377" s="1">
        <v>45758</v>
      </c>
      <c r="D1377" t="s">
        <v>354</v>
      </c>
      <c r="E1377" t="s">
        <v>149</v>
      </c>
      <c r="F1377" t="s">
        <v>147</v>
      </c>
      <c r="G1377" t="s">
        <v>163</v>
      </c>
      <c r="I1377" s="4">
        <v>35</v>
      </c>
      <c r="J1377" s="4">
        <v>45</v>
      </c>
      <c r="L1377" t="s">
        <v>253</v>
      </c>
      <c r="M1377" t="s">
        <v>284</v>
      </c>
      <c r="N1377" s="4">
        <f>IF(L1377="","",IF(OR(Registro2[[#This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77" t="str">
        <f t="shared" si="21"/>
        <v>abr/25</v>
      </c>
      <c r="P1377" t="str">
        <f>IF(Registro2[[#This Row],[Data de Pagamento]]&gt;0,TEXT(A1377,"mmm/aa"),"")</f>
        <v>abr/25</v>
      </c>
      <c r="T1377" s="4">
        <f>IF(Registro2[[#This Row],[Data de Pagamento]]="",0,IF(Registro2[[#This Row],[Conta Financeira]]=base!$A$6,0,Registro2[[#This Row],[Valor Unitário]]))</f>
        <v>35</v>
      </c>
      <c r="U13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77" t="str">
        <f>VLOOKUP(Registro2[[#This Row],[Categoria]],'Plano de Contas'!$V$3:W1438,2,0)</f>
        <v>Receitas Serviços</v>
      </c>
      <c r="X137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378" spans="1:24" hidden="1">
      <c r="A1378" s="1">
        <v>45758</v>
      </c>
      <c r="B1378" s="1">
        <v>45758</v>
      </c>
      <c r="D1378" t="s">
        <v>354</v>
      </c>
      <c r="E1378" t="s">
        <v>149</v>
      </c>
      <c r="F1378" t="s">
        <v>147</v>
      </c>
      <c r="G1378" t="s">
        <v>167</v>
      </c>
      <c r="I1378" s="4">
        <v>10</v>
      </c>
      <c r="J1378" s="4" t="s">
        <v>1604</v>
      </c>
      <c r="L1378" t="s">
        <v>253</v>
      </c>
      <c r="M1378" t="s">
        <v>284</v>
      </c>
      <c r="N1378" s="4">
        <f>IF(L1378="","",IF(OR(Registro2[[#This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378" t="str">
        <f t="shared" si="21"/>
        <v>abr/25</v>
      </c>
      <c r="P1378" t="str">
        <f>IF(Registro2[[#This Row],[Data de Pagamento]]&gt;0,TEXT(A1378,"mmm/aa"),"")</f>
        <v>abr/25</v>
      </c>
      <c r="T1378" s="4">
        <f>IF(Registro2[[#This Row],[Data de Pagamento]]="",0,IF(Registro2[[#This Row],[Conta Financeira]]=base!$A$6,0,Registro2[[#This Row],[Valor Unitário]]))</f>
        <v>10</v>
      </c>
      <c r="U13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78" t="str">
        <f>VLOOKUP(Registro2[[#This Row],[Categoria]],'Plano de Contas'!$V$3:W1439,2,0)</f>
        <v>Receitas Serviços</v>
      </c>
      <c r="X137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</row>
    <row r="1379" spans="1:24" hidden="1">
      <c r="A1379" s="1">
        <v>45758</v>
      </c>
      <c r="B1379" s="1">
        <v>45758</v>
      </c>
      <c r="D1379" t="s">
        <v>1</v>
      </c>
      <c r="E1379" t="s">
        <v>149</v>
      </c>
      <c r="F1379" t="s">
        <v>147</v>
      </c>
      <c r="G1379" t="s">
        <v>163</v>
      </c>
      <c r="I1379" s="4">
        <v>35</v>
      </c>
      <c r="J1379" s="4">
        <v>95</v>
      </c>
      <c r="L1379" t="s">
        <v>253</v>
      </c>
      <c r="M1379" t="s">
        <v>2191</v>
      </c>
      <c r="N1379" s="4">
        <f>IF(L1379="","",IF(OR(Registro2[[#This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79" t="str">
        <f t="shared" si="21"/>
        <v>abr/25</v>
      </c>
      <c r="P1379" t="str">
        <f>IF(Registro2[[#This Row],[Data de Pagamento]]&gt;0,TEXT(A1379,"mmm/aa"),"")</f>
        <v>abr/25</v>
      </c>
      <c r="T1379" s="4">
        <f>IF(Registro2[[#This Row],[Data de Pagamento]]="",0,IF(Registro2[[#This Row],[Conta Financeira]]=base!$A$6,0,Registro2[[#This Row],[Valor Unitário]]))</f>
        <v>35</v>
      </c>
      <c r="U13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79" t="str">
        <f>VLOOKUP(Registro2[[#This Row],[Categoria]],'Plano de Contas'!$V$3:W1443,2,0)</f>
        <v>Receitas Serviços</v>
      </c>
      <c r="X137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80" spans="1:24" hidden="1">
      <c r="A1380" s="1">
        <v>45758</v>
      </c>
      <c r="B1380" s="1">
        <v>45758</v>
      </c>
      <c r="D1380" t="s">
        <v>1</v>
      </c>
      <c r="E1380" t="s">
        <v>149</v>
      </c>
      <c r="F1380" t="s">
        <v>147</v>
      </c>
      <c r="G1380" t="s">
        <v>163</v>
      </c>
      <c r="I1380" s="4">
        <v>35</v>
      </c>
      <c r="J1380" s="4" t="s">
        <v>1604</v>
      </c>
      <c r="L1380" t="s">
        <v>253</v>
      </c>
      <c r="M1380" t="s">
        <v>2191</v>
      </c>
      <c r="N1380" s="4">
        <f>IF(L1380="","",IF(OR(Registro2[[#This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80" t="str">
        <f t="shared" si="21"/>
        <v>abr/25</v>
      </c>
      <c r="P1380" t="str">
        <f>IF(Registro2[[#This Row],[Data de Pagamento]]&gt;0,TEXT(A1380,"mmm/aa"),"")</f>
        <v>abr/25</v>
      </c>
      <c r="T1380" s="4">
        <f>IF(Registro2[[#This Row],[Data de Pagamento]]="",0,IF(Registro2[[#This Row],[Conta Financeira]]=base!$A$6,0,Registro2[[#This Row],[Valor Unitário]]))</f>
        <v>35</v>
      </c>
      <c r="U13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80" t="str">
        <f>VLOOKUP(Registro2[[#This Row],[Categoria]],'Plano de Contas'!$V$3:W1444,2,0)</f>
        <v>Receitas Serviços</v>
      </c>
      <c r="X138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81" spans="1:24" hidden="1">
      <c r="A1381" s="1">
        <v>45758</v>
      </c>
      <c r="B1381" s="1">
        <v>45758</v>
      </c>
      <c r="D1381" t="s">
        <v>1</v>
      </c>
      <c r="E1381" t="s">
        <v>149</v>
      </c>
      <c r="F1381" t="s">
        <v>150</v>
      </c>
      <c r="G1381" t="s">
        <v>509</v>
      </c>
      <c r="I1381" s="4">
        <v>25</v>
      </c>
      <c r="J1381" s="4" t="s">
        <v>1604</v>
      </c>
      <c r="L1381" t="s">
        <v>253</v>
      </c>
      <c r="M1381" t="s">
        <v>2191</v>
      </c>
      <c r="N1381" s="4">
        <f>IF(L1381="","",IF(OR(Registro2[[#This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381" t="str">
        <f t="shared" si="21"/>
        <v>abr/25</v>
      </c>
      <c r="P1381" t="str">
        <f>IF(Registro2[[#This Row],[Data de Pagamento]]&gt;0,TEXT(A1381,"mmm/aa"),"")</f>
        <v>abr/25</v>
      </c>
      <c r="T1381" s="4">
        <f>IF(Registro2[[#This Row],[Data de Pagamento]]="",0,IF(Registro2[[#This Row],[Conta Financeira]]=base!$A$6,0,Registro2[[#This Row],[Valor Unitário]]))</f>
        <v>25</v>
      </c>
      <c r="U13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81" t="str">
        <f>VLOOKUP(Registro2[[#This Row],[Categoria]],'Plano de Contas'!$V$3:W1445,2,0)</f>
        <v>Receitas Produtos</v>
      </c>
      <c r="X138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82" spans="1:24" hidden="1">
      <c r="A1382" s="1">
        <v>45758</v>
      </c>
      <c r="B1382" s="1">
        <v>45758</v>
      </c>
      <c r="D1382" t="s">
        <v>1</v>
      </c>
      <c r="E1382" t="s">
        <v>149</v>
      </c>
      <c r="F1382" t="s">
        <v>147</v>
      </c>
      <c r="G1382" t="s">
        <v>163</v>
      </c>
      <c r="I1382" s="4">
        <v>35</v>
      </c>
      <c r="J1382" s="4">
        <v>45</v>
      </c>
      <c r="L1382" t="s">
        <v>253</v>
      </c>
      <c r="M1382" t="s">
        <v>14</v>
      </c>
      <c r="N1382" s="4">
        <f>IF(L1382="","",IF(OR(Registro2[[#This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82" t="str">
        <f t="shared" si="21"/>
        <v>abr/25</v>
      </c>
      <c r="P1382" t="str">
        <f>IF(Registro2[[#This Row],[Data de Pagamento]]&gt;0,TEXT(A1382,"mmm/aa"),"")</f>
        <v>abr/25</v>
      </c>
      <c r="T1382" s="4">
        <f>IF(Registro2[[#This Row],[Data de Pagamento]]="",0,IF(Registro2[[#This Row],[Conta Financeira]]=base!$A$6,0,Registro2[[#This Row],[Valor Unitário]]))</f>
        <v>35</v>
      </c>
      <c r="U13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82" t="str">
        <f>VLOOKUP(Registro2[[#This Row],[Categoria]],'Plano de Contas'!$V$3:W1446,2,0)</f>
        <v>Receitas Serviços</v>
      </c>
      <c r="X13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83" spans="1:24" hidden="1">
      <c r="A1383" s="1">
        <v>45758</v>
      </c>
      <c r="B1383" s="1">
        <v>45758</v>
      </c>
      <c r="D1383" t="s">
        <v>1</v>
      </c>
      <c r="E1383" t="s">
        <v>149</v>
      </c>
      <c r="F1383" t="s">
        <v>147</v>
      </c>
      <c r="G1383" t="s">
        <v>167</v>
      </c>
      <c r="I1383" s="4">
        <v>10</v>
      </c>
      <c r="J1383" s="4" t="s">
        <v>1604</v>
      </c>
      <c r="L1383" t="s">
        <v>253</v>
      </c>
      <c r="M1383" t="s">
        <v>14</v>
      </c>
      <c r="N1383" s="4">
        <f>IF(L1383="","",IF(OR(Registro2[[#This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383" t="str">
        <f t="shared" si="21"/>
        <v>abr/25</v>
      </c>
      <c r="P1383" t="str">
        <f>IF(Registro2[[#This Row],[Data de Pagamento]]&gt;0,TEXT(A1383,"mmm/aa"),"")</f>
        <v>abr/25</v>
      </c>
      <c r="T1383" s="4">
        <f>IF(Registro2[[#This Row],[Data de Pagamento]]="",0,IF(Registro2[[#This Row],[Conta Financeira]]=base!$A$6,0,Registro2[[#This Row],[Valor Unitário]]))</f>
        <v>10</v>
      </c>
      <c r="U13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83" t="str">
        <f>VLOOKUP(Registro2[[#This Row],[Categoria]],'Plano de Contas'!$V$3:W1447,2,0)</f>
        <v>Receitas Serviços</v>
      </c>
      <c r="X13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84" spans="1:24" hidden="1">
      <c r="A1384" s="1">
        <v>45758</v>
      </c>
      <c r="B1384" s="1">
        <v>45758</v>
      </c>
      <c r="D1384" t="s">
        <v>310</v>
      </c>
      <c r="E1384" t="s">
        <v>149</v>
      </c>
      <c r="F1384" t="s">
        <v>147</v>
      </c>
      <c r="G1384" t="s">
        <v>163</v>
      </c>
      <c r="I1384" s="4">
        <v>35</v>
      </c>
      <c r="J1384" s="4">
        <v>35</v>
      </c>
      <c r="L1384" t="s">
        <v>252</v>
      </c>
      <c r="M1384" t="s">
        <v>400</v>
      </c>
      <c r="N1384" s="4">
        <f>IF(L1384="","",IF(OR(Registro2[[#This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84" t="str">
        <f t="shared" si="21"/>
        <v>abr/25</v>
      </c>
      <c r="P1384" t="str">
        <f>IF(Registro2[[#This Row],[Data de Pagamento]]&gt;0,TEXT(A1384,"mmm/aa"),"")</f>
        <v>abr/25</v>
      </c>
      <c r="T1384" s="4">
        <f>IF(Registro2[[#This Row],[Data de Pagamento]]="",0,IF(Registro2[[#This Row],[Conta Financeira]]=base!$A$6,0,Registro2[[#This Row],[Valor Unitário]]))</f>
        <v>35</v>
      </c>
      <c r="U13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84" t="str">
        <f>VLOOKUP(Registro2[[#This Row],[Categoria]],'Plano de Contas'!$V$3:W1448,2,0)</f>
        <v>Receitas Serviços</v>
      </c>
      <c r="X138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385" spans="1:24" hidden="1">
      <c r="A1385" s="1">
        <v>45758</v>
      </c>
      <c r="B1385" s="1">
        <v>45758</v>
      </c>
      <c r="D1385" t="s">
        <v>354</v>
      </c>
      <c r="E1385" t="s">
        <v>149</v>
      </c>
      <c r="F1385" t="s">
        <v>147</v>
      </c>
      <c r="G1385" t="s">
        <v>163</v>
      </c>
      <c r="I1385" s="4">
        <v>35</v>
      </c>
      <c r="J1385" s="4">
        <v>60</v>
      </c>
      <c r="L1385" t="s">
        <v>253</v>
      </c>
      <c r="M1385" t="s">
        <v>2197</v>
      </c>
      <c r="N1385" s="4">
        <f>IF(L1385="","",IF(OR(Registro2[[#This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85" t="str">
        <f t="shared" si="21"/>
        <v>abr/25</v>
      </c>
      <c r="P1385" t="str">
        <f>IF(Registro2[[#This Row],[Data de Pagamento]]&gt;0,TEXT(A1385,"mmm/aa"),"")</f>
        <v>abr/25</v>
      </c>
      <c r="T1385" s="4">
        <f>IF(Registro2[[#This Row],[Data de Pagamento]]="",0,IF(Registro2[[#This Row],[Conta Financeira]]=base!$A$6,0,Registro2[[#This Row],[Valor Unitário]]))</f>
        <v>35</v>
      </c>
      <c r="U13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85" t="str">
        <f>VLOOKUP(Registro2[[#This Row],[Categoria]],'Plano de Contas'!$V$3:W1449,2,0)</f>
        <v>Receitas Serviços</v>
      </c>
      <c r="X138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386" spans="1:24" hidden="1">
      <c r="A1386" s="1">
        <v>45758</v>
      </c>
      <c r="B1386" s="1">
        <v>45758</v>
      </c>
      <c r="D1386" t="s">
        <v>354</v>
      </c>
      <c r="E1386" t="s">
        <v>149</v>
      </c>
      <c r="F1386" t="s">
        <v>147</v>
      </c>
      <c r="G1386" t="s">
        <v>1046</v>
      </c>
      <c r="I1386" s="4">
        <v>25</v>
      </c>
      <c r="J1386" s="4" t="s">
        <v>1604</v>
      </c>
      <c r="L1386" t="s">
        <v>253</v>
      </c>
      <c r="M1386" t="s">
        <v>2197</v>
      </c>
      <c r="N1386" s="4">
        <f>IF(L1386="","",IF(OR(Registro2[[#This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1386" t="str">
        <f t="shared" si="21"/>
        <v>abr/25</v>
      </c>
      <c r="P1386" t="str">
        <f>IF(Registro2[[#This Row],[Data de Pagamento]]&gt;0,TEXT(A1386,"mmm/aa"),"")</f>
        <v>abr/25</v>
      </c>
      <c r="T1386" s="4">
        <f>IF(Registro2[[#This Row],[Data de Pagamento]]="",0,IF(Registro2[[#This Row],[Conta Financeira]]=base!$A$6,0,Registro2[[#This Row],[Valor Unitário]]))</f>
        <v>25</v>
      </c>
      <c r="U13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86" t="str">
        <f>VLOOKUP(Registro2[[#This Row],[Categoria]],'Plano de Contas'!$V$3:W1450,2,0)</f>
        <v>Receitas Serviços</v>
      </c>
      <c r="X138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0.78749999999999998</v>
      </c>
    </row>
    <row r="1387" spans="1:24" hidden="1">
      <c r="A1387" s="1">
        <v>45758</v>
      </c>
      <c r="B1387" s="1">
        <v>45758</v>
      </c>
      <c r="D1387" t="s">
        <v>1</v>
      </c>
      <c r="E1387" t="s">
        <v>149</v>
      </c>
      <c r="F1387" t="s">
        <v>147</v>
      </c>
      <c r="G1387" t="s">
        <v>163</v>
      </c>
      <c r="I1387" s="4">
        <v>50</v>
      </c>
      <c r="J1387" s="4">
        <v>50</v>
      </c>
      <c r="L1387" t="s">
        <v>253</v>
      </c>
      <c r="M1387" t="s">
        <v>28</v>
      </c>
      <c r="N1387" s="4">
        <f>IF(L1387="","",IF(OR(Registro2[[#This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387" t="str">
        <f t="shared" si="21"/>
        <v>abr/25</v>
      </c>
      <c r="P1387" t="str">
        <f>IF(Registro2[[#This Row],[Data de Pagamento]]&gt;0,TEXT(A1387,"mmm/aa"),"")</f>
        <v>abr/25</v>
      </c>
      <c r="T1387" s="4">
        <f>IF(Registro2[[#This Row],[Data de Pagamento]]="",0,IF(Registro2[[#This Row],[Conta Financeira]]=base!$A$6,0,Registro2[[#This Row],[Valor Unitário]]))</f>
        <v>50</v>
      </c>
      <c r="U13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87" t="str">
        <f>VLOOKUP(Registro2[[#This Row],[Categoria]],'Plano de Contas'!$V$3:W1451,2,0)</f>
        <v>Receitas Serviços</v>
      </c>
      <c r="X138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88" spans="1:24" hidden="1">
      <c r="A1388" s="1">
        <v>45758</v>
      </c>
      <c r="B1388" s="1">
        <v>45758</v>
      </c>
      <c r="D1388" t="s">
        <v>354</v>
      </c>
      <c r="E1388" t="s">
        <v>149</v>
      </c>
      <c r="F1388" t="s">
        <v>152</v>
      </c>
      <c r="G1388" t="s">
        <v>353</v>
      </c>
      <c r="I1388" s="4">
        <v>60</v>
      </c>
      <c r="J1388" s="4">
        <v>50</v>
      </c>
      <c r="L1388" t="s">
        <v>252</v>
      </c>
      <c r="M1388" t="s">
        <v>44</v>
      </c>
      <c r="N1388" s="4">
        <f>IF(L1388="","",IF(OR(Registro2[[#This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388" t="str">
        <f t="shared" si="21"/>
        <v>abr/25</v>
      </c>
      <c r="P1388" t="str">
        <f>IF(Registro2[[#This Row],[Data de Pagamento]]&gt;0,TEXT(A1388,"mmm/aa"),"")</f>
        <v>abr/25</v>
      </c>
      <c r="T1388" s="4">
        <f>IF(Registro2[[#This Row],[Data de Pagamento]]="",0,IF(Registro2[[#This Row],[Conta Financeira]]=base!$A$6,0,Registro2[[#This Row],[Valor Unitário]]))</f>
        <v>60</v>
      </c>
      <c r="U13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88" t="str">
        <f>VLOOKUP(Registro2[[#This Row],[Categoria]],'Plano de Contas'!$V$3:W1452,2,0)</f>
        <v>Receitas Serviços</v>
      </c>
      <c r="X138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</row>
    <row r="1389" spans="1:24" hidden="1">
      <c r="A1389" s="1">
        <v>45758</v>
      </c>
      <c r="B1389" s="1">
        <v>45758</v>
      </c>
      <c r="D1389" t="s">
        <v>1</v>
      </c>
      <c r="E1389" t="s">
        <v>149</v>
      </c>
      <c r="F1389" t="s">
        <v>147</v>
      </c>
      <c r="G1389" t="s">
        <v>163</v>
      </c>
      <c r="I1389" s="4">
        <v>35</v>
      </c>
      <c r="J1389" s="4">
        <v>50</v>
      </c>
      <c r="L1389" t="s">
        <v>253</v>
      </c>
      <c r="M1389" t="s">
        <v>8</v>
      </c>
      <c r="N1389" s="4">
        <f>IF(L1389="","",IF(OR(Registro2[[#This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89" t="str">
        <f t="shared" si="21"/>
        <v>abr/25</v>
      </c>
      <c r="P1389" t="str">
        <f>IF(Registro2[[#This Row],[Data de Pagamento]]&gt;0,TEXT(A1389,"mmm/aa"),"")</f>
        <v>abr/25</v>
      </c>
      <c r="T1389" s="4">
        <f>IF(Registro2[[#This Row],[Data de Pagamento]]="",0,IF(Registro2[[#This Row],[Conta Financeira]]=base!$A$6,0,Registro2[[#This Row],[Valor Unitário]]))</f>
        <v>35</v>
      </c>
      <c r="U13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89" t="str">
        <f>VLOOKUP(Registro2[[#This Row],[Categoria]],'Plano de Contas'!$V$3:W1453,2,0)</f>
        <v>Receitas Serviços</v>
      </c>
      <c r="X138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90" spans="1:24" hidden="1">
      <c r="A1390" s="1">
        <v>45758</v>
      </c>
      <c r="B1390" s="1">
        <v>45758</v>
      </c>
      <c r="D1390" t="s">
        <v>1</v>
      </c>
      <c r="E1390" t="s">
        <v>149</v>
      </c>
      <c r="F1390" t="s">
        <v>147</v>
      </c>
      <c r="G1390" t="s">
        <v>1046</v>
      </c>
      <c r="I1390" s="4">
        <v>15</v>
      </c>
      <c r="J1390" s="4" t="s">
        <v>1604</v>
      </c>
      <c r="L1390" t="s">
        <v>253</v>
      </c>
      <c r="M1390" t="s">
        <v>8</v>
      </c>
      <c r="N1390" s="4">
        <f>IF(L1390="","",IF(OR(Registro2[[#This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390" t="str">
        <f t="shared" si="21"/>
        <v>abr/25</v>
      </c>
      <c r="P1390" t="str">
        <f>IF(Registro2[[#This Row],[Data de Pagamento]]&gt;0,TEXT(A1390,"mmm/aa"),"")</f>
        <v>abr/25</v>
      </c>
      <c r="T1390" s="4">
        <f>IF(Registro2[[#This Row],[Data de Pagamento]]="",0,IF(Registro2[[#This Row],[Conta Financeira]]=base!$A$6,0,Registro2[[#This Row],[Valor Unitário]]))</f>
        <v>15</v>
      </c>
      <c r="U13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90" t="str">
        <f>VLOOKUP(Registro2[[#This Row],[Categoria]],'Plano de Contas'!$V$3:W1454,2,0)</f>
        <v>Receitas Serviços</v>
      </c>
      <c r="X139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91" spans="1:24" hidden="1">
      <c r="A1391" s="1">
        <v>45758</v>
      </c>
      <c r="B1391" s="1">
        <v>45758</v>
      </c>
      <c r="D1391" t="s">
        <v>1</v>
      </c>
      <c r="E1391" t="s">
        <v>149</v>
      </c>
      <c r="F1391" t="s">
        <v>152</v>
      </c>
      <c r="G1391" t="s">
        <v>353</v>
      </c>
      <c r="I1391" s="4">
        <v>60</v>
      </c>
      <c r="J1391" s="4">
        <v>60</v>
      </c>
      <c r="L1391" t="s">
        <v>264</v>
      </c>
      <c r="M1391" t="s">
        <v>2205</v>
      </c>
      <c r="N1391" s="4">
        <f>IF(L1391="","",IF(OR(Registro2[[#This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391" t="str">
        <f t="shared" si="21"/>
        <v>abr/25</v>
      </c>
      <c r="P1391" t="str">
        <f>IF(Registro2[[#This Row],[Data de Pagamento]]&gt;0,TEXT(A1391,"mmm/aa"),"")</f>
        <v>abr/25</v>
      </c>
      <c r="T1391" s="4">
        <f>IF(Registro2[[#This Row],[Data de Pagamento]]="",0,IF(Registro2[[#This Row],[Conta Financeira]]=base!$A$6,0,Registro2[[#This Row],[Valor Unitário]]))</f>
        <v>60</v>
      </c>
      <c r="U13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91" t="str">
        <f>VLOOKUP(Registro2[[#This Row],[Categoria]],'Plano de Contas'!$V$3:W1455,2,0)</f>
        <v>Receitas Serviços</v>
      </c>
      <c r="X139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92" spans="1:24" hidden="1">
      <c r="A1392" s="1">
        <v>45758</v>
      </c>
      <c r="B1392" s="1">
        <v>45758</v>
      </c>
      <c r="D1392" t="s">
        <v>1</v>
      </c>
      <c r="E1392" t="s">
        <v>149</v>
      </c>
      <c r="F1392" t="s">
        <v>147</v>
      </c>
      <c r="G1392" t="s">
        <v>163</v>
      </c>
      <c r="I1392" s="4">
        <v>35</v>
      </c>
      <c r="J1392" s="4">
        <v>90</v>
      </c>
      <c r="L1392" t="s">
        <v>264</v>
      </c>
      <c r="M1392" t="s">
        <v>1023</v>
      </c>
      <c r="N1392" s="4">
        <f>IF(L1392="","",IF(OR(Registro2[[#This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92" t="str">
        <f t="shared" si="21"/>
        <v>abr/25</v>
      </c>
      <c r="P1392" t="str">
        <f>IF(Registro2[[#This Row],[Data de Pagamento]]&gt;0,TEXT(A1392,"mmm/aa"),"")</f>
        <v>abr/25</v>
      </c>
      <c r="T1392" s="4">
        <f>IF(Registro2[[#This Row],[Data de Pagamento]]="",0,IF(Registro2[[#This Row],[Conta Financeira]]=base!$A$6,0,Registro2[[#This Row],[Valor Unitário]]))</f>
        <v>35</v>
      </c>
      <c r="U13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92" t="str">
        <f>VLOOKUP(Registro2[[#This Row],[Categoria]],'Plano de Contas'!$V$3:W1457,2,0)</f>
        <v>Receitas Serviços</v>
      </c>
      <c r="X139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93" spans="1:24" hidden="1">
      <c r="A1393" s="1">
        <v>45758</v>
      </c>
      <c r="B1393" s="1">
        <v>45758</v>
      </c>
      <c r="D1393" t="s">
        <v>1</v>
      </c>
      <c r="E1393" t="s">
        <v>149</v>
      </c>
      <c r="F1393" t="s">
        <v>147</v>
      </c>
      <c r="G1393" t="s">
        <v>167</v>
      </c>
      <c r="I1393" s="4">
        <v>10</v>
      </c>
      <c r="J1393" s="4" t="s">
        <v>1604</v>
      </c>
      <c r="L1393" t="s">
        <v>264</v>
      </c>
      <c r="M1393" t="s">
        <v>1023</v>
      </c>
      <c r="N1393" s="4">
        <f>IF(L1393="","",IF(OR(Registro2[[#This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393" t="str">
        <f t="shared" si="21"/>
        <v>abr/25</v>
      </c>
      <c r="P1393" t="str">
        <f>IF(Registro2[[#This Row],[Data de Pagamento]]&gt;0,TEXT(A1393,"mmm/aa"),"")</f>
        <v>abr/25</v>
      </c>
      <c r="T1393" s="4">
        <f>IF(Registro2[[#This Row],[Data de Pagamento]]="",0,IF(Registro2[[#This Row],[Conta Financeira]]=base!$A$6,0,Registro2[[#This Row],[Valor Unitário]]))</f>
        <v>10</v>
      </c>
      <c r="U13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93" t="str">
        <f>VLOOKUP(Registro2[[#This Row],[Categoria]],'Plano de Contas'!$V$3:W1458,2,0)</f>
        <v>Receitas Serviços</v>
      </c>
      <c r="X139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94" spans="1:24" hidden="1">
      <c r="A1394" s="1">
        <v>45758</v>
      </c>
      <c r="B1394" s="1">
        <v>45758</v>
      </c>
      <c r="D1394" t="s">
        <v>1</v>
      </c>
      <c r="E1394" t="s">
        <v>149</v>
      </c>
      <c r="F1394" t="s">
        <v>147</v>
      </c>
      <c r="G1394" t="s">
        <v>163</v>
      </c>
      <c r="I1394" s="4">
        <v>35</v>
      </c>
      <c r="J1394" s="4" t="s">
        <v>1604</v>
      </c>
      <c r="L1394" t="s">
        <v>252</v>
      </c>
      <c r="M1394" t="s">
        <v>1023</v>
      </c>
      <c r="N1394" s="4">
        <f>IF(L1394="","",IF(OR(Registro2[[#This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94" t="str">
        <f t="shared" si="21"/>
        <v>abr/25</v>
      </c>
      <c r="P1394" t="str">
        <f>IF(Registro2[[#This Row],[Data de Pagamento]]&gt;0,TEXT(A1394,"mmm/aa"),"")</f>
        <v>abr/25</v>
      </c>
      <c r="T1394" s="4">
        <f>IF(Registro2[[#This Row],[Data de Pagamento]]="",0,IF(Registro2[[#This Row],[Conta Financeira]]=base!$A$6,0,Registro2[[#This Row],[Valor Unitário]]))</f>
        <v>35</v>
      </c>
      <c r="U13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94" t="str">
        <f>VLOOKUP(Registro2[[#This Row],[Categoria]],'Plano de Contas'!$V$3:W1459,2,0)</f>
        <v>Receitas Serviços</v>
      </c>
      <c r="X139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95" spans="1:24" hidden="1">
      <c r="A1395" s="1">
        <v>45758</v>
      </c>
      <c r="B1395" s="1">
        <v>45758</v>
      </c>
      <c r="D1395" t="s">
        <v>1</v>
      </c>
      <c r="E1395" t="s">
        <v>149</v>
      </c>
      <c r="F1395" t="s">
        <v>147</v>
      </c>
      <c r="G1395" t="s">
        <v>167</v>
      </c>
      <c r="I1395" s="4">
        <v>10</v>
      </c>
      <c r="J1395" s="4" t="s">
        <v>1604</v>
      </c>
      <c r="L1395" t="s">
        <v>252</v>
      </c>
      <c r="M1395" t="s">
        <v>1023</v>
      </c>
      <c r="N1395" s="4">
        <f>IF(L1395="","",IF(OR(Registro2[[#This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395" t="str">
        <f t="shared" si="21"/>
        <v>abr/25</v>
      </c>
      <c r="P1395" t="str">
        <f>IF(Registro2[[#This Row],[Data de Pagamento]]&gt;0,TEXT(A1395,"mmm/aa"),"")</f>
        <v>abr/25</v>
      </c>
      <c r="T1395" s="4">
        <f>IF(Registro2[[#This Row],[Data de Pagamento]]="",0,IF(Registro2[[#This Row],[Conta Financeira]]=base!$A$6,0,Registro2[[#This Row],[Valor Unitário]]))</f>
        <v>10</v>
      </c>
      <c r="U13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95" t="str">
        <f>VLOOKUP(Registro2[[#This Row],[Categoria]],'Plano de Contas'!$V$3:W1460,2,0)</f>
        <v>Receitas Serviços</v>
      </c>
      <c r="X139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96" spans="1:24" hidden="1">
      <c r="A1396" s="1">
        <v>45758</v>
      </c>
      <c r="B1396" s="1">
        <v>45758</v>
      </c>
      <c r="D1396" t="s">
        <v>354</v>
      </c>
      <c r="E1396" t="s">
        <v>149</v>
      </c>
      <c r="F1396" t="s">
        <v>147</v>
      </c>
      <c r="G1396" t="s">
        <v>163</v>
      </c>
      <c r="I1396" s="4">
        <v>35</v>
      </c>
      <c r="J1396" s="4">
        <v>55</v>
      </c>
      <c r="L1396" t="s">
        <v>252</v>
      </c>
      <c r="M1396" t="s">
        <v>482</v>
      </c>
      <c r="N1396" s="4">
        <f>IF(L1396="","",IF(OR(Registro2[[#This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96" t="str">
        <f t="shared" si="21"/>
        <v>abr/25</v>
      </c>
      <c r="P1396" t="str">
        <f>IF(Registro2[[#This Row],[Data de Pagamento]]&gt;0,TEXT(A1396,"mmm/aa"),"")</f>
        <v>abr/25</v>
      </c>
      <c r="T1396" s="4">
        <f>IF(Registro2[[#This Row],[Data de Pagamento]]="",0,IF(Registro2[[#This Row],[Conta Financeira]]=base!$A$6,0,Registro2[[#This Row],[Valor Unitário]]))</f>
        <v>35</v>
      </c>
      <c r="U13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96" t="str">
        <f>VLOOKUP(Registro2[[#This Row],[Categoria]],'Plano de Contas'!$V$3:W1461,2,0)</f>
        <v>Receitas Serviços</v>
      </c>
      <c r="X139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397" spans="1:24" hidden="1">
      <c r="A1397" s="1">
        <v>45758</v>
      </c>
      <c r="B1397" s="1">
        <v>45758</v>
      </c>
      <c r="D1397" t="s">
        <v>354</v>
      </c>
      <c r="E1397" t="s">
        <v>149</v>
      </c>
      <c r="F1397" t="s">
        <v>152</v>
      </c>
      <c r="G1397" t="s">
        <v>352</v>
      </c>
      <c r="I1397" s="4">
        <v>20</v>
      </c>
      <c r="J1397" s="4" t="s">
        <v>1604</v>
      </c>
      <c r="L1397" t="s">
        <v>252</v>
      </c>
      <c r="M1397" t="s">
        <v>482</v>
      </c>
      <c r="N1397" s="4">
        <f>IF(L1397="","",IF(OR(Registro2[[#This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397" t="str">
        <f t="shared" si="21"/>
        <v>abr/25</v>
      </c>
      <c r="P1397" t="str">
        <f>IF(Registro2[[#This Row],[Data de Pagamento]]&gt;0,TEXT(A1397,"mmm/aa"),"")</f>
        <v>abr/25</v>
      </c>
      <c r="T1397" s="4">
        <f>IF(Registro2[[#This Row],[Data de Pagamento]]="",0,IF(Registro2[[#This Row],[Conta Financeira]]=base!$A$6,0,Registro2[[#This Row],[Valor Unitário]]))</f>
        <v>20</v>
      </c>
      <c r="U13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97" t="str">
        <f>VLOOKUP(Registro2[[#This Row],[Categoria]],'Plano de Contas'!$V$3:W1462,2,0)</f>
        <v>Receitas Serviços</v>
      </c>
      <c r="X139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0.63</v>
      </c>
    </row>
    <row r="1398" spans="1:24" hidden="1">
      <c r="A1398" s="1">
        <v>45758</v>
      </c>
      <c r="B1398" s="1">
        <v>45758</v>
      </c>
      <c r="D1398" t="s">
        <v>1</v>
      </c>
      <c r="E1398" t="s">
        <v>149</v>
      </c>
      <c r="F1398" t="s">
        <v>147</v>
      </c>
      <c r="G1398" t="s">
        <v>163</v>
      </c>
      <c r="I1398" s="4">
        <v>35</v>
      </c>
      <c r="J1398" s="4">
        <v>35</v>
      </c>
      <c r="L1398" t="s">
        <v>252</v>
      </c>
      <c r="M1398" t="s">
        <v>16</v>
      </c>
      <c r="N1398" s="4">
        <f>IF(L1398="","",IF(OR(Registro2[[#This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398" t="str">
        <f t="shared" si="21"/>
        <v>abr/25</v>
      </c>
      <c r="P1398" t="str">
        <f>IF(Registro2[[#This Row],[Data de Pagamento]]&gt;0,TEXT(A1398,"mmm/aa"),"")</f>
        <v>abr/25</v>
      </c>
      <c r="T1398" s="4">
        <f>IF(Registro2[[#This Row],[Data de Pagamento]]="",0,IF(Registro2[[#This Row],[Conta Financeira]]=base!$A$6,0,Registro2[[#This Row],[Valor Unitário]]))</f>
        <v>35</v>
      </c>
      <c r="U13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98" t="str">
        <f>VLOOKUP(Registro2[[#This Row],[Categoria]],'Plano de Contas'!$V$3:W1463,2,0)</f>
        <v>Receitas Serviços</v>
      </c>
      <c r="X139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399" spans="1:24" hidden="1">
      <c r="A1399" s="1">
        <v>45758</v>
      </c>
      <c r="B1399" s="1">
        <v>45758</v>
      </c>
      <c r="D1399" t="s">
        <v>354</v>
      </c>
      <c r="E1399" t="s">
        <v>149</v>
      </c>
      <c r="F1399" t="s">
        <v>152</v>
      </c>
      <c r="G1399" t="s">
        <v>353</v>
      </c>
      <c r="I1399" s="4">
        <v>60</v>
      </c>
      <c r="J1399" s="4">
        <v>60</v>
      </c>
      <c r="L1399" t="s">
        <v>264</v>
      </c>
      <c r="M1399" t="s">
        <v>1154</v>
      </c>
      <c r="N1399" s="4">
        <f>IF(L1399="","",IF(OR(Registro2[[#This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399" t="str">
        <f t="shared" si="21"/>
        <v>abr/25</v>
      </c>
      <c r="P1399" t="str">
        <f>IF(Registro2[[#This Row],[Data de Pagamento]]&gt;0,TEXT(A1399,"mmm/aa"),"")</f>
        <v>abr/25</v>
      </c>
      <c r="T1399" s="4">
        <f>IF(Registro2[[#This Row],[Data de Pagamento]]="",0,IF(Registro2[[#This Row],[Conta Financeira]]=base!$A$6,0,Registro2[[#This Row],[Valor Unitário]]))</f>
        <v>60</v>
      </c>
      <c r="U13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399" t="str">
        <f>VLOOKUP(Registro2[[#This Row],[Categoria]],'Plano de Contas'!$V$3:W1464,2,0)</f>
        <v>Receitas Serviços</v>
      </c>
      <c r="X139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</row>
    <row r="1400" spans="1:24" hidden="1">
      <c r="A1400" s="1">
        <v>45758</v>
      </c>
      <c r="B1400" s="1">
        <v>45758</v>
      </c>
      <c r="D1400" t="s">
        <v>310</v>
      </c>
      <c r="E1400" t="s">
        <v>149</v>
      </c>
      <c r="F1400" t="s">
        <v>147</v>
      </c>
      <c r="G1400" t="s">
        <v>163</v>
      </c>
      <c r="I1400" s="4">
        <v>35</v>
      </c>
      <c r="J1400" s="4">
        <v>35</v>
      </c>
      <c r="L1400" t="s">
        <v>252</v>
      </c>
      <c r="M1400" t="s">
        <v>503</v>
      </c>
      <c r="N1400" s="4">
        <f>IF(L1400="","",IF(OR(Registro2[[#This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00" t="str">
        <f t="shared" si="21"/>
        <v>abr/25</v>
      </c>
      <c r="P1400" t="str">
        <f>IF(Registro2[[#This Row],[Data de Pagamento]]&gt;0,TEXT(A1400,"mmm/aa"),"")</f>
        <v>abr/25</v>
      </c>
      <c r="T1400" s="4">
        <f>IF(Registro2[[#This Row],[Data de Pagamento]]="",0,IF(Registro2[[#This Row],[Conta Financeira]]=base!$A$6,0,Registro2[[#This Row],[Valor Unitário]]))</f>
        <v>35</v>
      </c>
      <c r="U14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00" t="str">
        <f>VLOOKUP(Registro2[[#This Row],[Categoria]],'Plano de Contas'!$V$3:W1465,2,0)</f>
        <v>Receitas Serviços</v>
      </c>
      <c r="X140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401" spans="1:24" hidden="1">
      <c r="A1401" s="1">
        <v>45758</v>
      </c>
      <c r="B1401" s="1">
        <v>45758</v>
      </c>
      <c r="D1401" t="s">
        <v>310</v>
      </c>
      <c r="E1401" t="s">
        <v>149</v>
      </c>
      <c r="F1401" t="s">
        <v>147</v>
      </c>
      <c r="G1401" t="s">
        <v>163</v>
      </c>
      <c r="I1401" s="4">
        <v>35</v>
      </c>
      <c r="J1401" s="4">
        <v>50</v>
      </c>
      <c r="L1401" t="s">
        <v>253</v>
      </c>
      <c r="M1401" t="s">
        <v>1523</v>
      </c>
      <c r="N1401" s="4">
        <f>IF(L1401="","",IF(OR(Registro2[[#This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01" t="str">
        <f t="shared" si="21"/>
        <v>abr/25</v>
      </c>
      <c r="P1401" t="str">
        <f>IF(Registro2[[#This Row],[Data de Pagamento]]&gt;0,TEXT(A1401,"mmm/aa"),"")</f>
        <v>abr/25</v>
      </c>
      <c r="T1401" s="4">
        <f>IF(Registro2[[#This Row],[Data de Pagamento]]="",0,IF(Registro2[[#This Row],[Conta Financeira]]=base!$A$6,0,Registro2[[#This Row],[Valor Unitário]]))</f>
        <v>35</v>
      </c>
      <c r="U14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01" t="str">
        <f>VLOOKUP(Registro2[[#This Row],[Categoria]],'Plano de Contas'!$V$3:W1467,2,0)</f>
        <v>Receitas Serviços</v>
      </c>
      <c r="X140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402" spans="1:24" hidden="1">
      <c r="A1402" s="1">
        <v>45758</v>
      </c>
      <c r="B1402" s="1">
        <v>45758</v>
      </c>
      <c r="D1402" t="s">
        <v>310</v>
      </c>
      <c r="E1402" t="s">
        <v>149</v>
      </c>
      <c r="F1402" t="s">
        <v>147</v>
      </c>
      <c r="G1402" t="s">
        <v>167</v>
      </c>
      <c r="I1402" s="4">
        <v>15</v>
      </c>
      <c r="J1402" s="4" t="s">
        <v>1604</v>
      </c>
      <c r="L1402" t="s">
        <v>253</v>
      </c>
      <c r="M1402" t="s">
        <v>1523</v>
      </c>
      <c r="N1402" s="4">
        <f>IF(L1402="","",IF(OR(Registro2[[#This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402" t="str">
        <f t="shared" si="21"/>
        <v>abr/25</v>
      </c>
      <c r="P1402" t="str">
        <f>IF(Registro2[[#This Row],[Data de Pagamento]]&gt;0,TEXT(A1402,"mmm/aa"),"")</f>
        <v>abr/25</v>
      </c>
      <c r="T1402" s="4">
        <f>IF(Registro2[[#This Row],[Data de Pagamento]]="",0,IF(Registro2[[#This Row],[Conta Financeira]]=base!$A$6,0,Registro2[[#This Row],[Valor Unitário]]))</f>
        <v>15</v>
      </c>
      <c r="U14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02" t="str">
        <f>VLOOKUP(Registro2[[#This Row],[Categoria]],'Plano de Contas'!$V$3:W1468,2,0)</f>
        <v>Receitas Serviços</v>
      </c>
      <c r="X140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</row>
    <row r="1403" spans="1:24" hidden="1">
      <c r="A1403" s="1">
        <v>45758</v>
      </c>
      <c r="B1403" s="1">
        <v>45758</v>
      </c>
      <c r="D1403" t="s">
        <v>1</v>
      </c>
      <c r="E1403" t="s">
        <v>149</v>
      </c>
      <c r="F1403" t="s">
        <v>147</v>
      </c>
      <c r="G1403" t="s">
        <v>163</v>
      </c>
      <c r="I1403" s="4">
        <v>35</v>
      </c>
      <c r="J1403" s="4">
        <v>35</v>
      </c>
      <c r="L1403" t="s">
        <v>253</v>
      </c>
      <c r="M1403" t="s">
        <v>282</v>
      </c>
      <c r="N1403" s="4">
        <f>IF(L1403="","",IF(OR(Registro2[[#This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03" t="str">
        <f t="shared" si="21"/>
        <v>abr/25</v>
      </c>
      <c r="P1403" t="str">
        <f>IF(Registro2[[#This Row],[Data de Pagamento]]&gt;0,TEXT(A1403,"mmm/aa"),"")</f>
        <v>abr/25</v>
      </c>
      <c r="T1403" s="4">
        <f>IF(Registro2[[#This Row],[Data de Pagamento]]="",0,IF(Registro2[[#This Row],[Conta Financeira]]=base!$A$6,0,Registro2[[#This Row],[Valor Unitário]]))</f>
        <v>35</v>
      </c>
      <c r="U14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03" t="str">
        <f>VLOOKUP(Registro2[[#This Row],[Categoria]],'Plano de Contas'!$V$3:W1469,2,0)</f>
        <v>Receitas Serviços</v>
      </c>
      <c r="X14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04" spans="1:24" hidden="1">
      <c r="A1404" s="1">
        <v>45758</v>
      </c>
      <c r="B1404" s="1">
        <v>45758</v>
      </c>
      <c r="D1404" t="s">
        <v>2</v>
      </c>
      <c r="E1404" t="s">
        <v>149</v>
      </c>
      <c r="F1404" t="s">
        <v>147</v>
      </c>
      <c r="G1404" t="s">
        <v>163</v>
      </c>
      <c r="I1404" s="4">
        <v>35</v>
      </c>
      <c r="J1404" s="4">
        <v>35</v>
      </c>
      <c r="L1404" t="s">
        <v>253</v>
      </c>
      <c r="M1404" t="s">
        <v>485</v>
      </c>
      <c r="N1404" s="4">
        <f>IF(L1404="","",IF(OR(Registro2[[#This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04" t="str">
        <f t="shared" si="21"/>
        <v>abr/25</v>
      </c>
      <c r="P1404" t="str">
        <f>IF(Registro2[[#This Row],[Data de Pagamento]]&gt;0,TEXT(A1404,"mmm/aa"),"")</f>
        <v>abr/25</v>
      </c>
      <c r="T1404" s="4">
        <f>IF(Registro2[[#This Row],[Data de Pagamento]]="",0,IF(Registro2[[#This Row],[Conta Financeira]]=base!$A$6,0,Registro2[[#This Row],[Valor Unitário]]))</f>
        <v>35</v>
      </c>
      <c r="U14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04" t="str">
        <f>VLOOKUP(Registro2[[#This Row],[Categoria]],'Plano de Contas'!$V$3:W1470,2,0)</f>
        <v>Receitas Serviços</v>
      </c>
      <c r="X14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05" spans="1:24" hidden="1">
      <c r="A1405" s="1">
        <v>45758</v>
      </c>
      <c r="B1405" s="1">
        <v>45758</v>
      </c>
      <c r="D1405" t="s">
        <v>1</v>
      </c>
      <c r="E1405" t="s">
        <v>149</v>
      </c>
      <c r="F1405" t="s">
        <v>152</v>
      </c>
      <c r="G1405" t="s">
        <v>353</v>
      </c>
      <c r="I1405" s="4">
        <v>60</v>
      </c>
      <c r="J1405" s="4">
        <v>60</v>
      </c>
      <c r="L1405" t="s">
        <v>252</v>
      </c>
      <c r="M1405" t="s">
        <v>131</v>
      </c>
      <c r="N1405" s="4">
        <f>IF(L1405="","",IF(OR(Registro2[[#This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405" t="str">
        <f t="shared" si="21"/>
        <v>abr/25</v>
      </c>
      <c r="P1405" t="str">
        <f>IF(Registro2[[#This Row],[Data de Pagamento]]&gt;0,TEXT(A1405,"mmm/aa"),"")</f>
        <v>abr/25</v>
      </c>
      <c r="T1405" s="4">
        <f>IF(Registro2[[#This Row],[Data de Pagamento]]="",0,IF(Registro2[[#This Row],[Conta Financeira]]=base!$A$6,0,Registro2[[#This Row],[Valor Unitário]]))</f>
        <v>60</v>
      </c>
      <c r="U14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05" t="str">
        <f>VLOOKUP(Registro2[[#This Row],[Categoria]],'Plano de Contas'!$V$3:W1471,2,0)</f>
        <v>Receitas Serviços</v>
      </c>
      <c r="X14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06" spans="1:24" hidden="1">
      <c r="A1406" s="1">
        <v>45758</v>
      </c>
      <c r="B1406" s="1">
        <v>45758</v>
      </c>
      <c r="D1406" t="s">
        <v>354</v>
      </c>
      <c r="E1406" t="s">
        <v>149</v>
      </c>
      <c r="F1406" t="s">
        <v>152</v>
      </c>
      <c r="G1406" t="s">
        <v>353</v>
      </c>
      <c r="I1406" s="4">
        <v>60</v>
      </c>
      <c r="J1406" s="4">
        <v>60</v>
      </c>
      <c r="L1406" t="s">
        <v>264</v>
      </c>
      <c r="M1406" t="s">
        <v>2229</v>
      </c>
      <c r="N1406" s="4">
        <f>IF(L1406="","",IF(OR(Registro2[[#This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406" t="str">
        <f t="shared" si="21"/>
        <v>abr/25</v>
      </c>
      <c r="P1406" t="str">
        <f>IF(Registro2[[#This Row],[Data de Pagamento]]&gt;0,TEXT(A1406,"mmm/aa"),"")</f>
        <v>abr/25</v>
      </c>
      <c r="T1406" s="4">
        <f>IF(Registro2[[#This Row],[Data de Pagamento]]="",0,IF(Registro2[[#This Row],[Conta Financeira]]=base!$A$6,0,Registro2[[#This Row],[Valor Unitário]]))</f>
        <v>60</v>
      </c>
      <c r="U14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06" t="str">
        <f>VLOOKUP(Registro2[[#This Row],[Categoria]],'Plano de Contas'!$V$3:W1472,2,0)</f>
        <v>Receitas Serviços</v>
      </c>
      <c r="X140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</row>
    <row r="1407" spans="1:24" hidden="1">
      <c r="A1407" s="1">
        <v>45758</v>
      </c>
      <c r="B1407" s="1">
        <v>45758</v>
      </c>
      <c r="D1407" t="s">
        <v>1</v>
      </c>
      <c r="E1407" t="s">
        <v>149</v>
      </c>
      <c r="F1407" t="s">
        <v>147</v>
      </c>
      <c r="G1407" t="s">
        <v>163</v>
      </c>
      <c r="I1407" s="4">
        <v>35</v>
      </c>
      <c r="J1407" s="4">
        <v>35</v>
      </c>
      <c r="L1407" t="s">
        <v>264</v>
      </c>
      <c r="M1407" t="s">
        <v>1348</v>
      </c>
      <c r="N1407" s="4">
        <f>IF(L1407="","",IF(OR(Registro2[[#This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07" t="str">
        <f t="shared" si="21"/>
        <v>abr/25</v>
      </c>
      <c r="P1407" t="str">
        <f>IF(Registro2[[#This Row],[Data de Pagamento]]&gt;0,TEXT(A1407,"mmm/aa"),"")</f>
        <v>abr/25</v>
      </c>
      <c r="T1407" s="4">
        <f>IF(Registro2[[#This Row],[Data de Pagamento]]="",0,IF(Registro2[[#This Row],[Conta Financeira]]=base!$A$6,0,Registro2[[#This Row],[Valor Unitário]]))</f>
        <v>35</v>
      </c>
      <c r="U14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07" t="str">
        <f>VLOOKUP(Registro2[[#This Row],[Categoria]],'Plano de Contas'!$V$3:W1473,2,0)</f>
        <v>Receitas Serviços</v>
      </c>
      <c r="X140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08" spans="1:24" hidden="1">
      <c r="A1408" s="1">
        <v>45758</v>
      </c>
      <c r="B1408" s="1">
        <v>45758</v>
      </c>
      <c r="D1408" t="s">
        <v>1</v>
      </c>
      <c r="E1408" t="s">
        <v>149</v>
      </c>
      <c r="F1408" t="s">
        <v>147</v>
      </c>
      <c r="G1408" t="s">
        <v>163</v>
      </c>
      <c r="I1408" s="4">
        <v>35</v>
      </c>
      <c r="J1408" s="4">
        <v>35</v>
      </c>
      <c r="L1408" t="s">
        <v>253</v>
      </c>
      <c r="M1408" t="s">
        <v>2233</v>
      </c>
      <c r="N1408" s="4">
        <f>IF(L1408="","",IF(OR(Registro2[[#This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08" t="str">
        <f t="shared" si="21"/>
        <v>abr/25</v>
      </c>
      <c r="P1408" t="str">
        <f>IF(Registro2[[#This Row],[Data de Pagamento]]&gt;0,TEXT(A1408,"mmm/aa"),"")</f>
        <v>abr/25</v>
      </c>
      <c r="T1408" s="4">
        <f>IF(Registro2[[#This Row],[Data de Pagamento]]="",0,IF(Registro2[[#This Row],[Conta Financeira]]=base!$A$6,0,Registro2[[#This Row],[Valor Unitário]]))</f>
        <v>35</v>
      </c>
      <c r="U14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08" t="str">
        <f>VLOOKUP(Registro2[[#This Row],[Categoria]],'Plano de Contas'!$V$3:W1474,2,0)</f>
        <v>Receitas Serviços</v>
      </c>
      <c r="X140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09" spans="1:24" hidden="1">
      <c r="A1409" s="1">
        <v>45758</v>
      </c>
      <c r="B1409" s="1">
        <v>45758</v>
      </c>
      <c r="D1409" t="s">
        <v>354</v>
      </c>
      <c r="E1409" t="s">
        <v>149</v>
      </c>
      <c r="F1409" t="s">
        <v>147</v>
      </c>
      <c r="G1409" t="s">
        <v>163</v>
      </c>
      <c r="I1409" s="4">
        <v>35</v>
      </c>
      <c r="J1409" s="4">
        <v>35</v>
      </c>
      <c r="L1409" t="s">
        <v>253</v>
      </c>
      <c r="M1409" t="s">
        <v>1081</v>
      </c>
      <c r="N1409" s="4">
        <f>IF(L1409="","",IF(OR(Registro2[[#This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09" t="str">
        <f t="shared" si="21"/>
        <v>abr/25</v>
      </c>
      <c r="P1409" t="str">
        <f>IF(Registro2[[#This Row],[Data de Pagamento]]&gt;0,TEXT(A1409,"mmm/aa"),"")</f>
        <v>abr/25</v>
      </c>
      <c r="T1409" s="4">
        <f>IF(Registro2[[#This Row],[Data de Pagamento]]="",0,IF(Registro2[[#This Row],[Conta Financeira]]=base!$A$6,0,Registro2[[#This Row],[Valor Unitário]]))</f>
        <v>35</v>
      </c>
      <c r="U14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09" t="str">
        <f>VLOOKUP(Registro2[[#This Row],[Categoria]],'Plano de Contas'!$V$3:W1475,2,0)</f>
        <v>Receitas Serviços</v>
      </c>
      <c r="X140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410" spans="1:24" hidden="1">
      <c r="A1410" s="1">
        <v>45758</v>
      </c>
      <c r="B1410" s="1">
        <v>45758</v>
      </c>
      <c r="D1410" t="s">
        <v>354</v>
      </c>
      <c r="E1410" t="s">
        <v>149</v>
      </c>
      <c r="F1410" t="s">
        <v>147</v>
      </c>
      <c r="G1410" t="s">
        <v>163</v>
      </c>
      <c r="I1410" s="4">
        <v>35</v>
      </c>
      <c r="J1410" s="4">
        <v>35</v>
      </c>
      <c r="L1410" t="s">
        <v>253</v>
      </c>
      <c r="M1410" t="s">
        <v>2238</v>
      </c>
      <c r="N1410" s="4">
        <f>IF(L1410="","",IF(OR(Registro2[[#This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10" t="str">
        <f t="shared" ref="O1410:O1473" si="22">TEXT(B1410,"mmm/aa")</f>
        <v>abr/25</v>
      </c>
      <c r="P1410" t="str">
        <f>IF(Registro2[[#This Row],[Data de Pagamento]]&gt;0,TEXT(A1410,"mmm/aa"),"")</f>
        <v>abr/25</v>
      </c>
      <c r="T1410" s="4">
        <f>IF(Registro2[[#This Row],[Data de Pagamento]]="",0,IF(Registro2[[#This Row],[Conta Financeira]]=base!$A$6,0,Registro2[[#This Row],[Valor Unitário]]))</f>
        <v>35</v>
      </c>
      <c r="U14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10" t="str">
        <f>VLOOKUP(Registro2[[#This Row],[Categoria]],'Plano de Contas'!$V$3:W1476,2,0)</f>
        <v>Receitas Serviços</v>
      </c>
      <c r="X141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411" spans="1:24" hidden="1">
      <c r="A1411" s="1">
        <v>45758</v>
      </c>
      <c r="B1411" s="1">
        <v>45758</v>
      </c>
      <c r="D1411" t="s">
        <v>2</v>
      </c>
      <c r="E1411" t="s">
        <v>149</v>
      </c>
      <c r="F1411" t="s">
        <v>147</v>
      </c>
      <c r="G1411" t="s">
        <v>160</v>
      </c>
      <c r="I1411" s="4">
        <v>12</v>
      </c>
      <c r="J1411" s="4">
        <v>12</v>
      </c>
      <c r="L1411" t="s">
        <v>264</v>
      </c>
      <c r="M1411" t="s">
        <v>207</v>
      </c>
      <c r="N1411" s="4">
        <f>IF(L1411="","",IF(OR(Registro2[[#This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1411" t="str">
        <f t="shared" si="22"/>
        <v>abr/25</v>
      </c>
      <c r="P1411" t="str">
        <f>IF(Registro2[[#This Row],[Data de Pagamento]]&gt;0,TEXT(A1411,"mmm/aa"),"")</f>
        <v>abr/25</v>
      </c>
      <c r="T1411" s="4">
        <f>IF(Registro2[[#This Row],[Data de Pagamento]]="",0,IF(Registro2[[#This Row],[Conta Financeira]]=base!$A$6,0,Registro2[[#This Row],[Valor Unitário]]))</f>
        <v>12</v>
      </c>
      <c r="U14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11" t="str">
        <f>VLOOKUP(Registro2[[#This Row],[Categoria]],'Plano de Contas'!$V$3:W1477,2,0)</f>
        <v>Receitas Serviços</v>
      </c>
      <c r="X14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12" spans="1:24" hidden="1">
      <c r="A1412" s="1">
        <v>45758</v>
      </c>
      <c r="B1412" s="1">
        <v>45758</v>
      </c>
      <c r="D1412" t="s">
        <v>310</v>
      </c>
      <c r="E1412" t="s">
        <v>149</v>
      </c>
      <c r="F1412" t="s">
        <v>152</v>
      </c>
      <c r="G1412" t="s">
        <v>353</v>
      </c>
      <c r="I1412" s="4">
        <v>60</v>
      </c>
      <c r="J1412" s="4">
        <v>60</v>
      </c>
      <c r="L1412" t="s">
        <v>252</v>
      </c>
      <c r="M1412" t="s">
        <v>1823</v>
      </c>
      <c r="N1412" s="4">
        <f>IF(L1412="","",IF(OR(Registro2[[#This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412" t="str">
        <f t="shared" si="22"/>
        <v>abr/25</v>
      </c>
      <c r="P1412" t="str">
        <f>IF(Registro2[[#This Row],[Data de Pagamento]]&gt;0,TEXT(A1412,"mmm/aa"),"")</f>
        <v>abr/25</v>
      </c>
      <c r="T1412" s="4">
        <f>IF(Registro2[[#This Row],[Data de Pagamento]]="",0,IF(Registro2[[#This Row],[Conta Financeira]]=base!$A$6,0,Registro2[[#This Row],[Valor Unitário]]))</f>
        <v>60</v>
      </c>
      <c r="U14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12" t="str">
        <f>VLOOKUP(Registro2[[#This Row],[Categoria]],'Plano de Contas'!$V$3:W1483,2,0)</f>
        <v>Receitas Serviços</v>
      </c>
      <c r="X141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</row>
    <row r="1413" spans="1:24" hidden="1">
      <c r="A1413" s="1">
        <v>45758</v>
      </c>
      <c r="B1413" s="1">
        <v>45758</v>
      </c>
      <c r="D1413" t="s">
        <v>1</v>
      </c>
      <c r="E1413" t="s">
        <v>149</v>
      </c>
      <c r="F1413" t="s">
        <v>147</v>
      </c>
      <c r="G1413" t="s">
        <v>163</v>
      </c>
      <c r="I1413" s="4">
        <v>35</v>
      </c>
      <c r="J1413" s="4">
        <v>35</v>
      </c>
      <c r="L1413" t="s">
        <v>264</v>
      </c>
      <c r="M1413" t="s">
        <v>2247</v>
      </c>
      <c r="N1413" s="4">
        <f>IF(L1413="","",IF(OR(Registro2[[#This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13" t="str">
        <f t="shared" si="22"/>
        <v>abr/25</v>
      </c>
      <c r="P1413" t="str">
        <f>IF(Registro2[[#This Row],[Data de Pagamento]]&gt;0,TEXT(A1413,"mmm/aa"),"")</f>
        <v>abr/25</v>
      </c>
      <c r="T1413" s="4">
        <f>IF(Registro2[[#This Row],[Data de Pagamento]]="",0,IF(Registro2[[#This Row],[Conta Financeira]]=base!$A$6,0,Registro2[[#This Row],[Valor Unitário]]))</f>
        <v>35</v>
      </c>
      <c r="U14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13" t="str">
        <f>VLOOKUP(Registro2[[#This Row],[Categoria]],'Plano de Contas'!$V$3:W1484,2,0)</f>
        <v>Receitas Serviços</v>
      </c>
      <c r="X141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14" spans="1:24" hidden="1">
      <c r="A1414" s="1">
        <v>45758</v>
      </c>
      <c r="B1414" s="1">
        <v>45758</v>
      </c>
      <c r="D1414" t="s">
        <v>1</v>
      </c>
      <c r="E1414" t="s">
        <v>149</v>
      </c>
      <c r="F1414" t="s">
        <v>152</v>
      </c>
      <c r="G1414" t="s">
        <v>353</v>
      </c>
      <c r="I1414" s="4">
        <v>55</v>
      </c>
      <c r="J1414" s="4">
        <v>55</v>
      </c>
      <c r="L1414" t="s">
        <v>264</v>
      </c>
      <c r="M1414" t="s">
        <v>1184</v>
      </c>
      <c r="N1414" s="4">
        <f>IF(L1414="","",IF(OR(Registro2[[#This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1414" t="str">
        <f t="shared" si="22"/>
        <v>abr/25</v>
      </c>
      <c r="P1414" t="str">
        <f>IF(Registro2[[#This Row],[Data de Pagamento]]&gt;0,TEXT(A1414,"mmm/aa"),"")</f>
        <v>abr/25</v>
      </c>
      <c r="T1414" s="4">
        <f>IF(Registro2[[#This Row],[Data de Pagamento]]="",0,IF(Registro2[[#This Row],[Conta Financeira]]=base!$A$6,0,Registro2[[#This Row],[Valor Unitário]]))</f>
        <v>55</v>
      </c>
      <c r="U14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14" t="str">
        <f>VLOOKUP(Registro2[[#This Row],[Categoria]],'Plano de Contas'!$V$3:W1485,2,0)</f>
        <v>Receitas Serviços</v>
      </c>
      <c r="X141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15" spans="1:24" hidden="1">
      <c r="A1415" s="1">
        <v>45758</v>
      </c>
      <c r="B1415" s="1">
        <v>45758</v>
      </c>
      <c r="D1415" t="s">
        <v>310</v>
      </c>
      <c r="E1415" t="s">
        <v>149</v>
      </c>
      <c r="F1415" t="s">
        <v>152</v>
      </c>
      <c r="G1415" t="s">
        <v>353</v>
      </c>
      <c r="I1415" s="4">
        <v>55</v>
      </c>
      <c r="J1415" s="4">
        <v>55</v>
      </c>
      <c r="L1415" t="s">
        <v>253</v>
      </c>
      <c r="M1415" t="s">
        <v>376</v>
      </c>
      <c r="N1415" s="4">
        <f>IF(L1415="","",IF(OR(Registro2[[#This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1415" t="str">
        <f t="shared" si="22"/>
        <v>abr/25</v>
      </c>
      <c r="P1415" t="str">
        <f>IF(Registro2[[#This Row],[Data de Pagamento]]&gt;0,TEXT(A1415,"mmm/aa"),"")</f>
        <v>abr/25</v>
      </c>
      <c r="T1415" s="4">
        <f>IF(Registro2[[#This Row],[Data de Pagamento]]="",0,IF(Registro2[[#This Row],[Conta Financeira]]=base!$A$6,0,Registro2[[#This Row],[Valor Unitário]]))</f>
        <v>55</v>
      </c>
      <c r="U14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15" t="str">
        <f>VLOOKUP(Registro2[[#This Row],[Categoria]],'Plano de Contas'!$V$3:W1486,2,0)</f>
        <v>Receitas Serviços</v>
      </c>
      <c r="X141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0.48949999999999999</v>
      </c>
    </row>
    <row r="1416" spans="1:24" hidden="1">
      <c r="A1416" s="1">
        <v>45758</v>
      </c>
      <c r="B1416" s="1">
        <v>45758</v>
      </c>
      <c r="D1416" t="s">
        <v>2</v>
      </c>
      <c r="E1416" t="s">
        <v>149</v>
      </c>
      <c r="F1416" t="s">
        <v>147</v>
      </c>
      <c r="G1416" t="s">
        <v>1046</v>
      </c>
      <c r="I1416" s="4">
        <v>35</v>
      </c>
      <c r="J1416" s="4">
        <v>60</v>
      </c>
      <c r="L1416" t="s">
        <v>264</v>
      </c>
      <c r="M1416" t="s">
        <v>1533</v>
      </c>
      <c r="N1416" s="4">
        <f>IF(L1416="","",IF(OR(Registro2[[#This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16" t="str">
        <f t="shared" si="22"/>
        <v>abr/25</v>
      </c>
      <c r="P1416" t="str">
        <f>IF(Registro2[[#This Row],[Data de Pagamento]]&gt;0,TEXT(A1416,"mmm/aa"),"")</f>
        <v>abr/25</v>
      </c>
      <c r="T1416" s="4">
        <f>IF(Registro2[[#This Row],[Data de Pagamento]]="",0,IF(Registro2[[#This Row],[Conta Financeira]]=base!$A$6,0,Registro2[[#This Row],[Valor Unitário]]))</f>
        <v>35</v>
      </c>
      <c r="U14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16" t="str">
        <f>VLOOKUP(Registro2[[#This Row],[Categoria]],'Plano de Contas'!$V$3:W1488,2,0)</f>
        <v>Receitas Serviços</v>
      </c>
      <c r="X141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17" spans="1:24" hidden="1">
      <c r="A1417" s="1">
        <v>45758</v>
      </c>
      <c r="B1417" s="1">
        <v>45758</v>
      </c>
      <c r="D1417" t="s">
        <v>2</v>
      </c>
      <c r="E1417" t="s">
        <v>149</v>
      </c>
      <c r="F1417" t="s">
        <v>152</v>
      </c>
      <c r="G1417" t="s">
        <v>352</v>
      </c>
      <c r="I1417" s="4">
        <v>20</v>
      </c>
      <c r="J1417" s="4" t="s">
        <v>1604</v>
      </c>
      <c r="L1417" t="s">
        <v>264</v>
      </c>
      <c r="M1417" t="s">
        <v>1533</v>
      </c>
      <c r="N1417" s="4">
        <f>IF(L1417="","",IF(OR(Registro2[[#This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417" t="str">
        <f t="shared" si="22"/>
        <v>abr/25</v>
      </c>
      <c r="P1417" t="str">
        <f>IF(Registro2[[#This Row],[Data de Pagamento]]&gt;0,TEXT(A1417,"mmm/aa"),"")</f>
        <v>abr/25</v>
      </c>
      <c r="T1417" s="4">
        <f>IF(Registro2[[#This Row],[Data de Pagamento]]="",0,IF(Registro2[[#This Row],[Conta Financeira]]=base!$A$6,0,Registro2[[#This Row],[Valor Unitário]]))</f>
        <v>20</v>
      </c>
      <c r="U14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17" t="str">
        <f>VLOOKUP(Registro2[[#This Row],[Categoria]],'Plano de Contas'!$V$3:W1489,2,0)</f>
        <v>Receitas Serviços</v>
      </c>
      <c r="X141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18" spans="1:24" hidden="1">
      <c r="A1418" s="1">
        <v>45758</v>
      </c>
      <c r="B1418" s="1">
        <v>45758</v>
      </c>
      <c r="D1418" t="s">
        <v>2</v>
      </c>
      <c r="E1418" t="s">
        <v>149</v>
      </c>
      <c r="F1418" t="s">
        <v>910</v>
      </c>
      <c r="G1418" t="s">
        <v>910</v>
      </c>
      <c r="I1418" s="4">
        <v>5</v>
      </c>
      <c r="J1418" s="4" t="s">
        <v>1604</v>
      </c>
      <c r="L1418" t="s">
        <v>264</v>
      </c>
      <c r="M1418" t="s">
        <v>1533</v>
      </c>
      <c r="N1418" s="4" t="str">
        <f>IF(L1418="","",IF(OR(Registro2[[#This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418" t="str">
        <f t="shared" si="22"/>
        <v>abr/25</v>
      </c>
      <c r="P1418" t="str">
        <f>IF(Registro2[[#This Row],[Data de Pagamento]]&gt;0,TEXT(A1418,"mmm/aa"),"")</f>
        <v>abr/25</v>
      </c>
      <c r="T1418" s="4">
        <f>IF(Registro2[[#This Row],[Data de Pagamento]]="",0,IF(Registro2[[#This Row],[Conta Financeira]]=base!$A$6,0,Registro2[[#This Row],[Valor Unitário]]))</f>
        <v>5</v>
      </c>
      <c r="U14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18" t="str">
        <f>VLOOKUP(Registro2[[#This Row],[Categoria]],'Plano de Contas'!$V$3:W1490,2,0)</f>
        <v>Outras Receitas</v>
      </c>
      <c r="X14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19" spans="1:24" hidden="1">
      <c r="A1419" s="1">
        <v>45758</v>
      </c>
      <c r="B1419" s="1">
        <v>45758</v>
      </c>
      <c r="D1419" t="s">
        <v>2</v>
      </c>
      <c r="E1419" t="s">
        <v>149</v>
      </c>
      <c r="F1419" t="s">
        <v>147</v>
      </c>
      <c r="G1419" t="s">
        <v>160</v>
      </c>
      <c r="I1419" s="4">
        <v>12</v>
      </c>
      <c r="J1419" s="4">
        <v>12</v>
      </c>
      <c r="L1419" t="s">
        <v>252</v>
      </c>
      <c r="M1419" t="s">
        <v>491</v>
      </c>
      <c r="N1419" s="4">
        <f>IF(L1419="","",IF(OR(Registro2[[#This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1419" t="str">
        <f t="shared" si="22"/>
        <v>abr/25</v>
      </c>
      <c r="P1419" t="str">
        <f>IF(Registro2[[#This Row],[Data de Pagamento]]&gt;0,TEXT(A1419,"mmm/aa"),"")</f>
        <v>abr/25</v>
      </c>
      <c r="T1419" s="4">
        <f>IF(Registro2[[#This Row],[Data de Pagamento]]="",0,IF(Registro2[[#This Row],[Conta Financeira]]=base!$A$6,0,Registro2[[#This Row],[Valor Unitário]]))</f>
        <v>12</v>
      </c>
      <c r="U14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19" t="str">
        <f>VLOOKUP(Registro2[[#This Row],[Categoria]],'Plano de Contas'!$V$3:W1491,2,0)</f>
        <v>Receitas Serviços</v>
      </c>
      <c r="X141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20" spans="1:24" hidden="1">
      <c r="A1420" s="1">
        <v>45759</v>
      </c>
      <c r="B1420" s="1">
        <v>45759</v>
      </c>
      <c r="D1420" t="s">
        <v>310</v>
      </c>
      <c r="E1420" t="s">
        <v>149</v>
      </c>
      <c r="F1420" t="s">
        <v>147</v>
      </c>
      <c r="G1420" t="s">
        <v>163</v>
      </c>
      <c r="I1420" s="4">
        <v>35</v>
      </c>
      <c r="J1420" s="4">
        <v>35</v>
      </c>
      <c r="L1420" t="s">
        <v>253</v>
      </c>
      <c r="M1420" t="s">
        <v>106</v>
      </c>
      <c r="N1420" s="4">
        <f>IF(L1420="","",IF(OR(Registro2[[#This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20" t="str">
        <f t="shared" si="22"/>
        <v>abr/25</v>
      </c>
      <c r="P1420" t="str">
        <f>IF(Registro2[[#This Row],[Data de Pagamento]]&gt;0,TEXT(A1420,"mmm/aa"),"")</f>
        <v>abr/25</v>
      </c>
      <c r="T1420" s="4">
        <f>IF(Registro2[[#This Row],[Data de Pagamento]]="",0,IF(Registro2[[#This Row],[Conta Financeira]]=base!$A$6,0,Registro2[[#This Row],[Valor Unitário]]))</f>
        <v>35</v>
      </c>
      <c r="U14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20" t="str">
        <f>VLOOKUP(Registro2[[#This Row],[Categoria]],'Plano de Contas'!$V$3:W1395,2,0)</f>
        <v>Receitas Serviços</v>
      </c>
      <c r="X142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421" spans="1:24" hidden="1">
      <c r="A1421" s="1">
        <v>45759</v>
      </c>
      <c r="B1421" s="1">
        <v>45759</v>
      </c>
      <c r="D1421" t="s">
        <v>354</v>
      </c>
      <c r="E1421" t="s">
        <v>149</v>
      </c>
      <c r="F1421" t="s">
        <v>147</v>
      </c>
      <c r="G1421" t="s">
        <v>163</v>
      </c>
      <c r="I1421" s="4">
        <v>35</v>
      </c>
      <c r="J1421" s="4">
        <v>30</v>
      </c>
      <c r="L1421" t="s">
        <v>264</v>
      </c>
      <c r="M1421" t="s">
        <v>401</v>
      </c>
      <c r="N1421" s="4">
        <f>IF(L1421="","",IF(OR(Registro2[[#This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21" t="str">
        <f t="shared" si="22"/>
        <v>abr/25</v>
      </c>
      <c r="P1421" t="str">
        <f>IF(Registro2[[#This Row],[Data de Pagamento]]&gt;0,TEXT(A1421,"mmm/aa"),"")</f>
        <v>abr/25</v>
      </c>
      <c r="T1421" s="4">
        <f>IF(Registro2[[#This Row],[Data de Pagamento]]="",0,IF(Registro2[[#This Row],[Conta Financeira]]=base!$A$6,0,Registro2[[#This Row],[Valor Unitário]]))</f>
        <v>35</v>
      </c>
      <c r="U14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21" t="str">
        <f>VLOOKUP(Registro2[[#This Row],[Categoria]],'Plano de Contas'!$V$3:W1456,2,0)</f>
        <v>Receitas Serviços</v>
      </c>
      <c r="X142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422" spans="1:24" hidden="1">
      <c r="A1422" s="1">
        <v>45759</v>
      </c>
      <c r="B1422" s="1">
        <v>45759</v>
      </c>
      <c r="D1422" t="s">
        <v>1</v>
      </c>
      <c r="E1422" t="s">
        <v>149</v>
      </c>
      <c r="F1422" t="s">
        <v>147</v>
      </c>
      <c r="G1422" t="s">
        <v>163</v>
      </c>
      <c r="I1422" s="4">
        <v>35</v>
      </c>
      <c r="J1422" s="4">
        <v>35</v>
      </c>
      <c r="L1422" t="s">
        <v>253</v>
      </c>
      <c r="M1422" t="s">
        <v>16</v>
      </c>
      <c r="N1422" s="4">
        <f>IF(L1422="","",IF(OR(Registro2[[#This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22" t="str">
        <f t="shared" si="22"/>
        <v>abr/25</v>
      </c>
      <c r="P1422" t="str">
        <f>IF(Registro2[[#This Row],[Data de Pagamento]]&gt;0,TEXT(A1422,"mmm/aa"),"")</f>
        <v>abr/25</v>
      </c>
      <c r="T1422" s="4">
        <f>IF(Registro2[[#This Row],[Data de Pagamento]]="",0,IF(Registro2[[#This Row],[Conta Financeira]]=base!$A$6,0,Registro2[[#This Row],[Valor Unitário]]))</f>
        <v>35</v>
      </c>
      <c r="U14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22" t="str">
        <f>VLOOKUP(Registro2[[#This Row],[Categoria]],'Plano de Contas'!$V$3:W1466,2,0)</f>
        <v>Receitas Serviços</v>
      </c>
      <c r="X142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23" spans="1:24" hidden="1">
      <c r="A1423" s="1">
        <v>45759</v>
      </c>
      <c r="B1423" s="1">
        <v>45759</v>
      </c>
      <c r="D1423" t="s">
        <v>1</v>
      </c>
      <c r="E1423" t="s">
        <v>149</v>
      </c>
      <c r="F1423" t="s">
        <v>147</v>
      </c>
      <c r="G1423" t="s">
        <v>163</v>
      </c>
      <c r="I1423" s="4">
        <v>35</v>
      </c>
      <c r="J1423" s="4">
        <v>80</v>
      </c>
      <c r="L1423" t="s">
        <v>252</v>
      </c>
      <c r="M1423" t="s">
        <v>93</v>
      </c>
      <c r="N1423" s="4">
        <f>IF(L1423="","",IF(OR(Registro2[[#This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23" t="str">
        <f t="shared" si="22"/>
        <v>abr/25</v>
      </c>
      <c r="P1423" t="str">
        <f>IF(Registro2[[#This Row],[Data de Pagamento]]&gt;0,TEXT(A1423,"mmm/aa"),"")</f>
        <v>abr/25</v>
      </c>
      <c r="T1423" s="4">
        <f>IF(Registro2[[#This Row],[Data de Pagamento]]="",0,IF(Registro2[[#This Row],[Conta Financeira]]=base!$A$6,0,Registro2[[#This Row],[Valor Unitário]]))</f>
        <v>35</v>
      </c>
      <c r="U14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23" t="str">
        <f>VLOOKUP(Registro2[[#This Row],[Categoria]],'Plano de Contas'!$V$3:W1478,2,0)</f>
        <v>Receitas Serviços</v>
      </c>
      <c r="X142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24" spans="1:24" hidden="1">
      <c r="A1424" s="1">
        <v>45759</v>
      </c>
      <c r="B1424" s="1">
        <v>45759</v>
      </c>
      <c r="D1424" t="s">
        <v>1</v>
      </c>
      <c r="E1424" t="s">
        <v>149</v>
      </c>
      <c r="F1424" t="s">
        <v>147</v>
      </c>
      <c r="G1424" t="s">
        <v>163</v>
      </c>
      <c r="I1424" s="4">
        <v>20</v>
      </c>
      <c r="J1424" s="4" t="s">
        <v>1604</v>
      </c>
      <c r="L1424" t="s">
        <v>252</v>
      </c>
      <c r="M1424" t="s">
        <v>93</v>
      </c>
      <c r="N1424" s="4">
        <f>IF(L1424="","",IF(OR(Registro2[[#This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424" t="str">
        <f t="shared" si="22"/>
        <v>abr/25</v>
      </c>
      <c r="P1424" t="str">
        <f>IF(Registro2[[#This Row],[Data de Pagamento]]&gt;0,TEXT(A1424,"mmm/aa"),"")</f>
        <v>abr/25</v>
      </c>
      <c r="T1424" s="4">
        <f>IF(Registro2[[#This Row],[Data de Pagamento]]="",0,IF(Registro2[[#This Row],[Conta Financeira]]=base!$A$6,0,Registro2[[#This Row],[Valor Unitário]]))</f>
        <v>20</v>
      </c>
      <c r="U14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24" t="str">
        <f>VLOOKUP(Registro2[[#This Row],[Categoria]],'Plano de Contas'!$V$3:W1479,2,0)</f>
        <v>Receitas Serviços</v>
      </c>
      <c r="X142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25" spans="1:24" hidden="1">
      <c r="A1425" s="1">
        <v>45759</v>
      </c>
      <c r="B1425" s="1">
        <v>45759</v>
      </c>
      <c r="D1425" t="s">
        <v>1</v>
      </c>
      <c r="E1425" t="s">
        <v>149</v>
      </c>
      <c r="F1425" t="s">
        <v>150</v>
      </c>
      <c r="G1425" t="s">
        <v>509</v>
      </c>
      <c r="I1425" s="4">
        <v>25</v>
      </c>
      <c r="J1425" s="4" t="s">
        <v>1604</v>
      </c>
      <c r="L1425" t="s">
        <v>252</v>
      </c>
      <c r="M1425" t="s">
        <v>93</v>
      </c>
      <c r="N1425" s="4">
        <f>IF(L1425="","",IF(OR(Registro2[[#This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425" t="str">
        <f t="shared" si="22"/>
        <v>abr/25</v>
      </c>
      <c r="P1425" t="str">
        <f>IF(Registro2[[#This Row],[Data de Pagamento]]&gt;0,TEXT(A1425,"mmm/aa"),"")</f>
        <v>abr/25</v>
      </c>
      <c r="T1425" s="4">
        <f>IF(Registro2[[#This Row],[Data de Pagamento]]="",0,IF(Registro2[[#This Row],[Conta Financeira]]=base!$A$6,0,Registro2[[#This Row],[Valor Unitário]]))</f>
        <v>25</v>
      </c>
      <c r="U14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25" t="str">
        <f>VLOOKUP(Registro2[[#This Row],[Categoria]],'Plano de Contas'!$V$3:W1480,2,0)</f>
        <v>Receitas Produtos</v>
      </c>
      <c r="X142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26" spans="1:24" hidden="1">
      <c r="A1426" s="1">
        <v>45759</v>
      </c>
      <c r="B1426" s="1">
        <v>45759</v>
      </c>
      <c r="D1426" t="s">
        <v>1</v>
      </c>
      <c r="E1426" t="s">
        <v>149</v>
      </c>
      <c r="F1426" t="s">
        <v>147</v>
      </c>
      <c r="G1426" t="s">
        <v>163</v>
      </c>
      <c r="I1426" s="4">
        <v>35</v>
      </c>
      <c r="J1426" s="4">
        <v>55</v>
      </c>
      <c r="L1426" t="s">
        <v>253</v>
      </c>
      <c r="M1426" t="s">
        <v>88</v>
      </c>
      <c r="N1426" s="4">
        <f>IF(L1426="","",IF(OR(Registro2[[#This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26" t="str">
        <f t="shared" si="22"/>
        <v>abr/25</v>
      </c>
      <c r="P1426" t="str">
        <f>IF(Registro2[[#This Row],[Data de Pagamento]]&gt;0,TEXT(A1426,"mmm/aa"),"")</f>
        <v>abr/25</v>
      </c>
      <c r="T1426" s="4">
        <f>IF(Registro2[[#This Row],[Data de Pagamento]]="",0,IF(Registro2[[#This Row],[Conta Financeira]]=base!$A$6,0,Registro2[[#This Row],[Valor Unitário]]))</f>
        <v>35</v>
      </c>
      <c r="U14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26" t="str">
        <f>VLOOKUP(Registro2[[#This Row],[Categoria]],'Plano de Contas'!$V$3:W1481,2,0)</f>
        <v>Receitas Serviços</v>
      </c>
      <c r="X142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27" spans="1:24" hidden="1">
      <c r="A1427" s="1">
        <v>45759</v>
      </c>
      <c r="B1427" s="1">
        <v>45759</v>
      </c>
      <c r="D1427" t="s">
        <v>1</v>
      </c>
      <c r="E1427" t="s">
        <v>149</v>
      </c>
      <c r="F1427" t="s">
        <v>147</v>
      </c>
      <c r="G1427" t="s">
        <v>1046</v>
      </c>
      <c r="I1427" s="4">
        <v>20</v>
      </c>
      <c r="J1427" s="4" t="s">
        <v>1604</v>
      </c>
      <c r="L1427" t="s">
        <v>253</v>
      </c>
      <c r="M1427" t="s">
        <v>88</v>
      </c>
      <c r="N1427" s="4">
        <f>IF(L1427="","",IF(OR(Registro2[[#This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427" t="str">
        <f t="shared" si="22"/>
        <v>abr/25</v>
      </c>
      <c r="P1427" t="str">
        <f>IF(Registro2[[#This Row],[Data de Pagamento]]&gt;0,TEXT(A1427,"mmm/aa"),"")</f>
        <v>abr/25</v>
      </c>
      <c r="T1427" s="4">
        <f>IF(Registro2[[#This Row],[Data de Pagamento]]="",0,IF(Registro2[[#This Row],[Conta Financeira]]=base!$A$6,0,Registro2[[#This Row],[Valor Unitário]]))</f>
        <v>20</v>
      </c>
      <c r="U14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27" t="str">
        <f>VLOOKUP(Registro2[[#This Row],[Categoria]],'Plano de Contas'!$V$3:W1482,2,0)</f>
        <v>Receitas Serviços</v>
      </c>
      <c r="X14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28" spans="1:24" hidden="1">
      <c r="A1428" s="1">
        <v>45759</v>
      </c>
      <c r="B1428" s="1">
        <v>45759</v>
      </c>
      <c r="D1428" t="s">
        <v>354</v>
      </c>
      <c r="E1428" t="s">
        <v>149</v>
      </c>
      <c r="F1428" t="s">
        <v>147</v>
      </c>
      <c r="G1428" t="s">
        <v>163</v>
      </c>
      <c r="I1428" s="4">
        <v>35</v>
      </c>
      <c r="J1428" s="4">
        <v>35</v>
      </c>
      <c r="L1428" t="s">
        <v>264</v>
      </c>
      <c r="M1428" t="s">
        <v>1337</v>
      </c>
      <c r="N1428" s="4">
        <f>IF(L1428="","",IF(OR(Registro2[[#This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28" t="str">
        <f t="shared" si="22"/>
        <v>abr/25</v>
      </c>
      <c r="P1428" t="str">
        <f>IF(Registro2[[#This Row],[Data de Pagamento]]&gt;0,TEXT(A1428,"mmm/aa"),"")</f>
        <v>abr/25</v>
      </c>
      <c r="T1428" s="4">
        <f>IF(Registro2[[#This Row],[Data de Pagamento]]="",0,IF(Registro2[[#This Row],[Conta Financeira]]=base!$A$6,0,Registro2[[#This Row],[Valor Unitário]]))</f>
        <v>35</v>
      </c>
      <c r="U14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28" t="str">
        <f>VLOOKUP(Registro2[[#This Row],[Categoria]],'Plano de Contas'!$V$3:W1487,2,0)</f>
        <v>Receitas Serviços</v>
      </c>
      <c r="X142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429" spans="1:24" hidden="1">
      <c r="A1429" s="1">
        <v>45759</v>
      </c>
      <c r="B1429" s="1">
        <v>45759</v>
      </c>
      <c r="D1429" t="s">
        <v>1</v>
      </c>
      <c r="E1429" t="s">
        <v>149</v>
      </c>
      <c r="F1429" t="s">
        <v>147</v>
      </c>
      <c r="G1429" t="s">
        <v>163</v>
      </c>
      <c r="I1429" s="4">
        <v>35</v>
      </c>
      <c r="J1429" s="4">
        <v>47</v>
      </c>
      <c r="L1429" t="s">
        <v>253</v>
      </c>
      <c r="M1429" t="s">
        <v>2060</v>
      </c>
      <c r="N1429" s="4">
        <f>IF(L1429="","",IF(OR(Registro2[[#This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29" t="str">
        <f t="shared" si="22"/>
        <v>abr/25</v>
      </c>
      <c r="P1429" t="str">
        <f>IF(Registro2[[#This Row],[Data de Pagamento]]&gt;0,TEXT(A1429,"mmm/aa"),"")</f>
        <v>abr/25</v>
      </c>
      <c r="T1429" s="4">
        <f>IF(Registro2[[#This Row],[Data de Pagamento]]="",0,IF(Registro2[[#This Row],[Conta Financeira]]=base!$A$6,0,Registro2[[#This Row],[Valor Unitário]]))</f>
        <v>35</v>
      </c>
      <c r="U14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29" t="str">
        <f>VLOOKUP(Registro2[[#This Row],[Categoria]],'Plano de Contas'!$V$3:W1492,2,0)</f>
        <v>Receitas Serviços</v>
      </c>
      <c r="X14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30" spans="1:24" hidden="1">
      <c r="A1430" s="1">
        <v>45759</v>
      </c>
      <c r="B1430" s="1">
        <v>45759</v>
      </c>
      <c r="D1430" t="s">
        <v>1</v>
      </c>
      <c r="E1430" t="s">
        <v>149</v>
      </c>
      <c r="F1430" t="s">
        <v>147</v>
      </c>
      <c r="G1430" t="s">
        <v>160</v>
      </c>
      <c r="I1430" s="4">
        <v>12</v>
      </c>
      <c r="J1430" s="4" t="s">
        <v>1604</v>
      </c>
      <c r="L1430" t="s">
        <v>253</v>
      </c>
      <c r="M1430" t="s">
        <v>2060</v>
      </c>
      <c r="N1430" s="4">
        <f>IF(L1430="","",IF(OR(Registro2[[#This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1430" t="str">
        <f t="shared" si="22"/>
        <v>abr/25</v>
      </c>
      <c r="P1430" t="str">
        <f>IF(Registro2[[#This Row],[Data de Pagamento]]&gt;0,TEXT(A1430,"mmm/aa"),"")</f>
        <v>abr/25</v>
      </c>
      <c r="T1430" s="4">
        <f>IF(Registro2[[#This Row],[Data de Pagamento]]="",0,IF(Registro2[[#This Row],[Conta Financeira]]=base!$A$6,0,Registro2[[#This Row],[Valor Unitário]]))</f>
        <v>12</v>
      </c>
      <c r="U14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30" t="str">
        <f>VLOOKUP(Registro2[[#This Row],[Categoria]],'Plano de Contas'!$V$3:W1493,2,0)</f>
        <v>Receitas Serviços</v>
      </c>
      <c r="X143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31" spans="1:24" hidden="1">
      <c r="A1431" s="1">
        <v>45759</v>
      </c>
      <c r="B1431" s="1">
        <v>45759</v>
      </c>
      <c r="D1431" t="s">
        <v>1</v>
      </c>
      <c r="E1431" t="s">
        <v>149</v>
      </c>
      <c r="F1431" t="s">
        <v>147</v>
      </c>
      <c r="G1431" t="s">
        <v>163</v>
      </c>
      <c r="I1431" s="4">
        <v>35</v>
      </c>
      <c r="J1431" s="4">
        <v>35</v>
      </c>
      <c r="L1431" t="s">
        <v>253</v>
      </c>
      <c r="M1431" t="s">
        <v>127</v>
      </c>
      <c r="N1431" s="4">
        <f>IF(L1431="","",IF(OR(Registro2[[#This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31" t="str">
        <f t="shared" si="22"/>
        <v>abr/25</v>
      </c>
      <c r="P1431" t="str">
        <f>IF(Registro2[[#This Row],[Data de Pagamento]]&gt;0,TEXT(A1431,"mmm/aa"),"")</f>
        <v>abr/25</v>
      </c>
      <c r="T1431" s="4">
        <f>IF(Registro2[[#This Row],[Data de Pagamento]]="",0,IF(Registro2[[#This Row],[Conta Financeira]]=base!$A$6,0,Registro2[[#This Row],[Valor Unitário]]))</f>
        <v>35</v>
      </c>
      <c r="U14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31" t="str">
        <f>VLOOKUP(Registro2[[#This Row],[Categoria]],'Plano de Contas'!$V$3:W1494,2,0)</f>
        <v>Receitas Serviços</v>
      </c>
      <c r="X143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32" spans="1:24" hidden="1">
      <c r="A1432" s="1">
        <v>45759</v>
      </c>
      <c r="B1432" s="1">
        <v>45759</v>
      </c>
      <c r="D1432" t="s">
        <v>1</v>
      </c>
      <c r="E1432" t="s">
        <v>149</v>
      </c>
      <c r="F1432" t="s">
        <v>147</v>
      </c>
      <c r="G1432" t="s">
        <v>163</v>
      </c>
      <c r="I1432" s="4">
        <v>35</v>
      </c>
      <c r="J1432" s="4">
        <v>35</v>
      </c>
      <c r="L1432" t="s">
        <v>252</v>
      </c>
      <c r="M1432" t="s">
        <v>473</v>
      </c>
      <c r="N1432" s="4">
        <f>IF(L1432="","",IF(OR(Registro2[[#This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32" t="str">
        <f t="shared" si="22"/>
        <v>abr/25</v>
      </c>
      <c r="P1432" t="str">
        <f>IF(Registro2[[#This Row],[Data de Pagamento]]&gt;0,TEXT(A1432,"mmm/aa"),"")</f>
        <v>abr/25</v>
      </c>
      <c r="T1432" s="4">
        <f>IF(Registro2[[#This Row],[Data de Pagamento]]="",0,IF(Registro2[[#This Row],[Conta Financeira]]=base!$A$6,0,Registro2[[#This Row],[Valor Unitário]]))</f>
        <v>35</v>
      </c>
      <c r="U14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32" t="str">
        <f>VLOOKUP(Registro2[[#This Row],[Categoria]],'Plano de Contas'!$V$3:W1495,2,0)</f>
        <v>Receitas Serviços</v>
      </c>
      <c r="X143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33" spans="1:24" hidden="1">
      <c r="A1433" s="1">
        <v>45759</v>
      </c>
      <c r="B1433" s="1">
        <v>45759</v>
      </c>
      <c r="D1433" t="s">
        <v>1</v>
      </c>
      <c r="E1433" t="s">
        <v>149</v>
      </c>
      <c r="F1433" t="s">
        <v>147</v>
      </c>
      <c r="G1433" t="s">
        <v>163</v>
      </c>
      <c r="I1433" s="4">
        <v>35</v>
      </c>
      <c r="J1433" s="4">
        <v>35</v>
      </c>
      <c r="L1433" t="s">
        <v>252</v>
      </c>
      <c r="M1433" t="s">
        <v>2263</v>
      </c>
      <c r="N1433" s="4">
        <f>IF(L1433="","",IF(OR(Registro2[[#This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33" t="str">
        <f t="shared" si="22"/>
        <v>abr/25</v>
      </c>
      <c r="P1433" t="str">
        <f>IF(Registro2[[#This Row],[Data de Pagamento]]&gt;0,TEXT(A1433,"mmm/aa"),"")</f>
        <v>abr/25</v>
      </c>
      <c r="T1433" s="4">
        <f>IF(Registro2[[#This Row],[Data de Pagamento]]="",0,IF(Registro2[[#This Row],[Conta Financeira]]=base!$A$6,0,Registro2[[#This Row],[Valor Unitário]]))</f>
        <v>35</v>
      </c>
      <c r="U14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33" t="str">
        <f>VLOOKUP(Registro2[[#This Row],[Categoria]],'Plano de Contas'!$V$3:W1496,2,0)</f>
        <v>Receitas Serviços</v>
      </c>
      <c r="X143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34" spans="1:24" hidden="1">
      <c r="A1434" s="1">
        <v>45759</v>
      </c>
      <c r="B1434" s="1">
        <v>45759</v>
      </c>
      <c r="D1434" t="s">
        <v>354</v>
      </c>
      <c r="E1434" t="s">
        <v>149</v>
      </c>
      <c r="F1434" t="s">
        <v>152</v>
      </c>
      <c r="G1434" t="s">
        <v>353</v>
      </c>
      <c r="I1434" s="4">
        <v>50</v>
      </c>
      <c r="J1434" s="4">
        <v>200</v>
      </c>
      <c r="L1434" t="s">
        <v>253</v>
      </c>
      <c r="M1434" t="s">
        <v>414</v>
      </c>
      <c r="N1434" s="4">
        <f>IF(L1434="","",IF(OR(Registro2[[#This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434" t="str">
        <f t="shared" si="22"/>
        <v>abr/25</v>
      </c>
      <c r="P1434" t="str">
        <f>IF(Registro2[[#This Row],[Data de Pagamento]]&gt;0,TEXT(A1434,"mmm/aa"),"")</f>
        <v>abr/25</v>
      </c>
      <c r="T1434" s="4">
        <f>IF(Registro2[[#This Row],[Data de Pagamento]]="",0,IF(Registro2[[#This Row],[Conta Financeira]]=base!$A$6,0,Registro2[[#This Row],[Valor Unitário]]))</f>
        <v>50</v>
      </c>
      <c r="U14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34" t="str">
        <f>VLOOKUP(Registro2[[#This Row],[Categoria]],'Plano de Contas'!$V$3:W1497,2,0)</f>
        <v>Receitas Serviços</v>
      </c>
      <c r="X143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1.575</v>
      </c>
    </row>
    <row r="1435" spans="1:24" hidden="1">
      <c r="A1435" s="1">
        <v>45759</v>
      </c>
      <c r="B1435" s="1">
        <v>45759</v>
      </c>
      <c r="D1435" t="s">
        <v>2</v>
      </c>
      <c r="E1435" t="s">
        <v>149</v>
      </c>
      <c r="F1435" t="s">
        <v>147</v>
      </c>
      <c r="G1435" t="s">
        <v>163</v>
      </c>
      <c r="I1435" s="4">
        <v>35</v>
      </c>
      <c r="J1435" s="4">
        <v>35</v>
      </c>
      <c r="L1435" t="s">
        <v>253</v>
      </c>
      <c r="M1435" t="s">
        <v>210</v>
      </c>
      <c r="N1435" s="4">
        <f>IF(L1435="","",IF(OR(Registro2[[#This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35" t="str">
        <f t="shared" si="22"/>
        <v>abr/25</v>
      </c>
      <c r="P1435" t="str">
        <f>IF(Registro2[[#This Row],[Data de Pagamento]]&gt;0,TEXT(A1435,"mmm/aa"),"")</f>
        <v>abr/25</v>
      </c>
      <c r="T1435" s="4">
        <f>IF(Registro2[[#This Row],[Data de Pagamento]]="",0,IF(Registro2[[#This Row],[Conta Financeira]]=base!$A$6,0,Registro2[[#This Row],[Valor Unitário]]))</f>
        <v>35</v>
      </c>
      <c r="U14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35" t="str">
        <f>VLOOKUP(Registro2[[#This Row],[Categoria]],'Plano de Contas'!$V$3:W1498,2,0)</f>
        <v>Receitas Serviços</v>
      </c>
      <c r="X143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36" spans="1:24" hidden="1">
      <c r="A1436" s="1">
        <v>45759</v>
      </c>
      <c r="B1436" s="1">
        <v>45759</v>
      </c>
      <c r="D1436" t="s">
        <v>1</v>
      </c>
      <c r="E1436" t="s">
        <v>149</v>
      </c>
      <c r="F1436" t="s">
        <v>152</v>
      </c>
      <c r="G1436" t="s">
        <v>353</v>
      </c>
      <c r="I1436" s="4">
        <v>60</v>
      </c>
      <c r="J1436" s="4">
        <v>60</v>
      </c>
      <c r="L1436" t="s">
        <v>264</v>
      </c>
      <c r="M1436" t="s">
        <v>2270</v>
      </c>
      <c r="N1436" s="4">
        <f>IF(L1436="","",IF(OR(Registro2[[#This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436" t="str">
        <f t="shared" si="22"/>
        <v>abr/25</v>
      </c>
      <c r="P1436" t="str">
        <f>IF(Registro2[[#This Row],[Data de Pagamento]]&gt;0,TEXT(A1436,"mmm/aa"),"")</f>
        <v>abr/25</v>
      </c>
      <c r="T1436" s="4">
        <f>IF(Registro2[[#This Row],[Data de Pagamento]]="",0,IF(Registro2[[#This Row],[Conta Financeira]]=base!$A$6,0,Registro2[[#This Row],[Valor Unitário]]))</f>
        <v>60</v>
      </c>
      <c r="U14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36" t="str">
        <f>VLOOKUP(Registro2[[#This Row],[Categoria]],'Plano de Contas'!$V$3:W1499,2,0)</f>
        <v>Receitas Serviços</v>
      </c>
      <c r="X143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37" spans="1:24" hidden="1">
      <c r="A1437" s="1">
        <v>45759</v>
      </c>
      <c r="B1437" s="1">
        <v>45759</v>
      </c>
      <c r="D1437" t="s">
        <v>310</v>
      </c>
      <c r="E1437" t="s">
        <v>149</v>
      </c>
      <c r="F1437" t="s">
        <v>147</v>
      </c>
      <c r="G1437" t="s">
        <v>163</v>
      </c>
      <c r="I1437" s="4">
        <v>35</v>
      </c>
      <c r="J1437" s="4">
        <v>45</v>
      </c>
      <c r="L1437" t="s">
        <v>264</v>
      </c>
      <c r="M1437" t="s">
        <v>1564</v>
      </c>
      <c r="N1437" s="4">
        <f>IF(L1437="","",IF(OR(Registro2[[#This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37" t="str">
        <f t="shared" si="22"/>
        <v>abr/25</v>
      </c>
      <c r="P1437" t="str">
        <f>IF(Registro2[[#This Row],[Data de Pagamento]]&gt;0,TEXT(A1437,"mmm/aa"),"")</f>
        <v>abr/25</v>
      </c>
      <c r="T1437" s="4">
        <f>IF(Registro2[[#This Row],[Data de Pagamento]]="",0,IF(Registro2[[#This Row],[Conta Financeira]]=base!$A$6,0,Registro2[[#This Row],[Valor Unitário]]))</f>
        <v>35</v>
      </c>
      <c r="U14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37" t="str">
        <f>VLOOKUP(Registro2[[#This Row],[Categoria]],'Plano de Contas'!$V$3:W1500,2,0)</f>
        <v>Receitas Serviços</v>
      </c>
      <c r="X143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438" spans="1:24" hidden="1">
      <c r="A1438" s="1">
        <v>45759</v>
      </c>
      <c r="B1438" s="1">
        <v>45759</v>
      </c>
      <c r="D1438" t="s">
        <v>310</v>
      </c>
      <c r="E1438" t="s">
        <v>149</v>
      </c>
      <c r="F1438" t="s">
        <v>147</v>
      </c>
      <c r="G1438" t="s">
        <v>167</v>
      </c>
      <c r="I1438" s="4">
        <v>10</v>
      </c>
      <c r="J1438" s="4" t="s">
        <v>1604</v>
      </c>
      <c r="L1438" t="s">
        <v>264</v>
      </c>
      <c r="M1438" t="s">
        <v>1564</v>
      </c>
      <c r="N1438" s="4">
        <f>IF(L1438="","",IF(OR(Registro2[[#This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438" t="str">
        <f t="shared" si="22"/>
        <v>abr/25</v>
      </c>
      <c r="P1438" t="str">
        <f>IF(Registro2[[#This Row],[Data de Pagamento]]&gt;0,TEXT(A1438,"mmm/aa"),"")</f>
        <v>abr/25</v>
      </c>
      <c r="T1438" s="4">
        <f>IF(Registro2[[#This Row],[Data de Pagamento]]="",0,IF(Registro2[[#This Row],[Conta Financeira]]=base!$A$6,0,Registro2[[#This Row],[Valor Unitário]]))</f>
        <v>10</v>
      </c>
      <c r="U14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38" t="str">
        <f>VLOOKUP(Registro2[[#This Row],[Categoria]],'Plano de Contas'!$V$3:W1501,2,0)</f>
        <v>Receitas Serviços</v>
      </c>
      <c r="X143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8.8999999999999996E-2</v>
      </c>
    </row>
    <row r="1439" spans="1:24" hidden="1">
      <c r="A1439" s="1">
        <v>45759</v>
      </c>
      <c r="B1439" s="1">
        <v>45759</v>
      </c>
      <c r="D1439" t="s">
        <v>2</v>
      </c>
      <c r="E1439" t="s">
        <v>149</v>
      </c>
      <c r="F1439" t="s">
        <v>147</v>
      </c>
      <c r="G1439" t="s">
        <v>163</v>
      </c>
      <c r="I1439" s="4">
        <v>35</v>
      </c>
      <c r="J1439" s="4">
        <v>35</v>
      </c>
      <c r="L1439" t="s">
        <v>253</v>
      </c>
      <c r="M1439" t="s">
        <v>1056</v>
      </c>
      <c r="N1439" s="4">
        <f>IF(L1439="","",IF(OR(Registro2[[#This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39" t="str">
        <f t="shared" si="22"/>
        <v>abr/25</v>
      </c>
      <c r="P1439" t="str">
        <f>IF(Registro2[[#This Row],[Data de Pagamento]]&gt;0,TEXT(A1439,"mmm/aa"),"")</f>
        <v>abr/25</v>
      </c>
      <c r="T1439" s="4">
        <f>IF(Registro2[[#This Row],[Data de Pagamento]]="",0,IF(Registro2[[#This Row],[Conta Financeira]]=base!$A$6,0,Registro2[[#This Row],[Valor Unitário]]))</f>
        <v>35</v>
      </c>
      <c r="U14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39" t="str">
        <f>VLOOKUP(Registro2[[#This Row],[Categoria]],'Plano de Contas'!$V$3:W1502,2,0)</f>
        <v>Receitas Serviços</v>
      </c>
      <c r="X143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40" spans="1:24" hidden="1">
      <c r="A1440" s="1">
        <v>45759</v>
      </c>
      <c r="B1440" s="1">
        <v>45759</v>
      </c>
      <c r="D1440" t="s">
        <v>310</v>
      </c>
      <c r="E1440" t="s">
        <v>149</v>
      </c>
      <c r="F1440" t="s">
        <v>147</v>
      </c>
      <c r="G1440" t="s">
        <v>163</v>
      </c>
      <c r="I1440" s="4">
        <v>35</v>
      </c>
      <c r="J1440" s="4">
        <v>35</v>
      </c>
      <c r="L1440" t="s">
        <v>252</v>
      </c>
      <c r="M1440" t="s">
        <v>1531</v>
      </c>
      <c r="N1440" s="4">
        <f>IF(L1440="","",IF(OR(Registro2[[#This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40" t="str">
        <f t="shared" si="22"/>
        <v>abr/25</v>
      </c>
      <c r="P1440" t="str">
        <f>IF(Registro2[[#This Row],[Data de Pagamento]]&gt;0,TEXT(A1440,"mmm/aa"),"")</f>
        <v>abr/25</v>
      </c>
      <c r="T1440" s="4">
        <f>IF(Registro2[[#This Row],[Data de Pagamento]]="",0,IF(Registro2[[#This Row],[Conta Financeira]]=base!$A$6,0,Registro2[[#This Row],[Valor Unitário]]))</f>
        <v>35</v>
      </c>
      <c r="U14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40" t="str">
        <f>VLOOKUP(Registro2[[#This Row],[Categoria]],'Plano de Contas'!$V$3:W1503,2,0)</f>
        <v>Receitas Serviços</v>
      </c>
      <c r="X144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441" spans="1:24" hidden="1">
      <c r="A1441" s="1">
        <v>45759</v>
      </c>
      <c r="B1441" s="1">
        <v>45759</v>
      </c>
      <c r="D1441" t="s">
        <v>354</v>
      </c>
      <c r="E1441" t="s">
        <v>149</v>
      </c>
      <c r="F1441" t="s">
        <v>147</v>
      </c>
      <c r="G1441" t="s">
        <v>163</v>
      </c>
      <c r="I1441" s="4">
        <v>35</v>
      </c>
      <c r="J1441" s="4">
        <v>35</v>
      </c>
      <c r="L1441" t="s">
        <v>253</v>
      </c>
      <c r="M1441" t="s">
        <v>2279</v>
      </c>
      <c r="N1441" s="4">
        <f>IF(L1441="","",IF(OR(Registro2[[#This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41" t="str">
        <f t="shared" si="22"/>
        <v>abr/25</v>
      </c>
      <c r="P1441" t="str">
        <f>IF(Registro2[[#This Row],[Data de Pagamento]]&gt;0,TEXT(A1441,"mmm/aa"),"")</f>
        <v>abr/25</v>
      </c>
      <c r="T1441" s="4">
        <f>IF(Registro2[[#This Row],[Data de Pagamento]]="",0,IF(Registro2[[#This Row],[Conta Financeira]]=base!$A$6,0,Registro2[[#This Row],[Valor Unitário]]))</f>
        <v>35</v>
      </c>
      <c r="U14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41" t="str">
        <f>VLOOKUP(Registro2[[#This Row],[Categoria]],'Plano de Contas'!$V$3:W1504,2,0)</f>
        <v>Receitas Serviços</v>
      </c>
      <c r="X144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442" spans="1:24" hidden="1">
      <c r="A1442" s="1">
        <v>45759</v>
      </c>
      <c r="B1442" s="1">
        <v>45759</v>
      </c>
      <c r="D1442" t="s">
        <v>310</v>
      </c>
      <c r="E1442" t="s">
        <v>149</v>
      </c>
      <c r="F1442" t="s">
        <v>147</v>
      </c>
      <c r="G1442" t="s">
        <v>163</v>
      </c>
      <c r="I1442" s="4">
        <v>35</v>
      </c>
      <c r="J1442" s="4">
        <v>35</v>
      </c>
      <c r="L1442" t="s">
        <v>264</v>
      </c>
      <c r="M1442" t="s">
        <v>845</v>
      </c>
      <c r="N1442" s="4">
        <f>IF(L1442="","",IF(OR(Registro2[[#This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42" t="str">
        <f t="shared" si="22"/>
        <v>abr/25</v>
      </c>
      <c r="P1442" t="str">
        <f>IF(Registro2[[#This Row],[Data de Pagamento]]&gt;0,TEXT(A1442,"mmm/aa"),"")</f>
        <v>abr/25</v>
      </c>
      <c r="T1442" s="4">
        <f>IF(Registro2[[#This Row],[Data de Pagamento]]="",0,IF(Registro2[[#This Row],[Conta Financeira]]=base!$A$6,0,Registro2[[#This Row],[Valor Unitário]]))</f>
        <v>35</v>
      </c>
      <c r="U14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42" t="str">
        <f>VLOOKUP(Registro2[[#This Row],[Categoria]],'Plano de Contas'!$V$3:W1505,2,0)</f>
        <v>Receitas Serviços</v>
      </c>
      <c r="X144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443" spans="1:24" hidden="1">
      <c r="A1443" s="1">
        <v>45759</v>
      </c>
      <c r="B1443" s="1">
        <v>45759</v>
      </c>
      <c r="D1443" t="s">
        <v>1</v>
      </c>
      <c r="E1443" t="s">
        <v>149</v>
      </c>
      <c r="F1443" t="s">
        <v>147</v>
      </c>
      <c r="G1443" t="s">
        <v>1046</v>
      </c>
      <c r="I1443" s="4">
        <v>35</v>
      </c>
      <c r="J1443" s="4">
        <v>35</v>
      </c>
      <c r="L1443" t="s">
        <v>264</v>
      </c>
      <c r="M1443" t="s">
        <v>286</v>
      </c>
      <c r="N1443" s="4">
        <f>IF(L1443="","",IF(OR(Registro2[[#This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43" t="str">
        <f t="shared" si="22"/>
        <v>abr/25</v>
      </c>
      <c r="P1443" t="str">
        <f>IF(Registro2[[#This Row],[Data de Pagamento]]&gt;0,TEXT(A1443,"mmm/aa"),"")</f>
        <v>abr/25</v>
      </c>
      <c r="T1443" s="4">
        <f>IF(Registro2[[#This Row],[Data de Pagamento]]="",0,IF(Registro2[[#This Row],[Conta Financeira]]=base!$A$6,0,Registro2[[#This Row],[Valor Unitário]]))</f>
        <v>35</v>
      </c>
      <c r="U14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43" t="str">
        <f>VLOOKUP(Registro2[[#This Row],[Categoria]],'Plano de Contas'!$V$3:W1506,2,0)</f>
        <v>Receitas Serviços</v>
      </c>
      <c r="X144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44" spans="1:24" hidden="1">
      <c r="A1444" s="1">
        <v>45759</v>
      </c>
      <c r="B1444" s="1">
        <v>45759</v>
      </c>
      <c r="D1444" t="s">
        <v>354</v>
      </c>
      <c r="E1444" t="s">
        <v>149</v>
      </c>
      <c r="F1444" t="s">
        <v>147</v>
      </c>
      <c r="G1444" t="s">
        <v>163</v>
      </c>
      <c r="I1444" s="4">
        <v>35</v>
      </c>
      <c r="J1444" s="4">
        <v>35</v>
      </c>
      <c r="L1444" t="s">
        <v>264</v>
      </c>
      <c r="M1444" t="s">
        <v>2285</v>
      </c>
      <c r="N1444" s="4">
        <f>IF(L1444="","",IF(OR(Registro2[[#This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44" t="str">
        <f t="shared" si="22"/>
        <v>abr/25</v>
      </c>
      <c r="P1444" t="str">
        <f>IF(Registro2[[#This Row],[Data de Pagamento]]&gt;0,TEXT(A1444,"mmm/aa"),"")</f>
        <v>abr/25</v>
      </c>
      <c r="T1444" s="4">
        <f>IF(Registro2[[#This Row],[Data de Pagamento]]="",0,IF(Registro2[[#This Row],[Conta Financeira]]=base!$A$6,0,Registro2[[#This Row],[Valor Unitário]]))</f>
        <v>35</v>
      </c>
      <c r="U14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44" t="str">
        <f>VLOOKUP(Registro2[[#This Row],[Categoria]],'Plano de Contas'!$V$3:W1507,2,0)</f>
        <v>Receitas Serviços</v>
      </c>
      <c r="X144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445" spans="1:24" hidden="1">
      <c r="A1445" s="1">
        <v>45759</v>
      </c>
      <c r="B1445" s="1">
        <v>45759</v>
      </c>
      <c r="D1445" t="s">
        <v>1</v>
      </c>
      <c r="E1445" t="s">
        <v>149</v>
      </c>
      <c r="F1445" t="s">
        <v>147</v>
      </c>
      <c r="G1445" t="s">
        <v>163</v>
      </c>
      <c r="I1445" s="4">
        <v>35</v>
      </c>
      <c r="J1445" s="4">
        <v>35</v>
      </c>
      <c r="L1445" t="s">
        <v>253</v>
      </c>
      <c r="M1445" t="s">
        <v>282</v>
      </c>
      <c r="N1445" s="4">
        <f>IF(L1445="","",IF(OR(Registro2[[#This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45" t="str">
        <f t="shared" si="22"/>
        <v>abr/25</v>
      </c>
      <c r="P1445" t="str">
        <f>IF(Registro2[[#This Row],[Data de Pagamento]]&gt;0,TEXT(A1445,"mmm/aa"),"")</f>
        <v>abr/25</v>
      </c>
      <c r="T1445" s="4">
        <f>IF(Registro2[[#This Row],[Data de Pagamento]]="",0,IF(Registro2[[#This Row],[Conta Financeira]]=base!$A$6,0,Registro2[[#This Row],[Valor Unitário]]))</f>
        <v>35</v>
      </c>
      <c r="U14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45" t="str">
        <f>VLOOKUP(Registro2[[#This Row],[Categoria]],'Plano de Contas'!$V$3:W1508,2,0)</f>
        <v>Receitas Serviços</v>
      </c>
      <c r="X14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46" spans="1:24" hidden="1">
      <c r="A1446" s="1">
        <v>45759</v>
      </c>
      <c r="B1446" s="1">
        <v>45759</v>
      </c>
      <c r="D1446" t="s">
        <v>310</v>
      </c>
      <c r="E1446" t="s">
        <v>149</v>
      </c>
      <c r="F1446" t="s">
        <v>147</v>
      </c>
      <c r="G1446" t="s">
        <v>163</v>
      </c>
      <c r="I1446" s="4">
        <v>35</v>
      </c>
      <c r="J1446" s="4">
        <v>35</v>
      </c>
      <c r="L1446" t="s">
        <v>253</v>
      </c>
      <c r="M1446" t="s">
        <v>2289</v>
      </c>
      <c r="N1446" s="4">
        <f>IF(L1446="","",IF(OR(Registro2[[#This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46" t="str">
        <f t="shared" si="22"/>
        <v>abr/25</v>
      </c>
      <c r="P1446" t="str">
        <f>IF(Registro2[[#This Row],[Data de Pagamento]]&gt;0,TEXT(A1446,"mmm/aa"),"")</f>
        <v>abr/25</v>
      </c>
      <c r="T1446" s="4">
        <f>IF(Registro2[[#This Row],[Data de Pagamento]]="",0,IF(Registro2[[#This Row],[Conta Financeira]]=base!$A$6,0,Registro2[[#This Row],[Valor Unitário]]))</f>
        <v>35</v>
      </c>
      <c r="U14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46" t="str">
        <f>VLOOKUP(Registro2[[#This Row],[Categoria]],'Plano de Contas'!$V$3:W1509,2,0)</f>
        <v>Receitas Serviços</v>
      </c>
      <c r="X144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447" spans="1:24" hidden="1">
      <c r="A1447" s="1">
        <v>45759</v>
      </c>
      <c r="B1447" s="1">
        <v>45759</v>
      </c>
      <c r="D1447" t="s">
        <v>1</v>
      </c>
      <c r="E1447" t="s">
        <v>149</v>
      </c>
      <c r="F1447" t="s">
        <v>147</v>
      </c>
      <c r="G1447" t="s">
        <v>163</v>
      </c>
      <c r="I1447" s="4">
        <v>35</v>
      </c>
      <c r="J1447" s="4">
        <v>35</v>
      </c>
      <c r="L1447" t="s">
        <v>252</v>
      </c>
      <c r="M1447" t="s">
        <v>1223</v>
      </c>
      <c r="N1447" s="4">
        <f>IF(L1447="","",IF(OR(Registro2[[#This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47" t="str">
        <f t="shared" si="22"/>
        <v>abr/25</v>
      </c>
      <c r="P1447" t="str">
        <f>IF(Registro2[[#This Row],[Data de Pagamento]]&gt;0,TEXT(A1447,"mmm/aa"),"")</f>
        <v>abr/25</v>
      </c>
      <c r="T1447" s="4">
        <f>IF(Registro2[[#This Row],[Data de Pagamento]]="",0,IF(Registro2[[#This Row],[Conta Financeira]]=base!$A$6,0,Registro2[[#This Row],[Valor Unitário]]))</f>
        <v>35</v>
      </c>
      <c r="U14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47" t="str">
        <f>VLOOKUP(Registro2[[#This Row],[Categoria]],'Plano de Contas'!$V$3:W1510,2,0)</f>
        <v>Receitas Serviços</v>
      </c>
      <c r="X144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48" spans="1:24" hidden="1">
      <c r="A1448" s="1">
        <v>45759</v>
      </c>
      <c r="B1448" s="1">
        <v>45759</v>
      </c>
      <c r="D1448" t="s">
        <v>310</v>
      </c>
      <c r="E1448" t="s">
        <v>149</v>
      </c>
      <c r="F1448" t="s">
        <v>147</v>
      </c>
      <c r="G1448" t="s">
        <v>163</v>
      </c>
      <c r="I1448" s="4">
        <v>35</v>
      </c>
      <c r="J1448" s="4">
        <v>35</v>
      </c>
      <c r="L1448" t="s">
        <v>264</v>
      </c>
      <c r="M1448" t="s">
        <v>2294</v>
      </c>
      <c r="N1448" s="4">
        <f>IF(L1448="","",IF(OR(Registro2[[#This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48" t="str">
        <f t="shared" si="22"/>
        <v>abr/25</v>
      </c>
      <c r="P1448" t="str">
        <f>IF(Registro2[[#This Row],[Data de Pagamento]]&gt;0,TEXT(A1448,"mmm/aa"),"")</f>
        <v>abr/25</v>
      </c>
      <c r="T1448" s="4">
        <f>IF(Registro2[[#This Row],[Data de Pagamento]]="",0,IF(Registro2[[#This Row],[Conta Financeira]]=base!$A$6,0,Registro2[[#This Row],[Valor Unitário]]))</f>
        <v>35</v>
      </c>
      <c r="U14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48" t="str">
        <f>VLOOKUP(Registro2[[#This Row],[Categoria]],'Plano de Contas'!$V$3:W1511,2,0)</f>
        <v>Receitas Serviços</v>
      </c>
      <c r="X144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449" spans="1:24" hidden="1">
      <c r="A1449" s="1">
        <v>45759</v>
      </c>
      <c r="B1449" s="1">
        <v>45759</v>
      </c>
      <c r="D1449" t="s">
        <v>310</v>
      </c>
      <c r="E1449" t="s">
        <v>149</v>
      </c>
      <c r="F1449" t="s">
        <v>147</v>
      </c>
      <c r="G1449" t="s">
        <v>163</v>
      </c>
      <c r="I1449" s="4">
        <v>35</v>
      </c>
      <c r="J1449" s="4">
        <v>35</v>
      </c>
      <c r="L1449" t="s">
        <v>252</v>
      </c>
      <c r="M1449" t="s">
        <v>1175</v>
      </c>
      <c r="N1449" s="4">
        <f>IF(L1449="","",IF(OR(Registro2[[#This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49" t="str">
        <f t="shared" si="22"/>
        <v>abr/25</v>
      </c>
      <c r="P1449" t="str">
        <f>IF(Registro2[[#This Row],[Data de Pagamento]]&gt;0,TEXT(A1449,"mmm/aa"),"")</f>
        <v>abr/25</v>
      </c>
      <c r="T1449" s="4">
        <f>IF(Registro2[[#This Row],[Data de Pagamento]]="",0,IF(Registro2[[#This Row],[Conta Financeira]]=base!$A$6,0,Registro2[[#This Row],[Valor Unitário]]))</f>
        <v>35</v>
      </c>
      <c r="U14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49" t="str">
        <f>VLOOKUP(Registro2[[#This Row],[Categoria]],'Plano de Contas'!$V$3:W1512,2,0)</f>
        <v>Receitas Serviços</v>
      </c>
      <c r="X144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450" spans="1:24" hidden="1">
      <c r="A1450" s="1">
        <v>45759</v>
      </c>
      <c r="B1450" s="1">
        <v>45759</v>
      </c>
      <c r="D1450" t="s">
        <v>1</v>
      </c>
      <c r="E1450" t="s">
        <v>149</v>
      </c>
      <c r="F1450" t="s">
        <v>147</v>
      </c>
      <c r="G1450" t="s">
        <v>1046</v>
      </c>
      <c r="I1450" s="4">
        <v>35</v>
      </c>
      <c r="J1450" s="4">
        <v>65</v>
      </c>
      <c r="L1450" t="s">
        <v>264</v>
      </c>
      <c r="M1450" t="s">
        <v>502</v>
      </c>
      <c r="N1450" s="4">
        <f>IF(L1450="","",IF(OR(Registro2[[#This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50" t="str">
        <f t="shared" si="22"/>
        <v>abr/25</v>
      </c>
      <c r="P1450" t="str">
        <f>IF(Registro2[[#This Row],[Data de Pagamento]]&gt;0,TEXT(A1450,"mmm/aa"),"")</f>
        <v>abr/25</v>
      </c>
      <c r="T1450" s="4">
        <f>IF(Registro2[[#This Row],[Data de Pagamento]]="",0,IF(Registro2[[#This Row],[Conta Financeira]]=base!$A$6,0,Registro2[[#This Row],[Valor Unitário]]))</f>
        <v>35</v>
      </c>
      <c r="U14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50" t="str">
        <f>VLOOKUP(Registro2[[#This Row],[Categoria]],'Plano de Contas'!$V$3:W1513,2,0)</f>
        <v>Receitas Serviços</v>
      </c>
      <c r="X145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51" spans="1:24" hidden="1">
      <c r="A1451" s="1">
        <v>45759</v>
      </c>
      <c r="B1451" s="1">
        <v>45759</v>
      </c>
      <c r="D1451" t="s">
        <v>1</v>
      </c>
      <c r="E1451" t="s">
        <v>149</v>
      </c>
      <c r="F1451" t="s">
        <v>147</v>
      </c>
      <c r="G1451" t="s">
        <v>163</v>
      </c>
      <c r="I1451" s="4">
        <v>20</v>
      </c>
      <c r="J1451" s="4" t="s">
        <v>1604</v>
      </c>
      <c r="L1451" t="s">
        <v>264</v>
      </c>
      <c r="M1451" t="s">
        <v>502</v>
      </c>
      <c r="N1451" s="4">
        <f>IF(L1451="","",IF(OR(Registro2[[#This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451" t="str">
        <f t="shared" si="22"/>
        <v>abr/25</v>
      </c>
      <c r="P1451" t="str">
        <f>IF(Registro2[[#This Row],[Data de Pagamento]]&gt;0,TEXT(A1451,"mmm/aa"),"")</f>
        <v>abr/25</v>
      </c>
      <c r="T1451" s="4">
        <f>IF(Registro2[[#This Row],[Data de Pagamento]]="",0,IF(Registro2[[#This Row],[Conta Financeira]]=base!$A$6,0,Registro2[[#This Row],[Valor Unitário]]))</f>
        <v>20</v>
      </c>
      <c r="U14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51" t="str">
        <f>VLOOKUP(Registro2[[#This Row],[Categoria]],'Plano de Contas'!$V$3:W1514,2,0)</f>
        <v>Receitas Serviços</v>
      </c>
      <c r="X145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52" spans="1:24" hidden="1">
      <c r="A1452" s="1">
        <v>45759</v>
      </c>
      <c r="B1452" s="1">
        <v>45759</v>
      </c>
      <c r="D1452" t="s">
        <v>1</v>
      </c>
      <c r="E1452" t="s">
        <v>149</v>
      </c>
      <c r="F1452" t="s">
        <v>910</v>
      </c>
      <c r="G1452" t="s">
        <v>910</v>
      </c>
      <c r="I1452" s="4">
        <v>10</v>
      </c>
      <c r="J1452" s="4" t="s">
        <v>1604</v>
      </c>
      <c r="L1452" t="s">
        <v>264</v>
      </c>
      <c r="M1452" t="s">
        <v>502</v>
      </c>
      <c r="N1452" s="4" t="str">
        <f>IF(L1452="","",IF(OR(Registro2[[#This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452" t="str">
        <f t="shared" si="22"/>
        <v>abr/25</v>
      </c>
      <c r="P1452" t="str">
        <f>IF(Registro2[[#This Row],[Data de Pagamento]]&gt;0,TEXT(A1452,"mmm/aa"),"")</f>
        <v>abr/25</v>
      </c>
      <c r="T1452" s="4">
        <f>IF(Registro2[[#This Row],[Data de Pagamento]]="",0,IF(Registro2[[#This Row],[Conta Financeira]]=base!$A$6,0,Registro2[[#This Row],[Valor Unitário]]))</f>
        <v>10</v>
      </c>
      <c r="U14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52" t="str">
        <f>VLOOKUP(Registro2[[#This Row],[Categoria]],'Plano de Contas'!$V$3:W1515,2,0)</f>
        <v>Outras Receitas</v>
      </c>
      <c r="X145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53" spans="1:24" hidden="1">
      <c r="A1453" s="1">
        <v>45759</v>
      </c>
      <c r="B1453" s="1">
        <v>45759</v>
      </c>
      <c r="D1453" t="s">
        <v>2</v>
      </c>
      <c r="E1453" t="s">
        <v>149</v>
      </c>
      <c r="F1453" t="s">
        <v>147</v>
      </c>
      <c r="G1453" t="s">
        <v>163</v>
      </c>
      <c r="I1453" s="4">
        <v>35</v>
      </c>
      <c r="J1453" s="4">
        <v>35</v>
      </c>
      <c r="L1453" t="s">
        <v>253</v>
      </c>
      <c r="M1453" t="s">
        <v>115</v>
      </c>
      <c r="N1453" s="4">
        <f>IF(L1453="","",IF(OR(Registro2[[#This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53" t="str">
        <f t="shared" si="22"/>
        <v>abr/25</v>
      </c>
      <c r="P1453" t="str">
        <f>IF(Registro2[[#This Row],[Data de Pagamento]]&gt;0,TEXT(A1453,"mmm/aa"),"")</f>
        <v>abr/25</v>
      </c>
      <c r="T1453" s="4">
        <f>IF(Registro2[[#This Row],[Data de Pagamento]]="",0,IF(Registro2[[#This Row],[Conta Financeira]]=base!$A$6,0,Registro2[[#This Row],[Valor Unitário]]))</f>
        <v>35</v>
      </c>
      <c r="U14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53" t="str">
        <f>VLOOKUP(Registro2[[#This Row],[Categoria]],'Plano de Contas'!$V$3:W1516,2,0)</f>
        <v>Receitas Serviços</v>
      </c>
      <c r="X145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54" spans="1:24" hidden="1">
      <c r="A1454" s="1">
        <v>45759</v>
      </c>
      <c r="B1454" s="1">
        <v>45759</v>
      </c>
      <c r="D1454" t="s">
        <v>2</v>
      </c>
      <c r="E1454" t="s">
        <v>149</v>
      </c>
      <c r="F1454" t="s">
        <v>147</v>
      </c>
      <c r="G1454" t="s">
        <v>163</v>
      </c>
      <c r="I1454" s="4">
        <v>35</v>
      </c>
      <c r="J1454" s="4">
        <v>35</v>
      </c>
      <c r="L1454" t="s">
        <v>253</v>
      </c>
      <c r="M1454" t="s">
        <v>278</v>
      </c>
      <c r="N1454" s="4">
        <f>IF(L1454="","",IF(OR(Registro2[[#This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54" t="str">
        <f t="shared" si="22"/>
        <v>abr/25</v>
      </c>
      <c r="P1454" t="str">
        <f>IF(Registro2[[#This Row],[Data de Pagamento]]&gt;0,TEXT(A1454,"mmm/aa"),"")</f>
        <v>abr/25</v>
      </c>
      <c r="T1454" s="4">
        <f>IF(Registro2[[#This Row],[Data de Pagamento]]="",0,IF(Registro2[[#This Row],[Conta Financeira]]=base!$A$6,0,Registro2[[#This Row],[Valor Unitário]]))</f>
        <v>35</v>
      </c>
      <c r="U14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54" t="str">
        <f>VLOOKUP(Registro2[[#This Row],[Categoria]],'Plano de Contas'!$V$3:W1517,2,0)</f>
        <v>Receitas Serviços</v>
      </c>
      <c r="X145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55" spans="1:24" hidden="1">
      <c r="A1455" s="1">
        <v>45759</v>
      </c>
      <c r="B1455" s="1">
        <v>45759</v>
      </c>
      <c r="D1455" t="s">
        <v>2</v>
      </c>
      <c r="E1455" t="s">
        <v>149</v>
      </c>
      <c r="F1455" t="s">
        <v>147</v>
      </c>
      <c r="G1455" t="s">
        <v>163</v>
      </c>
      <c r="I1455" s="4">
        <v>35</v>
      </c>
      <c r="J1455" s="4">
        <v>70</v>
      </c>
      <c r="L1455" t="s">
        <v>252</v>
      </c>
      <c r="M1455" t="s">
        <v>2305</v>
      </c>
      <c r="N1455" s="4">
        <f>IF(L1455="","",IF(OR(Registro2[[#This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55" t="str">
        <f t="shared" si="22"/>
        <v>abr/25</v>
      </c>
      <c r="P1455" t="str">
        <f>IF(Registro2[[#This Row],[Data de Pagamento]]&gt;0,TEXT(A1455,"mmm/aa"),"")</f>
        <v>abr/25</v>
      </c>
      <c r="T1455" s="4">
        <f>IF(Registro2[[#This Row],[Data de Pagamento]]="",0,IF(Registro2[[#This Row],[Conta Financeira]]=base!$A$6,0,Registro2[[#This Row],[Valor Unitário]]))</f>
        <v>35</v>
      </c>
      <c r="U14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55" t="str">
        <f>VLOOKUP(Registro2[[#This Row],[Categoria]],'Plano de Contas'!$V$3:W1518,2,0)</f>
        <v>Receitas Serviços</v>
      </c>
      <c r="X14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56" spans="1:24" hidden="1">
      <c r="A1456" s="1">
        <v>45759</v>
      </c>
      <c r="B1456" s="1">
        <v>45759</v>
      </c>
      <c r="D1456" t="s">
        <v>2</v>
      </c>
      <c r="E1456" t="s">
        <v>149</v>
      </c>
      <c r="F1456" t="s">
        <v>147</v>
      </c>
      <c r="G1456" t="s">
        <v>167</v>
      </c>
      <c r="I1456" s="4">
        <v>10</v>
      </c>
      <c r="J1456" s="4" t="s">
        <v>1604</v>
      </c>
      <c r="L1456" t="s">
        <v>252</v>
      </c>
      <c r="M1456" t="s">
        <v>2305</v>
      </c>
      <c r="N1456" s="4">
        <f>IF(L1456="","",IF(OR(Registro2[[#This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456" t="str">
        <f t="shared" si="22"/>
        <v>abr/25</v>
      </c>
      <c r="P1456" t="str">
        <f>IF(Registro2[[#This Row],[Data de Pagamento]]&gt;0,TEXT(A1456,"mmm/aa"),"")</f>
        <v>abr/25</v>
      </c>
      <c r="T1456" s="4">
        <f>IF(Registro2[[#This Row],[Data de Pagamento]]="",0,IF(Registro2[[#This Row],[Conta Financeira]]=base!$A$6,0,Registro2[[#This Row],[Valor Unitário]]))</f>
        <v>10</v>
      </c>
      <c r="U14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56" t="str">
        <f>VLOOKUP(Registro2[[#This Row],[Categoria]],'Plano de Contas'!$V$3:W1519,2,0)</f>
        <v>Receitas Serviços</v>
      </c>
      <c r="X145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57" spans="1:24" hidden="1">
      <c r="A1457" s="1">
        <v>45759</v>
      </c>
      <c r="B1457" s="1">
        <v>45759</v>
      </c>
      <c r="D1457" t="s">
        <v>2</v>
      </c>
      <c r="E1457" t="s">
        <v>149</v>
      </c>
      <c r="F1457" t="s">
        <v>150</v>
      </c>
      <c r="G1457" t="s">
        <v>509</v>
      </c>
      <c r="I1457" s="4">
        <v>25</v>
      </c>
      <c r="J1457" s="4" t="s">
        <v>1604</v>
      </c>
      <c r="L1457" t="s">
        <v>252</v>
      </c>
      <c r="M1457" t="s">
        <v>2305</v>
      </c>
      <c r="N1457" s="4">
        <f>IF(L1457="","",IF(OR(Registro2[[#This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457" t="str">
        <f t="shared" si="22"/>
        <v>abr/25</v>
      </c>
      <c r="P1457" t="str">
        <f>IF(Registro2[[#This Row],[Data de Pagamento]]&gt;0,TEXT(A1457,"mmm/aa"),"")</f>
        <v>abr/25</v>
      </c>
      <c r="T1457" s="4">
        <f>IF(Registro2[[#This Row],[Data de Pagamento]]="",0,IF(Registro2[[#This Row],[Conta Financeira]]=base!$A$6,0,Registro2[[#This Row],[Valor Unitário]]))</f>
        <v>25</v>
      </c>
      <c r="U14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57" t="str">
        <f>VLOOKUP(Registro2[[#This Row],[Categoria]],'Plano de Contas'!$V$3:W1520,2,0)</f>
        <v>Receitas Produtos</v>
      </c>
      <c r="X14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58" spans="1:24" hidden="1">
      <c r="A1458" s="1">
        <v>45760</v>
      </c>
      <c r="B1458" s="1">
        <v>45760</v>
      </c>
      <c r="D1458" t="s">
        <v>947</v>
      </c>
      <c r="E1458" t="s">
        <v>137</v>
      </c>
      <c r="F1458" t="s">
        <v>146</v>
      </c>
      <c r="G1458" t="s">
        <v>315</v>
      </c>
      <c r="H1458" t="s">
        <v>445</v>
      </c>
      <c r="I1458" s="4">
        <v>375.29</v>
      </c>
      <c r="J1458" s="4"/>
      <c r="N1458" s="4" t="str">
        <f>IF(L1458="","",IF(OR(Registro2[[#This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458" t="str">
        <f t="shared" si="22"/>
        <v>abr/25</v>
      </c>
      <c r="P1458" t="str">
        <f>IF(Registro2[[#This Row],[Data de Pagamento]]&gt;0,TEXT(A1458,"mmm/aa"),"")</f>
        <v>abr/25</v>
      </c>
      <c r="T1458" s="4">
        <f>IF(Registro2[[#This Row],[Data de Pagamento]]="",0,IF(Registro2[[#This Row],[Conta Financeira]]=base!$A$6,0,Registro2[[#This Row],[Valor Unitário]]))</f>
        <v>375.29</v>
      </c>
      <c r="U14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58" t="str">
        <f>VLOOKUP(Registro2[[#This Row],[Categoria]],'Plano de Contas'!$V$3:W1251,2,0)</f>
        <v>Despesas Operacionais</v>
      </c>
      <c r="X14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59" spans="1:24" hidden="1">
      <c r="A1459" s="1">
        <v>45761</v>
      </c>
      <c r="B1459" s="1">
        <v>45761</v>
      </c>
      <c r="D1459" t="s">
        <v>1</v>
      </c>
      <c r="E1459" t="s">
        <v>149</v>
      </c>
      <c r="F1459" t="s">
        <v>147</v>
      </c>
      <c r="G1459" t="s">
        <v>163</v>
      </c>
      <c r="I1459" s="4">
        <v>35</v>
      </c>
      <c r="J1459" s="4">
        <v>35</v>
      </c>
      <c r="L1459" t="s">
        <v>253</v>
      </c>
      <c r="M1459" t="s">
        <v>277</v>
      </c>
      <c r="N1459" s="4">
        <f>IF(L1459="","",IF(OR(Registro2[[#This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59" t="str">
        <f t="shared" si="22"/>
        <v>abr/25</v>
      </c>
      <c r="P1459" t="str">
        <f>IF(Registro2[[#This Row],[Data de Pagamento]]&gt;0,TEXT(A1459,"mmm/aa"),"")</f>
        <v>abr/25</v>
      </c>
      <c r="T1459" s="4">
        <f>IF(Registro2[[#This Row],[Data de Pagamento]]="",0,IF(Registro2[[#This Row],[Conta Financeira]]=base!$A$6,0,Registro2[[#This Row],[Valor Unitário]]))</f>
        <v>35</v>
      </c>
      <c r="U14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59" t="str">
        <f>VLOOKUP(Registro2[[#This Row],[Categoria]],'Plano de Contas'!$V$3:W1521,2,0)</f>
        <v>Receitas Serviços</v>
      </c>
      <c r="X145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60" spans="1:24" hidden="1">
      <c r="A1460" s="1">
        <v>45761</v>
      </c>
      <c r="B1460" s="1">
        <v>45761</v>
      </c>
      <c r="D1460" t="s">
        <v>1</v>
      </c>
      <c r="E1460" t="s">
        <v>149</v>
      </c>
      <c r="F1460" t="s">
        <v>147</v>
      </c>
      <c r="G1460" t="s">
        <v>163</v>
      </c>
      <c r="I1460" s="4">
        <v>35</v>
      </c>
      <c r="J1460" s="4">
        <v>35</v>
      </c>
      <c r="L1460" t="s">
        <v>253</v>
      </c>
      <c r="M1460" t="s">
        <v>107</v>
      </c>
      <c r="N1460" s="4">
        <f>IF(L1460="","",IF(OR(Registro2[[#This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60" t="str">
        <f t="shared" si="22"/>
        <v>abr/25</v>
      </c>
      <c r="P1460" t="str">
        <f>IF(Registro2[[#This Row],[Data de Pagamento]]&gt;0,TEXT(A1460,"mmm/aa"),"")</f>
        <v>abr/25</v>
      </c>
      <c r="T1460" s="4">
        <f>IF(Registro2[[#This Row],[Data de Pagamento]]="",0,IF(Registro2[[#This Row],[Conta Financeira]]=base!$A$6,0,Registro2[[#This Row],[Valor Unitário]]))</f>
        <v>35</v>
      </c>
      <c r="U14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60" t="str">
        <f>VLOOKUP(Registro2[[#This Row],[Categoria]],'Plano de Contas'!$V$3:W1522,2,0)</f>
        <v>Receitas Serviços</v>
      </c>
      <c r="X14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61" spans="1:24" hidden="1">
      <c r="A1461" s="1">
        <v>45761</v>
      </c>
      <c r="B1461" s="1">
        <v>45761</v>
      </c>
      <c r="D1461" t="s">
        <v>1</v>
      </c>
      <c r="E1461" t="s">
        <v>149</v>
      </c>
      <c r="F1461" t="s">
        <v>147</v>
      </c>
      <c r="G1461" t="s">
        <v>163</v>
      </c>
      <c r="I1461" s="4">
        <v>35</v>
      </c>
      <c r="J1461" s="4">
        <v>35</v>
      </c>
      <c r="L1461" t="s">
        <v>253</v>
      </c>
      <c r="M1461" t="s">
        <v>2025</v>
      </c>
      <c r="N1461" s="4">
        <f>IF(L1461="","",IF(OR(Registro2[[#This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61" t="str">
        <f t="shared" si="22"/>
        <v>abr/25</v>
      </c>
      <c r="P1461" t="str">
        <f>IF(Registro2[[#This Row],[Data de Pagamento]]&gt;0,TEXT(A1461,"mmm/aa"),"")</f>
        <v>abr/25</v>
      </c>
      <c r="T1461" s="4">
        <f>IF(Registro2[[#This Row],[Data de Pagamento]]="",0,IF(Registro2[[#This Row],[Conta Financeira]]=base!$A$6,0,Registro2[[#This Row],[Valor Unitário]]))</f>
        <v>35</v>
      </c>
      <c r="U14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61" t="str">
        <f>VLOOKUP(Registro2[[#This Row],[Categoria]],'Plano de Contas'!$V$3:W1523,2,0)</f>
        <v>Receitas Serviços</v>
      </c>
      <c r="X14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62" spans="1:24" hidden="1">
      <c r="A1462" s="1">
        <v>45761</v>
      </c>
      <c r="B1462" s="1">
        <v>45761</v>
      </c>
      <c r="D1462" t="s">
        <v>2</v>
      </c>
      <c r="E1462" t="s">
        <v>149</v>
      </c>
      <c r="F1462" t="s">
        <v>147</v>
      </c>
      <c r="G1462" t="s">
        <v>163</v>
      </c>
      <c r="I1462" s="4">
        <v>35</v>
      </c>
      <c r="J1462" s="4">
        <v>35</v>
      </c>
      <c r="L1462" t="s">
        <v>253</v>
      </c>
      <c r="M1462" t="s">
        <v>789</v>
      </c>
      <c r="N1462" s="4">
        <f>IF(L1462="","",IF(OR(Registro2[[#This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62" t="str">
        <f t="shared" si="22"/>
        <v>abr/25</v>
      </c>
      <c r="P1462" t="str">
        <f>IF(Registro2[[#This Row],[Data de Pagamento]]&gt;0,TEXT(A1462,"mmm/aa"),"")</f>
        <v>abr/25</v>
      </c>
      <c r="T1462" s="4">
        <f>IF(Registro2[[#This Row],[Data de Pagamento]]="",0,IF(Registro2[[#This Row],[Conta Financeira]]=base!$A$6,0,Registro2[[#This Row],[Valor Unitário]]))</f>
        <v>35</v>
      </c>
      <c r="U14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62" t="str">
        <f>VLOOKUP(Registro2[[#This Row],[Categoria]],'Plano de Contas'!$V$3:W1524,2,0)</f>
        <v>Receitas Serviços</v>
      </c>
      <c r="X146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63" spans="1:24" hidden="1">
      <c r="A1463" s="1">
        <v>45761</v>
      </c>
      <c r="B1463" s="1">
        <v>45761</v>
      </c>
      <c r="D1463" t="s">
        <v>354</v>
      </c>
      <c r="E1463" t="s">
        <v>149</v>
      </c>
      <c r="F1463" t="s">
        <v>147</v>
      </c>
      <c r="G1463" t="s">
        <v>163</v>
      </c>
      <c r="I1463" s="4">
        <v>35</v>
      </c>
      <c r="J1463" s="4">
        <v>35</v>
      </c>
      <c r="L1463" t="s">
        <v>253</v>
      </c>
      <c r="M1463" t="s">
        <v>2316</v>
      </c>
      <c r="N1463" s="4">
        <f>IF(L1463="","",IF(OR(Registro2[[#This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63" t="str">
        <f t="shared" si="22"/>
        <v>abr/25</v>
      </c>
      <c r="P1463" t="str">
        <f>IF(Registro2[[#This Row],[Data de Pagamento]]&gt;0,TEXT(A1463,"mmm/aa"),"")</f>
        <v>abr/25</v>
      </c>
      <c r="T1463" s="4">
        <f>IF(Registro2[[#This Row],[Data de Pagamento]]="",0,IF(Registro2[[#This Row],[Conta Financeira]]=base!$A$6,0,Registro2[[#This Row],[Valor Unitário]]))</f>
        <v>35</v>
      </c>
      <c r="U14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63" t="str">
        <f>VLOOKUP(Registro2[[#This Row],[Categoria]],'Plano de Contas'!$V$3:W1525,2,0)</f>
        <v>Receitas Serviços</v>
      </c>
      <c r="X146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464" spans="1:24" hidden="1">
      <c r="A1464" s="1">
        <v>45761</v>
      </c>
      <c r="B1464" s="1">
        <v>45761</v>
      </c>
      <c r="D1464" t="s">
        <v>1</v>
      </c>
      <c r="E1464" t="s">
        <v>149</v>
      </c>
      <c r="F1464" t="s">
        <v>147</v>
      </c>
      <c r="G1464" t="s">
        <v>163</v>
      </c>
      <c r="I1464" s="4">
        <v>35</v>
      </c>
      <c r="J1464" s="4">
        <v>55</v>
      </c>
      <c r="L1464" t="s">
        <v>253</v>
      </c>
      <c r="M1464" t="s">
        <v>268</v>
      </c>
      <c r="N1464" s="4">
        <f>IF(L1464="","",IF(OR(Registro2[[#This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64" t="str">
        <f t="shared" si="22"/>
        <v>abr/25</v>
      </c>
      <c r="P1464" t="str">
        <f>IF(Registro2[[#This Row],[Data de Pagamento]]&gt;0,TEXT(A1464,"mmm/aa"),"")</f>
        <v>abr/25</v>
      </c>
      <c r="T1464" s="4">
        <f>IF(Registro2[[#This Row],[Data de Pagamento]]="",0,IF(Registro2[[#This Row],[Conta Financeira]]=base!$A$6,0,Registro2[[#This Row],[Valor Unitário]]))</f>
        <v>35</v>
      </c>
      <c r="U14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64" t="str">
        <f>VLOOKUP(Registro2[[#This Row],[Categoria]],'Plano de Contas'!$V$3:W1526,2,0)</f>
        <v>Receitas Serviços</v>
      </c>
      <c r="X146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65" spans="1:24" hidden="1">
      <c r="A1465" s="1">
        <v>45761</v>
      </c>
      <c r="B1465" s="1">
        <v>45761</v>
      </c>
      <c r="D1465" t="s">
        <v>1</v>
      </c>
      <c r="E1465" t="s">
        <v>149</v>
      </c>
      <c r="F1465" t="s">
        <v>147</v>
      </c>
      <c r="G1465" t="s">
        <v>166</v>
      </c>
      <c r="I1465" s="4">
        <v>20</v>
      </c>
      <c r="J1465" s="4" t="s">
        <v>1604</v>
      </c>
      <c r="L1465" t="s">
        <v>253</v>
      </c>
      <c r="M1465" t="s">
        <v>268</v>
      </c>
      <c r="N1465" s="4">
        <f>IF(L1465="","",IF(OR(Registro2[[#This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465" t="str">
        <f t="shared" si="22"/>
        <v>abr/25</v>
      </c>
      <c r="P1465" t="str">
        <f>IF(Registro2[[#This Row],[Data de Pagamento]]&gt;0,TEXT(A1465,"mmm/aa"),"")</f>
        <v>abr/25</v>
      </c>
      <c r="T1465" s="4">
        <f>IF(Registro2[[#This Row],[Data de Pagamento]]="",0,IF(Registro2[[#This Row],[Conta Financeira]]=base!$A$6,0,Registro2[[#This Row],[Valor Unitário]]))</f>
        <v>20</v>
      </c>
      <c r="U14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65" t="str">
        <f>VLOOKUP(Registro2[[#This Row],[Categoria]],'Plano de Contas'!$V$3:W1527,2,0)</f>
        <v>Receitas Serviços</v>
      </c>
      <c r="X146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66" spans="1:24" hidden="1">
      <c r="A1466" s="1">
        <v>45761</v>
      </c>
      <c r="B1466" s="1">
        <v>45761</v>
      </c>
      <c r="D1466" t="s">
        <v>1</v>
      </c>
      <c r="E1466" t="s">
        <v>149</v>
      </c>
      <c r="F1466" t="s">
        <v>147</v>
      </c>
      <c r="G1466" t="s">
        <v>163</v>
      </c>
      <c r="I1466" s="4">
        <v>35</v>
      </c>
      <c r="J1466" s="4">
        <v>35</v>
      </c>
      <c r="L1466" t="s">
        <v>253</v>
      </c>
      <c r="M1466" t="s">
        <v>80</v>
      </c>
      <c r="N1466" s="4">
        <f>IF(L1466="","",IF(OR(Registro2[[#This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66" t="str">
        <f t="shared" si="22"/>
        <v>abr/25</v>
      </c>
      <c r="P1466" t="str">
        <f>IF(Registro2[[#This Row],[Data de Pagamento]]&gt;0,TEXT(A1466,"mmm/aa"),"")</f>
        <v>abr/25</v>
      </c>
      <c r="T1466" s="4">
        <f>IF(Registro2[[#This Row],[Data de Pagamento]]="",0,IF(Registro2[[#This Row],[Conta Financeira]]=base!$A$6,0,Registro2[[#This Row],[Valor Unitário]]))</f>
        <v>35</v>
      </c>
      <c r="U14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66" t="str">
        <f>VLOOKUP(Registro2[[#This Row],[Categoria]],'Plano de Contas'!$V$3:W1528,2,0)</f>
        <v>Receitas Serviços</v>
      </c>
      <c r="X14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67" spans="1:24" hidden="1">
      <c r="A1467" s="1">
        <v>45761</v>
      </c>
      <c r="B1467" s="1">
        <v>45761</v>
      </c>
      <c r="D1467" t="s">
        <v>1</v>
      </c>
      <c r="E1467" t="s">
        <v>149</v>
      </c>
      <c r="F1467" t="s">
        <v>147</v>
      </c>
      <c r="G1467" t="s">
        <v>1046</v>
      </c>
      <c r="I1467" s="4">
        <v>35</v>
      </c>
      <c r="J1467" s="4">
        <v>35</v>
      </c>
      <c r="L1467" t="s">
        <v>253</v>
      </c>
      <c r="M1467" t="s">
        <v>2322</v>
      </c>
      <c r="N1467" s="4">
        <f>IF(L1467="","",IF(OR(Registro2[[#This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67" t="str">
        <f t="shared" si="22"/>
        <v>abr/25</v>
      </c>
      <c r="P1467" t="str">
        <f>IF(Registro2[[#This Row],[Data de Pagamento]]&gt;0,TEXT(A1467,"mmm/aa"),"")</f>
        <v>abr/25</v>
      </c>
      <c r="T1467" s="4">
        <f>IF(Registro2[[#This Row],[Data de Pagamento]]="",0,IF(Registro2[[#This Row],[Conta Financeira]]=base!$A$6,0,Registro2[[#This Row],[Valor Unitário]]))</f>
        <v>35</v>
      </c>
      <c r="U14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67" t="str">
        <f>VLOOKUP(Registro2[[#This Row],[Categoria]],'Plano de Contas'!$V$3:W1529,2,0)</f>
        <v>Receitas Serviços</v>
      </c>
      <c r="X146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68" spans="1:24" hidden="1">
      <c r="A1468" s="1">
        <v>45761</v>
      </c>
      <c r="B1468" s="1">
        <v>45761</v>
      </c>
      <c r="D1468" t="s">
        <v>1</v>
      </c>
      <c r="E1468" t="s">
        <v>149</v>
      </c>
      <c r="F1468" t="s">
        <v>147</v>
      </c>
      <c r="G1468" t="s">
        <v>163</v>
      </c>
      <c r="I1468" s="4">
        <v>35</v>
      </c>
      <c r="J1468" s="4">
        <v>35</v>
      </c>
      <c r="L1468" t="s">
        <v>253</v>
      </c>
      <c r="M1468" t="s">
        <v>268</v>
      </c>
      <c r="N1468" s="4">
        <f>IF(L1468="","",IF(OR(Registro2[[#This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68" t="str">
        <f t="shared" si="22"/>
        <v>abr/25</v>
      </c>
      <c r="P1468" t="str">
        <f>IF(Registro2[[#This Row],[Data de Pagamento]]&gt;0,TEXT(A1468,"mmm/aa"),"")</f>
        <v>abr/25</v>
      </c>
      <c r="T1468" s="4">
        <f>IF(Registro2[[#This Row],[Data de Pagamento]]="",0,IF(Registro2[[#This Row],[Conta Financeira]]=base!$A$6,0,Registro2[[#This Row],[Valor Unitário]]))</f>
        <v>35</v>
      </c>
      <c r="U14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68" t="str">
        <f>VLOOKUP(Registro2[[#This Row],[Categoria]],'Plano de Contas'!$V$3:W1530,2,0)</f>
        <v>Receitas Serviços</v>
      </c>
      <c r="X146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69" spans="1:24" hidden="1">
      <c r="A1469" s="1">
        <v>45761</v>
      </c>
      <c r="B1469" s="1">
        <v>45761</v>
      </c>
      <c r="D1469" t="s">
        <v>136</v>
      </c>
      <c r="E1469" t="s">
        <v>137</v>
      </c>
      <c r="F1469" t="s">
        <v>139</v>
      </c>
      <c r="G1469" t="s">
        <v>332</v>
      </c>
      <c r="H1469" t="s">
        <v>2356</v>
      </c>
      <c r="I1469" s="4">
        <v>19.899999999999999</v>
      </c>
      <c r="J1469" s="4"/>
      <c r="N1469" s="4" t="str">
        <f>IF(L1469="","",IF(OR(Registro2[[#This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469" t="str">
        <f t="shared" si="22"/>
        <v>abr/25</v>
      </c>
      <c r="P1469" t="str">
        <f>IF(Registro2[[#This Row],[Data de Pagamento]]&gt;0,TEXT(A1469,"mmm/aa"),"")</f>
        <v>abr/25</v>
      </c>
      <c r="T1469" s="4">
        <f>IF(Registro2[[#This Row],[Data de Pagamento]]="",0,IF(Registro2[[#This Row],[Conta Financeira]]=base!$A$6,0,Registro2[[#This Row],[Valor Unitário]]))</f>
        <v>19.899999999999999</v>
      </c>
      <c r="U14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69" t="str">
        <f>VLOOKUP(Registro2[[#This Row],[Categoria]],'Plano de Contas'!$V$3:W1540,2,0)</f>
        <v>Custos Operacionais</v>
      </c>
      <c r="X146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70" spans="1:24" hidden="1">
      <c r="A1470" s="1">
        <v>45762</v>
      </c>
      <c r="B1470" s="1">
        <v>45762</v>
      </c>
      <c r="D1470" t="s">
        <v>354</v>
      </c>
      <c r="E1470" t="s">
        <v>149</v>
      </c>
      <c r="F1470" t="s">
        <v>147</v>
      </c>
      <c r="G1470" t="s">
        <v>163</v>
      </c>
      <c r="I1470" s="4">
        <v>35</v>
      </c>
      <c r="J1470" s="4">
        <v>105</v>
      </c>
      <c r="L1470" t="s">
        <v>252</v>
      </c>
      <c r="M1470" t="s">
        <v>1003</v>
      </c>
      <c r="N1470" s="4">
        <f>IF(L1470="","",IF(OR(Registro2[[#This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70" t="str">
        <f t="shared" si="22"/>
        <v>abr/25</v>
      </c>
      <c r="P1470" t="str">
        <f>IF(Registro2[[#This Row],[Data de Pagamento]]&gt;0,TEXT(A1470,"mmm/aa"),"")</f>
        <v>abr/25</v>
      </c>
      <c r="T1470" s="4">
        <f>IF(Registro2[[#This Row],[Data de Pagamento]]="",0,IF(Registro2[[#This Row],[Conta Financeira]]=base!$A$6,0,Registro2[[#This Row],[Valor Unitário]]))</f>
        <v>35</v>
      </c>
      <c r="U14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70" t="str">
        <f>VLOOKUP(Registro2[[#This Row],[Categoria]],'Plano de Contas'!$V$3:W1531,2,0)</f>
        <v>Receitas Serviços</v>
      </c>
      <c r="X147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471" spans="1:24" hidden="1">
      <c r="A1471" s="1">
        <v>45762</v>
      </c>
      <c r="B1471" s="1">
        <v>45762</v>
      </c>
      <c r="D1471" t="s">
        <v>354</v>
      </c>
      <c r="E1471" t="s">
        <v>149</v>
      </c>
      <c r="F1471" t="s">
        <v>147</v>
      </c>
      <c r="G1471" t="s">
        <v>163</v>
      </c>
      <c r="I1471" s="4">
        <v>35</v>
      </c>
      <c r="J1471" s="4" t="s">
        <v>1604</v>
      </c>
      <c r="L1471" t="s">
        <v>264</v>
      </c>
      <c r="M1471" t="s">
        <v>1003</v>
      </c>
      <c r="N1471" s="4">
        <f>IF(L1471="","",IF(OR(Registro2[[#This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71" t="str">
        <f t="shared" si="22"/>
        <v>abr/25</v>
      </c>
      <c r="P1471" t="str">
        <f>IF(Registro2[[#This Row],[Data de Pagamento]]&gt;0,TEXT(A1471,"mmm/aa"),"")</f>
        <v>abr/25</v>
      </c>
      <c r="T1471" s="4">
        <f>IF(Registro2[[#This Row],[Data de Pagamento]]="",0,IF(Registro2[[#This Row],[Conta Financeira]]=base!$A$6,0,Registro2[[#This Row],[Valor Unitário]]))</f>
        <v>35</v>
      </c>
      <c r="U14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71" t="str">
        <f>VLOOKUP(Registro2[[#This Row],[Categoria]],'Plano de Contas'!$V$3:W1532,2,0)</f>
        <v>Receitas Serviços</v>
      </c>
      <c r="X147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472" spans="1:24" hidden="1">
      <c r="A1472" s="1">
        <v>45762</v>
      </c>
      <c r="B1472" s="1">
        <v>45762</v>
      </c>
      <c r="D1472" t="s">
        <v>354</v>
      </c>
      <c r="E1472" t="s">
        <v>149</v>
      </c>
      <c r="F1472" t="s">
        <v>147</v>
      </c>
      <c r="G1472" t="s">
        <v>163</v>
      </c>
      <c r="I1472" s="4">
        <v>35</v>
      </c>
      <c r="J1472" s="4" t="s">
        <v>1604</v>
      </c>
      <c r="L1472" t="s">
        <v>252</v>
      </c>
      <c r="M1472" t="s">
        <v>1003</v>
      </c>
      <c r="N1472" s="4">
        <f>IF(L1472="","",IF(OR(Registro2[[#This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72" t="str">
        <f t="shared" si="22"/>
        <v>abr/25</v>
      </c>
      <c r="P1472" t="str">
        <f>IF(Registro2[[#This Row],[Data de Pagamento]]&gt;0,TEXT(A1472,"mmm/aa"),"")</f>
        <v>abr/25</v>
      </c>
      <c r="T1472" s="4">
        <f>IF(Registro2[[#This Row],[Data de Pagamento]]="",0,IF(Registro2[[#This Row],[Conta Financeira]]=base!$A$6,0,Registro2[[#This Row],[Valor Unitário]]))</f>
        <v>35</v>
      </c>
      <c r="U14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72" t="str">
        <f>VLOOKUP(Registro2[[#This Row],[Categoria]],'Plano de Contas'!$V$3:W1533,2,0)</f>
        <v>Receitas Serviços</v>
      </c>
      <c r="X147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473" spans="1:24" hidden="1">
      <c r="A1473" s="1">
        <v>45762</v>
      </c>
      <c r="B1473" s="1">
        <v>45762</v>
      </c>
      <c r="D1473" t="s">
        <v>1</v>
      </c>
      <c r="E1473" t="s">
        <v>149</v>
      </c>
      <c r="F1473" t="s">
        <v>147</v>
      </c>
      <c r="G1473" t="s">
        <v>163</v>
      </c>
      <c r="I1473" s="4">
        <v>35</v>
      </c>
      <c r="J1473" s="4">
        <v>50</v>
      </c>
      <c r="L1473" t="s">
        <v>253</v>
      </c>
      <c r="M1473" t="s">
        <v>2329</v>
      </c>
      <c r="N1473" s="4">
        <f>IF(L1473="","",IF(OR(Registro2[[#This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73" t="str">
        <f t="shared" si="22"/>
        <v>abr/25</v>
      </c>
      <c r="P1473" t="str">
        <f>IF(Registro2[[#This Row],[Data de Pagamento]]&gt;0,TEXT(A1473,"mmm/aa"),"")</f>
        <v>abr/25</v>
      </c>
      <c r="T1473" s="4">
        <f>IF(Registro2[[#This Row],[Data de Pagamento]]="",0,IF(Registro2[[#This Row],[Conta Financeira]]=base!$A$6,0,Registro2[[#This Row],[Valor Unitário]]))</f>
        <v>35</v>
      </c>
      <c r="U14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73" t="str">
        <f>VLOOKUP(Registro2[[#This Row],[Categoria]],'Plano de Contas'!$V$3:W1534,2,0)</f>
        <v>Receitas Serviços</v>
      </c>
      <c r="X147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74" spans="1:24" hidden="1">
      <c r="A1474" s="1">
        <v>45762</v>
      </c>
      <c r="B1474" s="1">
        <v>45762</v>
      </c>
      <c r="D1474" t="s">
        <v>1</v>
      </c>
      <c r="E1474" t="s">
        <v>149</v>
      </c>
      <c r="F1474" t="s">
        <v>147</v>
      </c>
      <c r="G1474" t="s">
        <v>1446</v>
      </c>
      <c r="I1474" s="4">
        <v>15</v>
      </c>
      <c r="J1474" s="4" t="s">
        <v>1604</v>
      </c>
      <c r="L1474" t="s">
        <v>253</v>
      </c>
      <c r="M1474" t="s">
        <v>2329</v>
      </c>
      <c r="N1474" s="4">
        <f>IF(L1474="","",IF(OR(Registro2[[#This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474" t="str">
        <f t="shared" ref="O1474:O1537" si="23">TEXT(B1474,"mmm/aa")</f>
        <v>abr/25</v>
      </c>
      <c r="P1474" t="str">
        <f>IF(Registro2[[#This Row],[Data de Pagamento]]&gt;0,TEXT(A1474,"mmm/aa"),"")</f>
        <v>abr/25</v>
      </c>
      <c r="T1474" s="4">
        <f>IF(Registro2[[#This Row],[Data de Pagamento]]="",0,IF(Registro2[[#This Row],[Conta Financeira]]=base!$A$6,0,Registro2[[#This Row],[Valor Unitário]]))</f>
        <v>15</v>
      </c>
      <c r="U14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74" t="e">
        <f>VLOOKUP(Registro2[[#This Row],[Categoria]],'Plano de Contas'!$V$3:W1535,2,0)</f>
        <v>#N/A</v>
      </c>
      <c r="X147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75" spans="1:24" hidden="1">
      <c r="A1475" s="1">
        <v>45762</v>
      </c>
      <c r="B1475" s="1">
        <v>45762</v>
      </c>
      <c r="D1475" t="s">
        <v>310</v>
      </c>
      <c r="E1475" t="s">
        <v>149</v>
      </c>
      <c r="F1475" t="s">
        <v>147</v>
      </c>
      <c r="G1475" t="s">
        <v>163</v>
      </c>
      <c r="I1475" s="4">
        <v>30</v>
      </c>
      <c r="J1475" s="4">
        <v>30</v>
      </c>
      <c r="L1475" t="s">
        <v>253</v>
      </c>
      <c r="M1475" t="s">
        <v>2332</v>
      </c>
      <c r="N1475" s="4">
        <f>IF(L1475="","",IF(OR(Registro2[[#This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1475" t="str">
        <f t="shared" si="23"/>
        <v>abr/25</v>
      </c>
      <c r="P1475" t="str">
        <f>IF(Registro2[[#This Row],[Data de Pagamento]]&gt;0,TEXT(A1475,"mmm/aa"),"")</f>
        <v>abr/25</v>
      </c>
      <c r="T1475" s="4">
        <f>IF(Registro2[[#This Row],[Data de Pagamento]]="",0,IF(Registro2[[#This Row],[Conta Financeira]]=base!$A$6,0,Registro2[[#This Row],[Valor Unitário]]))</f>
        <v>30</v>
      </c>
      <c r="U14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75" t="str">
        <f>VLOOKUP(Registro2[[#This Row],[Categoria]],'Plano de Contas'!$V$3:W1536,2,0)</f>
        <v>Receitas Serviços</v>
      </c>
      <c r="X147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0.26700000000000002</v>
      </c>
    </row>
    <row r="1476" spans="1:24" hidden="1">
      <c r="A1476" s="1">
        <v>45762</v>
      </c>
      <c r="B1476" s="1">
        <v>45762</v>
      </c>
      <c r="D1476" t="s">
        <v>1</v>
      </c>
      <c r="E1476" t="s">
        <v>149</v>
      </c>
      <c r="F1476" t="s">
        <v>147</v>
      </c>
      <c r="G1476" t="s">
        <v>167</v>
      </c>
      <c r="I1476" s="4">
        <v>10</v>
      </c>
      <c r="J1476" s="4">
        <v>15</v>
      </c>
      <c r="L1476" t="s">
        <v>252</v>
      </c>
      <c r="M1476" t="s">
        <v>2335</v>
      </c>
      <c r="N1476" s="4">
        <f>IF(L1476="","",IF(OR(Registro2[[#This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476" t="str">
        <f t="shared" si="23"/>
        <v>abr/25</v>
      </c>
      <c r="P1476" t="str">
        <f>IF(Registro2[[#This Row],[Data de Pagamento]]&gt;0,TEXT(A1476,"mmm/aa"),"")</f>
        <v>abr/25</v>
      </c>
      <c r="T1476" s="4">
        <f>IF(Registro2[[#This Row],[Data de Pagamento]]="",0,IF(Registro2[[#This Row],[Conta Financeira]]=base!$A$6,0,Registro2[[#This Row],[Valor Unitário]]))</f>
        <v>10</v>
      </c>
      <c r="U14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76" t="str">
        <f>VLOOKUP(Registro2[[#This Row],[Categoria]],'Plano de Contas'!$V$3:W1537,2,0)</f>
        <v>Receitas Serviços</v>
      </c>
      <c r="X147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77" spans="1:24" hidden="1">
      <c r="A1477" s="1">
        <v>45762</v>
      </c>
      <c r="B1477" s="1">
        <v>45762</v>
      </c>
      <c r="D1477" t="s">
        <v>1</v>
      </c>
      <c r="E1477" t="s">
        <v>149</v>
      </c>
      <c r="F1477" t="s">
        <v>147</v>
      </c>
      <c r="G1477" t="s">
        <v>1046</v>
      </c>
      <c r="I1477" s="4">
        <v>35</v>
      </c>
      <c r="J1477" s="4">
        <v>45</v>
      </c>
      <c r="L1477" t="s">
        <v>264</v>
      </c>
      <c r="M1477" t="s">
        <v>1431</v>
      </c>
      <c r="N1477" s="4">
        <f>IF(L1477="","",IF(OR(Registro2[[#This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77" t="str">
        <f t="shared" si="23"/>
        <v>abr/25</v>
      </c>
      <c r="P1477" t="str">
        <f>IF(Registro2[[#This Row],[Data de Pagamento]]&gt;0,TEXT(A1477,"mmm/aa"),"")</f>
        <v>abr/25</v>
      </c>
      <c r="T1477" s="4">
        <f>IF(Registro2[[#This Row],[Data de Pagamento]]="",0,IF(Registro2[[#This Row],[Conta Financeira]]=base!$A$6,0,Registro2[[#This Row],[Valor Unitário]]))</f>
        <v>35</v>
      </c>
      <c r="U14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77" t="str">
        <f>VLOOKUP(Registro2[[#This Row],[Categoria]],'Plano de Contas'!$V$3:W1538,2,0)</f>
        <v>Receitas Serviços</v>
      </c>
      <c r="X147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78" spans="1:24" hidden="1">
      <c r="A1478" s="1">
        <v>45762</v>
      </c>
      <c r="B1478" s="1">
        <v>45762</v>
      </c>
      <c r="D1478" t="s">
        <v>1</v>
      </c>
      <c r="E1478" t="s">
        <v>149</v>
      </c>
      <c r="F1478" t="s">
        <v>147</v>
      </c>
      <c r="G1478" t="s">
        <v>167</v>
      </c>
      <c r="I1478" s="4">
        <v>10</v>
      </c>
      <c r="J1478" s="4" t="s">
        <v>1604</v>
      </c>
      <c r="L1478" t="s">
        <v>264</v>
      </c>
      <c r="M1478" t="s">
        <v>1431</v>
      </c>
      <c r="N1478" s="4">
        <f>IF(L1478="","",IF(OR(Registro2[[#This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478" t="str">
        <f t="shared" si="23"/>
        <v>abr/25</v>
      </c>
      <c r="P1478" t="str">
        <f>IF(Registro2[[#This Row],[Data de Pagamento]]&gt;0,TEXT(A1478,"mmm/aa"),"")</f>
        <v>abr/25</v>
      </c>
      <c r="T1478" s="4">
        <f>IF(Registro2[[#This Row],[Data de Pagamento]]="",0,IF(Registro2[[#This Row],[Conta Financeira]]=base!$A$6,0,Registro2[[#This Row],[Valor Unitário]]))</f>
        <v>10</v>
      </c>
      <c r="U14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78" t="str">
        <f>VLOOKUP(Registro2[[#This Row],[Categoria]],'Plano de Contas'!$V$3:W1539,2,0)</f>
        <v>Receitas Serviços</v>
      </c>
      <c r="X14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79" spans="1:24" hidden="1">
      <c r="A1479" s="1">
        <v>45762</v>
      </c>
      <c r="B1479" s="1">
        <v>45762</v>
      </c>
      <c r="D1479" t="s">
        <v>310</v>
      </c>
      <c r="E1479" t="s">
        <v>149</v>
      </c>
      <c r="F1479" t="s">
        <v>147</v>
      </c>
      <c r="G1479" t="s">
        <v>163</v>
      </c>
      <c r="I1479" s="4">
        <v>35</v>
      </c>
      <c r="J1479" s="4">
        <v>35</v>
      </c>
      <c r="L1479" t="s">
        <v>253</v>
      </c>
      <c r="M1479" t="s">
        <v>420</v>
      </c>
      <c r="N1479" s="4">
        <f>IF(L1479="","",IF(OR(Registro2[[#This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79" t="str">
        <f t="shared" si="23"/>
        <v>abr/25</v>
      </c>
      <c r="P1479" t="str">
        <f>IF(Registro2[[#This Row],[Data de Pagamento]]&gt;0,TEXT(A1479,"mmm/aa"),"")</f>
        <v>abr/25</v>
      </c>
      <c r="T1479" s="4">
        <f>IF(Registro2[[#This Row],[Data de Pagamento]]="",0,IF(Registro2[[#This Row],[Conta Financeira]]=base!$A$6,0,Registro2[[#This Row],[Valor Unitário]]))</f>
        <v>35</v>
      </c>
      <c r="U14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79" t="str">
        <f>VLOOKUP(Registro2[[#This Row],[Categoria]],'Plano de Contas'!$V$3:W1540,2,0)</f>
        <v>Receitas Serviços</v>
      </c>
      <c r="X147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480" spans="1:24" hidden="1">
      <c r="A1480" s="1">
        <v>45762</v>
      </c>
      <c r="B1480" s="1">
        <v>45762</v>
      </c>
      <c r="D1480" t="s">
        <v>2</v>
      </c>
      <c r="E1480" t="s">
        <v>149</v>
      </c>
      <c r="F1480" t="s">
        <v>147</v>
      </c>
      <c r="G1480" t="s">
        <v>163</v>
      </c>
      <c r="I1480" s="4">
        <v>35</v>
      </c>
      <c r="J1480" s="4">
        <v>55</v>
      </c>
      <c r="L1480" t="s">
        <v>264</v>
      </c>
      <c r="M1480" t="s">
        <v>280</v>
      </c>
      <c r="N1480" s="4">
        <f>IF(L1480="","",IF(OR(Registro2[[#This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80" t="str">
        <f t="shared" si="23"/>
        <v>abr/25</v>
      </c>
      <c r="P1480" t="str">
        <f>IF(Registro2[[#This Row],[Data de Pagamento]]&gt;0,TEXT(A1480,"mmm/aa"),"")</f>
        <v>abr/25</v>
      </c>
      <c r="T1480" s="4">
        <f>IF(Registro2[[#This Row],[Data de Pagamento]]="",0,IF(Registro2[[#This Row],[Conta Financeira]]=base!$A$6,0,Registro2[[#This Row],[Valor Unitário]]))</f>
        <v>35</v>
      </c>
      <c r="U14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80" t="str">
        <f>VLOOKUP(Registro2[[#This Row],[Categoria]],'Plano de Contas'!$V$3:W1541,2,0)</f>
        <v>Receitas Serviços</v>
      </c>
      <c r="X148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81" spans="1:24" hidden="1">
      <c r="A1481" s="1">
        <v>45762</v>
      </c>
      <c r="B1481" s="1">
        <v>45762</v>
      </c>
      <c r="D1481" t="s">
        <v>2</v>
      </c>
      <c r="E1481" t="s">
        <v>149</v>
      </c>
      <c r="F1481" t="s">
        <v>147</v>
      </c>
      <c r="G1481" t="s">
        <v>166</v>
      </c>
      <c r="I1481" s="4">
        <v>20</v>
      </c>
      <c r="J1481" s="4" t="s">
        <v>1604</v>
      </c>
      <c r="L1481" t="s">
        <v>264</v>
      </c>
      <c r="M1481" t="s">
        <v>280</v>
      </c>
      <c r="N1481" s="4">
        <f>IF(L1481="","",IF(OR(Registro2[[#This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481" t="str">
        <f t="shared" si="23"/>
        <v>abr/25</v>
      </c>
      <c r="P1481" t="str">
        <f>IF(Registro2[[#This Row],[Data de Pagamento]]&gt;0,TEXT(A1481,"mmm/aa"),"")</f>
        <v>abr/25</v>
      </c>
      <c r="T1481" s="4">
        <f>IF(Registro2[[#This Row],[Data de Pagamento]]="",0,IF(Registro2[[#This Row],[Conta Financeira]]=base!$A$6,0,Registro2[[#This Row],[Valor Unitário]]))</f>
        <v>20</v>
      </c>
      <c r="U14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81" t="str">
        <f>VLOOKUP(Registro2[[#This Row],[Categoria]],'Plano de Contas'!$V$3:W1542,2,0)</f>
        <v>Receitas Serviços</v>
      </c>
      <c r="X148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82" spans="1:24" hidden="1">
      <c r="A1482" s="1">
        <v>45762</v>
      </c>
      <c r="B1482" s="1">
        <v>45762</v>
      </c>
      <c r="D1482" t="s">
        <v>136</v>
      </c>
      <c r="E1482" t="s">
        <v>137</v>
      </c>
      <c r="F1482" t="s">
        <v>967</v>
      </c>
      <c r="G1482" t="s">
        <v>449</v>
      </c>
      <c r="H1482" t="s">
        <v>2346</v>
      </c>
      <c r="I1482" s="4">
        <v>21.98</v>
      </c>
      <c r="J1482" s="4"/>
      <c r="N1482" s="4" t="str">
        <f>IF(L1482="","",IF(OR(Registro2[[#This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482" t="str">
        <f t="shared" si="23"/>
        <v>abr/25</v>
      </c>
      <c r="P1482" t="str">
        <f>IF(Registro2[[#This Row],[Data de Pagamento]]&gt;0,TEXT(A1482,"mmm/aa"),"")</f>
        <v>abr/25</v>
      </c>
      <c r="T1482" s="4">
        <f>IF(Registro2[[#This Row],[Data de Pagamento]]="",0,IF(Registro2[[#This Row],[Conta Financeira]]=base!$A$6,0,Registro2[[#This Row],[Valor Unitário]]))</f>
        <v>21.98</v>
      </c>
      <c r="U14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82" t="str">
        <f>VLOOKUP(Registro2[[#This Row],[Categoria]],'Plano de Contas'!$V$3:W1541,2,0)</f>
        <v>Despesas Administrativas</v>
      </c>
      <c r="X14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83" spans="1:24" hidden="1">
      <c r="A1483" s="1">
        <v>45762</v>
      </c>
      <c r="B1483" s="1">
        <v>45762</v>
      </c>
      <c r="D1483" t="s">
        <v>136</v>
      </c>
      <c r="E1483" t="s">
        <v>137</v>
      </c>
      <c r="F1483" t="s">
        <v>146</v>
      </c>
      <c r="G1483" t="s">
        <v>314</v>
      </c>
      <c r="H1483" t="s">
        <v>2350</v>
      </c>
      <c r="I1483" s="4">
        <v>38.68</v>
      </c>
      <c r="J1483" s="4"/>
      <c r="N1483" s="4" t="str">
        <f>IF(L1483="","",IF(OR(Registro2[[#This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483" t="str">
        <f t="shared" si="23"/>
        <v>abr/25</v>
      </c>
      <c r="P1483" t="str">
        <f>IF(Registro2[[#This Row],[Data de Pagamento]]&gt;0,TEXT(A1483,"mmm/aa"),"")</f>
        <v>abr/25</v>
      </c>
      <c r="T1483" s="4">
        <f>IF(Registro2[[#This Row],[Data de Pagamento]]="",0,IF(Registro2[[#This Row],[Conta Financeira]]=base!$A$6,0,Registro2[[#This Row],[Valor Unitário]]))</f>
        <v>38.68</v>
      </c>
      <c r="U14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83" t="str">
        <f>VLOOKUP(Registro2[[#This Row],[Categoria]],'Plano de Contas'!$V$3:W1542,2,0)</f>
        <v>Despesas Operacionais</v>
      </c>
      <c r="X14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84" spans="1:24" hidden="1">
      <c r="A1484" s="1">
        <v>45762</v>
      </c>
      <c r="B1484" s="1">
        <v>45762</v>
      </c>
      <c r="D1484" t="s">
        <v>136</v>
      </c>
      <c r="E1484" t="s">
        <v>137</v>
      </c>
      <c r="F1484" t="s">
        <v>138</v>
      </c>
      <c r="G1484" t="s">
        <v>339</v>
      </c>
      <c r="H1484" t="s">
        <v>1241</v>
      </c>
      <c r="I1484" s="4">
        <v>15</v>
      </c>
      <c r="J1484" s="4"/>
      <c r="N1484" s="4" t="str">
        <f>IF(L1484="","",IF(OR(Registro2[[#This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484" t="str">
        <f t="shared" si="23"/>
        <v>abr/25</v>
      </c>
      <c r="P1484" t="str">
        <f>IF(Registro2[[#This Row],[Data de Pagamento]]&gt;0,TEXT(A1484,"mmm/aa"),"")</f>
        <v>abr/25</v>
      </c>
      <c r="T1484" s="4">
        <f>IF(Registro2[[#This Row],[Data de Pagamento]]="",0,IF(Registro2[[#This Row],[Conta Financeira]]=base!$A$6,0,Registro2[[#This Row],[Valor Unitário]]))</f>
        <v>15</v>
      </c>
      <c r="U14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84" t="str">
        <f>VLOOKUP(Registro2[[#This Row],[Categoria]],'Plano de Contas'!$V$3:W1543,2,0)</f>
        <v>Despesas Gerias &amp; Vendas</v>
      </c>
      <c r="X148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85" spans="1:24" hidden="1">
      <c r="A1485" s="1">
        <v>45762</v>
      </c>
      <c r="B1485" s="1">
        <v>45762</v>
      </c>
      <c r="D1485" t="s">
        <v>136</v>
      </c>
      <c r="E1485" t="s">
        <v>137</v>
      </c>
      <c r="F1485" t="s">
        <v>138</v>
      </c>
      <c r="G1485" t="s">
        <v>969</v>
      </c>
      <c r="H1485" t="s">
        <v>2360</v>
      </c>
      <c r="I1485" s="4">
        <v>10</v>
      </c>
      <c r="J1485" s="4"/>
      <c r="N1485" s="4" t="str">
        <f>IF(L1485="","",IF(OR(Registro2[[#This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485" t="str">
        <f t="shared" si="23"/>
        <v>abr/25</v>
      </c>
      <c r="P1485" t="str">
        <f>IF(Registro2[[#This Row],[Data de Pagamento]]&gt;0,TEXT(A1485,"mmm/aa"),"")</f>
        <v>abr/25</v>
      </c>
      <c r="T1485" s="4">
        <f>IF(Registro2[[#This Row],[Data de Pagamento]]="",0,IF(Registro2[[#This Row],[Conta Financeira]]=base!$A$6,0,Registro2[[#This Row],[Valor Unitário]]))</f>
        <v>10</v>
      </c>
      <c r="U14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85" t="str">
        <f>VLOOKUP(Registro2[[#This Row],[Categoria]],'Plano de Contas'!$V$3:W1544,2,0)</f>
        <v>Despesas Operacionais</v>
      </c>
      <c r="X148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86" spans="1:24" hidden="1">
      <c r="A1486" s="1">
        <v>45762</v>
      </c>
      <c r="B1486" s="1">
        <v>45762</v>
      </c>
      <c r="D1486" t="s">
        <v>136</v>
      </c>
      <c r="E1486" t="s">
        <v>137</v>
      </c>
      <c r="F1486" t="s">
        <v>139</v>
      </c>
      <c r="G1486" t="s">
        <v>332</v>
      </c>
      <c r="H1486" t="s">
        <v>2362</v>
      </c>
      <c r="I1486" s="4">
        <v>55</v>
      </c>
      <c r="J1486" s="4"/>
      <c r="N1486" s="4" t="str">
        <f>IF(L1486="","",IF(OR(Registro2[[#This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486" t="str">
        <f t="shared" si="23"/>
        <v>abr/25</v>
      </c>
      <c r="P1486" t="str">
        <f>IF(Registro2[[#This Row],[Data de Pagamento]]&gt;0,TEXT(A1486,"mmm/aa"),"")</f>
        <v>abr/25</v>
      </c>
      <c r="T1486" s="4">
        <f>IF(Registro2[[#This Row],[Data de Pagamento]]="",0,IF(Registro2[[#This Row],[Conta Financeira]]=base!$A$6,0,Registro2[[#This Row],[Valor Unitário]]))</f>
        <v>55</v>
      </c>
      <c r="U14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86" t="str">
        <f>VLOOKUP(Registro2[[#This Row],[Categoria]],'Plano de Contas'!$V$3:W1545,2,0)</f>
        <v>Custos Operacionais</v>
      </c>
      <c r="X148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87" spans="1:24" hidden="1">
      <c r="A1487" s="1">
        <v>45762</v>
      </c>
      <c r="B1487" s="1">
        <v>45762</v>
      </c>
      <c r="D1487" t="s">
        <v>136</v>
      </c>
      <c r="E1487" t="s">
        <v>137</v>
      </c>
      <c r="F1487" t="s">
        <v>138</v>
      </c>
      <c r="G1487" t="s">
        <v>339</v>
      </c>
      <c r="H1487" t="s">
        <v>2369</v>
      </c>
      <c r="I1487" s="4">
        <v>110.9</v>
      </c>
      <c r="J1487" s="4"/>
      <c r="N1487" s="4" t="str">
        <f>IF(L1487="","",IF(OR(Registro2[[#This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487" t="str">
        <f t="shared" si="23"/>
        <v>abr/25</v>
      </c>
      <c r="P1487" t="str">
        <f>IF(Registro2[[#This Row],[Data de Pagamento]]&gt;0,TEXT(A1487,"mmm/aa"),"")</f>
        <v>abr/25</v>
      </c>
      <c r="T1487" s="4">
        <f>IF(Registro2[[#This Row],[Data de Pagamento]]="",0,IF(Registro2[[#This Row],[Conta Financeira]]=base!$A$6,0,Registro2[[#This Row],[Valor Unitário]]))</f>
        <v>110.9</v>
      </c>
      <c r="U14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87" t="str">
        <f>VLOOKUP(Registro2[[#This Row],[Categoria]],'Plano de Contas'!$V$3:W1546,2,0)</f>
        <v>Despesas Gerias &amp; Vendas</v>
      </c>
      <c r="X148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88" spans="1:24" hidden="1">
      <c r="A1488" s="1">
        <v>45763</v>
      </c>
      <c r="B1488" s="1">
        <v>45763</v>
      </c>
      <c r="D1488" t="s">
        <v>947</v>
      </c>
      <c r="E1488" t="s">
        <v>137</v>
      </c>
      <c r="F1488" t="s">
        <v>139</v>
      </c>
      <c r="G1488" t="s">
        <v>337</v>
      </c>
      <c r="H1488" t="s">
        <v>2501</v>
      </c>
      <c r="I1488" s="4">
        <v>1.99</v>
      </c>
      <c r="J1488" s="4"/>
      <c r="N1488" s="4" t="str">
        <f>IF(L1488="","",IF(OR(Registro2[[#This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488" t="str">
        <f t="shared" si="23"/>
        <v>abr/25</v>
      </c>
      <c r="P1488" t="str">
        <f>IF(Registro2[[#This Row],[Data de Pagamento]]&gt;0,TEXT(A1488,"mmm/aa"),"")</f>
        <v>abr/25</v>
      </c>
      <c r="T1488" s="4">
        <f>IF(Registro2[[#This Row],[Data de Pagamento]]="",0,IF(Registro2[[#This Row],[Conta Financeira]]=base!$A$6,0,Registro2[[#This Row],[Valor Unitário]]))</f>
        <v>1.99</v>
      </c>
      <c r="U14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88" t="str">
        <f>VLOOKUP(Registro2[[#This Row],[Categoria]],'Plano de Contas'!$V$3:W1544,2,0)</f>
        <v>Despesas Gerias &amp; Vendas</v>
      </c>
      <c r="X148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89" spans="1:24" hidden="1">
      <c r="A1489" s="1">
        <v>45763</v>
      </c>
      <c r="B1489" s="1">
        <v>45763</v>
      </c>
      <c r="D1489" t="s">
        <v>947</v>
      </c>
      <c r="E1489" t="s">
        <v>137</v>
      </c>
      <c r="F1489" t="s">
        <v>139</v>
      </c>
      <c r="G1489" t="s">
        <v>337</v>
      </c>
      <c r="H1489" t="s">
        <v>2502</v>
      </c>
      <c r="I1489" s="4">
        <v>6.99</v>
      </c>
      <c r="J1489" s="4"/>
      <c r="N1489" s="4" t="str">
        <f>IF(L1489="","",IF(OR(Registro2[[#This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489" t="str">
        <f t="shared" si="23"/>
        <v>abr/25</v>
      </c>
      <c r="P1489" t="str">
        <f>IF(Registro2[[#This Row],[Data de Pagamento]]&gt;0,TEXT(A1489,"mmm/aa"),"")</f>
        <v>abr/25</v>
      </c>
      <c r="T1489" s="4">
        <f>IF(Registro2[[#This Row],[Data de Pagamento]]="",0,IF(Registro2[[#This Row],[Conta Financeira]]=base!$A$6,0,Registro2[[#This Row],[Valor Unitário]]))</f>
        <v>6.99</v>
      </c>
      <c r="U14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89" t="str">
        <f>VLOOKUP(Registro2[[#This Row],[Categoria]],'Plano de Contas'!$V$3:W1545,2,0)</f>
        <v>Despesas Gerias &amp; Vendas</v>
      </c>
      <c r="X148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90" spans="1:24" hidden="1">
      <c r="A1490" s="1">
        <v>45763</v>
      </c>
      <c r="B1490" s="1">
        <v>45763</v>
      </c>
      <c r="D1490" t="s">
        <v>947</v>
      </c>
      <c r="E1490" t="s">
        <v>137</v>
      </c>
      <c r="F1490" t="s">
        <v>139</v>
      </c>
      <c r="G1490" t="s">
        <v>332</v>
      </c>
      <c r="H1490" t="s">
        <v>2503</v>
      </c>
      <c r="I1490" s="4">
        <v>10</v>
      </c>
      <c r="J1490" s="4"/>
      <c r="N1490" s="4" t="str">
        <f>IF(L1490="","",IF(OR(Registro2[[#This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490" t="str">
        <f t="shared" si="23"/>
        <v>abr/25</v>
      </c>
      <c r="P1490" t="str">
        <f>IF(Registro2[[#This Row],[Data de Pagamento]]&gt;0,TEXT(A1490,"mmm/aa"),"")</f>
        <v>abr/25</v>
      </c>
      <c r="T1490" s="4">
        <f>IF(Registro2[[#This Row],[Data de Pagamento]]="",0,IF(Registro2[[#This Row],[Conta Financeira]]=base!$A$6,0,Registro2[[#This Row],[Valor Unitário]]))</f>
        <v>10</v>
      </c>
      <c r="U14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90" t="str">
        <f>VLOOKUP(Registro2[[#This Row],[Categoria]],'Plano de Contas'!$V$3:W1546,2,0)</f>
        <v>Custos Operacionais</v>
      </c>
      <c r="X149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91" spans="1:24" hidden="1">
      <c r="A1491" s="1">
        <v>45763.416666666664</v>
      </c>
      <c r="B1491" s="1">
        <v>45763.416666666664</v>
      </c>
      <c r="D1491" t="s">
        <v>1</v>
      </c>
      <c r="E1491" t="s">
        <v>149</v>
      </c>
      <c r="F1491" t="s">
        <v>147</v>
      </c>
      <c r="G1491" t="s">
        <v>163</v>
      </c>
      <c r="I1491" s="4">
        <v>35</v>
      </c>
      <c r="J1491" s="4">
        <v>35</v>
      </c>
      <c r="L1491" t="s">
        <v>252</v>
      </c>
      <c r="M1491" t="s">
        <v>364</v>
      </c>
      <c r="N1491" s="4">
        <f>IF(L1491="","",IF(OR(Registro2[[#This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91" t="str">
        <f t="shared" si="23"/>
        <v>abr/25</v>
      </c>
      <c r="P1491" t="str">
        <f>IF(Registro2[[#This Row],[Data de Pagamento]]&gt;0,TEXT(A1491,"mmm/aa"),"")</f>
        <v>abr/25</v>
      </c>
      <c r="T1491" s="4">
        <f>IF(Registro2[[#This Row],[Data de Pagamento]]="",0,IF(Registro2[[#This Row],[Conta Financeira]]=base!$A$6,0,Registro2[[#This Row],[Valor Unitário]]))</f>
        <v>35</v>
      </c>
      <c r="U14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91" t="str">
        <f>VLOOKUP(Registro2[[#This Row],[Categoria]],'Plano de Contas'!$V$3:W1573,2,0)</f>
        <v>Receitas Serviços</v>
      </c>
      <c r="X149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92" spans="1:24" hidden="1">
      <c r="A1492" s="1">
        <v>45763.427083333336</v>
      </c>
      <c r="B1492" s="1">
        <v>45763.427083333336</v>
      </c>
      <c r="D1492" t="s">
        <v>2</v>
      </c>
      <c r="E1492" t="s">
        <v>149</v>
      </c>
      <c r="F1492" t="s">
        <v>147</v>
      </c>
      <c r="G1492" t="s">
        <v>163</v>
      </c>
      <c r="I1492" s="4">
        <v>10</v>
      </c>
      <c r="J1492" s="4">
        <v>10</v>
      </c>
      <c r="L1492" t="s">
        <v>264</v>
      </c>
      <c r="M1492" t="s">
        <v>1067</v>
      </c>
      <c r="N1492" s="4">
        <f>IF(L1492="","",IF(OR(Registro2[[#This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492" t="str">
        <f t="shared" si="23"/>
        <v>abr/25</v>
      </c>
      <c r="P1492" t="str">
        <f>IF(Registro2[[#This Row],[Data de Pagamento]]&gt;0,TEXT(A1492,"mmm/aa"),"")</f>
        <v>abr/25</v>
      </c>
      <c r="T1492" s="4">
        <f>IF(Registro2[[#This Row],[Data de Pagamento]]="",0,IF(Registro2[[#This Row],[Conta Financeira]]=base!$A$6,0,Registro2[[#This Row],[Valor Unitário]]))</f>
        <v>10</v>
      </c>
      <c r="U14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92" t="str">
        <f>VLOOKUP(Registro2[[#This Row],[Categoria]],'Plano de Contas'!$V$3:W1577,2,0)</f>
        <v>Receitas Serviços</v>
      </c>
      <c r="X149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93" spans="1:24" hidden="1">
      <c r="A1493" s="1">
        <v>45763.46875</v>
      </c>
      <c r="B1493" s="1">
        <v>45763.46875</v>
      </c>
      <c r="D1493" t="s">
        <v>1</v>
      </c>
      <c r="E1493" t="s">
        <v>149</v>
      </c>
      <c r="F1493" t="s">
        <v>147</v>
      </c>
      <c r="G1493" t="s">
        <v>163</v>
      </c>
      <c r="I1493" s="4">
        <v>35</v>
      </c>
      <c r="J1493" s="4">
        <v>70</v>
      </c>
      <c r="L1493" t="s">
        <v>252</v>
      </c>
      <c r="M1493" t="s">
        <v>493</v>
      </c>
      <c r="N1493" s="4">
        <f>IF(L1493="","",IF(OR(Registro2[[#This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93" t="str">
        <f t="shared" si="23"/>
        <v>abr/25</v>
      </c>
      <c r="P1493" t="str">
        <f>IF(Registro2[[#This Row],[Data de Pagamento]]&gt;0,TEXT(A1493,"mmm/aa"),"")</f>
        <v>abr/25</v>
      </c>
      <c r="T1493" s="4">
        <f>IF(Registro2[[#This Row],[Data de Pagamento]]="",0,IF(Registro2[[#This Row],[Conta Financeira]]=base!$A$6,0,Registro2[[#This Row],[Valor Unitário]]))</f>
        <v>35</v>
      </c>
      <c r="U14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93" t="str">
        <f>VLOOKUP(Registro2[[#This Row],[Categoria]],'Plano de Contas'!$V$3:W1588,2,0)</f>
        <v>Receitas Serviços</v>
      </c>
      <c r="X149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94" spans="1:24" hidden="1">
      <c r="A1494" s="1">
        <v>45763.46875</v>
      </c>
      <c r="B1494" s="1">
        <v>45763.46875</v>
      </c>
      <c r="D1494" t="s">
        <v>1</v>
      </c>
      <c r="E1494" t="s">
        <v>149</v>
      </c>
      <c r="F1494" t="s">
        <v>147</v>
      </c>
      <c r="G1494" t="s">
        <v>163</v>
      </c>
      <c r="I1494" s="4">
        <v>35</v>
      </c>
      <c r="J1494" s="4"/>
      <c r="L1494" t="s">
        <v>252</v>
      </c>
      <c r="M1494" t="s">
        <v>493</v>
      </c>
      <c r="N1494" s="4">
        <f>IF(L1494="","",IF(OR(Registro2[[#This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494" t="str">
        <f t="shared" si="23"/>
        <v>abr/25</v>
      </c>
      <c r="P1494" t="str">
        <f>IF(Registro2[[#This Row],[Data de Pagamento]]&gt;0,TEXT(A1494,"mmm/aa"),"")</f>
        <v>abr/25</v>
      </c>
      <c r="T1494" s="4">
        <f>IF(Registro2[[#This Row],[Data de Pagamento]]="",0,IF(Registro2[[#This Row],[Conta Financeira]]=base!$A$6,0,Registro2[[#This Row],[Valor Unitário]]))</f>
        <v>35</v>
      </c>
      <c r="U14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94" t="str">
        <f>VLOOKUP(Registro2[[#This Row],[Categoria]],'Plano de Contas'!$V$3:W1589,2,0)</f>
        <v>Receitas Serviços</v>
      </c>
      <c r="X149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95" spans="1:24" hidden="1">
      <c r="A1495" s="1">
        <v>45763.563888888886</v>
      </c>
      <c r="B1495" s="1">
        <v>45763.563888888886</v>
      </c>
      <c r="D1495" t="s">
        <v>136</v>
      </c>
      <c r="E1495" t="s">
        <v>137</v>
      </c>
      <c r="F1495" t="s">
        <v>139</v>
      </c>
      <c r="G1495" t="s">
        <v>331</v>
      </c>
      <c r="H1495" t="s">
        <v>2504</v>
      </c>
      <c r="I1495" s="4">
        <v>255.3</v>
      </c>
      <c r="J1495" s="4"/>
      <c r="N1495" s="4" t="str">
        <f>IF(L1495="","",IF(OR(Registro2[[#This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495" t="str">
        <f t="shared" si="23"/>
        <v>abr/25</v>
      </c>
      <c r="P1495" t="str">
        <f>IF(Registro2[[#This Row],[Data de Pagamento]]&gt;0,TEXT(A1495,"mmm/aa"),"")</f>
        <v>abr/25</v>
      </c>
      <c r="T1495" s="4">
        <f>IF(Registro2[[#This Row],[Data de Pagamento]]="",0,IF(Registro2[[#This Row],[Conta Financeira]]=base!$A$6,0,Registro2[[#This Row],[Valor Unitário]]))</f>
        <v>255.3</v>
      </c>
      <c r="U14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95" t="str">
        <f>VLOOKUP(Registro2[[#This Row],[Categoria]],'Plano de Contas'!$V$3:W1547,2,0)</f>
        <v>Custos Operacionais Produtos</v>
      </c>
      <c r="X149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96" spans="1:24" hidden="1">
      <c r="A1496" s="1">
        <v>45763.564583333333</v>
      </c>
      <c r="B1496" s="1">
        <v>45763.564583333333</v>
      </c>
      <c r="D1496" t="s">
        <v>136</v>
      </c>
      <c r="E1496" t="s">
        <v>137</v>
      </c>
      <c r="F1496" t="s">
        <v>139</v>
      </c>
      <c r="G1496" t="s">
        <v>331</v>
      </c>
      <c r="H1496" t="s">
        <v>2505</v>
      </c>
      <c r="I1496" s="4">
        <v>67.5</v>
      </c>
      <c r="J1496" s="4"/>
      <c r="N1496" s="4" t="str">
        <f>IF(L1496="","",IF(OR(Registro2[[#This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496" t="str">
        <f t="shared" si="23"/>
        <v>abr/25</v>
      </c>
      <c r="P1496" t="str">
        <f>IF(Registro2[[#This Row],[Data de Pagamento]]&gt;0,TEXT(A1496,"mmm/aa"),"")</f>
        <v>abr/25</v>
      </c>
      <c r="T1496" s="4">
        <f>IF(Registro2[[#This Row],[Data de Pagamento]]="",0,IF(Registro2[[#This Row],[Conta Financeira]]=base!$A$6,0,Registro2[[#This Row],[Valor Unitário]]))</f>
        <v>67.5</v>
      </c>
      <c r="U14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96" t="str">
        <f>VLOOKUP(Registro2[[#This Row],[Categoria]],'Plano de Contas'!$V$3:W1548,2,0)</f>
        <v>Custos Operacionais Produtos</v>
      </c>
      <c r="X149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97" spans="1:24" hidden="1">
      <c r="A1497" s="1">
        <v>45763.569444444445</v>
      </c>
      <c r="B1497" s="1">
        <v>45763.569444444445</v>
      </c>
      <c r="D1497" t="s">
        <v>136</v>
      </c>
      <c r="E1497" t="s">
        <v>137</v>
      </c>
      <c r="F1497" t="s">
        <v>139</v>
      </c>
      <c r="G1497" t="s">
        <v>331</v>
      </c>
      <c r="H1497" t="s">
        <v>2506</v>
      </c>
      <c r="I1497" s="4">
        <v>238.5</v>
      </c>
      <c r="J1497" s="4"/>
      <c r="N1497" s="4" t="str">
        <f>IF(L1497="","",IF(OR(Registro2[[#This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497" t="str">
        <f t="shared" si="23"/>
        <v>abr/25</v>
      </c>
      <c r="P1497" t="str">
        <f>IF(Registro2[[#This Row],[Data de Pagamento]]&gt;0,TEXT(A1497,"mmm/aa"),"")</f>
        <v>abr/25</v>
      </c>
      <c r="T1497" s="4">
        <f>IF(Registro2[[#This Row],[Data de Pagamento]]="",0,IF(Registro2[[#This Row],[Conta Financeira]]=base!$A$6,0,Registro2[[#This Row],[Valor Unitário]]))</f>
        <v>238.5</v>
      </c>
      <c r="U14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97" t="str">
        <f>VLOOKUP(Registro2[[#This Row],[Categoria]],'Plano de Contas'!$V$3:W1549,2,0)</f>
        <v>Custos Operacionais Produtos</v>
      </c>
      <c r="X149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98" spans="1:24" hidden="1">
      <c r="A1498" s="1">
        <v>45763.572222222225</v>
      </c>
      <c r="B1498" s="1">
        <v>45763.572222222225</v>
      </c>
      <c r="D1498" t="s">
        <v>136</v>
      </c>
      <c r="E1498" t="s">
        <v>137</v>
      </c>
      <c r="F1498" t="s">
        <v>139</v>
      </c>
      <c r="G1498" t="s">
        <v>331</v>
      </c>
      <c r="H1498" t="s">
        <v>2507</v>
      </c>
      <c r="I1498" s="4">
        <v>149</v>
      </c>
      <c r="J1498" s="4"/>
      <c r="N1498" s="4" t="str">
        <f>IF(L1498="","",IF(OR(Registro2[[#This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498" t="str">
        <f t="shared" si="23"/>
        <v>abr/25</v>
      </c>
      <c r="P1498" t="str">
        <f>IF(Registro2[[#This Row],[Data de Pagamento]]&gt;0,TEXT(A1498,"mmm/aa"),"")</f>
        <v>abr/25</v>
      </c>
      <c r="T1498" s="4">
        <f>IF(Registro2[[#This Row],[Data de Pagamento]]="",0,IF(Registro2[[#This Row],[Conta Financeira]]=base!$A$6,0,Registro2[[#This Row],[Valor Unitário]]))</f>
        <v>149</v>
      </c>
      <c r="U14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98" t="str">
        <f>VLOOKUP(Registro2[[#This Row],[Categoria]],'Plano de Contas'!$V$3:W1550,2,0)</f>
        <v>Custos Operacionais Produtos</v>
      </c>
      <c r="X149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499" spans="1:24" hidden="1">
      <c r="A1499" s="1">
        <v>45763.573611111111</v>
      </c>
      <c r="B1499" s="1">
        <v>45763.573611111111</v>
      </c>
      <c r="D1499" t="s">
        <v>136</v>
      </c>
      <c r="E1499" t="s">
        <v>137</v>
      </c>
      <c r="F1499" t="s">
        <v>139</v>
      </c>
      <c r="G1499" t="s">
        <v>331</v>
      </c>
      <c r="H1499" t="s">
        <v>2508</v>
      </c>
      <c r="I1499" s="4">
        <v>34.5</v>
      </c>
      <c r="J1499" s="4"/>
      <c r="N1499" s="4" t="str">
        <f>IF(L1499="","",IF(OR(Registro2[[#This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499" t="str">
        <f t="shared" si="23"/>
        <v>abr/25</v>
      </c>
      <c r="P1499" t="str">
        <f>IF(Registro2[[#This Row],[Data de Pagamento]]&gt;0,TEXT(A1499,"mmm/aa"),"")</f>
        <v>abr/25</v>
      </c>
      <c r="T1499" s="4">
        <f>IF(Registro2[[#This Row],[Data de Pagamento]]="",0,IF(Registro2[[#This Row],[Conta Financeira]]=base!$A$6,0,Registro2[[#This Row],[Valor Unitário]]))</f>
        <v>34.5</v>
      </c>
      <c r="U14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499" t="str">
        <f>VLOOKUP(Registro2[[#This Row],[Categoria]],'Plano de Contas'!$V$3:W1551,2,0)</f>
        <v>Custos Operacionais Produtos</v>
      </c>
      <c r="X149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00" spans="1:24" hidden="1">
      <c r="A1500" s="1">
        <v>45763.574999999997</v>
      </c>
      <c r="B1500" s="1">
        <v>45763.574999999997</v>
      </c>
      <c r="D1500" t="s">
        <v>136</v>
      </c>
      <c r="E1500" t="s">
        <v>137</v>
      </c>
      <c r="F1500" t="s">
        <v>139</v>
      </c>
      <c r="G1500" t="s">
        <v>331</v>
      </c>
      <c r="H1500" t="s">
        <v>2509</v>
      </c>
      <c r="I1500" s="4">
        <v>102</v>
      </c>
      <c r="J1500" s="4"/>
      <c r="N1500" s="4" t="str">
        <f>IF(L1500="","",IF(OR(Registro2[[#This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500" t="str">
        <f t="shared" si="23"/>
        <v>abr/25</v>
      </c>
      <c r="P1500" t="str">
        <f>IF(Registro2[[#This Row],[Data de Pagamento]]&gt;0,TEXT(A1500,"mmm/aa"),"")</f>
        <v>abr/25</v>
      </c>
      <c r="T1500" s="4">
        <f>IF(Registro2[[#This Row],[Data de Pagamento]]="",0,IF(Registro2[[#This Row],[Conta Financeira]]=base!$A$6,0,Registro2[[#This Row],[Valor Unitário]]))</f>
        <v>102</v>
      </c>
      <c r="U15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00" t="str">
        <f>VLOOKUP(Registro2[[#This Row],[Categoria]],'Plano de Contas'!$V$3:W1552,2,0)</f>
        <v>Custos Operacionais Produtos</v>
      </c>
      <c r="X150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01" spans="1:24" hidden="1">
      <c r="A1501" s="1">
        <v>45763.577777777777</v>
      </c>
      <c r="B1501" s="1">
        <v>45763.577777777777</v>
      </c>
      <c r="D1501" t="s">
        <v>136</v>
      </c>
      <c r="E1501" t="s">
        <v>137</v>
      </c>
      <c r="F1501" t="s">
        <v>139</v>
      </c>
      <c r="G1501" t="s">
        <v>331</v>
      </c>
      <c r="H1501" t="s">
        <v>2510</v>
      </c>
      <c r="I1501" s="4">
        <v>84.5</v>
      </c>
      <c r="J1501" s="4"/>
      <c r="N1501" s="4" t="str">
        <f>IF(L1501="","",IF(OR(Registro2[[#This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501" t="str">
        <f t="shared" si="23"/>
        <v>abr/25</v>
      </c>
      <c r="P1501" t="str">
        <f>IF(Registro2[[#This Row],[Data de Pagamento]]&gt;0,TEXT(A1501,"mmm/aa"),"")</f>
        <v>abr/25</v>
      </c>
      <c r="T1501" s="4">
        <f>IF(Registro2[[#This Row],[Data de Pagamento]]="",0,IF(Registro2[[#This Row],[Conta Financeira]]=base!$A$6,0,Registro2[[#This Row],[Valor Unitário]]))</f>
        <v>84.5</v>
      </c>
      <c r="U15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01" t="str">
        <f>VLOOKUP(Registro2[[#This Row],[Categoria]],'Plano de Contas'!$V$3:W1553,2,0)</f>
        <v>Custos Operacionais Produtos</v>
      </c>
      <c r="X150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02" spans="1:24" hidden="1">
      <c r="A1502" s="1">
        <v>45763.645833333336</v>
      </c>
      <c r="B1502" s="1">
        <v>45763.645833333336</v>
      </c>
      <c r="D1502" t="s">
        <v>1</v>
      </c>
      <c r="E1502" t="s">
        <v>149</v>
      </c>
      <c r="F1502" t="s">
        <v>147</v>
      </c>
      <c r="G1502" t="s">
        <v>163</v>
      </c>
      <c r="I1502" s="4">
        <v>35</v>
      </c>
      <c r="J1502" s="4">
        <v>155</v>
      </c>
      <c r="L1502" t="s">
        <v>253</v>
      </c>
      <c r="M1502" t="s">
        <v>405</v>
      </c>
      <c r="N1502" s="4">
        <f>IF(L1502="","",IF(OR(Registro2[[#This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02" t="str">
        <f t="shared" si="23"/>
        <v>abr/25</v>
      </c>
      <c r="P1502" t="str">
        <f>IF(Registro2[[#This Row],[Data de Pagamento]]&gt;0,TEXT(A1502,"mmm/aa"),"")</f>
        <v>abr/25</v>
      </c>
      <c r="T1502" s="4">
        <f>IF(Registro2[[#This Row],[Data de Pagamento]]="",0,IF(Registro2[[#This Row],[Conta Financeira]]=base!$A$6,0,Registro2[[#This Row],[Valor Unitário]]))</f>
        <v>35</v>
      </c>
      <c r="U15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02" t="str">
        <f>VLOOKUP(Registro2[[#This Row],[Categoria]],'Plano de Contas'!$V$3:W1581,2,0)</f>
        <v>Receitas Serviços</v>
      </c>
      <c r="X150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03" spans="1:24" hidden="1">
      <c r="A1503" s="1">
        <v>45763.677083333336</v>
      </c>
      <c r="B1503" s="1">
        <v>45763.677083333336</v>
      </c>
      <c r="D1503" t="s">
        <v>2</v>
      </c>
      <c r="E1503" t="s">
        <v>149</v>
      </c>
      <c r="F1503" t="s">
        <v>147</v>
      </c>
      <c r="G1503" t="s">
        <v>163</v>
      </c>
      <c r="I1503" s="4">
        <v>35</v>
      </c>
      <c r="J1503" s="4">
        <v>40</v>
      </c>
      <c r="L1503" t="s">
        <v>264</v>
      </c>
      <c r="M1503" t="s">
        <v>2060</v>
      </c>
      <c r="N1503" s="4">
        <f>IF(L1503="","",IF(OR(Registro2[[#This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03" t="str">
        <f t="shared" si="23"/>
        <v>abr/25</v>
      </c>
      <c r="P1503" t="str">
        <f>IF(Registro2[[#This Row],[Data de Pagamento]]&gt;0,TEXT(A1503,"mmm/aa"),"")</f>
        <v>abr/25</v>
      </c>
      <c r="T1503" s="4">
        <f>IF(Registro2[[#This Row],[Data de Pagamento]]="",0,IF(Registro2[[#This Row],[Conta Financeira]]=base!$A$6,0,Registro2[[#This Row],[Valor Unitário]]))</f>
        <v>35</v>
      </c>
      <c r="U15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03" t="str">
        <f>VLOOKUP(Registro2[[#This Row],[Categoria]],'Plano de Contas'!$V$3:W1583,2,0)</f>
        <v>Receitas Serviços</v>
      </c>
      <c r="X15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04" spans="1:24" hidden="1">
      <c r="A1504" s="1">
        <v>45763.677083333336</v>
      </c>
      <c r="B1504" s="1">
        <v>45763.677083333336</v>
      </c>
      <c r="D1504" t="s">
        <v>2</v>
      </c>
      <c r="E1504" t="s">
        <v>149</v>
      </c>
      <c r="F1504" t="s">
        <v>910</v>
      </c>
      <c r="G1504" t="s">
        <v>910</v>
      </c>
      <c r="I1504" s="4">
        <v>5</v>
      </c>
      <c r="J1504" s="4"/>
      <c r="L1504" t="s">
        <v>264</v>
      </c>
      <c r="M1504" t="s">
        <v>2060</v>
      </c>
      <c r="N1504" s="4" t="str">
        <f>IF(L1504="","",IF(OR(Registro2[[#This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504" t="str">
        <f t="shared" si="23"/>
        <v>abr/25</v>
      </c>
      <c r="P1504" t="str">
        <f>IF(Registro2[[#This Row],[Data de Pagamento]]&gt;0,TEXT(A1504,"mmm/aa"),"")</f>
        <v>abr/25</v>
      </c>
      <c r="T1504" s="4">
        <f>IF(Registro2[[#This Row],[Data de Pagamento]]="",0,IF(Registro2[[#This Row],[Conta Financeira]]=base!$A$6,0,Registro2[[#This Row],[Valor Unitário]]))</f>
        <v>5</v>
      </c>
      <c r="U15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04" t="str">
        <f>VLOOKUP(Registro2[[#This Row],[Categoria]],'Plano de Contas'!$V$3:W1584,2,0)</f>
        <v>Outras Receitas</v>
      </c>
      <c r="X15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05" spans="1:24" hidden="1">
      <c r="A1505" s="1">
        <v>45763.708333333336</v>
      </c>
      <c r="B1505" s="1">
        <v>45763.708333333336</v>
      </c>
      <c r="D1505" t="s">
        <v>310</v>
      </c>
      <c r="E1505" t="s">
        <v>149</v>
      </c>
      <c r="F1505" t="s">
        <v>147</v>
      </c>
      <c r="G1505" t="s">
        <v>163</v>
      </c>
      <c r="I1505" s="4">
        <v>35</v>
      </c>
      <c r="J1505" s="4">
        <v>35</v>
      </c>
      <c r="L1505" t="s">
        <v>253</v>
      </c>
      <c r="M1505" t="s">
        <v>2383</v>
      </c>
      <c r="N1505" s="4">
        <f>IF(L1505="","",IF(OR(Registro2[[#This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05" t="str">
        <f t="shared" si="23"/>
        <v>abr/25</v>
      </c>
      <c r="P1505" t="str">
        <f>IF(Registro2[[#This Row],[Data de Pagamento]]&gt;0,TEXT(A1505,"mmm/aa"),"")</f>
        <v>abr/25</v>
      </c>
      <c r="T1505" s="4">
        <f>IF(Registro2[[#This Row],[Data de Pagamento]]="",0,IF(Registro2[[#This Row],[Conta Financeira]]=base!$A$6,0,Registro2[[#This Row],[Valor Unitário]]))</f>
        <v>35</v>
      </c>
      <c r="U15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05" t="str">
        <f>VLOOKUP(Registro2[[#This Row],[Categoria]],'Plano de Contas'!$V$3:W1585,2,0)</f>
        <v>Receitas Serviços</v>
      </c>
      <c r="X150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506" spans="1:24" hidden="1">
      <c r="A1506" s="1">
        <v>45763.770833333336</v>
      </c>
      <c r="B1506" s="1">
        <v>45763.770833333336</v>
      </c>
      <c r="D1506" t="s">
        <v>354</v>
      </c>
      <c r="E1506" t="s">
        <v>149</v>
      </c>
      <c r="F1506" t="s">
        <v>147</v>
      </c>
      <c r="G1506" t="s">
        <v>163</v>
      </c>
      <c r="I1506" s="4">
        <v>35</v>
      </c>
      <c r="J1506" s="4">
        <v>35</v>
      </c>
      <c r="L1506" t="s">
        <v>253</v>
      </c>
      <c r="M1506" t="s">
        <v>85</v>
      </c>
      <c r="N1506" s="4">
        <f>IF(L1506="","",IF(OR(Registro2[[#This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06" t="str">
        <f t="shared" si="23"/>
        <v>abr/25</v>
      </c>
      <c r="P1506" t="str">
        <f>IF(Registro2[[#This Row],[Data de Pagamento]]&gt;0,TEXT(A1506,"mmm/aa"),"")</f>
        <v>abr/25</v>
      </c>
      <c r="T1506" s="4">
        <f>IF(Registro2[[#This Row],[Data de Pagamento]]="",0,IF(Registro2[[#This Row],[Conta Financeira]]=base!$A$6,0,Registro2[[#This Row],[Valor Unitário]]))</f>
        <v>35</v>
      </c>
      <c r="U15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06" t="str">
        <f>VLOOKUP(Registro2[[#This Row],[Categoria]],'Plano de Contas'!$V$3:W1576,2,0)</f>
        <v>Receitas Serviços</v>
      </c>
      <c r="X150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507" spans="1:24" hidden="1">
      <c r="A1507" s="1">
        <v>45763.791666666664</v>
      </c>
      <c r="B1507" s="1">
        <v>45763.791666666664</v>
      </c>
      <c r="D1507" t="s">
        <v>1</v>
      </c>
      <c r="E1507" t="s">
        <v>149</v>
      </c>
      <c r="F1507" t="s">
        <v>147</v>
      </c>
      <c r="G1507" t="s">
        <v>163</v>
      </c>
      <c r="I1507" s="4">
        <v>35</v>
      </c>
      <c r="J1507" s="4">
        <v>35</v>
      </c>
      <c r="L1507" t="s">
        <v>253</v>
      </c>
      <c r="M1507" t="s">
        <v>185</v>
      </c>
      <c r="N1507" s="4">
        <f>IF(L1507="","",IF(OR(Registro2[[#This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07" t="str">
        <f t="shared" si="23"/>
        <v>abr/25</v>
      </c>
      <c r="P1507" t="str">
        <f>IF(Registro2[[#This Row],[Data de Pagamento]]&gt;0,TEXT(A1507,"mmm/aa"),"")</f>
        <v>abr/25</v>
      </c>
      <c r="T1507" s="4">
        <f>IF(Registro2[[#This Row],[Data de Pagamento]]="",0,IF(Registro2[[#This Row],[Conta Financeira]]=base!$A$6,0,Registro2[[#This Row],[Valor Unitário]]))</f>
        <v>35</v>
      </c>
      <c r="U15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07" t="str">
        <f>VLOOKUP(Registro2[[#This Row],[Categoria]],'Plano de Contas'!$V$3:W1580,2,0)</f>
        <v>Receitas Serviços</v>
      </c>
      <c r="X150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08" spans="1:24" hidden="1">
      <c r="A1508" s="1">
        <v>45763.8125</v>
      </c>
      <c r="B1508" s="1">
        <v>45763.8125</v>
      </c>
      <c r="D1508" t="s">
        <v>310</v>
      </c>
      <c r="E1508" t="s">
        <v>149</v>
      </c>
      <c r="F1508" t="s">
        <v>147</v>
      </c>
      <c r="G1508" t="s">
        <v>163</v>
      </c>
      <c r="I1508" s="4">
        <v>35</v>
      </c>
      <c r="J1508" s="4">
        <v>35</v>
      </c>
      <c r="L1508" t="s">
        <v>253</v>
      </c>
      <c r="M1508" t="s">
        <v>11</v>
      </c>
      <c r="N1508" s="4">
        <f>IF(L1508="","",IF(OR(Registro2[[#This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08" t="str">
        <f t="shared" si="23"/>
        <v>abr/25</v>
      </c>
      <c r="P1508" t="str">
        <f>IF(Registro2[[#This Row],[Data de Pagamento]]&gt;0,TEXT(A1508,"mmm/aa"),"")</f>
        <v>abr/25</v>
      </c>
      <c r="T1508" s="4">
        <f>IF(Registro2[[#This Row],[Data de Pagamento]]="",0,IF(Registro2[[#This Row],[Conta Financeira]]=base!$A$6,0,Registro2[[#This Row],[Valor Unitário]]))</f>
        <v>35</v>
      </c>
      <c r="U15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08" t="str">
        <f>VLOOKUP(Registro2[[#This Row],[Categoria]],'Plano de Contas'!$V$3:W1582,2,0)</f>
        <v>Receitas Serviços</v>
      </c>
      <c r="X150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509" spans="1:24" hidden="1">
      <c r="A1509" s="1">
        <v>45763.833333333336</v>
      </c>
      <c r="B1509" s="1">
        <v>45763.833333333336</v>
      </c>
      <c r="D1509" t="s">
        <v>310</v>
      </c>
      <c r="E1509" t="s">
        <v>149</v>
      </c>
      <c r="F1509" t="s">
        <v>152</v>
      </c>
      <c r="G1509" t="s">
        <v>353</v>
      </c>
      <c r="I1509" s="4">
        <v>60</v>
      </c>
      <c r="J1509" s="4">
        <v>75</v>
      </c>
      <c r="L1509" t="s">
        <v>252</v>
      </c>
      <c r="M1509" t="s">
        <v>297</v>
      </c>
      <c r="N1509" s="4">
        <f>IF(L1509="","",IF(OR(Registro2[[#This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509" t="str">
        <f t="shared" si="23"/>
        <v>abr/25</v>
      </c>
      <c r="P1509" t="str">
        <f>IF(Registro2[[#This Row],[Data de Pagamento]]&gt;0,TEXT(A1509,"mmm/aa"),"")</f>
        <v>abr/25</v>
      </c>
      <c r="T1509" s="4">
        <f>IF(Registro2[[#This Row],[Data de Pagamento]]="",0,IF(Registro2[[#This Row],[Conta Financeira]]=base!$A$6,0,Registro2[[#This Row],[Valor Unitário]]))</f>
        <v>60</v>
      </c>
      <c r="U15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09" t="str">
        <f>VLOOKUP(Registro2[[#This Row],[Categoria]],'Plano de Contas'!$V$3:W1586,2,0)</f>
        <v>Receitas Serviços</v>
      </c>
      <c r="X150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</row>
    <row r="1510" spans="1:24" hidden="1">
      <c r="A1510" s="1">
        <v>45763.833333333336</v>
      </c>
      <c r="B1510" s="1">
        <v>45763.833333333336</v>
      </c>
      <c r="D1510" t="s">
        <v>310</v>
      </c>
      <c r="E1510" t="s">
        <v>149</v>
      </c>
      <c r="F1510" t="s">
        <v>147</v>
      </c>
      <c r="G1510" t="s">
        <v>1187</v>
      </c>
      <c r="I1510" s="4">
        <v>15</v>
      </c>
      <c r="J1510" s="4"/>
      <c r="L1510" t="s">
        <v>252</v>
      </c>
      <c r="M1510" t="s">
        <v>297</v>
      </c>
      <c r="N1510" s="4">
        <f>IF(L1510="","",IF(OR(Registro2[[#This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510" t="str">
        <f t="shared" si="23"/>
        <v>abr/25</v>
      </c>
      <c r="P1510" t="str">
        <f>IF(Registro2[[#This Row],[Data de Pagamento]]&gt;0,TEXT(A1510,"mmm/aa"),"")</f>
        <v>abr/25</v>
      </c>
      <c r="T1510" s="4">
        <f>IF(Registro2[[#This Row],[Data de Pagamento]]="",0,IF(Registro2[[#This Row],[Conta Financeira]]=base!$A$6,0,Registro2[[#This Row],[Valor Unitário]]))</f>
        <v>15</v>
      </c>
      <c r="U15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10" t="str">
        <f>VLOOKUP(Registro2[[#This Row],[Categoria]],'Plano de Contas'!$V$3:W1587,2,0)</f>
        <v>Receitas Serviços</v>
      </c>
      <c r="X151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</row>
    <row r="1511" spans="1:24" hidden="1">
      <c r="A1511" s="1">
        <v>45763.84375</v>
      </c>
      <c r="B1511" s="1">
        <v>45763.84375</v>
      </c>
      <c r="D1511" t="s">
        <v>1</v>
      </c>
      <c r="E1511" t="s">
        <v>149</v>
      </c>
      <c r="F1511" t="s">
        <v>147</v>
      </c>
      <c r="G1511" t="s">
        <v>163</v>
      </c>
      <c r="I1511" s="4">
        <v>30</v>
      </c>
      <c r="J1511" s="4">
        <v>30</v>
      </c>
      <c r="L1511" t="s">
        <v>264</v>
      </c>
      <c r="M1511" t="s">
        <v>271</v>
      </c>
      <c r="N1511" s="4">
        <f>IF(L1511="","",IF(OR(Registro2[[#This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1511" t="str">
        <f t="shared" si="23"/>
        <v>abr/25</v>
      </c>
      <c r="P1511" t="str">
        <f>IF(Registro2[[#This Row],[Data de Pagamento]]&gt;0,TEXT(A1511,"mmm/aa"),"")</f>
        <v>abr/25</v>
      </c>
      <c r="T1511" s="4">
        <f>IF(Registro2[[#This Row],[Data de Pagamento]]="",0,IF(Registro2[[#This Row],[Conta Financeira]]=base!$A$6,0,Registro2[[#This Row],[Valor Unitário]]))</f>
        <v>30</v>
      </c>
      <c r="U15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11" t="str">
        <f>VLOOKUP(Registro2[[#This Row],[Categoria]],'Plano de Contas'!$V$3:W1590,2,0)</f>
        <v>Receitas Serviços</v>
      </c>
      <c r="X15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12" spans="1:24" hidden="1">
      <c r="A1512" s="1">
        <v>45763.871527777781</v>
      </c>
      <c r="B1512" s="1">
        <v>45763.871527777781</v>
      </c>
      <c r="D1512" t="s">
        <v>1</v>
      </c>
      <c r="E1512" t="s">
        <v>149</v>
      </c>
      <c r="F1512" t="s">
        <v>147</v>
      </c>
      <c r="G1512" t="s">
        <v>163</v>
      </c>
      <c r="I1512" s="4">
        <v>35</v>
      </c>
      <c r="J1512" s="4">
        <v>50</v>
      </c>
      <c r="L1512" t="s">
        <v>253</v>
      </c>
      <c r="M1512" t="s">
        <v>475</v>
      </c>
      <c r="N1512" s="4">
        <f>IF(L1512="","",IF(OR(Registro2[[#This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12" t="str">
        <f t="shared" si="23"/>
        <v>abr/25</v>
      </c>
      <c r="P1512" t="str">
        <f>IF(Registro2[[#This Row],[Data de Pagamento]]&gt;0,TEXT(A1512,"mmm/aa"),"")</f>
        <v>abr/25</v>
      </c>
      <c r="T1512" s="4">
        <f>IF(Registro2[[#This Row],[Data de Pagamento]]="",0,IF(Registro2[[#This Row],[Conta Financeira]]=base!$A$6,0,Registro2[[#This Row],[Valor Unitário]]))</f>
        <v>35</v>
      </c>
      <c r="U15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12" t="str">
        <f>VLOOKUP(Registro2[[#This Row],[Categoria]],'Plano de Contas'!$V$3:W1591,2,0)</f>
        <v>Receitas Serviços</v>
      </c>
      <c r="X151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13" spans="1:24" hidden="1">
      <c r="A1513" s="1">
        <v>45763.871527777781</v>
      </c>
      <c r="B1513" s="1">
        <v>45763.871527777781</v>
      </c>
      <c r="D1513" t="s">
        <v>1</v>
      </c>
      <c r="E1513" t="s">
        <v>149</v>
      </c>
      <c r="F1513" t="s">
        <v>147</v>
      </c>
      <c r="G1513" t="s">
        <v>1046</v>
      </c>
      <c r="I1513" s="4">
        <v>15</v>
      </c>
      <c r="J1513" s="4"/>
      <c r="L1513" t="s">
        <v>253</v>
      </c>
      <c r="M1513" t="s">
        <v>475</v>
      </c>
      <c r="N1513" s="4">
        <f>IF(L1513="","",IF(OR(Registro2[[#This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513" t="str">
        <f t="shared" si="23"/>
        <v>abr/25</v>
      </c>
      <c r="P1513" t="str">
        <f>IF(Registro2[[#This Row],[Data de Pagamento]]&gt;0,TEXT(A1513,"mmm/aa"),"")</f>
        <v>abr/25</v>
      </c>
      <c r="T1513" s="4">
        <f>IF(Registro2[[#This Row],[Data de Pagamento]]="",0,IF(Registro2[[#This Row],[Conta Financeira]]=base!$A$6,0,Registro2[[#This Row],[Valor Unitário]]))</f>
        <v>15</v>
      </c>
      <c r="U15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13" t="str">
        <f>VLOOKUP(Registro2[[#This Row],[Categoria]],'Plano de Contas'!$V$3:W1592,2,0)</f>
        <v>Receitas Serviços</v>
      </c>
      <c r="X151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14" spans="1:24" hidden="1">
      <c r="A1514" s="1">
        <v>45764</v>
      </c>
      <c r="B1514" s="1">
        <v>45764</v>
      </c>
      <c r="D1514" t="s">
        <v>947</v>
      </c>
      <c r="E1514" t="s">
        <v>137</v>
      </c>
      <c r="F1514" t="s">
        <v>138</v>
      </c>
      <c r="G1514" t="s">
        <v>141</v>
      </c>
      <c r="H1514" t="s">
        <v>1261</v>
      </c>
      <c r="I1514" s="4">
        <v>120</v>
      </c>
      <c r="J1514" s="4"/>
      <c r="N1514" s="4" t="str">
        <f>IF(L1514="","",IF(OR(Registro2[[#This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514" t="str">
        <f t="shared" si="23"/>
        <v>abr/25</v>
      </c>
      <c r="P1514" t="str">
        <f>IF(Registro2[[#This Row],[Data de Pagamento]]&gt;0,TEXT(A1514,"mmm/aa"),"")</f>
        <v>abr/25</v>
      </c>
      <c r="T1514" s="4">
        <f>IF(Registro2[[#This Row],[Data de Pagamento]]="",0,IF(Registro2[[#This Row],[Conta Financeira]]=base!$A$6,0,Registro2[[#This Row],[Valor Unitário]]))</f>
        <v>120</v>
      </c>
      <c r="U15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14" t="str">
        <f>VLOOKUP(Registro2[[#This Row],[Categoria]],'Plano de Contas'!$V$3:W1554,2,0)</f>
        <v>Custos Operacionais</v>
      </c>
      <c r="X151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15" spans="1:24" hidden="1">
      <c r="A1515" s="1">
        <v>45764</v>
      </c>
      <c r="B1515" s="1">
        <v>45764</v>
      </c>
      <c r="D1515" t="s">
        <v>947</v>
      </c>
      <c r="E1515" t="s">
        <v>137</v>
      </c>
      <c r="F1515" t="s">
        <v>139</v>
      </c>
      <c r="G1515" t="s">
        <v>332</v>
      </c>
      <c r="H1515" t="s">
        <v>2511</v>
      </c>
      <c r="I1515" s="4">
        <v>73.14</v>
      </c>
      <c r="J1515" s="4"/>
      <c r="N1515" s="4" t="str">
        <f>IF(L1515="","",IF(OR(Registro2[[#This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515" t="str">
        <f t="shared" si="23"/>
        <v>abr/25</v>
      </c>
      <c r="P1515" t="str">
        <f>IF(Registro2[[#This Row],[Data de Pagamento]]&gt;0,TEXT(A1515,"mmm/aa"),"")</f>
        <v>abr/25</v>
      </c>
      <c r="T1515" s="4">
        <f>IF(Registro2[[#This Row],[Data de Pagamento]]="",0,IF(Registro2[[#This Row],[Conta Financeira]]=base!$A$6,0,Registro2[[#This Row],[Valor Unitário]]))</f>
        <v>73.14</v>
      </c>
      <c r="U15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15" t="str">
        <f>VLOOKUP(Registro2[[#This Row],[Categoria]],'Plano de Contas'!$V$3:W1555,2,0)</f>
        <v>Custos Operacionais</v>
      </c>
      <c r="X151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16" spans="1:24" hidden="1">
      <c r="A1516" s="1">
        <v>45764</v>
      </c>
      <c r="B1516" s="1">
        <v>45764</v>
      </c>
      <c r="D1516" t="s">
        <v>947</v>
      </c>
      <c r="E1516" t="s">
        <v>137</v>
      </c>
      <c r="F1516" t="s">
        <v>967</v>
      </c>
      <c r="G1516" t="s">
        <v>335</v>
      </c>
      <c r="H1516" t="s">
        <v>434</v>
      </c>
      <c r="I1516" s="4">
        <v>650</v>
      </c>
      <c r="J1516" s="4"/>
      <c r="N1516" s="4" t="str">
        <f>IF(L1516="","",IF(OR(Registro2[[#This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516" t="str">
        <f t="shared" si="23"/>
        <v>abr/25</v>
      </c>
      <c r="P1516" t="str">
        <f>IF(Registro2[[#This Row],[Data de Pagamento]]&gt;0,TEXT(A1516,"mmm/aa"),"")</f>
        <v>abr/25</v>
      </c>
      <c r="T1516" s="4">
        <f>IF(Registro2[[#This Row],[Data de Pagamento]]="",0,IF(Registro2[[#This Row],[Conta Financeira]]=base!$A$6,0,Registro2[[#This Row],[Valor Unitário]]))</f>
        <v>650</v>
      </c>
      <c r="U15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16" t="str">
        <f>VLOOKUP(Registro2[[#This Row],[Categoria]],'Plano de Contas'!$V$3:W1556,2,0)</f>
        <v>Despesas Administrativas</v>
      </c>
      <c r="X151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17" spans="1:24" hidden="1">
      <c r="A1517" s="1">
        <v>45764</v>
      </c>
      <c r="B1517" s="1">
        <v>45764</v>
      </c>
      <c r="D1517" t="s">
        <v>947</v>
      </c>
      <c r="E1517" t="s">
        <v>137</v>
      </c>
      <c r="F1517" t="s">
        <v>138</v>
      </c>
      <c r="G1517" t="s">
        <v>143</v>
      </c>
      <c r="H1517" t="s">
        <v>2512</v>
      </c>
      <c r="I1517" s="4">
        <v>70</v>
      </c>
      <c r="J1517" s="4"/>
      <c r="N1517" s="4" t="str">
        <f>IF(L1517="","",IF(OR(Registro2[[#This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517" t="str">
        <f t="shared" si="23"/>
        <v>abr/25</v>
      </c>
      <c r="P1517" t="str">
        <f>IF(Registro2[[#This Row],[Data de Pagamento]]&gt;0,TEXT(A1517,"mmm/aa"),"")</f>
        <v>abr/25</v>
      </c>
      <c r="T1517" s="4">
        <f>IF(Registro2[[#This Row],[Data de Pagamento]]="",0,IF(Registro2[[#This Row],[Conta Financeira]]=base!$A$6,0,Registro2[[#This Row],[Valor Unitário]]))</f>
        <v>70</v>
      </c>
      <c r="U15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17" t="str">
        <f>VLOOKUP(Registro2[[#This Row],[Categoria]],'Plano de Contas'!$V$3:W1557,2,0)</f>
        <v>Custos Operacionais</v>
      </c>
      <c r="X151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18" spans="1:24" hidden="1">
      <c r="A1518" s="1">
        <v>45764</v>
      </c>
      <c r="B1518" s="1">
        <v>45764</v>
      </c>
      <c r="D1518" t="s">
        <v>947</v>
      </c>
      <c r="E1518" t="s">
        <v>137</v>
      </c>
      <c r="F1518" t="s">
        <v>146</v>
      </c>
      <c r="G1518" t="s">
        <v>315</v>
      </c>
      <c r="H1518" t="s">
        <v>2513</v>
      </c>
      <c r="I1518" s="4">
        <v>200</v>
      </c>
      <c r="J1518" s="4"/>
      <c r="N1518" s="4" t="str">
        <f>IF(L1518="","",IF(OR(Registro2[[#This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518" t="str">
        <f t="shared" si="23"/>
        <v>abr/25</v>
      </c>
      <c r="P1518" t="str">
        <f>IF(Registro2[[#This Row],[Data de Pagamento]]&gt;0,TEXT(A1518,"mmm/aa"),"")</f>
        <v>abr/25</v>
      </c>
      <c r="T1518" s="4">
        <f>IF(Registro2[[#This Row],[Data de Pagamento]]="",0,IF(Registro2[[#This Row],[Conta Financeira]]=base!$A$6,0,Registro2[[#This Row],[Valor Unitário]]))</f>
        <v>200</v>
      </c>
      <c r="U15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18" t="str">
        <f>VLOOKUP(Registro2[[#This Row],[Categoria]],'Plano de Contas'!$V$3:W1558,2,0)</f>
        <v>Despesas Operacionais</v>
      </c>
      <c r="X15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19" spans="1:24" hidden="1">
      <c r="A1519" s="1">
        <v>45764</v>
      </c>
      <c r="B1519" s="1">
        <v>45764</v>
      </c>
      <c r="D1519" t="s">
        <v>947</v>
      </c>
      <c r="E1519" t="s">
        <v>137</v>
      </c>
      <c r="F1519" t="s">
        <v>139</v>
      </c>
      <c r="G1519" t="s">
        <v>332</v>
      </c>
      <c r="H1519" t="s">
        <v>1300</v>
      </c>
      <c r="I1519" s="4">
        <v>120</v>
      </c>
      <c r="J1519" s="4"/>
      <c r="N1519" s="4" t="str">
        <f>IF(L1519="","",IF(OR(Registro2[[#This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519" t="str">
        <f t="shared" si="23"/>
        <v>abr/25</v>
      </c>
      <c r="P1519" t="str">
        <f>IF(Registro2[[#This Row],[Data de Pagamento]]&gt;0,TEXT(A1519,"mmm/aa"),"")</f>
        <v>abr/25</v>
      </c>
      <c r="T1519" s="4">
        <f>IF(Registro2[[#This Row],[Data de Pagamento]]="",0,IF(Registro2[[#This Row],[Conta Financeira]]=base!$A$6,0,Registro2[[#This Row],[Valor Unitário]]))</f>
        <v>120</v>
      </c>
      <c r="U15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19" t="str">
        <f>VLOOKUP(Registro2[[#This Row],[Categoria]],'Plano de Contas'!$V$3:W1559,2,0)</f>
        <v>Custos Operacionais</v>
      </c>
      <c r="X151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20" spans="1:24" hidden="1">
      <c r="A1520" s="1">
        <v>45764</v>
      </c>
      <c r="B1520" s="1">
        <v>45764</v>
      </c>
      <c r="D1520" t="s">
        <v>947</v>
      </c>
      <c r="E1520" t="s">
        <v>137</v>
      </c>
      <c r="F1520" t="s">
        <v>139</v>
      </c>
      <c r="G1520" t="s">
        <v>332</v>
      </c>
      <c r="H1520" t="s">
        <v>2514</v>
      </c>
      <c r="I1520" s="4">
        <v>25</v>
      </c>
      <c r="J1520" s="4"/>
      <c r="N1520" s="4" t="str">
        <f>IF(L1520="","",IF(OR(Registro2[[#This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520" t="str">
        <f t="shared" si="23"/>
        <v>abr/25</v>
      </c>
      <c r="P1520" t="str">
        <f>IF(Registro2[[#This Row],[Data de Pagamento]]&gt;0,TEXT(A1520,"mmm/aa"),"")</f>
        <v>abr/25</v>
      </c>
      <c r="T1520" s="4">
        <f>IF(Registro2[[#This Row],[Data de Pagamento]]="",0,IF(Registro2[[#This Row],[Conta Financeira]]=base!$A$6,0,Registro2[[#This Row],[Valor Unitário]]))</f>
        <v>25</v>
      </c>
      <c r="U15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20" t="str">
        <f>VLOOKUP(Registro2[[#This Row],[Categoria]],'Plano de Contas'!$V$3:W1560,2,0)</f>
        <v>Custos Operacionais</v>
      </c>
      <c r="X152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21" spans="1:24" hidden="1">
      <c r="A1521" s="1">
        <v>45764.416666666664</v>
      </c>
      <c r="B1521" s="1">
        <v>45764.416666666664</v>
      </c>
      <c r="D1521" t="s">
        <v>1</v>
      </c>
      <c r="E1521" t="s">
        <v>149</v>
      </c>
      <c r="F1521" t="s">
        <v>152</v>
      </c>
      <c r="G1521" t="s">
        <v>353</v>
      </c>
      <c r="I1521" s="4">
        <v>60</v>
      </c>
      <c r="J1521" s="4">
        <v>60</v>
      </c>
      <c r="L1521" t="s">
        <v>264</v>
      </c>
      <c r="M1521" t="s">
        <v>465</v>
      </c>
      <c r="N1521" s="4">
        <f>IF(L1521="","",IF(OR(Registro2[[#This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521" t="str">
        <f t="shared" si="23"/>
        <v>abr/25</v>
      </c>
      <c r="P1521" t="str">
        <f>IF(Registro2[[#This Row],[Data de Pagamento]]&gt;0,TEXT(A1521,"mmm/aa"),"")</f>
        <v>abr/25</v>
      </c>
      <c r="T1521" s="4">
        <f>IF(Registro2[[#This Row],[Data de Pagamento]]="",0,IF(Registro2[[#This Row],[Conta Financeira]]=base!$A$6,0,Registro2[[#This Row],[Valor Unitário]]))</f>
        <v>60</v>
      </c>
      <c r="U15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21" t="str">
        <f>VLOOKUP(Registro2[[#This Row],[Categoria]],'Plano de Contas'!$V$3:W1593,2,0)</f>
        <v>Receitas Serviços</v>
      </c>
      <c r="X152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22" spans="1:24" hidden="1">
      <c r="A1522" s="1">
        <v>45764.458333333336</v>
      </c>
      <c r="B1522" s="1">
        <v>45764.458333333336</v>
      </c>
      <c r="D1522" t="s">
        <v>2</v>
      </c>
      <c r="E1522" t="s">
        <v>149</v>
      </c>
      <c r="F1522" t="s">
        <v>147</v>
      </c>
      <c r="G1522" t="s">
        <v>163</v>
      </c>
      <c r="I1522" s="4">
        <v>35</v>
      </c>
      <c r="J1522" s="4">
        <v>35</v>
      </c>
      <c r="L1522" t="s">
        <v>252</v>
      </c>
      <c r="M1522" t="s">
        <v>2392</v>
      </c>
      <c r="N1522" s="4">
        <f>IF(L1522="","",IF(OR(Registro2[[#This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22" t="str">
        <f t="shared" si="23"/>
        <v>abr/25</v>
      </c>
      <c r="P1522" t="str">
        <f>IF(Registro2[[#This Row],[Data de Pagamento]]&gt;0,TEXT(A1522,"mmm/aa"),"")</f>
        <v>abr/25</v>
      </c>
      <c r="T1522" s="4">
        <f>IF(Registro2[[#This Row],[Data de Pagamento]]="",0,IF(Registro2[[#This Row],[Conta Financeira]]=base!$A$6,0,Registro2[[#This Row],[Valor Unitário]]))</f>
        <v>35</v>
      </c>
      <c r="U15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22" t="str">
        <f>VLOOKUP(Registro2[[#This Row],[Categoria]],'Plano de Contas'!$V$3:W1597,2,0)</f>
        <v>Receitas Serviços</v>
      </c>
      <c r="X152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23" spans="1:24" hidden="1">
      <c r="A1523" s="1">
        <v>45764.46875</v>
      </c>
      <c r="B1523" s="1">
        <v>45764.46875</v>
      </c>
      <c r="D1523" t="s">
        <v>310</v>
      </c>
      <c r="E1523" t="s">
        <v>149</v>
      </c>
      <c r="F1523" t="s">
        <v>152</v>
      </c>
      <c r="G1523" t="s">
        <v>353</v>
      </c>
      <c r="I1523" s="4">
        <v>60</v>
      </c>
      <c r="J1523" s="4">
        <v>60</v>
      </c>
      <c r="L1523" t="s">
        <v>264</v>
      </c>
      <c r="M1523" t="s">
        <v>2395</v>
      </c>
      <c r="N1523" s="4">
        <f>IF(L1523="","",IF(OR(Registro2[[#This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523" t="str">
        <f t="shared" si="23"/>
        <v>abr/25</v>
      </c>
      <c r="P1523" t="str">
        <f>IF(Registro2[[#This Row],[Data de Pagamento]]&gt;0,TEXT(A1523,"mmm/aa"),"")</f>
        <v>abr/25</v>
      </c>
      <c r="T1523" s="4">
        <f>IF(Registro2[[#This Row],[Data de Pagamento]]="",0,IF(Registro2[[#This Row],[Conta Financeira]]=base!$A$6,0,Registro2[[#This Row],[Valor Unitário]]))</f>
        <v>60</v>
      </c>
      <c r="U15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23" t="str">
        <f>VLOOKUP(Registro2[[#This Row],[Categoria]],'Plano de Contas'!$V$3:W1600,2,0)</f>
        <v>Receitas Serviços</v>
      </c>
      <c r="X152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</row>
    <row r="1524" spans="1:24" hidden="1">
      <c r="A1524" s="1">
        <v>45764.510416666664</v>
      </c>
      <c r="B1524" s="1">
        <v>45764.510416666664</v>
      </c>
      <c r="D1524" t="s">
        <v>1</v>
      </c>
      <c r="E1524" t="s">
        <v>149</v>
      </c>
      <c r="F1524" t="s">
        <v>147</v>
      </c>
      <c r="G1524" t="s">
        <v>163</v>
      </c>
      <c r="I1524" s="4">
        <v>35</v>
      </c>
      <c r="J1524" s="4">
        <v>35</v>
      </c>
      <c r="L1524" t="s">
        <v>264</v>
      </c>
      <c r="M1524" t="s">
        <v>1712</v>
      </c>
      <c r="N1524" s="4">
        <f>IF(L1524="","",IF(OR(Registro2[[#This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24" t="str">
        <f t="shared" si="23"/>
        <v>abr/25</v>
      </c>
      <c r="P1524" t="str">
        <f>IF(Registro2[[#This Row],[Data de Pagamento]]&gt;0,TEXT(A1524,"mmm/aa"),"")</f>
        <v>abr/25</v>
      </c>
      <c r="T1524" s="4">
        <f>IF(Registro2[[#This Row],[Data de Pagamento]]="",0,IF(Registro2[[#This Row],[Conta Financeira]]=base!$A$6,0,Registro2[[#This Row],[Valor Unitário]]))</f>
        <v>35</v>
      </c>
      <c r="U15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24" t="str">
        <f>VLOOKUP(Registro2[[#This Row],[Categoria]],'Plano de Contas'!$V$3:W1596,2,0)</f>
        <v>Receitas Serviços</v>
      </c>
      <c r="X152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25" spans="1:24" hidden="1">
      <c r="A1525" s="1">
        <v>45764.53125</v>
      </c>
      <c r="B1525" s="1">
        <v>45764.53125</v>
      </c>
      <c r="D1525" t="s">
        <v>354</v>
      </c>
      <c r="E1525" t="s">
        <v>149</v>
      </c>
      <c r="F1525" t="s">
        <v>147</v>
      </c>
      <c r="G1525" t="s">
        <v>1046</v>
      </c>
      <c r="I1525" s="4">
        <v>35</v>
      </c>
      <c r="J1525" s="4">
        <v>40</v>
      </c>
      <c r="L1525" t="s">
        <v>252</v>
      </c>
      <c r="M1525" t="s">
        <v>1026</v>
      </c>
      <c r="N1525" s="4">
        <f>IF(L1525="","",IF(OR(Registro2[[#This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25" t="str">
        <f t="shared" si="23"/>
        <v>abr/25</v>
      </c>
      <c r="P1525" t="str">
        <f>IF(Registro2[[#This Row],[Data de Pagamento]]&gt;0,TEXT(A1525,"mmm/aa"),"")</f>
        <v>abr/25</v>
      </c>
      <c r="T1525" s="4">
        <f>IF(Registro2[[#This Row],[Data de Pagamento]]="",0,IF(Registro2[[#This Row],[Conta Financeira]]=base!$A$6,0,Registro2[[#This Row],[Valor Unitário]]))</f>
        <v>35</v>
      </c>
      <c r="U15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25" t="str">
        <f>VLOOKUP(Registro2[[#This Row],[Categoria]],'Plano de Contas'!$V$3:W1603,2,0)</f>
        <v>Receitas Serviços</v>
      </c>
      <c r="X152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526" spans="1:24" hidden="1">
      <c r="A1526" s="1">
        <v>45764.541666666664</v>
      </c>
      <c r="B1526" s="1">
        <v>45764.541666666664</v>
      </c>
      <c r="D1526" t="s">
        <v>1</v>
      </c>
      <c r="E1526" t="s">
        <v>149</v>
      </c>
      <c r="F1526" t="s">
        <v>147</v>
      </c>
      <c r="G1526" t="s">
        <v>163</v>
      </c>
      <c r="I1526" s="4">
        <v>35</v>
      </c>
      <c r="J1526" s="4">
        <v>45</v>
      </c>
      <c r="L1526" t="s">
        <v>252</v>
      </c>
      <c r="M1526" t="s">
        <v>487</v>
      </c>
      <c r="N1526" s="4">
        <f>IF(L1526="","",IF(OR(Registro2[[#This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26" t="str">
        <f t="shared" si="23"/>
        <v>abr/25</v>
      </c>
      <c r="P1526" t="str">
        <f>IF(Registro2[[#This Row],[Data de Pagamento]]&gt;0,TEXT(A1526,"mmm/aa"),"")</f>
        <v>abr/25</v>
      </c>
      <c r="T1526" s="4">
        <f>IF(Registro2[[#This Row],[Data de Pagamento]]="",0,IF(Registro2[[#This Row],[Conta Financeira]]=base!$A$6,0,Registro2[[#This Row],[Valor Unitário]]))</f>
        <v>35</v>
      </c>
      <c r="U15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26" t="str">
        <f>VLOOKUP(Registro2[[#This Row],[Categoria]],'Plano de Contas'!$V$3:W1601,2,0)</f>
        <v>Receitas Serviços</v>
      </c>
      <c r="X152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27" spans="1:24" hidden="1">
      <c r="A1527" s="1">
        <v>45764.541666666664</v>
      </c>
      <c r="B1527" s="1">
        <v>45764.541666666664</v>
      </c>
      <c r="D1527" t="s">
        <v>1</v>
      </c>
      <c r="E1527" t="s">
        <v>149</v>
      </c>
      <c r="F1527" t="s">
        <v>147</v>
      </c>
      <c r="G1527" t="s">
        <v>167</v>
      </c>
      <c r="I1527" s="4">
        <v>10</v>
      </c>
      <c r="J1527" s="4"/>
      <c r="L1527" t="s">
        <v>252</v>
      </c>
      <c r="M1527" t="s">
        <v>487</v>
      </c>
      <c r="N1527" s="4">
        <f>IF(L1527="","",IF(OR(Registro2[[#This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527" t="str">
        <f t="shared" si="23"/>
        <v>abr/25</v>
      </c>
      <c r="P1527" t="str">
        <f>IF(Registro2[[#This Row],[Data de Pagamento]]&gt;0,TEXT(A1527,"mmm/aa"),"")</f>
        <v>abr/25</v>
      </c>
      <c r="T1527" s="4">
        <f>IF(Registro2[[#This Row],[Data de Pagamento]]="",0,IF(Registro2[[#This Row],[Conta Financeira]]=base!$A$6,0,Registro2[[#This Row],[Valor Unitário]]))</f>
        <v>10</v>
      </c>
      <c r="U15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27" t="str">
        <f>VLOOKUP(Registro2[[#This Row],[Categoria]],'Plano de Contas'!$V$3:W1602,2,0)</f>
        <v>Receitas Serviços</v>
      </c>
      <c r="X15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28" spans="1:24" hidden="1">
      <c r="A1528" s="1">
        <v>45764.604166666664</v>
      </c>
      <c r="B1528" s="1">
        <v>45764.604166666664</v>
      </c>
      <c r="D1528" t="s">
        <v>1</v>
      </c>
      <c r="E1528" t="s">
        <v>149</v>
      </c>
      <c r="F1528" t="s">
        <v>147</v>
      </c>
      <c r="G1528" t="s">
        <v>163</v>
      </c>
      <c r="I1528" s="4">
        <v>35</v>
      </c>
      <c r="J1528" s="4">
        <v>50</v>
      </c>
      <c r="L1528" t="s">
        <v>264</v>
      </c>
      <c r="M1528" t="s">
        <v>213</v>
      </c>
      <c r="N1528" s="4">
        <f>IF(L1528="","",IF(OR(Registro2[[#This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28" t="str">
        <f t="shared" si="23"/>
        <v>abr/25</v>
      </c>
      <c r="P1528" t="str">
        <f>IF(Registro2[[#This Row],[Data de Pagamento]]&gt;0,TEXT(A1528,"mmm/aa"),"")</f>
        <v>abr/25</v>
      </c>
      <c r="T1528" s="4">
        <f>IF(Registro2[[#This Row],[Data de Pagamento]]="",0,IF(Registro2[[#This Row],[Conta Financeira]]=base!$A$6,0,Registro2[[#This Row],[Valor Unitário]]))</f>
        <v>35</v>
      </c>
      <c r="U15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28" t="str">
        <f>VLOOKUP(Registro2[[#This Row],[Categoria]],'Plano de Contas'!$V$3:W1594,2,0)</f>
        <v>Receitas Serviços</v>
      </c>
      <c r="X152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29" spans="1:24" hidden="1">
      <c r="A1529" s="1">
        <v>45764.604166666664</v>
      </c>
      <c r="B1529" s="1">
        <v>45764.604166666664</v>
      </c>
      <c r="D1529" t="s">
        <v>1</v>
      </c>
      <c r="E1529" t="s">
        <v>149</v>
      </c>
      <c r="F1529" t="s">
        <v>147</v>
      </c>
      <c r="G1529" t="s">
        <v>1187</v>
      </c>
      <c r="I1529" s="4">
        <v>15</v>
      </c>
      <c r="J1529" s="4"/>
      <c r="L1529" t="s">
        <v>253</v>
      </c>
      <c r="M1529" t="s">
        <v>213</v>
      </c>
      <c r="N1529" s="4">
        <f>IF(L1529="","",IF(OR(Registro2[[#This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529" t="str">
        <f t="shared" si="23"/>
        <v>abr/25</v>
      </c>
      <c r="P1529" t="str">
        <f>IF(Registro2[[#This Row],[Data de Pagamento]]&gt;0,TEXT(A1529,"mmm/aa"),"")</f>
        <v>abr/25</v>
      </c>
      <c r="T1529" s="4">
        <f>IF(Registro2[[#This Row],[Data de Pagamento]]="",0,IF(Registro2[[#This Row],[Conta Financeira]]=base!$A$6,0,Registro2[[#This Row],[Valor Unitário]]))</f>
        <v>15</v>
      </c>
      <c r="U15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29" t="str">
        <f>VLOOKUP(Registro2[[#This Row],[Categoria]],'Plano de Contas'!$V$3:W1595,2,0)</f>
        <v>Receitas Serviços</v>
      </c>
      <c r="X15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30" spans="1:24" hidden="1">
      <c r="A1530" s="1">
        <v>45764.611111111109</v>
      </c>
      <c r="B1530" s="1">
        <v>45764.611111111109</v>
      </c>
      <c r="D1530" t="s">
        <v>1</v>
      </c>
      <c r="E1530" t="s">
        <v>149</v>
      </c>
      <c r="F1530" t="s">
        <v>152</v>
      </c>
      <c r="G1530" t="s">
        <v>353</v>
      </c>
      <c r="I1530" s="4">
        <v>60</v>
      </c>
      <c r="J1530" s="4">
        <v>60</v>
      </c>
      <c r="L1530" t="s">
        <v>264</v>
      </c>
      <c r="M1530" t="s">
        <v>1981</v>
      </c>
      <c r="N1530" s="4">
        <f>IF(L1530="","",IF(OR(Registro2[[#This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530" t="str">
        <f t="shared" si="23"/>
        <v>abr/25</v>
      </c>
      <c r="P1530" t="str">
        <f>IF(Registro2[[#This Row],[Data de Pagamento]]&gt;0,TEXT(A1530,"mmm/aa"),"")</f>
        <v>abr/25</v>
      </c>
      <c r="T1530" s="4">
        <f>IF(Registro2[[#This Row],[Data de Pagamento]]="",0,IF(Registro2[[#This Row],[Conta Financeira]]=base!$A$6,0,Registro2[[#This Row],[Valor Unitário]]))</f>
        <v>60</v>
      </c>
      <c r="U15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30" t="str">
        <f>VLOOKUP(Registro2[[#This Row],[Categoria]],'Plano de Contas'!$V$3:W1610,2,0)</f>
        <v>Receitas Serviços</v>
      </c>
      <c r="X153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31" spans="1:24" hidden="1">
      <c r="A1531" s="1">
        <v>45764.625</v>
      </c>
      <c r="B1531" s="1">
        <v>45764.625</v>
      </c>
      <c r="D1531" t="s">
        <v>310</v>
      </c>
      <c r="E1531" t="s">
        <v>149</v>
      </c>
      <c r="F1531" t="s">
        <v>147</v>
      </c>
      <c r="G1531" t="s">
        <v>163</v>
      </c>
      <c r="I1531" s="4">
        <v>35</v>
      </c>
      <c r="J1531" s="4">
        <v>35</v>
      </c>
      <c r="L1531" t="s">
        <v>253</v>
      </c>
      <c r="M1531" t="s">
        <v>2406</v>
      </c>
      <c r="N1531" s="4">
        <f>IF(L1531="","",IF(OR(Registro2[[#This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31" t="str">
        <f t="shared" si="23"/>
        <v>abr/25</v>
      </c>
      <c r="P1531" t="str">
        <f>IF(Registro2[[#This Row],[Data de Pagamento]]&gt;0,TEXT(A1531,"mmm/aa"),"")</f>
        <v>abr/25</v>
      </c>
      <c r="T1531" s="4">
        <f>IF(Registro2[[#This Row],[Data de Pagamento]]="",0,IF(Registro2[[#This Row],[Conta Financeira]]=base!$A$6,0,Registro2[[#This Row],[Valor Unitário]]))</f>
        <v>35</v>
      </c>
      <c r="U15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31" t="str">
        <f>VLOOKUP(Registro2[[#This Row],[Categoria]],'Plano de Contas'!$V$3:W1611,2,0)</f>
        <v>Receitas Serviços</v>
      </c>
      <c r="X153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532" spans="1:24" hidden="1">
      <c r="A1532" s="1">
        <v>45764.645833333336</v>
      </c>
      <c r="B1532" s="1">
        <v>45764.645833333336</v>
      </c>
      <c r="D1532" t="s">
        <v>355</v>
      </c>
      <c r="E1532" t="s">
        <v>149</v>
      </c>
      <c r="F1532" t="s">
        <v>147</v>
      </c>
      <c r="G1532" t="s">
        <v>163</v>
      </c>
      <c r="I1532" s="4">
        <v>35</v>
      </c>
      <c r="J1532" s="4">
        <v>35</v>
      </c>
      <c r="L1532" t="s">
        <v>252</v>
      </c>
      <c r="M1532" t="s">
        <v>1988</v>
      </c>
      <c r="N1532" s="4">
        <f>IF(L1532="","",IF(OR(Registro2[[#This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32" t="str">
        <f t="shared" si="23"/>
        <v>abr/25</v>
      </c>
      <c r="P1532" t="str">
        <f>IF(Registro2[[#This Row],[Data de Pagamento]]&gt;0,TEXT(A1532,"mmm/aa"),"")</f>
        <v>abr/25</v>
      </c>
      <c r="T1532" s="4">
        <f>IF(Registro2[[#This Row],[Data de Pagamento]]="",0,IF(Registro2[[#This Row],[Conta Financeira]]=base!$A$6,0,Registro2[[#This Row],[Valor Unitário]]))</f>
        <v>35</v>
      </c>
      <c r="U15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32" t="str">
        <f>VLOOKUP(Registro2[[#This Row],[Categoria]],'Plano de Contas'!$V$3:W1605,2,0)</f>
        <v>Receitas Serviços</v>
      </c>
      <c r="X153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33" spans="1:24" hidden="1">
      <c r="A1533" s="1">
        <v>45764.65625</v>
      </c>
      <c r="B1533" s="1">
        <v>45764.65625</v>
      </c>
      <c r="D1533" t="s">
        <v>354</v>
      </c>
      <c r="E1533" t="s">
        <v>149</v>
      </c>
      <c r="F1533" t="s">
        <v>152</v>
      </c>
      <c r="G1533" t="s">
        <v>353</v>
      </c>
      <c r="I1533" s="4">
        <v>60</v>
      </c>
      <c r="J1533" s="4">
        <v>60</v>
      </c>
      <c r="L1533" t="s">
        <v>253</v>
      </c>
      <c r="M1533" t="s">
        <v>122</v>
      </c>
      <c r="N1533" s="4">
        <f>IF(L1533="","",IF(OR(Registro2[[#This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533" t="str">
        <f t="shared" si="23"/>
        <v>abr/25</v>
      </c>
      <c r="P1533" t="str">
        <f>IF(Registro2[[#This Row],[Data de Pagamento]]&gt;0,TEXT(A1533,"mmm/aa"),"")</f>
        <v>abr/25</v>
      </c>
      <c r="T1533" s="4">
        <f>IF(Registro2[[#This Row],[Data de Pagamento]]="",0,IF(Registro2[[#This Row],[Conta Financeira]]=base!$A$6,0,Registro2[[#This Row],[Valor Unitário]]))</f>
        <v>60</v>
      </c>
      <c r="U15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33" t="str">
        <f>VLOOKUP(Registro2[[#This Row],[Categoria]],'Plano de Contas'!$V$3:W1572,2,0)</f>
        <v>Receitas Serviços</v>
      </c>
      <c r="X153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</row>
    <row r="1534" spans="1:24" hidden="1">
      <c r="A1534" s="1">
        <v>45764.701388888891</v>
      </c>
      <c r="B1534" s="1">
        <v>45764.701388888891</v>
      </c>
      <c r="D1534" t="s">
        <v>1</v>
      </c>
      <c r="E1534" t="s">
        <v>149</v>
      </c>
      <c r="F1534" t="s">
        <v>147</v>
      </c>
      <c r="G1534" t="s">
        <v>163</v>
      </c>
      <c r="I1534" s="4">
        <v>35</v>
      </c>
      <c r="J1534" s="4">
        <v>35</v>
      </c>
      <c r="L1534" t="s">
        <v>253</v>
      </c>
      <c r="M1534" t="s">
        <v>1089</v>
      </c>
      <c r="N1534" s="4">
        <f>IF(L1534="","",IF(OR(Registro2[[#This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34" t="str">
        <f t="shared" si="23"/>
        <v>abr/25</v>
      </c>
      <c r="P1534" t="str">
        <f>IF(Registro2[[#This Row],[Data de Pagamento]]&gt;0,TEXT(A1534,"mmm/aa"),"")</f>
        <v>abr/25</v>
      </c>
      <c r="T1534" s="4">
        <f>IF(Registro2[[#This Row],[Data de Pagamento]]="",0,IF(Registro2[[#This Row],[Conta Financeira]]=base!$A$6,0,Registro2[[#This Row],[Valor Unitário]]))</f>
        <v>35</v>
      </c>
      <c r="U15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34" t="str">
        <f>VLOOKUP(Registro2[[#This Row],[Categoria]],'Plano de Contas'!$V$3:W1612,2,0)</f>
        <v>Receitas Serviços</v>
      </c>
      <c r="X153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35" spans="1:24" hidden="1">
      <c r="A1535" s="1">
        <v>45764.708333333336</v>
      </c>
      <c r="B1535" s="1">
        <v>45764.708333333336</v>
      </c>
      <c r="D1535" t="s">
        <v>2</v>
      </c>
      <c r="E1535" t="s">
        <v>149</v>
      </c>
      <c r="F1535" t="s">
        <v>147</v>
      </c>
      <c r="G1535" t="s">
        <v>163</v>
      </c>
      <c r="I1535" s="4">
        <v>35</v>
      </c>
      <c r="J1535" s="4">
        <v>30</v>
      </c>
      <c r="L1535" t="s">
        <v>252</v>
      </c>
      <c r="M1535" t="s">
        <v>10</v>
      </c>
      <c r="N1535" s="4">
        <f>IF(L1535="","",IF(OR(Registro2[[#This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35" t="str">
        <f t="shared" si="23"/>
        <v>abr/25</v>
      </c>
      <c r="P1535" t="str">
        <f>IF(Registro2[[#This Row],[Data de Pagamento]]&gt;0,TEXT(A1535,"mmm/aa"),"")</f>
        <v>abr/25</v>
      </c>
      <c r="T1535" s="4">
        <f>IF(Registro2[[#This Row],[Data de Pagamento]]="",0,IF(Registro2[[#This Row],[Conta Financeira]]=base!$A$6,0,Registro2[[#This Row],[Valor Unitário]]))</f>
        <v>35</v>
      </c>
      <c r="U15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35" t="str">
        <f>VLOOKUP(Registro2[[#This Row],[Categoria]],'Plano de Contas'!$V$3:W1613,2,0)</f>
        <v>Receitas Serviços</v>
      </c>
      <c r="X153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36" spans="1:24" hidden="1">
      <c r="A1536" s="1">
        <v>45764.71875</v>
      </c>
      <c r="B1536" s="1">
        <v>45764.71875</v>
      </c>
      <c r="D1536" t="s">
        <v>1</v>
      </c>
      <c r="E1536" t="s">
        <v>149</v>
      </c>
      <c r="F1536" t="s">
        <v>152</v>
      </c>
      <c r="G1536" t="s">
        <v>353</v>
      </c>
      <c r="I1536" s="4">
        <v>60</v>
      </c>
      <c r="J1536" s="4">
        <v>60</v>
      </c>
      <c r="L1536" t="s">
        <v>252</v>
      </c>
      <c r="M1536" t="s">
        <v>398</v>
      </c>
      <c r="N1536" s="4">
        <f>IF(L1536="","",IF(OR(Registro2[[#This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536" t="str">
        <f t="shared" si="23"/>
        <v>abr/25</v>
      </c>
      <c r="P1536" t="str">
        <f>IF(Registro2[[#This Row],[Data de Pagamento]]&gt;0,TEXT(A1536,"mmm/aa"),"")</f>
        <v>abr/25</v>
      </c>
      <c r="T1536" s="4">
        <f>IF(Registro2[[#This Row],[Data de Pagamento]]="",0,IF(Registro2[[#This Row],[Conta Financeira]]=base!$A$6,0,Registro2[[#This Row],[Valor Unitário]]))</f>
        <v>60</v>
      </c>
      <c r="U15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36" t="str">
        <f>VLOOKUP(Registro2[[#This Row],[Categoria]],'Plano de Contas'!$V$3:W1608,2,0)</f>
        <v>Receitas Serviços</v>
      </c>
      <c r="X153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37" spans="1:24" hidden="1">
      <c r="A1537" s="1">
        <v>45764.71875</v>
      </c>
      <c r="B1537" s="1">
        <v>45764.71875</v>
      </c>
      <c r="D1537" t="s">
        <v>1</v>
      </c>
      <c r="E1537" t="s">
        <v>149</v>
      </c>
      <c r="F1537" t="s">
        <v>147</v>
      </c>
      <c r="G1537" t="s">
        <v>163</v>
      </c>
      <c r="I1537" s="4">
        <v>35</v>
      </c>
      <c r="J1537" s="4">
        <v>35</v>
      </c>
      <c r="L1537" t="s">
        <v>264</v>
      </c>
      <c r="M1537" t="s">
        <v>2403</v>
      </c>
      <c r="N1537" s="4">
        <f>IF(L1537="","",IF(OR(Registro2[[#This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37" t="str">
        <f t="shared" si="23"/>
        <v>abr/25</v>
      </c>
      <c r="P1537" t="str">
        <f>IF(Registro2[[#This Row],[Data de Pagamento]]&gt;0,TEXT(A1537,"mmm/aa"),"")</f>
        <v>abr/25</v>
      </c>
      <c r="T1537" s="4">
        <f>IF(Registro2[[#This Row],[Data de Pagamento]]="",0,IF(Registro2[[#This Row],[Conta Financeira]]=base!$A$6,0,Registro2[[#This Row],[Valor Unitário]]))</f>
        <v>35</v>
      </c>
      <c r="U15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37" t="str">
        <f>VLOOKUP(Registro2[[#This Row],[Categoria]],'Plano de Contas'!$V$3:W1609,2,0)</f>
        <v>Receitas Serviços</v>
      </c>
      <c r="X153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38" spans="1:24" hidden="1">
      <c r="A1538" s="1">
        <v>45764.71875</v>
      </c>
      <c r="B1538" s="1">
        <v>45764.71875</v>
      </c>
      <c r="D1538" t="s">
        <v>1</v>
      </c>
      <c r="E1538" t="s">
        <v>149</v>
      </c>
      <c r="F1538" t="s">
        <v>152</v>
      </c>
      <c r="G1538" t="s">
        <v>353</v>
      </c>
      <c r="I1538" s="4">
        <v>60</v>
      </c>
      <c r="J1538" s="4">
        <v>60</v>
      </c>
      <c r="L1538" t="s">
        <v>253</v>
      </c>
      <c r="M1538" t="s">
        <v>190</v>
      </c>
      <c r="N1538" s="4">
        <f>IF(L1538="","",IF(OR(Registro2[[#This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538" t="str">
        <f t="shared" ref="O1538:O1601" si="24">TEXT(B1538,"mmm/aa")</f>
        <v>abr/25</v>
      </c>
      <c r="P1538" t="str">
        <f>IF(Registro2[[#This Row],[Data de Pagamento]]&gt;0,TEXT(A1538,"mmm/aa"),"")</f>
        <v>abr/25</v>
      </c>
      <c r="T1538" s="4">
        <f>IF(Registro2[[#This Row],[Data de Pagamento]]="",0,IF(Registro2[[#This Row],[Conta Financeira]]=base!$A$6,0,Registro2[[#This Row],[Valor Unitário]]))</f>
        <v>60</v>
      </c>
      <c r="U15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38" t="str">
        <f>VLOOKUP(Registro2[[#This Row],[Categoria]],'Plano de Contas'!$V$3:W1617,2,0)</f>
        <v>Receitas Serviços</v>
      </c>
      <c r="X153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39" spans="1:24" hidden="1">
      <c r="A1539" s="1">
        <v>45764.739583333336</v>
      </c>
      <c r="B1539" s="1">
        <v>45764.739583333336</v>
      </c>
      <c r="D1539" t="s">
        <v>1</v>
      </c>
      <c r="E1539" t="s">
        <v>149</v>
      </c>
      <c r="F1539" t="s">
        <v>147</v>
      </c>
      <c r="G1539" t="s">
        <v>163</v>
      </c>
      <c r="I1539" s="4">
        <v>35</v>
      </c>
      <c r="J1539" s="4">
        <v>35</v>
      </c>
      <c r="L1539" t="s">
        <v>264</v>
      </c>
      <c r="M1539" t="s">
        <v>2410</v>
      </c>
      <c r="N1539" s="4">
        <f>IF(L1539="","",IF(OR(Registro2[[#This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39" t="str">
        <f t="shared" si="24"/>
        <v>abr/25</v>
      </c>
      <c r="P1539" t="str">
        <f>IF(Registro2[[#This Row],[Data de Pagamento]]&gt;0,TEXT(A1539,"mmm/aa"),"")</f>
        <v>abr/25</v>
      </c>
      <c r="T1539" s="4">
        <f>IF(Registro2[[#This Row],[Data de Pagamento]]="",0,IF(Registro2[[#This Row],[Conta Financeira]]=base!$A$6,0,Registro2[[#This Row],[Valor Unitário]]))</f>
        <v>35</v>
      </c>
      <c r="U15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39" t="str">
        <f>VLOOKUP(Registro2[[#This Row],[Categoria]],'Plano de Contas'!$V$3:W1614,2,0)</f>
        <v>Receitas Serviços</v>
      </c>
      <c r="X153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40" spans="1:24" hidden="1">
      <c r="A1540" s="1">
        <v>45764.75</v>
      </c>
      <c r="B1540" s="1">
        <v>45764.75</v>
      </c>
      <c r="D1540" t="s">
        <v>1</v>
      </c>
      <c r="E1540" t="s">
        <v>149</v>
      </c>
      <c r="F1540" t="s">
        <v>147</v>
      </c>
      <c r="G1540" t="s">
        <v>163</v>
      </c>
      <c r="I1540" s="4">
        <v>35</v>
      </c>
      <c r="J1540" s="4">
        <v>50</v>
      </c>
      <c r="L1540" t="s">
        <v>253</v>
      </c>
      <c r="M1540" t="s">
        <v>12</v>
      </c>
      <c r="N1540" s="4">
        <f>IF(L1540="","",IF(OR(Registro2[[#This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40" t="str">
        <f t="shared" si="24"/>
        <v>abr/25</v>
      </c>
      <c r="P1540" t="str">
        <f>IF(Registro2[[#This Row],[Data de Pagamento]]&gt;0,TEXT(A1540,"mmm/aa"),"")</f>
        <v>abr/25</v>
      </c>
      <c r="T1540" s="4">
        <f>IF(Registro2[[#This Row],[Data de Pagamento]]="",0,IF(Registro2[[#This Row],[Conta Financeira]]=base!$A$6,0,Registro2[[#This Row],[Valor Unitário]]))</f>
        <v>35</v>
      </c>
      <c r="U15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40" t="str">
        <f>VLOOKUP(Registro2[[#This Row],[Categoria]],'Plano de Contas'!$V$3:W1598,2,0)</f>
        <v>Receitas Serviços</v>
      </c>
      <c r="X154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41" spans="1:24" hidden="1">
      <c r="A1541" s="1">
        <v>45764.75</v>
      </c>
      <c r="B1541" s="1">
        <v>45764.75</v>
      </c>
      <c r="D1541" t="s">
        <v>1</v>
      </c>
      <c r="E1541" t="s">
        <v>149</v>
      </c>
      <c r="F1541" t="s">
        <v>147</v>
      </c>
      <c r="G1541" t="s">
        <v>167</v>
      </c>
      <c r="I1541" s="4">
        <v>15</v>
      </c>
      <c r="J1541" s="4"/>
      <c r="L1541" t="s">
        <v>253</v>
      </c>
      <c r="M1541" t="s">
        <v>12</v>
      </c>
      <c r="N1541" s="4">
        <f>IF(L1541="","",IF(OR(Registro2[[#This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541" t="str">
        <f t="shared" si="24"/>
        <v>abr/25</v>
      </c>
      <c r="P1541" t="str">
        <f>IF(Registro2[[#This Row],[Data de Pagamento]]&gt;0,TEXT(A1541,"mmm/aa"),"")</f>
        <v>abr/25</v>
      </c>
      <c r="T1541" s="4">
        <f>IF(Registro2[[#This Row],[Data de Pagamento]]="",0,IF(Registro2[[#This Row],[Conta Financeira]]=base!$A$6,0,Registro2[[#This Row],[Valor Unitário]]))</f>
        <v>15</v>
      </c>
      <c r="U15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41" t="str">
        <f>VLOOKUP(Registro2[[#This Row],[Categoria]],'Plano de Contas'!$V$3:W1599,2,0)</f>
        <v>Receitas Serviços</v>
      </c>
      <c r="X154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42" spans="1:24" hidden="1">
      <c r="A1542" s="1">
        <v>45764.760416666664</v>
      </c>
      <c r="B1542" s="1">
        <v>45764.760416666664</v>
      </c>
      <c r="D1542" t="s">
        <v>310</v>
      </c>
      <c r="E1542" t="s">
        <v>149</v>
      </c>
      <c r="F1542" t="s">
        <v>147</v>
      </c>
      <c r="G1542" t="s">
        <v>163</v>
      </c>
      <c r="I1542" s="4">
        <v>35</v>
      </c>
      <c r="J1542" s="4">
        <v>35</v>
      </c>
      <c r="L1542" t="s">
        <v>252</v>
      </c>
      <c r="M1542" t="s">
        <v>18</v>
      </c>
      <c r="N1542" s="4">
        <f>IF(L1542="","",IF(OR(Registro2[[#This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42" t="str">
        <f t="shared" si="24"/>
        <v>abr/25</v>
      </c>
      <c r="P1542" t="str">
        <f>IF(Registro2[[#This Row],[Data de Pagamento]]&gt;0,TEXT(A1542,"mmm/aa"),"")</f>
        <v>abr/25</v>
      </c>
      <c r="T1542" s="4">
        <f>IF(Registro2[[#This Row],[Data de Pagamento]]="",0,IF(Registro2[[#This Row],[Conta Financeira]]=base!$A$6,0,Registro2[[#This Row],[Valor Unitário]]))</f>
        <v>35</v>
      </c>
      <c r="U15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42" t="str">
        <f>VLOOKUP(Registro2[[#This Row],[Categoria]],'Plano de Contas'!$V$3:W1575,2,0)</f>
        <v>Receitas Serviços</v>
      </c>
      <c r="X154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543" spans="1:24" hidden="1">
      <c r="A1543" s="1">
        <v>45764.770833333336</v>
      </c>
      <c r="B1543" s="1">
        <v>45764.770833333336</v>
      </c>
      <c r="D1543" t="s">
        <v>1120</v>
      </c>
      <c r="E1543" t="s">
        <v>149</v>
      </c>
      <c r="F1543" t="s">
        <v>147</v>
      </c>
      <c r="G1543" t="s">
        <v>163</v>
      </c>
      <c r="I1543" s="4">
        <v>35</v>
      </c>
      <c r="J1543" s="4">
        <v>45</v>
      </c>
      <c r="L1543" t="s">
        <v>253</v>
      </c>
      <c r="M1543" t="s">
        <v>77</v>
      </c>
      <c r="N1543" s="4">
        <f>IF(L1543="","",IF(OR(Registro2[[#This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43" t="str">
        <f t="shared" si="24"/>
        <v>abr/25</v>
      </c>
      <c r="P1543" t="str">
        <f>IF(Registro2[[#This Row],[Data de Pagamento]]&gt;0,TEXT(A1543,"mmm/aa"),"")</f>
        <v>abr/25</v>
      </c>
      <c r="T1543" s="4">
        <f>IF(Registro2[[#This Row],[Data de Pagamento]]="",0,IF(Registro2[[#This Row],[Conta Financeira]]=base!$A$6,0,Registro2[[#This Row],[Valor Unitário]]))</f>
        <v>35</v>
      </c>
      <c r="U15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43" t="str">
        <f>VLOOKUP(Registro2[[#This Row],[Categoria]],'Plano de Contas'!$V$3:W1606,2,0)</f>
        <v>Receitas Serviços</v>
      </c>
      <c r="X154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44" spans="1:24" hidden="1">
      <c r="A1544" s="1">
        <v>45764.770833333336</v>
      </c>
      <c r="B1544" s="1">
        <v>45764.770833333336</v>
      </c>
      <c r="D1544" t="s">
        <v>1120</v>
      </c>
      <c r="E1544" t="s">
        <v>149</v>
      </c>
      <c r="F1544" t="s">
        <v>147</v>
      </c>
      <c r="G1544" t="s">
        <v>167</v>
      </c>
      <c r="I1544" s="4">
        <v>10</v>
      </c>
      <c r="J1544" s="4"/>
      <c r="L1544" t="s">
        <v>253</v>
      </c>
      <c r="M1544" t="s">
        <v>77</v>
      </c>
      <c r="N1544" s="4">
        <f>IF(L1544="","",IF(OR(Registro2[[#This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544" t="str">
        <f t="shared" si="24"/>
        <v>abr/25</v>
      </c>
      <c r="P1544" t="str">
        <f>IF(Registro2[[#This Row],[Data de Pagamento]]&gt;0,TEXT(A1544,"mmm/aa"),"")</f>
        <v>abr/25</v>
      </c>
      <c r="T1544" s="4">
        <f>IF(Registro2[[#This Row],[Data de Pagamento]]="",0,IF(Registro2[[#This Row],[Conta Financeira]]=base!$A$6,0,Registro2[[#This Row],[Valor Unitário]]))</f>
        <v>10</v>
      </c>
      <c r="U15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44" t="str">
        <f>VLOOKUP(Registro2[[#This Row],[Categoria]],'Plano de Contas'!$V$3:W1607,2,0)</f>
        <v>Receitas Serviços</v>
      </c>
      <c r="X154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45" spans="1:24" hidden="1">
      <c r="A1545" s="1">
        <v>45764.791666666664</v>
      </c>
      <c r="B1545" s="1">
        <v>45764.791666666664</v>
      </c>
      <c r="D1545" t="s">
        <v>1</v>
      </c>
      <c r="E1545" t="s">
        <v>149</v>
      </c>
      <c r="F1545" t="s">
        <v>147</v>
      </c>
      <c r="G1545" t="s">
        <v>163</v>
      </c>
      <c r="I1545" s="4">
        <v>35</v>
      </c>
      <c r="J1545" s="4">
        <v>55</v>
      </c>
      <c r="L1545" t="s">
        <v>253</v>
      </c>
      <c r="M1545" t="s">
        <v>379</v>
      </c>
      <c r="N1545" s="4">
        <f>IF(L1545="","",IF(OR(Registro2[[#This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45" t="str">
        <f t="shared" si="24"/>
        <v>abr/25</v>
      </c>
      <c r="P1545" t="str">
        <f>IF(Registro2[[#This Row],[Data de Pagamento]]&gt;0,TEXT(A1545,"mmm/aa"),"")</f>
        <v>abr/25</v>
      </c>
      <c r="T1545" s="4">
        <f>IF(Registro2[[#This Row],[Data de Pagamento]]="",0,IF(Registro2[[#This Row],[Conta Financeira]]=base!$A$6,0,Registro2[[#This Row],[Valor Unitário]]))</f>
        <v>35</v>
      </c>
      <c r="U15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45" t="str">
        <f>VLOOKUP(Registro2[[#This Row],[Categoria]],'Plano de Contas'!$V$3:W1615,2,0)</f>
        <v>Receitas Serviços</v>
      </c>
      <c r="X15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46" spans="1:24" hidden="1">
      <c r="A1546" s="1">
        <v>45764.791666666664</v>
      </c>
      <c r="B1546" s="1">
        <v>45764.791666666664</v>
      </c>
      <c r="D1546" t="s">
        <v>1</v>
      </c>
      <c r="E1546" t="s">
        <v>149</v>
      </c>
      <c r="F1546" t="s">
        <v>147</v>
      </c>
      <c r="G1546" t="s">
        <v>166</v>
      </c>
      <c r="I1546" s="4">
        <v>20</v>
      </c>
      <c r="J1546" s="4"/>
      <c r="L1546" t="s">
        <v>253</v>
      </c>
      <c r="M1546" t="s">
        <v>379</v>
      </c>
      <c r="N1546" s="4">
        <f>IF(L1546="","",IF(OR(Registro2[[#This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546" t="str">
        <f t="shared" si="24"/>
        <v>abr/25</v>
      </c>
      <c r="P1546" t="str">
        <f>IF(Registro2[[#This Row],[Data de Pagamento]]&gt;0,TEXT(A1546,"mmm/aa"),"")</f>
        <v>abr/25</v>
      </c>
      <c r="T1546" s="4">
        <f>IF(Registro2[[#This Row],[Data de Pagamento]]="",0,IF(Registro2[[#This Row],[Conta Financeira]]=base!$A$6,0,Registro2[[#This Row],[Valor Unitário]]))</f>
        <v>20</v>
      </c>
      <c r="U15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46" t="str">
        <f>VLOOKUP(Registro2[[#This Row],[Categoria]],'Plano de Contas'!$V$3:W1616,2,0)</f>
        <v>Receitas Serviços</v>
      </c>
      <c r="X154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47" spans="1:24" hidden="1">
      <c r="A1547" s="1">
        <v>45764.833333333336</v>
      </c>
      <c r="B1547" s="1">
        <v>45764.833333333336</v>
      </c>
      <c r="D1547" t="s">
        <v>310</v>
      </c>
      <c r="E1547" t="s">
        <v>149</v>
      </c>
      <c r="F1547" t="s">
        <v>152</v>
      </c>
      <c r="G1547" t="s">
        <v>352</v>
      </c>
      <c r="I1547" s="4">
        <v>20</v>
      </c>
      <c r="J1547" s="4">
        <v>20</v>
      </c>
      <c r="L1547" t="s">
        <v>252</v>
      </c>
      <c r="M1547" t="s">
        <v>464</v>
      </c>
      <c r="N1547" s="4">
        <f>IF(L1547="","",IF(OR(Registro2[[#This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547" t="str">
        <f t="shared" si="24"/>
        <v>abr/25</v>
      </c>
      <c r="P1547" t="str">
        <f>IF(Registro2[[#This Row],[Data de Pagamento]]&gt;0,TEXT(A1547,"mmm/aa"),"")</f>
        <v>abr/25</v>
      </c>
      <c r="T1547" s="4">
        <f>IF(Registro2[[#This Row],[Data de Pagamento]]="",0,IF(Registro2[[#This Row],[Conta Financeira]]=base!$A$6,0,Registro2[[#This Row],[Valor Unitário]]))</f>
        <v>20</v>
      </c>
      <c r="U15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47" t="str">
        <f>VLOOKUP(Registro2[[#This Row],[Categoria]],'Plano de Contas'!$V$3:W1620,2,0)</f>
        <v>Receitas Serviços</v>
      </c>
      <c r="X154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</row>
    <row r="1548" spans="1:24" hidden="1">
      <c r="A1548" s="1">
        <v>45764.847222222219</v>
      </c>
      <c r="B1548" s="1">
        <v>45764.847222222219</v>
      </c>
      <c r="D1548" t="s">
        <v>354</v>
      </c>
      <c r="E1548" t="s">
        <v>149</v>
      </c>
      <c r="F1548" t="s">
        <v>152</v>
      </c>
      <c r="G1548" t="s">
        <v>353</v>
      </c>
      <c r="I1548" s="4">
        <v>60</v>
      </c>
      <c r="J1548" s="4">
        <v>60</v>
      </c>
      <c r="L1548" t="s">
        <v>264</v>
      </c>
      <c r="M1548" t="s">
        <v>1154</v>
      </c>
      <c r="N1548" s="4">
        <f>IF(L1548="","",IF(OR(Registro2[[#This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548" t="str">
        <f t="shared" si="24"/>
        <v>abr/25</v>
      </c>
      <c r="P1548" t="str">
        <f>IF(Registro2[[#This Row],[Data de Pagamento]]&gt;0,TEXT(A1548,"mmm/aa"),"")</f>
        <v>abr/25</v>
      </c>
      <c r="T1548" s="4">
        <f>IF(Registro2[[#This Row],[Data de Pagamento]]="",0,IF(Registro2[[#This Row],[Conta Financeira]]=base!$A$6,0,Registro2[[#This Row],[Valor Unitário]]))</f>
        <v>60</v>
      </c>
      <c r="U15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48" t="str">
        <f>VLOOKUP(Registro2[[#This Row],[Categoria]],'Plano de Contas'!$V$3:W1619,2,0)</f>
        <v>Receitas Serviços</v>
      </c>
      <c r="X154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</row>
    <row r="1549" spans="1:24" hidden="1">
      <c r="A1549" s="1">
        <v>45764.854166666664</v>
      </c>
      <c r="B1549" s="1">
        <v>45764.854166666664</v>
      </c>
      <c r="D1549" t="s">
        <v>1</v>
      </c>
      <c r="E1549" t="s">
        <v>149</v>
      </c>
      <c r="F1549" t="s">
        <v>147</v>
      </c>
      <c r="G1549" t="s">
        <v>163</v>
      </c>
      <c r="I1549" s="4">
        <v>35</v>
      </c>
      <c r="J1549" s="4">
        <v>45</v>
      </c>
      <c r="L1549" t="s">
        <v>253</v>
      </c>
      <c r="M1549" t="s">
        <v>35</v>
      </c>
      <c r="N1549" s="4">
        <f>IF(L1549="","",IF(OR(Registro2[[#This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49" t="str">
        <f t="shared" si="24"/>
        <v>abr/25</v>
      </c>
      <c r="P1549" t="str">
        <f>IF(Registro2[[#This Row],[Data de Pagamento]]&gt;0,TEXT(A1549,"mmm/aa"),"")</f>
        <v>abr/25</v>
      </c>
      <c r="T1549" s="4">
        <f>IF(Registro2[[#This Row],[Data de Pagamento]]="",0,IF(Registro2[[#This Row],[Conta Financeira]]=base!$A$6,0,Registro2[[#This Row],[Valor Unitário]]))</f>
        <v>35</v>
      </c>
      <c r="U15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49" t="str">
        <f>VLOOKUP(Registro2[[#This Row],[Categoria]],'Plano de Contas'!$V$3:W1621,2,0)</f>
        <v>Receitas Serviços</v>
      </c>
      <c r="X154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50" spans="1:24" hidden="1">
      <c r="A1550" s="1">
        <v>45764.854166666664</v>
      </c>
      <c r="B1550" s="1">
        <v>45764.854166666664</v>
      </c>
      <c r="D1550" t="s">
        <v>1</v>
      </c>
      <c r="E1550" t="s">
        <v>149</v>
      </c>
      <c r="F1550" t="s">
        <v>147</v>
      </c>
      <c r="G1550" t="s">
        <v>167</v>
      </c>
      <c r="I1550" s="4">
        <v>10</v>
      </c>
      <c r="J1550" s="4"/>
      <c r="L1550" t="s">
        <v>253</v>
      </c>
      <c r="M1550" t="s">
        <v>35</v>
      </c>
      <c r="N1550" s="4">
        <f>IF(L1550="","",IF(OR(Registro2[[#This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550" t="str">
        <f t="shared" si="24"/>
        <v>abr/25</v>
      </c>
      <c r="P1550" t="str">
        <f>IF(Registro2[[#This Row],[Data de Pagamento]]&gt;0,TEXT(A1550,"mmm/aa"),"")</f>
        <v>abr/25</v>
      </c>
      <c r="T1550" s="4">
        <f>IF(Registro2[[#This Row],[Data de Pagamento]]="",0,IF(Registro2[[#This Row],[Conta Financeira]]=base!$A$6,0,Registro2[[#This Row],[Valor Unitário]]))</f>
        <v>10</v>
      </c>
      <c r="U15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50" t="str">
        <f>VLOOKUP(Registro2[[#This Row],[Categoria]],'Plano de Contas'!$V$3:W1622,2,0)</f>
        <v>Receitas Serviços</v>
      </c>
      <c r="X155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51" spans="1:24" hidden="1">
      <c r="A1551" s="1">
        <v>45764.916666666664</v>
      </c>
      <c r="B1551" s="1">
        <v>45764.916666666664</v>
      </c>
      <c r="D1551" t="s">
        <v>1</v>
      </c>
      <c r="E1551" t="s">
        <v>149</v>
      </c>
      <c r="F1551" t="s">
        <v>152</v>
      </c>
      <c r="G1551" t="s">
        <v>353</v>
      </c>
      <c r="I1551" s="4">
        <v>60</v>
      </c>
      <c r="J1551" s="4">
        <v>55</v>
      </c>
      <c r="L1551" t="s">
        <v>252</v>
      </c>
      <c r="M1551" t="s">
        <v>105</v>
      </c>
      <c r="N1551" s="4">
        <f>IF(L1551="","",IF(OR(Registro2[[#This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551" t="str">
        <f t="shared" si="24"/>
        <v>abr/25</v>
      </c>
      <c r="P1551" t="str">
        <f>IF(Registro2[[#This Row],[Data de Pagamento]]&gt;0,TEXT(A1551,"mmm/aa"),"")</f>
        <v>abr/25</v>
      </c>
      <c r="T1551" s="4">
        <f>IF(Registro2[[#This Row],[Data de Pagamento]]="",0,IF(Registro2[[#This Row],[Conta Financeira]]=base!$A$6,0,Registro2[[#This Row],[Valor Unitário]]))</f>
        <v>60</v>
      </c>
      <c r="U15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51" t="str">
        <f>VLOOKUP(Registro2[[#This Row],[Categoria]],'Plano de Contas'!$V$3:W1625,2,0)</f>
        <v>Receitas Serviços</v>
      </c>
      <c r="X155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52" spans="1:24" hidden="1">
      <c r="A1552" s="1">
        <v>45764.927083333336</v>
      </c>
      <c r="B1552" s="1">
        <v>45764.927083333336</v>
      </c>
      <c r="D1552" t="s">
        <v>1</v>
      </c>
      <c r="E1552" t="s">
        <v>149</v>
      </c>
      <c r="F1552" t="s">
        <v>147</v>
      </c>
      <c r="G1552" t="s">
        <v>163</v>
      </c>
      <c r="I1552" s="4">
        <v>35</v>
      </c>
      <c r="J1552" s="4">
        <v>70</v>
      </c>
      <c r="L1552" t="s">
        <v>252</v>
      </c>
      <c r="M1552" t="s">
        <v>201</v>
      </c>
      <c r="N1552" s="4">
        <f>IF(L1552="","",IF(OR(Registro2[[#This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52" t="str">
        <f t="shared" si="24"/>
        <v>abr/25</v>
      </c>
      <c r="P1552" t="str">
        <f>IF(Registro2[[#This Row],[Data de Pagamento]]&gt;0,TEXT(A1552,"mmm/aa"),"")</f>
        <v>abr/25</v>
      </c>
      <c r="T1552" s="4">
        <f>IF(Registro2[[#This Row],[Data de Pagamento]]="",0,IF(Registro2[[#This Row],[Conta Financeira]]=base!$A$6,0,Registro2[[#This Row],[Valor Unitário]]))</f>
        <v>35</v>
      </c>
      <c r="U15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52" t="str">
        <f>VLOOKUP(Registro2[[#This Row],[Categoria]],'Plano de Contas'!$V$3:W1626,2,0)</f>
        <v>Receitas Serviços</v>
      </c>
      <c r="X155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53" spans="1:24" hidden="1">
      <c r="A1553" s="1">
        <v>45764.927083333336</v>
      </c>
      <c r="B1553" s="1">
        <v>45764.927083333336</v>
      </c>
      <c r="D1553" t="s">
        <v>1</v>
      </c>
      <c r="E1553" t="s">
        <v>149</v>
      </c>
      <c r="F1553" t="s">
        <v>147</v>
      </c>
      <c r="G1553" t="s">
        <v>163</v>
      </c>
      <c r="I1553" s="4">
        <v>35</v>
      </c>
      <c r="J1553" s="4"/>
      <c r="L1553" t="s">
        <v>252</v>
      </c>
      <c r="M1553" t="s">
        <v>201</v>
      </c>
      <c r="N1553" s="4">
        <f>IF(L1553="","",IF(OR(Registro2[[#This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53" t="str">
        <f t="shared" si="24"/>
        <v>abr/25</v>
      </c>
      <c r="P1553" t="str">
        <f>IF(Registro2[[#This Row],[Data de Pagamento]]&gt;0,TEXT(A1553,"mmm/aa"),"")</f>
        <v>abr/25</v>
      </c>
      <c r="T1553" s="4">
        <f>IF(Registro2[[#This Row],[Data de Pagamento]]="",0,IF(Registro2[[#This Row],[Conta Financeira]]=base!$A$6,0,Registro2[[#This Row],[Valor Unitário]]))</f>
        <v>35</v>
      </c>
      <c r="U15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53" t="str">
        <f>VLOOKUP(Registro2[[#This Row],[Categoria]],'Plano de Contas'!$V$3:W1627,2,0)</f>
        <v>Receitas Serviços</v>
      </c>
      <c r="X155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54" spans="1:24" hidden="1">
      <c r="A1554" s="1">
        <v>45765.413194444445</v>
      </c>
      <c r="B1554" s="1">
        <v>45765.413194444445</v>
      </c>
      <c r="D1554" t="s">
        <v>2</v>
      </c>
      <c r="E1554" t="s">
        <v>149</v>
      </c>
      <c r="F1554" t="s">
        <v>147</v>
      </c>
      <c r="G1554" t="s">
        <v>163</v>
      </c>
      <c r="I1554" s="4">
        <v>35</v>
      </c>
      <c r="J1554" s="4">
        <v>35</v>
      </c>
      <c r="L1554" t="s">
        <v>253</v>
      </c>
      <c r="M1554" t="s">
        <v>278</v>
      </c>
      <c r="N1554" s="4">
        <f>IF(L1554="","",IF(OR(Registro2[[#This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54" t="str">
        <f t="shared" si="24"/>
        <v>abr/25</v>
      </c>
      <c r="P1554" t="str">
        <f>IF(Registro2[[#This Row],[Data de Pagamento]]&gt;0,TEXT(A1554,"mmm/aa"),"")</f>
        <v>abr/25</v>
      </c>
      <c r="T1554" s="4">
        <f>IF(Registro2[[#This Row],[Data de Pagamento]]="",0,IF(Registro2[[#This Row],[Conta Financeira]]=base!$A$6,0,Registro2[[#This Row],[Valor Unitário]]))</f>
        <v>35</v>
      </c>
      <c r="U15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54" t="str">
        <f>VLOOKUP(Registro2[[#This Row],[Categoria]],'Plano de Contas'!$V$3:W1632,2,0)</f>
        <v>Receitas Serviços</v>
      </c>
      <c r="X155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55" spans="1:24" hidden="1">
      <c r="A1555" s="1">
        <v>45765.416666666664</v>
      </c>
      <c r="B1555" s="1">
        <v>45765.416666666664</v>
      </c>
      <c r="D1555" t="s">
        <v>1</v>
      </c>
      <c r="E1555" t="s">
        <v>149</v>
      </c>
      <c r="F1555" t="s">
        <v>147</v>
      </c>
      <c r="G1555" t="s">
        <v>163</v>
      </c>
      <c r="I1555" s="4">
        <v>35</v>
      </c>
      <c r="J1555" s="4">
        <v>60</v>
      </c>
      <c r="L1555" t="s">
        <v>253</v>
      </c>
      <c r="M1555" t="s">
        <v>37</v>
      </c>
      <c r="N1555" s="4">
        <f>IF(L1555="","",IF(OR(Registro2[[#This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55" t="str">
        <f t="shared" si="24"/>
        <v>abr/25</v>
      </c>
      <c r="P1555" t="str">
        <f>IF(Registro2[[#This Row],[Data de Pagamento]]&gt;0,TEXT(A1555,"mmm/aa"),"")</f>
        <v>abr/25</v>
      </c>
      <c r="T1555" s="4">
        <f>IF(Registro2[[#This Row],[Data de Pagamento]]="",0,IF(Registro2[[#This Row],[Conta Financeira]]=base!$A$6,0,Registro2[[#This Row],[Valor Unitário]]))</f>
        <v>35</v>
      </c>
      <c r="U15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55" t="str">
        <f>VLOOKUP(Registro2[[#This Row],[Categoria]],'Plano de Contas'!$V$3:W1578,2,0)</f>
        <v>Receitas Serviços</v>
      </c>
      <c r="X15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56" spans="1:24" hidden="1">
      <c r="A1556" s="1">
        <v>45765.416666666664</v>
      </c>
      <c r="B1556" s="1">
        <v>45765.416666666664</v>
      </c>
      <c r="D1556" t="s">
        <v>1</v>
      </c>
      <c r="E1556" t="s">
        <v>149</v>
      </c>
      <c r="F1556" t="s">
        <v>147</v>
      </c>
      <c r="G1556" t="s">
        <v>1046</v>
      </c>
      <c r="I1556" s="4">
        <v>25</v>
      </c>
      <c r="J1556" s="4"/>
      <c r="L1556" t="s">
        <v>253</v>
      </c>
      <c r="M1556" t="s">
        <v>37</v>
      </c>
      <c r="N1556" s="4">
        <f>IF(L1556="","",IF(OR(Registro2[[#This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1556" t="str">
        <f t="shared" si="24"/>
        <v>abr/25</v>
      </c>
      <c r="P1556" t="str">
        <f>IF(Registro2[[#This Row],[Data de Pagamento]]&gt;0,TEXT(A1556,"mmm/aa"),"")</f>
        <v>abr/25</v>
      </c>
      <c r="T1556" s="4">
        <f>IF(Registro2[[#This Row],[Data de Pagamento]]="",0,IF(Registro2[[#This Row],[Conta Financeira]]=base!$A$6,0,Registro2[[#This Row],[Valor Unitário]]))</f>
        <v>25</v>
      </c>
      <c r="U15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56" t="str">
        <f>VLOOKUP(Registro2[[#This Row],[Categoria]],'Plano de Contas'!$V$3:W1579,2,0)</f>
        <v>Receitas Serviços</v>
      </c>
      <c r="X155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57" spans="1:24" hidden="1">
      <c r="A1557" s="1">
        <v>45765.416666666664</v>
      </c>
      <c r="B1557" s="1">
        <v>45765.416666666664</v>
      </c>
      <c r="D1557" t="s">
        <v>1</v>
      </c>
      <c r="E1557" t="s">
        <v>149</v>
      </c>
      <c r="F1557" t="s">
        <v>147</v>
      </c>
      <c r="G1557" t="s">
        <v>163</v>
      </c>
      <c r="I1557" s="4">
        <v>35</v>
      </c>
      <c r="J1557" s="4">
        <v>35</v>
      </c>
      <c r="L1557" t="s">
        <v>252</v>
      </c>
      <c r="M1557" t="s">
        <v>123</v>
      </c>
      <c r="N1557" s="4">
        <f>IF(L1557="","",IF(OR(Registro2[[#This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57" t="str">
        <f t="shared" si="24"/>
        <v>abr/25</v>
      </c>
      <c r="P1557" t="str">
        <f>IF(Registro2[[#This Row],[Data de Pagamento]]&gt;0,TEXT(A1557,"mmm/aa"),"")</f>
        <v>abr/25</v>
      </c>
      <c r="T1557" s="4">
        <f>IF(Registro2[[#This Row],[Data de Pagamento]]="",0,IF(Registro2[[#This Row],[Conta Financeira]]=base!$A$6,0,Registro2[[#This Row],[Valor Unitário]]))</f>
        <v>35</v>
      </c>
      <c r="U15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57" t="str">
        <f>VLOOKUP(Registro2[[#This Row],[Categoria]],'Plano de Contas'!$V$3:W1628,2,0)</f>
        <v>Receitas Serviços</v>
      </c>
      <c r="X15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58" spans="1:24" hidden="1">
      <c r="A1558" s="1">
        <v>45765.4375</v>
      </c>
      <c r="B1558" s="1">
        <v>45765.4375</v>
      </c>
      <c r="D1558" t="s">
        <v>354</v>
      </c>
      <c r="E1558" t="s">
        <v>149</v>
      </c>
      <c r="F1558" t="s">
        <v>147</v>
      </c>
      <c r="G1558" t="s">
        <v>163</v>
      </c>
      <c r="I1558" s="4">
        <v>35</v>
      </c>
      <c r="J1558" s="4">
        <v>35</v>
      </c>
      <c r="L1558" t="s">
        <v>252</v>
      </c>
      <c r="M1558" t="s">
        <v>372</v>
      </c>
      <c r="N1558" s="4">
        <f>IF(L1558="","",IF(OR(Registro2[[#This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58" t="str">
        <f t="shared" si="24"/>
        <v>abr/25</v>
      </c>
      <c r="P1558" t="str">
        <f>IF(Registro2[[#This Row],[Data de Pagamento]]&gt;0,TEXT(A1558,"mmm/aa"),"")</f>
        <v>abr/25</v>
      </c>
      <c r="T1558" s="4">
        <f>IF(Registro2[[#This Row],[Data de Pagamento]]="",0,IF(Registro2[[#This Row],[Conta Financeira]]=base!$A$6,0,Registro2[[#This Row],[Valor Unitário]]))</f>
        <v>35</v>
      </c>
      <c r="U15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58" t="str">
        <f>VLOOKUP(Registro2[[#This Row],[Categoria]],'Plano de Contas'!$V$3:W1604,2,0)</f>
        <v>Receitas Serviços</v>
      </c>
      <c r="X155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559" spans="1:24" hidden="1">
      <c r="A1559" s="1">
        <v>45765.458333333336</v>
      </c>
      <c r="B1559" s="1">
        <v>45765.458333333336</v>
      </c>
      <c r="D1559" t="s">
        <v>354</v>
      </c>
      <c r="E1559" t="s">
        <v>149</v>
      </c>
      <c r="F1559" t="s">
        <v>152</v>
      </c>
      <c r="G1559" t="s">
        <v>353</v>
      </c>
      <c r="I1559" s="4">
        <v>60</v>
      </c>
      <c r="J1559" s="4">
        <v>60</v>
      </c>
      <c r="L1559" t="s">
        <v>253</v>
      </c>
      <c r="M1559" t="s">
        <v>2419</v>
      </c>
      <c r="N1559" s="4">
        <f>IF(L1559="","",IF(OR(Registro2[[#This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559" t="str">
        <f t="shared" si="24"/>
        <v>abr/25</v>
      </c>
      <c r="P1559" t="str">
        <f>IF(Registro2[[#This Row],[Data de Pagamento]]&gt;0,TEXT(A1559,"mmm/aa"),"")</f>
        <v>abr/25</v>
      </c>
      <c r="T1559" s="4">
        <f>IF(Registro2[[#This Row],[Data de Pagamento]]="",0,IF(Registro2[[#This Row],[Conta Financeira]]=base!$A$6,0,Registro2[[#This Row],[Valor Unitário]]))</f>
        <v>60</v>
      </c>
      <c r="U15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59" t="str">
        <f>VLOOKUP(Registro2[[#This Row],[Categoria]],'Plano de Contas'!$V$3:W1624,2,0)</f>
        <v>Receitas Serviços</v>
      </c>
      <c r="X155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</row>
    <row r="1560" spans="1:24" hidden="1">
      <c r="A1560" s="1">
        <v>45765.46875</v>
      </c>
      <c r="B1560" s="1">
        <v>45765.46875</v>
      </c>
      <c r="D1560" t="s">
        <v>1</v>
      </c>
      <c r="E1560" t="s">
        <v>149</v>
      </c>
      <c r="F1560" t="s">
        <v>152</v>
      </c>
      <c r="G1560" t="s">
        <v>353</v>
      </c>
      <c r="I1560" s="4">
        <v>50</v>
      </c>
      <c r="J1560" s="4">
        <v>50</v>
      </c>
      <c r="L1560" t="s">
        <v>264</v>
      </c>
      <c r="M1560" t="s">
        <v>188</v>
      </c>
      <c r="N1560" s="4">
        <f>IF(L1560="","",IF(OR(Registro2[[#This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560" t="str">
        <f t="shared" si="24"/>
        <v>abr/25</v>
      </c>
      <c r="P1560" t="str">
        <f>IF(Registro2[[#This Row],[Data de Pagamento]]&gt;0,TEXT(A1560,"mmm/aa"),"")</f>
        <v>abr/25</v>
      </c>
      <c r="T1560" s="4">
        <f>IF(Registro2[[#This Row],[Data de Pagamento]]="",0,IF(Registro2[[#This Row],[Conta Financeira]]=base!$A$6,0,Registro2[[#This Row],[Valor Unitário]]))</f>
        <v>50</v>
      </c>
      <c r="U15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60" t="str">
        <f>VLOOKUP(Registro2[[#This Row],[Categoria]],'Plano de Contas'!$V$3:W1640,2,0)</f>
        <v>Receitas Serviços</v>
      </c>
      <c r="X15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61" spans="1:24" hidden="1">
      <c r="A1561" s="1">
        <v>45765.475694444445</v>
      </c>
      <c r="B1561" s="1">
        <v>45765.475694444445</v>
      </c>
      <c r="D1561" t="s">
        <v>1</v>
      </c>
      <c r="E1561" t="s">
        <v>149</v>
      </c>
      <c r="F1561" t="s">
        <v>147</v>
      </c>
      <c r="G1561" t="s">
        <v>163</v>
      </c>
      <c r="I1561" s="4">
        <v>35</v>
      </c>
      <c r="J1561" s="4">
        <v>55</v>
      </c>
      <c r="L1561" t="s">
        <v>253</v>
      </c>
      <c r="M1561" t="s">
        <v>194</v>
      </c>
      <c r="N1561" s="4">
        <f>IF(L1561="","",IF(OR(Registro2[[#This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61" t="str">
        <f t="shared" si="24"/>
        <v>abr/25</v>
      </c>
      <c r="P1561" t="str">
        <f>IF(Registro2[[#This Row],[Data de Pagamento]]&gt;0,TEXT(A1561,"mmm/aa"),"")</f>
        <v>abr/25</v>
      </c>
      <c r="T1561" s="4">
        <f>IF(Registro2[[#This Row],[Data de Pagamento]]="",0,IF(Registro2[[#This Row],[Conta Financeira]]=base!$A$6,0,Registro2[[#This Row],[Valor Unitário]]))</f>
        <v>35</v>
      </c>
      <c r="U15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61" t="str">
        <f>VLOOKUP(Registro2[[#This Row],[Categoria]],'Plano de Contas'!$V$3:W1637,2,0)</f>
        <v>Receitas Serviços</v>
      </c>
      <c r="X15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62" spans="1:24" hidden="1">
      <c r="A1562" s="1">
        <v>45765.475694444445</v>
      </c>
      <c r="B1562" s="1">
        <v>45765.475694444445</v>
      </c>
      <c r="D1562" t="s">
        <v>1</v>
      </c>
      <c r="E1562" t="s">
        <v>149</v>
      </c>
      <c r="F1562" t="s">
        <v>150</v>
      </c>
      <c r="G1562" t="s">
        <v>507</v>
      </c>
      <c r="I1562" s="4">
        <v>20</v>
      </c>
      <c r="J1562" s="4"/>
      <c r="L1562" t="s">
        <v>253</v>
      </c>
      <c r="M1562" t="s">
        <v>194</v>
      </c>
      <c r="N1562" s="4">
        <f>IF(L1562="","",IF(OR(Registro2[[#This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8</v>
      </c>
      <c r="O1562" t="str">
        <f t="shared" si="24"/>
        <v>abr/25</v>
      </c>
      <c r="P1562" t="str">
        <f>IF(Registro2[[#This Row],[Data de Pagamento]]&gt;0,TEXT(A1562,"mmm/aa"),"")</f>
        <v>abr/25</v>
      </c>
      <c r="T1562" s="4">
        <f>IF(Registro2[[#This Row],[Data de Pagamento]]="",0,IF(Registro2[[#This Row],[Conta Financeira]]=base!$A$6,0,Registro2[[#This Row],[Valor Unitário]]))</f>
        <v>20</v>
      </c>
      <c r="U15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62" t="str">
        <f>VLOOKUP(Registro2[[#This Row],[Categoria]],'Plano de Contas'!$V$3:W1638,2,0)</f>
        <v>Receitas Produtos</v>
      </c>
      <c r="X156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63" spans="1:24" hidden="1">
      <c r="A1563" s="1">
        <v>45765.489583333336</v>
      </c>
      <c r="B1563" s="1">
        <v>45765.489583333336</v>
      </c>
      <c r="D1563" t="s">
        <v>1</v>
      </c>
      <c r="E1563" t="s">
        <v>149</v>
      </c>
      <c r="F1563" t="s">
        <v>147</v>
      </c>
      <c r="G1563" t="s">
        <v>167</v>
      </c>
      <c r="I1563" s="4">
        <v>10</v>
      </c>
      <c r="J1563" s="4">
        <v>45</v>
      </c>
      <c r="L1563" t="s">
        <v>253</v>
      </c>
      <c r="M1563" t="s">
        <v>491</v>
      </c>
      <c r="N1563" s="4">
        <f>IF(L1563="","",IF(OR(Registro2[[#This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563" t="str">
        <f t="shared" si="24"/>
        <v>abr/25</v>
      </c>
      <c r="P1563" t="str">
        <f>IF(Registro2[[#This Row],[Data de Pagamento]]&gt;0,TEXT(A1563,"mmm/aa"),"")</f>
        <v>abr/25</v>
      </c>
      <c r="T1563" s="4">
        <f>IF(Registro2[[#This Row],[Data de Pagamento]]="",0,IF(Registro2[[#This Row],[Conta Financeira]]=base!$A$6,0,Registro2[[#This Row],[Valor Unitário]]))</f>
        <v>10</v>
      </c>
      <c r="U15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63" t="str">
        <f>VLOOKUP(Registro2[[#This Row],[Categoria]],'Plano de Contas'!$V$3:W1630,2,0)</f>
        <v>Receitas Serviços</v>
      </c>
      <c r="X156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64" spans="1:24" hidden="1">
      <c r="A1564" s="1">
        <v>45765.489583333336</v>
      </c>
      <c r="B1564" s="1">
        <v>45765.489583333336</v>
      </c>
      <c r="D1564" t="s">
        <v>1</v>
      </c>
      <c r="E1564" t="s">
        <v>149</v>
      </c>
      <c r="F1564" t="s">
        <v>147</v>
      </c>
      <c r="G1564" t="s">
        <v>163</v>
      </c>
      <c r="I1564" s="4">
        <v>35</v>
      </c>
      <c r="J1564" s="4"/>
      <c r="L1564" t="s">
        <v>253</v>
      </c>
      <c r="M1564" t="s">
        <v>491</v>
      </c>
      <c r="N1564" s="4">
        <f>IF(L1564="","",IF(OR(Registro2[[#This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64" t="str">
        <f t="shared" si="24"/>
        <v>abr/25</v>
      </c>
      <c r="P1564" t="str">
        <f>IF(Registro2[[#This Row],[Data de Pagamento]]&gt;0,TEXT(A1564,"mmm/aa"),"")</f>
        <v>abr/25</v>
      </c>
      <c r="T1564" s="4">
        <f>IF(Registro2[[#This Row],[Data de Pagamento]]="",0,IF(Registro2[[#This Row],[Conta Financeira]]=base!$A$6,0,Registro2[[#This Row],[Valor Unitário]]))</f>
        <v>35</v>
      </c>
      <c r="U15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64" t="str">
        <f>VLOOKUP(Registro2[[#This Row],[Categoria]],'Plano de Contas'!$V$3:W1631,2,0)</f>
        <v>Receitas Serviços</v>
      </c>
      <c r="X156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65" spans="1:24" hidden="1">
      <c r="A1565" s="1">
        <v>45765.5</v>
      </c>
      <c r="B1565" s="1">
        <v>45765.5</v>
      </c>
      <c r="D1565" t="s">
        <v>354</v>
      </c>
      <c r="E1565" t="s">
        <v>149</v>
      </c>
      <c r="F1565" t="s">
        <v>147</v>
      </c>
      <c r="G1565" t="s">
        <v>163</v>
      </c>
      <c r="I1565" s="4">
        <v>35</v>
      </c>
      <c r="J1565" s="4">
        <v>35</v>
      </c>
      <c r="L1565" t="s">
        <v>252</v>
      </c>
      <c r="M1565" t="s">
        <v>372</v>
      </c>
      <c r="N1565" s="4">
        <f>IF(L1565="","",IF(OR(Registro2[[#This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65" t="str">
        <f t="shared" si="24"/>
        <v>abr/25</v>
      </c>
      <c r="P1565" t="str">
        <f>IF(Registro2[[#This Row],[Data de Pagamento]]&gt;0,TEXT(A1565,"mmm/aa"),"")</f>
        <v>abr/25</v>
      </c>
      <c r="T1565" s="4">
        <f>IF(Registro2[[#This Row],[Data de Pagamento]]="",0,IF(Registro2[[#This Row],[Conta Financeira]]=base!$A$6,0,Registro2[[#This Row],[Valor Unitário]]))</f>
        <v>35</v>
      </c>
      <c r="U15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65" t="str">
        <f>VLOOKUP(Registro2[[#This Row],[Categoria]],'Plano de Contas'!$V$3:W1639,2,0)</f>
        <v>Receitas Serviços</v>
      </c>
      <c r="X156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566" spans="1:24" hidden="1">
      <c r="A1566" s="1">
        <v>45765.552083333336</v>
      </c>
      <c r="B1566" s="1">
        <v>45765.552083333336</v>
      </c>
      <c r="D1566" t="s">
        <v>1</v>
      </c>
      <c r="E1566" t="s">
        <v>149</v>
      </c>
      <c r="F1566" t="s">
        <v>147</v>
      </c>
      <c r="G1566" t="s">
        <v>163</v>
      </c>
      <c r="I1566" s="4">
        <v>35</v>
      </c>
      <c r="J1566" s="4">
        <v>35</v>
      </c>
      <c r="L1566" t="s">
        <v>252</v>
      </c>
      <c r="M1566" t="s">
        <v>1229</v>
      </c>
      <c r="N1566" s="4">
        <f>IF(L1566="","",IF(OR(Registro2[[#This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66" t="str">
        <f t="shared" si="24"/>
        <v>abr/25</v>
      </c>
      <c r="P1566" t="str">
        <f>IF(Registro2[[#This Row],[Data de Pagamento]]&gt;0,TEXT(A1566,"mmm/aa"),"")</f>
        <v>abr/25</v>
      </c>
      <c r="T1566" s="4">
        <f>IF(Registro2[[#This Row],[Data de Pagamento]]="",0,IF(Registro2[[#This Row],[Conta Financeira]]=base!$A$6,0,Registro2[[#This Row],[Valor Unitário]]))</f>
        <v>35</v>
      </c>
      <c r="U15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66" t="str">
        <f>VLOOKUP(Registro2[[#This Row],[Categoria]],'Plano de Contas'!$V$3:W1651,2,0)</f>
        <v>Receitas Serviços</v>
      </c>
      <c r="X15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67" spans="1:24" hidden="1">
      <c r="A1567" s="1">
        <v>45765.572916666664</v>
      </c>
      <c r="B1567" s="1">
        <v>45765.572916666664</v>
      </c>
      <c r="D1567" t="s">
        <v>1</v>
      </c>
      <c r="E1567" t="s">
        <v>149</v>
      </c>
      <c r="F1567" t="s">
        <v>147</v>
      </c>
      <c r="G1567" t="s">
        <v>163</v>
      </c>
      <c r="I1567" s="4">
        <v>35</v>
      </c>
      <c r="J1567" s="4">
        <v>70</v>
      </c>
      <c r="L1567" t="s">
        <v>264</v>
      </c>
      <c r="M1567" t="s">
        <v>2434</v>
      </c>
      <c r="N1567" s="4">
        <f>IF(L1567="","",IF(OR(Registro2[[#This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67" t="str">
        <f t="shared" si="24"/>
        <v>abr/25</v>
      </c>
      <c r="P1567" t="str">
        <f>IF(Registro2[[#This Row],[Data de Pagamento]]&gt;0,TEXT(A1567,"mmm/aa"),"")</f>
        <v>abr/25</v>
      </c>
      <c r="T1567" s="4">
        <f>IF(Registro2[[#This Row],[Data de Pagamento]]="",0,IF(Registro2[[#This Row],[Conta Financeira]]=base!$A$6,0,Registro2[[#This Row],[Valor Unitário]]))</f>
        <v>35</v>
      </c>
      <c r="U15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67" t="str">
        <f>VLOOKUP(Registro2[[#This Row],[Categoria]],'Plano de Contas'!$V$3:W1644,2,0)</f>
        <v>Receitas Serviços</v>
      </c>
      <c r="X156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68" spans="1:24" hidden="1">
      <c r="A1568" s="1">
        <v>45765.572916666664</v>
      </c>
      <c r="B1568" s="1">
        <v>45765.572916666664</v>
      </c>
      <c r="D1568" t="s">
        <v>1</v>
      </c>
      <c r="E1568" t="s">
        <v>149</v>
      </c>
      <c r="F1568" t="s">
        <v>147</v>
      </c>
      <c r="G1568" t="s">
        <v>163</v>
      </c>
      <c r="I1568" s="4">
        <v>35</v>
      </c>
      <c r="J1568" s="4"/>
      <c r="L1568" t="s">
        <v>264</v>
      </c>
      <c r="M1568" t="s">
        <v>2434</v>
      </c>
      <c r="N1568" s="4">
        <f>IF(L1568="","",IF(OR(Registro2[[#This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68" t="str">
        <f t="shared" si="24"/>
        <v>abr/25</v>
      </c>
      <c r="P1568" t="str">
        <f>IF(Registro2[[#This Row],[Data de Pagamento]]&gt;0,TEXT(A1568,"mmm/aa"),"")</f>
        <v>abr/25</v>
      </c>
      <c r="T1568" s="4">
        <f>IF(Registro2[[#This Row],[Data de Pagamento]]="",0,IF(Registro2[[#This Row],[Conta Financeira]]=base!$A$6,0,Registro2[[#This Row],[Valor Unitário]]))</f>
        <v>35</v>
      </c>
      <c r="U15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68" t="str">
        <f>VLOOKUP(Registro2[[#This Row],[Categoria]],'Plano de Contas'!$V$3:W1645,2,0)</f>
        <v>Receitas Serviços</v>
      </c>
      <c r="X156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69" spans="1:24" hidden="1">
      <c r="A1569" s="1">
        <v>45765.59375</v>
      </c>
      <c r="B1569" s="1">
        <v>45765.59375</v>
      </c>
      <c r="D1569" t="s">
        <v>1</v>
      </c>
      <c r="E1569" t="s">
        <v>149</v>
      </c>
      <c r="F1569" t="s">
        <v>147</v>
      </c>
      <c r="G1569" t="s">
        <v>163</v>
      </c>
      <c r="I1569" s="4">
        <v>35</v>
      </c>
      <c r="J1569" s="4">
        <v>35</v>
      </c>
      <c r="L1569" t="s">
        <v>253</v>
      </c>
      <c r="M1569" t="s">
        <v>1229</v>
      </c>
      <c r="N1569" s="4">
        <f>IF(L1569="","",IF(OR(Registro2[[#This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69" t="str">
        <f t="shared" si="24"/>
        <v>abr/25</v>
      </c>
      <c r="P1569" t="str">
        <f>IF(Registro2[[#This Row],[Data de Pagamento]]&gt;0,TEXT(A1569,"mmm/aa"),"")</f>
        <v>abr/25</v>
      </c>
      <c r="T1569" s="4">
        <f>IF(Registro2[[#This Row],[Data de Pagamento]]="",0,IF(Registro2[[#This Row],[Conta Financeira]]=base!$A$6,0,Registro2[[#This Row],[Valor Unitário]]))</f>
        <v>35</v>
      </c>
      <c r="U15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69" t="str">
        <f>VLOOKUP(Registro2[[#This Row],[Categoria]],'Plano de Contas'!$V$3:W1629,2,0)</f>
        <v>Receitas Serviços</v>
      </c>
      <c r="X156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70" spans="1:24" hidden="1">
      <c r="A1570" s="1">
        <v>45765.59375</v>
      </c>
      <c r="B1570" s="1">
        <v>45765.59375</v>
      </c>
      <c r="D1570" t="s">
        <v>1</v>
      </c>
      <c r="E1570" t="s">
        <v>149</v>
      </c>
      <c r="F1570" t="s">
        <v>152</v>
      </c>
      <c r="G1570" t="s">
        <v>353</v>
      </c>
      <c r="I1570" s="4">
        <v>60</v>
      </c>
      <c r="J1570" s="4">
        <v>80</v>
      </c>
      <c r="L1570" t="s">
        <v>252</v>
      </c>
      <c r="M1570" t="s">
        <v>2437</v>
      </c>
      <c r="N1570" s="4">
        <f>IF(L1570="","",IF(OR(Registro2[[#This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570" t="str">
        <f t="shared" si="24"/>
        <v>abr/25</v>
      </c>
      <c r="P1570" t="str">
        <f>IF(Registro2[[#This Row],[Data de Pagamento]]&gt;0,TEXT(A1570,"mmm/aa"),"")</f>
        <v>abr/25</v>
      </c>
      <c r="T1570" s="4">
        <f>IF(Registro2[[#This Row],[Data de Pagamento]]="",0,IF(Registro2[[#This Row],[Conta Financeira]]=base!$A$6,0,Registro2[[#This Row],[Valor Unitário]]))</f>
        <v>60</v>
      </c>
      <c r="U15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70" t="str">
        <f>VLOOKUP(Registro2[[#This Row],[Categoria]],'Plano de Contas'!$V$3:W1647,2,0)</f>
        <v>Receitas Serviços</v>
      </c>
      <c r="X157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71" spans="1:24" hidden="1">
      <c r="A1571" s="1">
        <v>45765.59375</v>
      </c>
      <c r="B1571" s="1">
        <v>45765.59375</v>
      </c>
      <c r="D1571" t="s">
        <v>1</v>
      </c>
      <c r="E1571" t="s">
        <v>149</v>
      </c>
      <c r="F1571" t="s">
        <v>152</v>
      </c>
      <c r="G1571" t="s">
        <v>352</v>
      </c>
      <c r="I1571" s="4">
        <v>20</v>
      </c>
      <c r="J1571" s="4"/>
      <c r="L1571" t="s">
        <v>252</v>
      </c>
      <c r="M1571" t="s">
        <v>2437</v>
      </c>
      <c r="N1571" s="4">
        <f>IF(L1571="","",IF(OR(Registro2[[#This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571" t="str">
        <f t="shared" si="24"/>
        <v>abr/25</v>
      </c>
      <c r="P1571" t="str">
        <f>IF(Registro2[[#This Row],[Data de Pagamento]]&gt;0,TEXT(A1571,"mmm/aa"),"")</f>
        <v>abr/25</v>
      </c>
      <c r="T1571" s="4">
        <f>IF(Registro2[[#This Row],[Data de Pagamento]]="",0,IF(Registro2[[#This Row],[Conta Financeira]]=base!$A$6,0,Registro2[[#This Row],[Valor Unitário]]))</f>
        <v>20</v>
      </c>
      <c r="U15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71" t="str">
        <f>VLOOKUP(Registro2[[#This Row],[Categoria]],'Plano de Contas'!$V$3:W1648,2,0)</f>
        <v>Receitas Serviços</v>
      </c>
      <c r="X157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72" spans="1:24" hidden="1">
      <c r="A1572" s="1">
        <v>45766.375</v>
      </c>
      <c r="B1572" s="1">
        <v>45766.375</v>
      </c>
      <c r="D1572" t="s">
        <v>1</v>
      </c>
      <c r="E1572" t="s">
        <v>149</v>
      </c>
      <c r="F1572" t="s">
        <v>147</v>
      </c>
      <c r="G1572" t="s">
        <v>163</v>
      </c>
      <c r="I1572" s="4">
        <v>35</v>
      </c>
      <c r="J1572" s="4">
        <v>35</v>
      </c>
      <c r="L1572" t="s">
        <v>253</v>
      </c>
      <c r="M1572" t="s">
        <v>288</v>
      </c>
      <c r="N1572" s="4">
        <f>IF(L1572="","",IF(OR(Registro2[[#This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72" t="str">
        <f t="shared" si="24"/>
        <v>abr/25</v>
      </c>
      <c r="P1572" t="str">
        <f>IF(Registro2[[#This Row],[Data de Pagamento]]&gt;0,TEXT(A1572,"mmm/aa"),"")</f>
        <v>abr/25</v>
      </c>
      <c r="T1572" s="4">
        <f>IF(Registro2[[#This Row],[Data de Pagamento]]="",0,IF(Registro2[[#This Row],[Conta Financeira]]=base!$A$6,0,Registro2[[#This Row],[Valor Unitário]]))</f>
        <v>35</v>
      </c>
      <c r="U15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72" t="str">
        <f>VLOOKUP(Registro2[[#This Row],[Categoria]],'Plano de Contas'!$V$3:W1571,2,0)</f>
        <v>Receitas Serviços</v>
      </c>
      <c r="X157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73" spans="1:24" hidden="1">
      <c r="A1573" s="1">
        <v>45766.375</v>
      </c>
      <c r="B1573" s="1">
        <v>45766.375</v>
      </c>
      <c r="D1573" t="s">
        <v>1</v>
      </c>
      <c r="E1573" t="s">
        <v>149</v>
      </c>
      <c r="F1573" t="s">
        <v>152</v>
      </c>
      <c r="G1573" t="s">
        <v>353</v>
      </c>
      <c r="I1573" s="4">
        <v>60</v>
      </c>
      <c r="J1573" s="4">
        <v>60</v>
      </c>
      <c r="L1573" t="s">
        <v>264</v>
      </c>
      <c r="M1573" t="s">
        <v>1499</v>
      </c>
      <c r="N1573" s="4">
        <f>IF(L1573="","",IF(OR(Registro2[[#This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573" t="str">
        <f t="shared" si="24"/>
        <v>abr/25</v>
      </c>
      <c r="P1573" t="str">
        <f>IF(Registro2[[#This Row],[Data de Pagamento]]&gt;0,TEXT(A1573,"mmm/aa"),"")</f>
        <v>abr/25</v>
      </c>
      <c r="T1573" s="4">
        <f>IF(Registro2[[#This Row],[Data de Pagamento]]="",0,IF(Registro2[[#This Row],[Conta Financeira]]=base!$A$6,0,Registro2[[#This Row],[Valor Unitário]]))</f>
        <v>60</v>
      </c>
      <c r="U15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73" t="str">
        <f>VLOOKUP(Registro2[[#This Row],[Categoria]],'Plano de Contas'!$V$3:W1649,2,0)</f>
        <v>Receitas Serviços</v>
      </c>
      <c r="X157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74" spans="1:24" hidden="1">
      <c r="A1574" s="1">
        <v>45766.375</v>
      </c>
      <c r="B1574" s="1">
        <v>45766.375</v>
      </c>
      <c r="D1574" t="s">
        <v>310</v>
      </c>
      <c r="E1574" t="s">
        <v>149</v>
      </c>
      <c r="F1574" t="s">
        <v>147</v>
      </c>
      <c r="G1574" t="s">
        <v>1046</v>
      </c>
      <c r="I1574" s="4">
        <v>35</v>
      </c>
      <c r="J1574" s="4">
        <v>35</v>
      </c>
      <c r="L1574" t="s">
        <v>252</v>
      </c>
      <c r="M1574" t="s">
        <v>83</v>
      </c>
      <c r="N1574" s="4">
        <f>IF(L1574="","",IF(OR(Registro2[[#This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74" t="str">
        <f t="shared" si="24"/>
        <v>abr/25</v>
      </c>
      <c r="P1574" t="str">
        <f>IF(Registro2[[#This Row],[Data de Pagamento]]&gt;0,TEXT(A1574,"mmm/aa"),"")</f>
        <v>abr/25</v>
      </c>
      <c r="T1574" s="4">
        <f>IF(Registro2[[#This Row],[Data de Pagamento]]="",0,IF(Registro2[[#This Row],[Conta Financeira]]=base!$A$6,0,Registro2[[#This Row],[Valor Unitário]]))</f>
        <v>35</v>
      </c>
      <c r="U15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74" t="str">
        <f>VLOOKUP(Registro2[[#This Row],[Categoria]],'Plano de Contas'!$V$3:W1652,2,0)</f>
        <v>Receitas Serviços</v>
      </c>
      <c r="X157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575" spans="1:24" hidden="1">
      <c r="A1575" s="1">
        <v>45766.40625</v>
      </c>
      <c r="B1575" s="1">
        <v>45766.40625</v>
      </c>
      <c r="D1575" t="s">
        <v>1</v>
      </c>
      <c r="E1575" t="s">
        <v>149</v>
      </c>
      <c r="F1575" t="s">
        <v>147</v>
      </c>
      <c r="G1575" t="s">
        <v>163</v>
      </c>
      <c r="I1575" s="4">
        <v>30</v>
      </c>
      <c r="J1575" s="4">
        <v>30</v>
      </c>
      <c r="L1575" t="s">
        <v>264</v>
      </c>
      <c r="M1575" t="s">
        <v>1348</v>
      </c>
      <c r="N1575" s="4">
        <f>IF(L1575="","",IF(OR(Registro2[[#This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1575" t="str">
        <f t="shared" si="24"/>
        <v>abr/25</v>
      </c>
      <c r="P1575" t="str">
        <f>IF(Registro2[[#This Row],[Data de Pagamento]]&gt;0,TEXT(A1575,"mmm/aa"),"")</f>
        <v>abr/25</v>
      </c>
      <c r="T1575" s="4">
        <f>IF(Registro2[[#This Row],[Data de Pagamento]]="",0,IF(Registro2[[#This Row],[Conta Financeira]]=base!$A$6,0,Registro2[[#This Row],[Valor Unitário]]))</f>
        <v>30</v>
      </c>
      <c r="U15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75" t="str">
        <f>VLOOKUP(Registro2[[#This Row],[Categoria]],'Plano de Contas'!$V$3:W1646,2,0)</f>
        <v>Receitas Serviços</v>
      </c>
      <c r="X157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76" spans="1:24" hidden="1">
      <c r="A1576" s="1">
        <v>45766.416666666664</v>
      </c>
      <c r="B1576" s="1">
        <v>45766.416666666664</v>
      </c>
      <c r="D1576" t="s">
        <v>1</v>
      </c>
      <c r="E1576" t="s">
        <v>149</v>
      </c>
      <c r="F1576" t="s">
        <v>147</v>
      </c>
      <c r="G1576" t="s">
        <v>163</v>
      </c>
      <c r="I1576" s="4">
        <v>35</v>
      </c>
      <c r="J1576" s="4">
        <v>35</v>
      </c>
      <c r="L1576" t="s">
        <v>252</v>
      </c>
      <c r="M1576" t="s">
        <v>414</v>
      </c>
      <c r="N1576" s="4">
        <f>IF(L1576="","",IF(OR(Registro2[[#This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76" t="str">
        <f t="shared" si="24"/>
        <v>abr/25</v>
      </c>
      <c r="P1576" t="str">
        <f>IF(Registro2[[#This Row],[Data de Pagamento]]&gt;0,TEXT(A1576,"mmm/aa"),"")</f>
        <v>abr/25</v>
      </c>
      <c r="T1576" s="4">
        <f>IF(Registro2[[#This Row],[Data de Pagamento]]="",0,IF(Registro2[[#This Row],[Conta Financeira]]=base!$A$6,0,Registro2[[#This Row],[Valor Unitário]]))</f>
        <v>35</v>
      </c>
      <c r="U15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76" t="str">
        <f>VLOOKUP(Registro2[[#This Row],[Categoria]],'Plano de Contas'!$V$3:W1633,2,0)</f>
        <v>Receitas Serviços</v>
      </c>
      <c r="X157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77" spans="1:24" hidden="1">
      <c r="A1577" s="1">
        <v>45766.416666666664</v>
      </c>
      <c r="B1577" s="1">
        <v>45766.416666666664</v>
      </c>
      <c r="D1577" t="s">
        <v>2</v>
      </c>
      <c r="E1577" t="s">
        <v>149</v>
      </c>
      <c r="F1577" t="s">
        <v>147</v>
      </c>
      <c r="G1577" t="s">
        <v>163</v>
      </c>
      <c r="I1577" s="4">
        <v>35</v>
      </c>
      <c r="J1577" s="4">
        <v>35</v>
      </c>
      <c r="L1577" t="s">
        <v>253</v>
      </c>
      <c r="M1577" t="s">
        <v>382</v>
      </c>
      <c r="N1577" s="4">
        <f>IF(L1577="","",IF(OR(Registro2[[#This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77" t="str">
        <f t="shared" si="24"/>
        <v>abr/25</v>
      </c>
      <c r="P1577" t="str">
        <f>IF(Registro2[[#This Row],[Data de Pagamento]]&gt;0,TEXT(A1577,"mmm/aa"),"")</f>
        <v>abr/25</v>
      </c>
      <c r="T1577" s="4">
        <f>IF(Registro2[[#This Row],[Data de Pagamento]]="",0,IF(Registro2[[#This Row],[Conta Financeira]]=base!$A$6,0,Registro2[[#This Row],[Valor Unitário]]))</f>
        <v>35</v>
      </c>
      <c r="U15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77" t="str">
        <f>VLOOKUP(Registro2[[#This Row],[Categoria]],'Plano de Contas'!$V$3:W1667,2,0)</f>
        <v>Receitas Serviços</v>
      </c>
      <c r="X157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78" spans="1:24" hidden="1">
      <c r="A1578" s="1">
        <v>45766.427083333336</v>
      </c>
      <c r="B1578" s="1">
        <v>45766.427083333336</v>
      </c>
      <c r="D1578" t="s">
        <v>1</v>
      </c>
      <c r="E1578" t="s">
        <v>149</v>
      </c>
      <c r="F1578" t="s">
        <v>147</v>
      </c>
      <c r="G1578" t="s">
        <v>163</v>
      </c>
      <c r="I1578" s="4">
        <v>35</v>
      </c>
      <c r="J1578" s="4">
        <v>35</v>
      </c>
      <c r="L1578" t="s">
        <v>264</v>
      </c>
      <c r="M1578" t="s">
        <v>1457</v>
      </c>
      <c r="N1578" s="4">
        <f>IF(L1578="","",IF(OR(Registro2[[#This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78" t="str">
        <f t="shared" si="24"/>
        <v>abr/25</v>
      </c>
      <c r="P1578" t="str">
        <f>IF(Registro2[[#This Row],[Data de Pagamento]]&gt;0,TEXT(A1578,"mmm/aa"),"")</f>
        <v>abr/25</v>
      </c>
      <c r="T1578" s="4">
        <f>IF(Registro2[[#This Row],[Data de Pagamento]]="",0,IF(Registro2[[#This Row],[Conta Financeira]]=base!$A$6,0,Registro2[[#This Row],[Valor Unitário]]))</f>
        <v>35</v>
      </c>
      <c r="U15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78" t="str">
        <f>VLOOKUP(Registro2[[#This Row],[Categoria]],'Plano de Contas'!$V$3:W1650,2,0)</f>
        <v>Receitas Serviços</v>
      </c>
      <c r="X15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79" spans="1:24" hidden="1">
      <c r="A1579" s="1">
        <v>45766.434027777781</v>
      </c>
      <c r="B1579" s="1">
        <v>45766.434027777781</v>
      </c>
      <c r="D1579" t="s">
        <v>1</v>
      </c>
      <c r="E1579" t="s">
        <v>149</v>
      </c>
      <c r="F1579" t="s">
        <v>147</v>
      </c>
      <c r="G1579" t="s">
        <v>163</v>
      </c>
      <c r="I1579" s="4">
        <v>35</v>
      </c>
      <c r="J1579" s="4">
        <v>35</v>
      </c>
      <c r="L1579" t="s">
        <v>252</v>
      </c>
      <c r="M1579" t="s">
        <v>189</v>
      </c>
      <c r="N1579" s="4">
        <f>IF(L1579="","",IF(OR(Registro2[[#This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79" t="str">
        <f t="shared" si="24"/>
        <v>abr/25</v>
      </c>
      <c r="P1579" t="str">
        <f>IF(Registro2[[#This Row],[Data de Pagamento]]&gt;0,TEXT(A1579,"mmm/aa"),"")</f>
        <v>abr/25</v>
      </c>
      <c r="T1579" s="4">
        <f>IF(Registro2[[#This Row],[Data de Pagamento]]="",0,IF(Registro2[[#This Row],[Conta Financeira]]=base!$A$6,0,Registro2[[#This Row],[Valor Unitário]]))</f>
        <v>35</v>
      </c>
      <c r="U15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79" t="str">
        <f>VLOOKUP(Registro2[[#This Row],[Categoria]],'Plano de Contas'!$V$3:W1660,2,0)</f>
        <v>Receitas Serviços</v>
      </c>
      <c r="X157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80" spans="1:24" hidden="1">
      <c r="A1580" s="1">
        <v>45766.4375</v>
      </c>
      <c r="B1580" s="1">
        <v>45766.4375</v>
      </c>
      <c r="D1580" t="s">
        <v>1</v>
      </c>
      <c r="E1580" t="s">
        <v>149</v>
      </c>
      <c r="F1580" t="s">
        <v>147</v>
      </c>
      <c r="G1580" t="s">
        <v>163</v>
      </c>
      <c r="I1580" s="4">
        <v>35</v>
      </c>
      <c r="J1580" s="4">
        <v>50</v>
      </c>
      <c r="L1580" t="s">
        <v>253</v>
      </c>
      <c r="M1580" t="s">
        <v>414</v>
      </c>
      <c r="N1580" s="4">
        <f>IF(L1580="","",IF(OR(Registro2[[#This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80" t="str">
        <f t="shared" si="24"/>
        <v>abr/25</v>
      </c>
      <c r="P1580" t="str">
        <f>IF(Registro2[[#This Row],[Data de Pagamento]]&gt;0,TEXT(A1580,"mmm/aa"),"")</f>
        <v>abr/25</v>
      </c>
      <c r="T1580" s="4">
        <f>IF(Registro2[[#This Row],[Data de Pagamento]]="",0,IF(Registro2[[#This Row],[Conta Financeira]]=base!$A$6,0,Registro2[[#This Row],[Valor Unitário]]))</f>
        <v>35</v>
      </c>
      <c r="U15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80" t="str">
        <f>VLOOKUP(Registro2[[#This Row],[Categoria]],'Plano de Contas'!$V$3:W1634,2,0)</f>
        <v>Receitas Serviços</v>
      </c>
      <c r="X158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81" spans="1:24" hidden="1">
      <c r="A1581" s="1">
        <v>45766.4375</v>
      </c>
      <c r="B1581" s="1">
        <v>45766.4375</v>
      </c>
      <c r="D1581" t="s">
        <v>1</v>
      </c>
      <c r="E1581" t="s">
        <v>149</v>
      </c>
      <c r="F1581" t="s">
        <v>147</v>
      </c>
      <c r="G1581" t="s">
        <v>1046</v>
      </c>
      <c r="I1581" s="4">
        <v>15</v>
      </c>
      <c r="J1581" s="4"/>
      <c r="L1581" t="s">
        <v>253</v>
      </c>
      <c r="M1581" t="s">
        <v>414</v>
      </c>
      <c r="N1581" s="4">
        <f>IF(L1581="","",IF(OR(Registro2[[#This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581" t="str">
        <f t="shared" si="24"/>
        <v>abr/25</v>
      </c>
      <c r="P1581" t="str">
        <f>IF(Registro2[[#This Row],[Data de Pagamento]]&gt;0,TEXT(A1581,"mmm/aa"),"")</f>
        <v>abr/25</v>
      </c>
      <c r="T1581" s="4">
        <f>IF(Registro2[[#This Row],[Data de Pagamento]]="",0,IF(Registro2[[#This Row],[Conta Financeira]]=base!$A$6,0,Registro2[[#This Row],[Valor Unitário]]))</f>
        <v>15</v>
      </c>
      <c r="U15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81" t="str">
        <f>VLOOKUP(Registro2[[#This Row],[Categoria]],'Plano de Contas'!$V$3:W1635,2,0)</f>
        <v>Receitas Serviços</v>
      </c>
      <c r="X158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82" spans="1:24" hidden="1">
      <c r="A1582" s="1">
        <v>45766.458333333336</v>
      </c>
      <c r="B1582" s="1">
        <v>45766.458333333336</v>
      </c>
      <c r="D1582" t="s">
        <v>310</v>
      </c>
      <c r="E1582" t="s">
        <v>149</v>
      </c>
      <c r="F1582" t="s">
        <v>147</v>
      </c>
      <c r="G1582" t="s">
        <v>163</v>
      </c>
      <c r="I1582" s="4">
        <v>35</v>
      </c>
      <c r="J1582" s="4">
        <v>35</v>
      </c>
      <c r="L1582" t="s">
        <v>264</v>
      </c>
      <c r="M1582" t="s">
        <v>895</v>
      </c>
      <c r="N1582" s="4">
        <f>IF(L1582="","",IF(OR(Registro2[[#This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82" t="str">
        <f t="shared" si="24"/>
        <v>abr/25</v>
      </c>
      <c r="P1582" t="str">
        <f>IF(Registro2[[#This Row],[Data de Pagamento]]&gt;0,TEXT(A1582,"mmm/aa"),"")</f>
        <v>abr/25</v>
      </c>
      <c r="T1582" s="4">
        <f>IF(Registro2[[#This Row],[Data de Pagamento]]="",0,IF(Registro2[[#This Row],[Conta Financeira]]=base!$A$6,0,Registro2[[#This Row],[Valor Unitário]]))</f>
        <v>35</v>
      </c>
      <c r="U15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82" t="str">
        <f>VLOOKUP(Registro2[[#This Row],[Categoria]],'Plano de Contas'!$V$3:W1618,2,0)</f>
        <v>Receitas Serviços</v>
      </c>
      <c r="X158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583" spans="1:24" hidden="1">
      <c r="A1583" s="1">
        <v>45766.458333333336</v>
      </c>
      <c r="B1583" s="1">
        <v>45766.458333333336</v>
      </c>
      <c r="D1583" t="s">
        <v>310</v>
      </c>
      <c r="E1583" t="s">
        <v>149</v>
      </c>
      <c r="F1583" t="s">
        <v>147</v>
      </c>
      <c r="G1583" t="s">
        <v>163</v>
      </c>
      <c r="I1583" s="4">
        <v>35</v>
      </c>
      <c r="J1583" s="4">
        <v>35</v>
      </c>
      <c r="L1583" t="s">
        <v>252</v>
      </c>
      <c r="M1583" t="s">
        <v>895</v>
      </c>
      <c r="N1583" s="4">
        <f>IF(L1583="","",IF(OR(Registro2[[#This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83" t="str">
        <f t="shared" si="24"/>
        <v>abr/25</v>
      </c>
      <c r="P1583" t="str">
        <f>IF(Registro2[[#This Row],[Data de Pagamento]]&gt;0,TEXT(A1583,"mmm/aa"),"")</f>
        <v>abr/25</v>
      </c>
      <c r="T1583" s="4">
        <f>IF(Registro2[[#This Row],[Data de Pagamento]]="",0,IF(Registro2[[#This Row],[Conta Financeira]]=base!$A$6,0,Registro2[[#This Row],[Valor Unitário]]))</f>
        <v>35</v>
      </c>
      <c r="U15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83" t="str">
        <f>VLOOKUP(Registro2[[#This Row],[Categoria]],'Plano de Contas'!$V$3:W1665,2,0)</f>
        <v>Receitas Serviços</v>
      </c>
      <c r="X158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584" spans="1:24" hidden="1">
      <c r="A1584" s="1">
        <v>45766.479166666664</v>
      </c>
      <c r="B1584" s="1">
        <v>45766.479166666664</v>
      </c>
      <c r="D1584" t="s">
        <v>1</v>
      </c>
      <c r="E1584" t="s">
        <v>149</v>
      </c>
      <c r="F1584" t="s">
        <v>147</v>
      </c>
      <c r="G1584" t="s">
        <v>160</v>
      </c>
      <c r="I1584" s="4">
        <v>12</v>
      </c>
      <c r="J1584" s="4">
        <v>12</v>
      </c>
      <c r="L1584" t="s">
        <v>253</v>
      </c>
      <c r="M1584" t="s">
        <v>115</v>
      </c>
      <c r="N1584" s="4">
        <f>IF(L1584="","",IF(OR(Registro2[[#This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1584" t="str">
        <f t="shared" si="24"/>
        <v>abr/25</v>
      </c>
      <c r="P1584" t="str">
        <f>IF(Registro2[[#This Row],[Data de Pagamento]]&gt;0,TEXT(A1584,"mmm/aa"),"")</f>
        <v>abr/25</v>
      </c>
      <c r="T1584" s="4">
        <f>IF(Registro2[[#This Row],[Data de Pagamento]]="",0,IF(Registro2[[#This Row],[Conta Financeira]]=base!$A$6,0,Registro2[[#This Row],[Valor Unitário]]))</f>
        <v>12</v>
      </c>
      <c r="U15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84" t="str">
        <f>VLOOKUP(Registro2[[#This Row],[Categoria]],'Plano de Contas'!$V$3:W1655,2,0)</f>
        <v>Receitas Serviços</v>
      </c>
      <c r="X158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85" spans="1:24" hidden="1">
      <c r="A1585" s="1">
        <v>45766.479166666664</v>
      </c>
      <c r="B1585" s="1">
        <v>45766.479166666664</v>
      </c>
      <c r="D1585" t="s">
        <v>1</v>
      </c>
      <c r="E1585" t="s">
        <v>149</v>
      </c>
      <c r="F1585" t="s">
        <v>147</v>
      </c>
      <c r="G1585" t="s">
        <v>163</v>
      </c>
      <c r="I1585" s="4">
        <v>35</v>
      </c>
      <c r="J1585" s="4">
        <v>35</v>
      </c>
      <c r="L1585" t="s">
        <v>264</v>
      </c>
      <c r="M1585" t="s">
        <v>400</v>
      </c>
      <c r="N1585" s="4">
        <f>IF(L1585="","",IF(OR(Registro2[[#This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85" t="str">
        <f t="shared" si="24"/>
        <v>abr/25</v>
      </c>
      <c r="P1585" t="str">
        <f>IF(Registro2[[#This Row],[Data de Pagamento]]&gt;0,TEXT(A1585,"mmm/aa"),"")</f>
        <v>abr/25</v>
      </c>
      <c r="T1585" s="4">
        <f>IF(Registro2[[#This Row],[Data de Pagamento]]="",0,IF(Registro2[[#This Row],[Conta Financeira]]=base!$A$6,0,Registro2[[#This Row],[Valor Unitário]]))</f>
        <v>35</v>
      </c>
      <c r="U15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85" t="str">
        <f>VLOOKUP(Registro2[[#This Row],[Categoria]],'Plano de Contas'!$V$3:W1662,2,0)</f>
        <v>Receitas Serviços</v>
      </c>
      <c r="X158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86" spans="1:24" hidden="1">
      <c r="A1586" s="1">
        <v>45766.479166666664</v>
      </c>
      <c r="B1586" s="1">
        <v>45766.479166666664</v>
      </c>
      <c r="D1586" t="s">
        <v>354</v>
      </c>
      <c r="E1586" t="s">
        <v>149</v>
      </c>
      <c r="F1586" t="s">
        <v>152</v>
      </c>
      <c r="G1586" t="s">
        <v>353</v>
      </c>
      <c r="I1586" s="4">
        <v>60</v>
      </c>
      <c r="J1586" s="4">
        <v>100</v>
      </c>
      <c r="L1586" t="s">
        <v>252</v>
      </c>
      <c r="M1586" t="s">
        <v>499</v>
      </c>
      <c r="N1586" s="4">
        <f>IF(L1586="","",IF(OR(Registro2[[#This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586" t="str">
        <f t="shared" si="24"/>
        <v>abr/25</v>
      </c>
      <c r="P1586" t="str">
        <f>IF(Registro2[[#This Row],[Data de Pagamento]]&gt;0,TEXT(A1586,"mmm/aa"),"")</f>
        <v>abr/25</v>
      </c>
      <c r="T1586" s="4">
        <f>IF(Registro2[[#This Row],[Data de Pagamento]]="",0,IF(Registro2[[#This Row],[Conta Financeira]]=base!$A$6,0,Registro2[[#This Row],[Valor Unitário]]))</f>
        <v>60</v>
      </c>
      <c r="U15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86" t="str">
        <f>VLOOKUP(Registro2[[#This Row],[Categoria]],'Plano de Contas'!$V$3:W1668,2,0)</f>
        <v>Receitas Serviços</v>
      </c>
      <c r="X158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</row>
    <row r="1587" spans="1:24" hidden="1">
      <c r="A1587" s="1">
        <v>45766.479166666664</v>
      </c>
      <c r="B1587" s="1">
        <v>45766.479166666664</v>
      </c>
      <c r="D1587" t="s">
        <v>354</v>
      </c>
      <c r="E1587" t="s">
        <v>149</v>
      </c>
      <c r="F1587" t="s">
        <v>150</v>
      </c>
      <c r="G1587" t="s">
        <v>472</v>
      </c>
      <c r="I1587" s="4">
        <v>40</v>
      </c>
      <c r="J1587" s="4"/>
      <c r="L1587" t="s">
        <v>252</v>
      </c>
      <c r="M1587" t="s">
        <v>499</v>
      </c>
      <c r="N1587" s="4">
        <f>IF(L1587="","",IF(OR(Registro2[[#This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1587" t="str">
        <f t="shared" si="24"/>
        <v>abr/25</v>
      </c>
      <c r="P1587" t="str">
        <f>IF(Registro2[[#This Row],[Data de Pagamento]]&gt;0,TEXT(A1587,"mmm/aa"),"")</f>
        <v>abr/25</v>
      </c>
      <c r="T1587" s="4">
        <f>IF(Registro2[[#This Row],[Data de Pagamento]]="",0,IF(Registro2[[#This Row],[Conta Financeira]]=base!$A$6,0,Registro2[[#This Row],[Valor Unitário]]))</f>
        <v>40</v>
      </c>
      <c r="U15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87" t="str">
        <f>VLOOKUP(Registro2[[#This Row],[Categoria]],'Plano de Contas'!$V$3:W1669,2,0)</f>
        <v>Receitas Produtos</v>
      </c>
      <c r="X158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1.26</v>
      </c>
    </row>
    <row r="1588" spans="1:24" hidden="1">
      <c r="A1588" s="1">
        <v>45766.489583333336</v>
      </c>
      <c r="B1588" s="1">
        <v>45766.489583333336</v>
      </c>
      <c r="D1588" t="s">
        <v>2</v>
      </c>
      <c r="E1588" t="s">
        <v>149</v>
      </c>
      <c r="F1588" t="s">
        <v>147</v>
      </c>
      <c r="G1588" t="s">
        <v>160</v>
      </c>
      <c r="I1588" s="4">
        <v>12</v>
      </c>
      <c r="J1588" s="4">
        <v>12</v>
      </c>
      <c r="L1588" t="s">
        <v>253</v>
      </c>
      <c r="M1588" t="s">
        <v>2060</v>
      </c>
      <c r="N1588" s="4">
        <f>IF(L1588="","",IF(OR(Registro2[[#This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1588" t="str">
        <f t="shared" si="24"/>
        <v>abr/25</v>
      </c>
      <c r="P1588" t="str">
        <f>IF(Registro2[[#This Row],[Data de Pagamento]]&gt;0,TEXT(A1588,"mmm/aa"),"")</f>
        <v>abr/25</v>
      </c>
      <c r="T1588" s="4">
        <f>IF(Registro2[[#This Row],[Data de Pagamento]]="",0,IF(Registro2[[#This Row],[Conta Financeira]]=base!$A$6,0,Registro2[[#This Row],[Valor Unitário]]))</f>
        <v>12</v>
      </c>
      <c r="U15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88" t="str">
        <f>VLOOKUP(Registro2[[#This Row],[Categoria]],'Plano de Contas'!$V$3:W1661,2,0)</f>
        <v>Receitas Serviços</v>
      </c>
      <c r="X158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89" spans="1:24" hidden="1">
      <c r="A1589" s="1">
        <v>45766.489583333336</v>
      </c>
      <c r="B1589" s="1">
        <v>45766.489583333336</v>
      </c>
      <c r="D1589" t="s">
        <v>1</v>
      </c>
      <c r="E1589" t="s">
        <v>149</v>
      </c>
      <c r="F1589" t="s">
        <v>152</v>
      </c>
      <c r="G1589" t="s">
        <v>353</v>
      </c>
      <c r="I1589" s="4">
        <v>60</v>
      </c>
      <c r="J1589" s="4">
        <v>60</v>
      </c>
      <c r="L1589" t="s">
        <v>253</v>
      </c>
      <c r="M1589" t="s">
        <v>2451</v>
      </c>
      <c r="N1589" s="4">
        <f>IF(L1589="","",IF(OR(Registro2[[#This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589" t="str">
        <f t="shared" si="24"/>
        <v>abr/25</v>
      </c>
      <c r="P1589" t="str">
        <f>IF(Registro2[[#This Row],[Data de Pagamento]]&gt;0,TEXT(A1589,"mmm/aa"),"")</f>
        <v>abr/25</v>
      </c>
      <c r="T1589" s="4">
        <f>IF(Registro2[[#This Row],[Data de Pagamento]]="",0,IF(Registro2[[#This Row],[Conta Financeira]]=base!$A$6,0,Registro2[[#This Row],[Valor Unitário]]))</f>
        <v>60</v>
      </c>
      <c r="U15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89" t="str">
        <f>VLOOKUP(Registro2[[#This Row],[Categoria]],'Plano de Contas'!$V$3:W1663,2,0)</f>
        <v>Receitas Serviços</v>
      </c>
      <c r="X158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90" spans="1:24" hidden="1">
      <c r="A1590" s="1">
        <v>45766.5</v>
      </c>
      <c r="B1590" s="1">
        <v>45766.5</v>
      </c>
      <c r="D1590" t="s">
        <v>1</v>
      </c>
      <c r="E1590" t="s">
        <v>149</v>
      </c>
      <c r="F1590" t="s">
        <v>147</v>
      </c>
      <c r="G1590" t="s">
        <v>163</v>
      </c>
      <c r="I1590" s="4">
        <v>35</v>
      </c>
      <c r="J1590" s="4">
        <v>35</v>
      </c>
      <c r="L1590" t="s">
        <v>252</v>
      </c>
      <c r="M1590" t="s">
        <v>470</v>
      </c>
      <c r="N1590" s="4">
        <f>IF(L1590="","",IF(OR(Registro2[[#This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90" t="str">
        <f t="shared" si="24"/>
        <v>abr/25</v>
      </c>
      <c r="P1590" t="str">
        <f>IF(Registro2[[#This Row],[Data de Pagamento]]&gt;0,TEXT(A1590,"mmm/aa"),"")</f>
        <v>abr/25</v>
      </c>
      <c r="T1590" s="4">
        <f>IF(Registro2[[#This Row],[Data de Pagamento]]="",0,IF(Registro2[[#This Row],[Conta Financeira]]=base!$A$6,0,Registro2[[#This Row],[Valor Unitário]]))</f>
        <v>35</v>
      </c>
      <c r="U15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90" t="str">
        <f>VLOOKUP(Registro2[[#This Row],[Categoria]],'Plano de Contas'!$V$3:W1664,2,0)</f>
        <v>Receitas Serviços</v>
      </c>
      <c r="X159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91" spans="1:24" hidden="1">
      <c r="A1591" s="1">
        <v>45766.520833333336</v>
      </c>
      <c r="B1591" s="1">
        <v>45766.520833333336</v>
      </c>
      <c r="D1591" t="s">
        <v>1</v>
      </c>
      <c r="E1591" t="s">
        <v>149</v>
      </c>
      <c r="F1591" t="s">
        <v>147</v>
      </c>
      <c r="G1591" t="s">
        <v>163</v>
      </c>
      <c r="I1591" s="4">
        <v>35</v>
      </c>
      <c r="J1591" s="4">
        <v>35</v>
      </c>
      <c r="L1591" t="s">
        <v>253</v>
      </c>
      <c r="M1591" t="s">
        <v>2455</v>
      </c>
      <c r="N1591" s="4">
        <f>IF(L1591="","",IF(OR(Registro2[[#This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91" t="str">
        <f t="shared" si="24"/>
        <v>abr/25</v>
      </c>
      <c r="P1591" t="str">
        <f>IF(Registro2[[#This Row],[Data de Pagamento]]&gt;0,TEXT(A1591,"mmm/aa"),"")</f>
        <v>abr/25</v>
      </c>
      <c r="T1591" s="4">
        <f>IF(Registro2[[#This Row],[Data de Pagamento]]="",0,IF(Registro2[[#This Row],[Conta Financeira]]=base!$A$6,0,Registro2[[#This Row],[Valor Unitário]]))</f>
        <v>35</v>
      </c>
      <c r="U15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91" t="str">
        <f>VLOOKUP(Registro2[[#This Row],[Categoria]],'Plano de Contas'!$V$3:W1666,2,0)</f>
        <v>Receitas Serviços</v>
      </c>
      <c r="X159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92" spans="1:24" hidden="1">
      <c r="A1592" s="1">
        <v>45766.53125</v>
      </c>
      <c r="B1592" s="1">
        <v>45766.53125</v>
      </c>
      <c r="D1592" t="s">
        <v>2</v>
      </c>
      <c r="E1592" t="s">
        <v>149</v>
      </c>
      <c r="F1592" t="s">
        <v>147</v>
      </c>
      <c r="G1592" t="s">
        <v>163</v>
      </c>
      <c r="I1592" s="4">
        <v>35</v>
      </c>
      <c r="J1592" s="4">
        <v>35</v>
      </c>
      <c r="L1592" t="s">
        <v>252</v>
      </c>
      <c r="M1592" t="s">
        <v>22</v>
      </c>
      <c r="N1592" s="4">
        <f>IF(L1592="","",IF(OR(Registro2[[#This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92" t="str">
        <f t="shared" si="24"/>
        <v>abr/25</v>
      </c>
      <c r="P1592" t="str">
        <f>IF(Registro2[[#This Row],[Data de Pagamento]]&gt;0,TEXT(A1592,"mmm/aa"),"")</f>
        <v>abr/25</v>
      </c>
      <c r="T1592" s="4">
        <f>IF(Registro2[[#This Row],[Data de Pagamento]]="",0,IF(Registro2[[#This Row],[Conta Financeira]]=base!$A$6,0,Registro2[[#This Row],[Valor Unitário]]))</f>
        <v>35</v>
      </c>
      <c r="U15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92" t="str">
        <f>VLOOKUP(Registro2[[#This Row],[Categoria]],'Plano de Contas'!$V$3:W1636,2,0)</f>
        <v>Receitas Serviços</v>
      </c>
      <c r="X159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93" spans="1:24" hidden="1">
      <c r="A1593" s="1">
        <v>45766.5625</v>
      </c>
      <c r="B1593" s="1">
        <v>45766.5625</v>
      </c>
      <c r="D1593" t="s">
        <v>1</v>
      </c>
      <c r="E1593" t="s">
        <v>149</v>
      </c>
      <c r="F1593" t="s">
        <v>147</v>
      </c>
      <c r="G1593" t="s">
        <v>163</v>
      </c>
      <c r="I1593" s="4">
        <v>35</v>
      </c>
      <c r="J1593" s="4">
        <v>45</v>
      </c>
      <c r="L1593" t="s">
        <v>253</v>
      </c>
      <c r="M1593" t="s">
        <v>282</v>
      </c>
      <c r="N1593" s="4">
        <f>IF(L1593="","",IF(OR(Registro2[[#This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93" t="str">
        <f t="shared" si="24"/>
        <v>abr/25</v>
      </c>
      <c r="P1593" t="str">
        <f>IF(Registro2[[#This Row],[Data de Pagamento]]&gt;0,TEXT(A1593,"mmm/aa"),"")</f>
        <v>abr/25</v>
      </c>
      <c r="T1593" s="4">
        <f>IF(Registro2[[#This Row],[Data de Pagamento]]="",0,IF(Registro2[[#This Row],[Conta Financeira]]=base!$A$6,0,Registro2[[#This Row],[Valor Unitário]]))</f>
        <v>35</v>
      </c>
      <c r="U15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93" t="str">
        <f>VLOOKUP(Registro2[[#This Row],[Categoria]],'Plano de Contas'!$V$3:W1657,2,0)</f>
        <v>Receitas Serviços</v>
      </c>
      <c r="X159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94" spans="1:24" hidden="1">
      <c r="A1594" s="1">
        <v>45766.5625</v>
      </c>
      <c r="B1594" s="1">
        <v>45766.5625</v>
      </c>
      <c r="D1594" t="s">
        <v>1</v>
      </c>
      <c r="E1594" t="s">
        <v>149</v>
      </c>
      <c r="F1594" t="s">
        <v>147</v>
      </c>
      <c r="G1594" t="s">
        <v>167</v>
      </c>
      <c r="I1594" s="4">
        <v>10</v>
      </c>
      <c r="J1594" s="4"/>
      <c r="L1594" t="s">
        <v>253</v>
      </c>
      <c r="M1594" t="s">
        <v>282</v>
      </c>
      <c r="N1594" s="4">
        <f>IF(L1594="","",IF(OR(Registro2[[#This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594" t="str">
        <f t="shared" si="24"/>
        <v>abr/25</v>
      </c>
      <c r="P1594" t="str">
        <f>IF(Registro2[[#This Row],[Data de Pagamento]]&gt;0,TEXT(A1594,"mmm/aa"),"")</f>
        <v>abr/25</v>
      </c>
      <c r="T1594" s="4">
        <f>IF(Registro2[[#This Row],[Data de Pagamento]]="",0,IF(Registro2[[#This Row],[Conta Financeira]]=base!$A$6,0,Registro2[[#This Row],[Valor Unitário]]))</f>
        <v>10</v>
      </c>
      <c r="U15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94" t="str">
        <f>VLOOKUP(Registro2[[#This Row],[Categoria]],'Plano de Contas'!$V$3:W1658,2,0)</f>
        <v>Receitas Serviços</v>
      </c>
      <c r="X159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95" spans="1:24" hidden="1">
      <c r="A1595" s="1">
        <v>45766.583333333336</v>
      </c>
      <c r="B1595" s="1">
        <v>45766.583333333336</v>
      </c>
      <c r="D1595" t="s">
        <v>1</v>
      </c>
      <c r="E1595" t="s">
        <v>149</v>
      </c>
      <c r="F1595" t="s">
        <v>147</v>
      </c>
      <c r="G1595" t="s">
        <v>163</v>
      </c>
      <c r="I1595" s="4">
        <v>35</v>
      </c>
      <c r="J1595" s="4">
        <v>35</v>
      </c>
      <c r="L1595" t="s">
        <v>253</v>
      </c>
      <c r="M1595" t="s">
        <v>87</v>
      </c>
      <c r="N1595" s="4">
        <f>IF(L1595="","",IF(OR(Registro2[[#This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95" t="str">
        <f t="shared" si="24"/>
        <v>abr/25</v>
      </c>
      <c r="P1595" t="str">
        <f>IF(Registro2[[#This Row],[Data de Pagamento]]&gt;0,TEXT(A1595,"mmm/aa"),"")</f>
        <v>abr/25</v>
      </c>
      <c r="T1595" s="4">
        <f>IF(Registro2[[#This Row],[Data de Pagamento]]="",0,IF(Registro2[[#This Row],[Conta Financeira]]=base!$A$6,0,Registro2[[#This Row],[Valor Unitário]]))</f>
        <v>35</v>
      </c>
      <c r="U15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95" t="str">
        <f>VLOOKUP(Registro2[[#This Row],[Categoria]],'Plano de Contas'!$V$3:W1659,2,0)</f>
        <v>Receitas Serviços</v>
      </c>
      <c r="X159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96" spans="1:24" hidden="1">
      <c r="A1596" s="1">
        <v>45766.600694444445</v>
      </c>
      <c r="B1596" s="1">
        <v>45766.600694444445</v>
      </c>
      <c r="D1596" t="s">
        <v>1</v>
      </c>
      <c r="E1596" t="s">
        <v>149</v>
      </c>
      <c r="F1596" t="s">
        <v>152</v>
      </c>
      <c r="G1596" t="s">
        <v>353</v>
      </c>
      <c r="I1596" s="4">
        <v>60</v>
      </c>
      <c r="J1596" s="4">
        <v>60</v>
      </c>
      <c r="L1596" t="s">
        <v>253</v>
      </c>
      <c r="M1596" t="s">
        <v>2459</v>
      </c>
      <c r="N1596" s="4">
        <f>IF(L1596="","",IF(OR(Registro2[[#This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596" t="str">
        <f t="shared" si="24"/>
        <v>abr/25</v>
      </c>
      <c r="P1596" t="str">
        <f>IF(Registro2[[#This Row],[Data de Pagamento]]&gt;0,TEXT(A1596,"mmm/aa"),"")</f>
        <v>abr/25</v>
      </c>
      <c r="T1596" s="4">
        <f>IF(Registro2[[#This Row],[Data de Pagamento]]="",0,IF(Registro2[[#This Row],[Conta Financeira]]=base!$A$6,0,Registro2[[#This Row],[Valor Unitário]]))</f>
        <v>60</v>
      </c>
      <c r="U15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96" t="str">
        <f>VLOOKUP(Registro2[[#This Row],[Categoria]],'Plano de Contas'!$V$3:W1670,2,0)</f>
        <v>Receitas Serviços</v>
      </c>
      <c r="X159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97" spans="1:24" hidden="1">
      <c r="A1597" s="1">
        <v>45766.600694444445</v>
      </c>
      <c r="B1597" s="1">
        <v>45766.600694444445</v>
      </c>
      <c r="D1597" t="s">
        <v>2</v>
      </c>
      <c r="E1597" t="s">
        <v>149</v>
      </c>
      <c r="F1597" t="s">
        <v>147</v>
      </c>
      <c r="G1597" t="s">
        <v>163</v>
      </c>
      <c r="I1597" s="4">
        <v>20</v>
      </c>
      <c r="J1597" s="4">
        <v>20</v>
      </c>
      <c r="L1597" t="s">
        <v>264</v>
      </c>
      <c r="M1597" t="s">
        <v>409</v>
      </c>
      <c r="N1597" s="4">
        <f>IF(L1597="","",IF(OR(Registro2[[#This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597" t="str">
        <f t="shared" si="24"/>
        <v>abr/25</v>
      </c>
      <c r="P1597" t="str">
        <f>IF(Registro2[[#This Row],[Data de Pagamento]]&gt;0,TEXT(A1597,"mmm/aa"),"")</f>
        <v>abr/25</v>
      </c>
      <c r="T1597" s="4">
        <f>IF(Registro2[[#This Row],[Data de Pagamento]]="",0,IF(Registro2[[#This Row],[Conta Financeira]]=base!$A$6,0,Registro2[[#This Row],[Valor Unitário]]))</f>
        <v>20</v>
      </c>
      <c r="U15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97" t="str">
        <f>VLOOKUP(Registro2[[#This Row],[Categoria]],'Plano de Contas'!$V$3:W1671,2,0)</f>
        <v>Receitas Serviços</v>
      </c>
      <c r="X159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98" spans="1:24" hidden="1">
      <c r="A1598" s="1">
        <v>45766.604166666664</v>
      </c>
      <c r="B1598" s="1">
        <v>45766.604166666664</v>
      </c>
      <c r="D1598" t="s">
        <v>1</v>
      </c>
      <c r="E1598" t="s">
        <v>149</v>
      </c>
      <c r="F1598" t="s">
        <v>147</v>
      </c>
      <c r="G1598" t="s">
        <v>163</v>
      </c>
      <c r="I1598" s="4">
        <v>35</v>
      </c>
      <c r="J1598" s="4">
        <v>45</v>
      </c>
      <c r="L1598" t="s">
        <v>253</v>
      </c>
      <c r="M1598" t="s">
        <v>14</v>
      </c>
      <c r="N1598" s="4">
        <f>IF(L1598="","",IF(OR(Registro2[[#This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598" t="str">
        <f t="shared" si="24"/>
        <v>abr/25</v>
      </c>
      <c r="P1598" t="str">
        <f>IF(Registro2[[#This Row],[Data de Pagamento]]&gt;0,TEXT(A1598,"mmm/aa"),"")</f>
        <v>abr/25</v>
      </c>
      <c r="T1598" s="4">
        <f>IF(Registro2[[#This Row],[Data de Pagamento]]="",0,IF(Registro2[[#This Row],[Conta Financeira]]=base!$A$6,0,Registro2[[#This Row],[Valor Unitário]]))</f>
        <v>35</v>
      </c>
      <c r="U15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98" t="str">
        <f>VLOOKUP(Registro2[[#This Row],[Categoria]],'Plano de Contas'!$V$3:W1653,2,0)</f>
        <v>Receitas Serviços</v>
      </c>
      <c r="X159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599" spans="1:24" hidden="1">
      <c r="A1599" s="1">
        <v>45766.604166666664</v>
      </c>
      <c r="B1599" s="1">
        <v>45766.604166666664</v>
      </c>
      <c r="D1599" t="s">
        <v>1</v>
      </c>
      <c r="E1599" t="s">
        <v>149</v>
      </c>
      <c r="F1599" t="s">
        <v>147</v>
      </c>
      <c r="G1599" t="s">
        <v>167</v>
      </c>
      <c r="I1599" s="4">
        <v>10</v>
      </c>
      <c r="J1599" s="4"/>
      <c r="L1599" t="s">
        <v>253</v>
      </c>
      <c r="M1599" t="s">
        <v>14</v>
      </c>
      <c r="N1599" s="4">
        <f>IF(L1599="","",IF(OR(Registro2[[#This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599" t="str">
        <f t="shared" si="24"/>
        <v>abr/25</v>
      </c>
      <c r="P1599" t="str">
        <f>IF(Registro2[[#This Row],[Data de Pagamento]]&gt;0,TEXT(A1599,"mmm/aa"),"")</f>
        <v>abr/25</v>
      </c>
      <c r="T1599" s="4">
        <f>IF(Registro2[[#This Row],[Data de Pagamento]]="",0,IF(Registro2[[#This Row],[Conta Financeira]]=base!$A$6,0,Registro2[[#This Row],[Valor Unitário]]))</f>
        <v>10</v>
      </c>
      <c r="U15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599" t="str">
        <f>VLOOKUP(Registro2[[#This Row],[Categoria]],'Plano de Contas'!$V$3:W1654,2,0)</f>
        <v>Receitas Serviços</v>
      </c>
      <c r="X159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00" spans="1:24" hidden="1">
      <c r="A1600" s="1">
        <v>45766.625</v>
      </c>
      <c r="B1600" s="1">
        <v>45766.625</v>
      </c>
      <c r="D1600" t="s">
        <v>1</v>
      </c>
      <c r="E1600" t="s">
        <v>149</v>
      </c>
      <c r="F1600" t="s">
        <v>147</v>
      </c>
      <c r="G1600" t="s">
        <v>163</v>
      </c>
      <c r="I1600" s="4">
        <v>35</v>
      </c>
      <c r="J1600" s="4">
        <v>65</v>
      </c>
      <c r="L1600" t="s">
        <v>252</v>
      </c>
      <c r="M1600" t="s">
        <v>79</v>
      </c>
      <c r="N1600" s="4">
        <f>IF(L1600="","",IF(OR(Registro2[[#This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00" t="str">
        <f t="shared" si="24"/>
        <v>abr/25</v>
      </c>
      <c r="P1600" t="str">
        <f>IF(Registro2[[#This Row],[Data de Pagamento]]&gt;0,TEXT(A1600,"mmm/aa"),"")</f>
        <v>abr/25</v>
      </c>
      <c r="T1600" s="4">
        <f>IF(Registro2[[#This Row],[Data de Pagamento]]="",0,IF(Registro2[[#This Row],[Conta Financeira]]=base!$A$6,0,Registro2[[#This Row],[Valor Unitário]]))</f>
        <v>35</v>
      </c>
      <c r="U16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00" t="str">
        <f>VLOOKUP(Registro2[[#This Row],[Categoria]],'Plano de Contas'!$V$3:W1641,2,0)</f>
        <v>Receitas Serviços</v>
      </c>
      <c r="X160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01" spans="1:24" hidden="1">
      <c r="A1601" s="1">
        <v>45766.625</v>
      </c>
      <c r="B1601" s="1">
        <v>45766.625</v>
      </c>
      <c r="D1601" t="s">
        <v>1</v>
      </c>
      <c r="E1601" t="s">
        <v>149</v>
      </c>
      <c r="F1601" t="s">
        <v>147</v>
      </c>
      <c r="G1601" t="s">
        <v>166</v>
      </c>
      <c r="I1601" s="4">
        <v>20</v>
      </c>
      <c r="J1601" s="4"/>
      <c r="L1601" t="s">
        <v>252</v>
      </c>
      <c r="M1601" t="s">
        <v>79</v>
      </c>
      <c r="N1601" s="4">
        <f>IF(L1601="","",IF(OR(Registro2[[#This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601" t="str">
        <f t="shared" si="24"/>
        <v>abr/25</v>
      </c>
      <c r="P1601" t="str">
        <f>IF(Registro2[[#This Row],[Data de Pagamento]]&gt;0,TEXT(A1601,"mmm/aa"),"")</f>
        <v>abr/25</v>
      </c>
      <c r="T1601" s="4">
        <f>IF(Registro2[[#This Row],[Data de Pagamento]]="",0,IF(Registro2[[#This Row],[Conta Financeira]]=base!$A$6,0,Registro2[[#This Row],[Valor Unitário]]))</f>
        <v>20</v>
      </c>
      <c r="U16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01" t="str">
        <f>VLOOKUP(Registro2[[#This Row],[Categoria]],'Plano de Contas'!$V$3:W1642,2,0)</f>
        <v>Receitas Serviços</v>
      </c>
      <c r="X160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02" spans="1:24" hidden="1">
      <c r="A1602" s="1">
        <v>45766.625</v>
      </c>
      <c r="B1602" s="1">
        <v>45766.625</v>
      </c>
      <c r="D1602" t="s">
        <v>1</v>
      </c>
      <c r="E1602" t="s">
        <v>149</v>
      </c>
      <c r="F1602" t="s">
        <v>147</v>
      </c>
      <c r="G1602" t="s">
        <v>160</v>
      </c>
      <c r="I1602" s="4">
        <v>10</v>
      </c>
      <c r="J1602" s="4"/>
      <c r="L1602" t="s">
        <v>252</v>
      </c>
      <c r="M1602" t="s">
        <v>79</v>
      </c>
      <c r="N1602" s="4">
        <f>IF(L1602="","",IF(OR(Registro2[[#This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602" t="str">
        <f t="shared" ref="O1602:O1665" si="25">TEXT(B1602,"mmm/aa")</f>
        <v>abr/25</v>
      </c>
      <c r="P1602" t="str">
        <f>IF(Registro2[[#This Row],[Data de Pagamento]]&gt;0,TEXT(A1602,"mmm/aa"),"")</f>
        <v>abr/25</v>
      </c>
      <c r="T1602" s="4">
        <f>IF(Registro2[[#This Row],[Data de Pagamento]]="",0,IF(Registro2[[#This Row],[Conta Financeira]]=base!$A$6,0,Registro2[[#This Row],[Valor Unitário]]))</f>
        <v>10</v>
      </c>
      <c r="U16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02" t="str">
        <f>VLOOKUP(Registro2[[#This Row],[Categoria]],'Plano de Contas'!$V$3:W1643,2,0)</f>
        <v>Receitas Serviços</v>
      </c>
      <c r="X160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03" spans="1:24" hidden="1">
      <c r="A1603" s="1">
        <v>45766.638888888891</v>
      </c>
      <c r="B1603" s="1">
        <v>45766.638888888891</v>
      </c>
      <c r="D1603" t="s">
        <v>1</v>
      </c>
      <c r="E1603" t="s">
        <v>149</v>
      </c>
      <c r="F1603" t="s">
        <v>147</v>
      </c>
      <c r="G1603" t="s">
        <v>163</v>
      </c>
      <c r="I1603" s="4">
        <v>35</v>
      </c>
      <c r="J1603" s="4">
        <v>40</v>
      </c>
      <c r="L1603" t="s">
        <v>264</v>
      </c>
      <c r="M1603" t="s">
        <v>2462</v>
      </c>
      <c r="N1603" s="4">
        <f>IF(L1603="","",IF(OR(Registro2[[#This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03" t="str">
        <f t="shared" si="25"/>
        <v>abr/25</v>
      </c>
      <c r="P1603" t="str">
        <f>IF(Registro2[[#This Row],[Data de Pagamento]]&gt;0,TEXT(A1603,"mmm/aa"),"")</f>
        <v>abr/25</v>
      </c>
      <c r="T1603" s="4">
        <f>IF(Registro2[[#This Row],[Data de Pagamento]]="",0,IF(Registro2[[#This Row],[Conta Financeira]]=base!$A$6,0,Registro2[[#This Row],[Valor Unitário]]))</f>
        <v>35</v>
      </c>
      <c r="U16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03" t="str">
        <f>VLOOKUP(Registro2[[#This Row],[Categoria]],'Plano de Contas'!$V$3:W1672,2,0)</f>
        <v>Receitas Serviços</v>
      </c>
      <c r="X16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04" spans="1:24" hidden="1">
      <c r="A1604" s="1">
        <v>45766.638888888891</v>
      </c>
      <c r="B1604" s="1">
        <v>45766.638888888891</v>
      </c>
      <c r="D1604" t="s">
        <v>1</v>
      </c>
      <c r="E1604" t="s">
        <v>149</v>
      </c>
      <c r="F1604" t="s">
        <v>910</v>
      </c>
      <c r="G1604" t="s">
        <v>910</v>
      </c>
      <c r="I1604" s="4">
        <v>5</v>
      </c>
      <c r="J1604" s="4"/>
      <c r="L1604" t="s">
        <v>264</v>
      </c>
      <c r="M1604" t="s">
        <v>2462</v>
      </c>
      <c r="N1604" s="4" t="str">
        <f>IF(L1604="","",IF(OR(Registro2[[#This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604" t="str">
        <f t="shared" si="25"/>
        <v>abr/25</v>
      </c>
      <c r="P1604" t="str">
        <f>IF(Registro2[[#This Row],[Data de Pagamento]]&gt;0,TEXT(A1604,"mmm/aa"),"")</f>
        <v>abr/25</v>
      </c>
      <c r="T1604" s="4">
        <f>IF(Registro2[[#This Row],[Data de Pagamento]]="",0,IF(Registro2[[#This Row],[Conta Financeira]]=base!$A$6,0,Registro2[[#This Row],[Valor Unitário]]))</f>
        <v>5</v>
      </c>
      <c r="U16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04" t="str">
        <f>VLOOKUP(Registro2[[#This Row],[Categoria]],'Plano de Contas'!$V$3:W1673,2,0)</f>
        <v>Outras Receitas</v>
      </c>
      <c r="X16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05" spans="1:24" hidden="1">
      <c r="A1605" s="1">
        <v>45766.638888888891</v>
      </c>
      <c r="B1605" s="1">
        <v>45766.638888888891</v>
      </c>
      <c r="D1605" t="s">
        <v>1</v>
      </c>
      <c r="E1605" t="s">
        <v>149</v>
      </c>
      <c r="F1605" t="s">
        <v>152</v>
      </c>
      <c r="G1605" t="s">
        <v>353</v>
      </c>
      <c r="I1605" s="4">
        <v>60</v>
      </c>
      <c r="J1605" s="4">
        <v>60</v>
      </c>
      <c r="L1605" t="s">
        <v>264</v>
      </c>
      <c r="M1605" t="s">
        <v>1184</v>
      </c>
      <c r="N1605" s="4">
        <f>IF(L1605="","",IF(OR(Registro2[[#This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605" t="str">
        <f t="shared" si="25"/>
        <v>abr/25</v>
      </c>
      <c r="P1605" t="str">
        <f>IF(Registro2[[#This Row],[Data de Pagamento]]&gt;0,TEXT(A1605,"mmm/aa"),"")</f>
        <v>abr/25</v>
      </c>
      <c r="T1605" s="4">
        <f>IF(Registro2[[#This Row],[Data de Pagamento]]="",0,IF(Registro2[[#This Row],[Conta Financeira]]=base!$A$6,0,Registro2[[#This Row],[Valor Unitário]]))</f>
        <v>60</v>
      </c>
      <c r="U16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05" t="str">
        <f>VLOOKUP(Registro2[[#This Row],[Categoria]],'Plano de Contas'!$V$3:W1674,2,0)</f>
        <v>Receitas Serviços</v>
      </c>
      <c r="X16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06" spans="1:24" hidden="1">
      <c r="A1606" s="1">
        <v>45766.673611111109</v>
      </c>
      <c r="B1606" s="1">
        <v>45766.673611111109</v>
      </c>
      <c r="D1606" t="s">
        <v>1</v>
      </c>
      <c r="E1606" t="s">
        <v>149</v>
      </c>
      <c r="F1606" t="s">
        <v>147</v>
      </c>
      <c r="G1606" t="s">
        <v>163</v>
      </c>
      <c r="I1606" s="4">
        <v>35</v>
      </c>
      <c r="J1606" s="4">
        <v>35</v>
      </c>
      <c r="L1606" t="s">
        <v>253</v>
      </c>
      <c r="M1606" t="s">
        <v>59</v>
      </c>
      <c r="N1606" s="4">
        <f>IF(L1606="","",IF(OR(Registro2[[#This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06" t="str">
        <f t="shared" si="25"/>
        <v>abr/25</v>
      </c>
      <c r="P1606" t="str">
        <f>IF(Registro2[[#This Row],[Data de Pagamento]]&gt;0,TEXT(A1606,"mmm/aa"),"")</f>
        <v>abr/25</v>
      </c>
      <c r="T1606" s="4">
        <f>IF(Registro2[[#This Row],[Data de Pagamento]]="",0,IF(Registro2[[#This Row],[Conta Financeira]]=base!$A$6,0,Registro2[[#This Row],[Valor Unitário]]))</f>
        <v>35</v>
      </c>
      <c r="U16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06" t="str">
        <f>VLOOKUP(Registro2[[#This Row],[Categoria]],'Plano de Contas'!$V$3:W1675,2,0)</f>
        <v>Receitas Serviços</v>
      </c>
      <c r="X160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07" spans="1:24" hidden="1">
      <c r="A1607" s="1">
        <v>45766.711805555555</v>
      </c>
      <c r="B1607" s="1">
        <v>45766.711805555555</v>
      </c>
      <c r="D1607" t="s">
        <v>1</v>
      </c>
      <c r="E1607" t="s">
        <v>149</v>
      </c>
      <c r="F1607" t="s">
        <v>147</v>
      </c>
      <c r="G1607" t="s">
        <v>163</v>
      </c>
      <c r="I1607" s="4">
        <v>35</v>
      </c>
      <c r="J1607" s="4">
        <v>35</v>
      </c>
      <c r="L1607" t="s">
        <v>252</v>
      </c>
      <c r="M1607" t="s">
        <v>296</v>
      </c>
      <c r="N1607" s="4">
        <f>IF(L1607="","",IF(OR(Registro2[[#This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07" t="str">
        <f t="shared" si="25"/>
        <v>abr/25</v>
      </c>
      <c r="P1607" t="str">
        <f>IF(Registro2[[#This Row],[Data de Pagamento]]&gt;0,TEXT(A1607,"mmm/aa"),"")</f>
        <v>abr/25</v>
      </c>
      <c r="T1607" s="4">
        <f>IF(Registro2[[#This Row],[Data de Pagamento]]="",0,IF(Registro2[[#This Row],[Conta Financeira]]=base!$A$6,0,Registro2[[#This Row],[Valor Unitário]]))</f>
        <v>35</v>
      </c>
      <c r="U16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07" t="str">
        <f>VLOOKUP(Registro2[[#This Row],[Categoria]],'Plano de Contas'!$V$3:W1677,2,0)</f>
        <v>Receitas Serviços</v>
      </c>
      <c r="X160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08" spans="1:24" hidden="1">
      <c r="A1608" s="1">
        <v>45766.739583333336</v>
      </c>
      <c r="B1608" s="1">
        <v>45766.739583333336</v>
      </c>
      <c r="D1608" t="s">
        <v>310</v>
      </c>
      <c r="E1608" t="s">
        <v>149</v>
      </c>
      <c r="F1608" t="s">
        <v>147</v>
      </c>
      <c r="G1608" t="s">
        <v>163</v>
      </c>
      <c r="I1608" s="4">
        <v>35</v>
      </c>
      <c r="J1608" s="4">
        <v>35</v>
      </c>
      <c r="L1608" t="s">
        <v>252</v>
      </c>
      <c r="M1608" t="s">
        <v>376</v>
      </c>
      <c r="N1608" s="4">
        <f>IF(L1608="","",IF(OR(Registro2[[#This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08" t="str">
        <f t="shared" si="25"/>
        <v>abr/25</v>
      </c>
      <c r="P1608" t="str">
        <f>IF(Registro2[[#This Row],[Data de Pagamento]]&gt;0,TEXT(A1608,"mmm/aa"),"")</f>
        <v>abr/25</v>
      </c>
      <c r="T1608" s="4">
        <f>IF(Registro2[[#This Row],[Data de Pagamento]]="",0,IF(Registro2[[#This Row],[Conta Financeira]]=base!$A$6,0,Registro2[[#This Row],[Valor Unitário]]))</f>
        <v>35</v>
      </c>
      <c r="U16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08" t="str">
        <f>VLOOKUP(Registro2[[#This Row],[Categoria]],'Plano de Contas'!$V$3:W1623,2,0)</f>
        <v>Receitas Serviços</v>
      </c>
      <c r="X160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609" spans="1:24" hidden="1">
      <c r="A1609" s="1">
        <v>45766.75</v>
      </c>
      <c r="B1609" s="1">
        <v>45766.75</v>
      </c>
      <c r="D1609" t="s">
        <v>354</v>
      </c>
      <c r="E1609" t="s">
        <v>149</v>
      </c>
      <c r="F1609" t="s">
        <v>152</v>
      </c>
      <c r="G1609" t="s">
        <v>353</v>
      </c>
      <c r="I1609" s="4">
        <v>60</v>
      </c>
      <c r="J1609" s="4">
        <v>60</v>
      </c>
      <c r="L1609" t="s">
        <v>253</v>
      </c>
      <c r="M1609" t="s">
        <v>1405</v>
      </c>
      <c r="N1609" s="4">
        <f>IF(L1609="","",IF(OR(Registro2[[#This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609" t="str">
        <f t="shared" si="25"/>
        <v>abr/25</v>
      </c>
      <c r="P1609" t="str">
        <f>IF(Registro2[[#This Row],[Data de Pagamento]]&gt;0,TEXT(A1609,"mmm/aa"),"")</f>
        <v>abr/25</v>
      </c>
      <c r="T1609" s="4">
        <f>IF(Registro2[[#This Row],[Data de Pagamento]]="",0,IF(Registro2[[#This Row],[Conta Financeira]]=base!$A$6,0,Registro2[[#This Row],[Valor Unitário]]))</f>
        <v>60</v>
      </c>
      <c r="U16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09" t="str">
        <f>VLOOKUP(Registro2[[#This Row],[Categoria]],'Plano de Contas'!$V$3:W1656,2,0)</f>
        <v>Receitas Serviços</v>
      </c>
      <c r="X160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</row>
    <row r="1610" spans="1:24" hidden="1">
      <c r="A1610" s="1">
        <v>45766.75</v>
      </c>
      <c r="B1610" s="1">
        <v>45766.75</v>
      </c>
      <c r="D1610" t="s">
        <v>1</v>
      </c>
      <c r="E1610" t="s">
        <v>149</v>
      </c>
      <c r="F1610" t="s">
        <v>152</v>
      </c>
      <c r="G1610" t="s">
        <v>353</v>
      </c>
      <c r="I1610" s="4">
        <v>60</v>
      </c>
      <c r="J1610" s="4">
        <v>60</v>
      </c>
      <c r="L1610" t="s">
        <v>252</v>
      </c>
      <c r="M1610" t="s">
        <v>1167</v>
      </c>
      <c r="N1610" s="4">
        <f>IF(L1610="","",IF(OR(Registro2[[#This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610" t="str">
        <f t="shared" si="25"/>
        <v>abr/25</v>
      </c>
      <c r="P1610" t="str">
        <f>IF(Registro2[[#This Row],[Data de Pagamento]]&gt;0,TEXT(A1610,"mmm/aa"),"")</f>
        <v>abr/25</v>
      </c>
      <c r="T1610" s="4">
        <f>IF(Registro2[[#This Row],[Data de Pagamento]]="",0,IF(Registro2[[#This Row],[Conta Financeira]]=base!$A$6,0,Registro2[[#This Row],[Valor Unitário]]))</f>
        <v>60</v>
      </c>
      <c r="U16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10" t="str">
        <f>VLOOKUP(Registro2[[#This Row],[Categoria]],'Plano de Contas'!$V$3:W1678,2,0)</f>
        <v>Receitas Serviços</v>
      </c>
      <c r="X161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11" spans="1:24" hidden="1">
      <c r="A1611" s="1">
        <v>45766.756944444445</v>
      </c>
      <c r="B1611" s="1">
        <v>45766.756944444445</v>
      </c>
      <c r="D1611" t="s">
        <v>1</v>
      </c>
      <c r="E1611" t="s">
        <v>149</v>
      </c>
      <c r="F1611" t="s">
        <v>152</v>
      </c>
      <c r="G1611" t="s">
        <v>353</v>
      </c>
      <c r="I1611" s="4">
        <v>50</v>
      </c>
      <c r="J1611" s="4">
        <v>75</v>
      </c>
      <c r="L1611" t="s">
        <v>253</v>
      </c>
      <c r="M1611" t="s">
        <v>28</v>
      </c>
      <c r="N1611" s="4">
        <f>IF(L1611="","",IF(OR(Registro2[[#This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611" t="str">
        <f t="shared" si="25"/>
        <v>abr/25</v>
      </c>
      <c r="P1611" t="str">
        <f>IF(Registro2[[#This Row],[Data de Pagamento]]&gt;0,TEXT(A1611,"mmm/aa"),"")</f>
        <v>abr/25</v>
      </c>
      <c r="T1611" s="4">
        <f>IF(Registro2[[#This Row],[Data de Pagamento]]="",0,IF(Registro2[[#This Row],[Conta Financeira]]=base!$A$6,0,Registro2[[#This Row],[Valor Unitário]]))</f>
        <v>50</v>
      </c>
      <c r="U16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11" t="str">
        <f>VLOOKUP(Registro2[[#This Row],[Categoria]],'Plano de Contas'!$V$3:W1680,2,0)</f>
        <v>Receitas Serviços</v>
      </c>
      <c r="X16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12" spans="1:24" hidden="1">
      <c r="A1612" s="1">
        <v>45766.756944444445</v>
      </c>
      <c r="B1612" s="1">
        <v>45766.756944444445</v>
      </c>
      <c r="D1612" t="s">
        <v>1</v>
      </c>
      <c r="E1612" t="s">
        <v>149</v>
      </c>
      <c r="F1612" t="s">
        <v>150</v>
      </c>
      <c r="G1612" t="s">
        <v>509</v>
      </c>
      <c r="I1612" s="4">
        <v>25</v>
      </c>
      <c r="J1612" s="4"/>
      <c r="L1612" t="s">
        <v>253</v>
      </c>
      <c r="M1612" t="s">
        <v>28</v>
      </c>
      <c r="N1612" s="4">
        <f>IF(L1612="","",IF(OR(Registro2[[#This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612" t="str">
        <f t="shared" si="25"/>
        <v>abr/25</v>
      </c>
      <c r="P1612" t="str">
        <f>IF(Registro2[[#This Row],[Data de Pagamento]]&gt;0,TEXT(A1612,"mmm/aa"),"")</f>
        <v>abr/25</v>
      </c>
      <c r="T1612" s="4">
        <f>IF(Registro2[[#This Row],[Data de Pagamento]]="",0,IF(Registro2[[#This Row],[Conta Financeira]]=base!$A$6,0,Registro2[[#This Row],[Valor Unitário]]))</f>
        <v>25</v>
      </c>
      <c r="U16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12" t="str">
        <f>VLOOKUP(Registro2[[#This Row],[Categoria]],'Plano de Contas'!$V$3:W1681,2,0)</f>
        <v>Receitas Produtos</v>
      </c>
      <c r="X161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13" spans="1:24" hidden="1">
      <c r="A1613" s="1">
        <v>45766.78125</v>
      </c>
      <c r="B1613" s="1">
        <v>45766.78125</v>
      </c>
      <c r="D1613" t="s">
        <v>2</v>
      </c>
      <c r="E1613" t="s">
        <v>149</v>
      </c>
      <c r="F1613" t="s">
        <v>147</v>
      </c>
      <c r="G1613" t="s">
        <v>163</v>
      </c>
      <c r="I1613" s="4">
        <v>35</v>
      </c>
      <c r="J1613" s="4">
        <v>35</v>
      </c>
      <c r="L1613" t="s">
        <v>252</v>
      </c>
      <c r="M1613" t="s">
        <v>95</v>
      </c>
      <c r="N1613" s="4">
        <f>IF(L1613="","",IF(OR(Registro2[[#This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13" t="str">
        <f t="shared" si="25"/>
        <v>abr/25</v>
      </c>
      <c r="P1613" t="str">
        <f>IF(Registro2[[#This Row],[Data de Pagamento]]&gt;0,TEXT(A1613,"mmm/aa"),"")</f>
        <v>abr/25</v>
      </c>
      <c r="T1613" s="4">
        <f>IF(Registro2[[#This Row],[Data de Pagamento]]="",0,IF(Registro2[[#This Row],[Conta Financeira]]=base!$A$6,0,Registro2[[#This Row],[Valor Unitário]]))</f>
        <v>35</v>
      </c>
      <c r="U16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13" t="str">
        <f>VLOOKUP(Registro2[[#This Row],[Categoria]],'Plano de Contas'!$V$3:W1679,2,0)</f>
        <v>Receitas Serviços</v>
      </c>
      <c r="X161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14" spans="1:24" hidden="1">
      <c r="A1614" s="1">
        <v>45766.78125</v>
      </c>
      <c r="B1614" s="1">
        <v>45766.78125</v>
      </c>
      <c r="D1614" t="s">
        <v>1</v>
      </c>
      <c r="E1614" t="s">
        <v>149</v>
      </c>
      <c r="F1614" t="s">
        <v>147</v>
      </c>
      <c r="G1614" t="s">
        <v>163</v>
      </c>
      <c r="I1614" s="4">
        <v>35</v>
      </c>
      <c r="J1614" s="4">
        <v>50</v>
      </c>
      <c r="L1614" t="s">
        <v>253</v>
      </c>
      <c r="M1614" t="s">
        <v>2471</v>
      </c>
      <c r="N1614" s="4">
        <f>IF(L1614="","",IF(OR(Registro2[[#This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14" t="str">
        <f t="shared" si="25"/>
        <v>abr/25</v>
      </c>
      <c r="P1614" t="str">
        <f>IF(Registro2[[#This Row],[Data de Pagamento]]&gt;0,TEXT(A1614,"mmm/aa"),"")</f>
        <v>abr/25</v>
      </c>
      <c r="T1614" s="4">
        <f>IF(Registro2[[#This Row],[Data de Pagamento]]="",0,IF(Registro2[[#This Row],[Conta Financeira]]=base!$A$6,0,Registro2[[#This Row],[Valor Unitário]]))</f>
        <v>35</v>
      </c>
      <c r="U16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14" t="str">
        <f>VLOOKUP(Registro2[[#This Row],[Categoria]],'Plano de Contas'!$V$3:W1682,2,0)</f>
        <v>Receitas Serviços</v>
      </c>
      <c r="X161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15" spans="1:24" hidden="1">
      <c r="A1615" s="1">
        <v>45766.78125</v>
      </c>
      <c r="B1615" s="1">
        <v>45766.78125</v>
      </c>
      <c r="D1615" t="s">
        <v>1</v>
      </c>
      <c r="E1615" t="s">
        <v>149</v>
      </c>
      <c r="F1615" t="s">
        <v>147</v>
      </c>
      <c r="G1615" t="s">
        <v>1046</v>
      </c>
      <c r="I1615" s="4">
        <v>15</v>
      </c>
      <c r="J1615" s="4"/>
      <c r="L1615" t="s">
        <v>253</v>
      </c>
      <c r="M1615" t="s">
        <v>2471</v>
      </c>
      <c r="N1615" s="4">
        <f>IF(L1615="","",IF(OR(Registro2[[#This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615" t="str">
        <f t="shared" si="25"/>
        <v>abr/25</v>
      </c>
      <c r="P1615" t="str">
        <f>IF(Registro2[[#This Row],[Data de Pagamento]]&gt;0,TEXT(A1615,"mmm/aa"),"")</f>
        <v>abr/25</v>
      </c>
      <c r="T1615" s="4">
        <f>IF(Registro2[[#This Row],[Data de Pagamento]]="",0,IF(Registro2[[#This Row],[Conta Financeira]]=base!$A$6,0,Registro2[[#This Row],[Valor Unitário]]))</f>
        <v>15</v>
      </c>
      <c r="U16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15" t="str">
        <f>VLOOKUP(Registro2[[#This Row],[Categoria]],'Plano de Contas'!$V$3:W1683,2,0)</f>
        <v>Receitas Serviços</v>
      </c>
      <c r="X161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16" spans="1:24" hidden="1">
      <c r="A1616" s="1">
        <v>45766.791666666664</v>
      </c>
      <c r="B1616" s="1">
        <v>45766.791666666664</v>
      </c>
      <c r="D1616" t="s">
        <v>310</v>
      </c>
      <c r="E1616" t="s">
        <v>149</v>
      </c>
      <c r="F1616" t="s">
        <v>147</v>
      </c>
      <c r="G1616" t="s">
        <v>163</v>
      </c>
      <c r="I1616" s="4">
        <v>35</v>
      </c>
      <c r="J1616" s="4">
        <v>75</v>
      </c>
      <c r="L1616" t="s">
        <v>253</v>
      </c>
      <c r="M1616" t="s">
        <v>71</v>
      </c>
      <c r="N1616" s="4">
        <f>IF(L1616="","",IF(OR(Registro2[[#This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16" t="str">
        <f t="shared" si="25"/>
        <v>abr/25</v>
      </c>
      <c r="P1616" t="str">
        <f>IF(Registro2[[#This Row],[Data de Pagamento]]&gt;0,TEXT(A1616,"mmm/aa"),"")</f>
        <v>abr/25</v>
      </c>
      <c r="T1616" s="4">
        <f>IF(Registro2[[#This Row],[Data de Pagamento]]="",0,IF(Registro2[[#This Row],[Conta Financeira]]=base!$A$6,0,Registro2[[#This Row],[Valor Unitário]]))</f>
        <v>35</v>
      </c>
      <c r="U16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16" t="str">
        <f>VLOOKUP(Registro2[[#This Row],[Categoria]],'Plano de Contas'!$V$3:W1676,2,0)</f>
        <v>Receitas Serviços</v>
      </c>
      <c r="X161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617" spans="1:24" hidden="1">
      <c r="A1617" s="1">
        <v>45766.8125</v>
      </c>
      <c r="B1617" s="1">
        <v>45766.8125</v>
      </c>
      <c r="D1617" t="s">
        <v>1</v>
      </c>
      <c r="E1617" t="s">
        <v>149</v>
      </c>
      <c r="F1617" t="s">
        <v>147</v>
      </c>
      <c r="G1617" t="s">
        <v>163</v>
      </c>
      <c r="I1617" s="4">
        <v>35</v>
      </c>
      <c r="J1617" s="4">
        <v>35</v>
      </c>
      <c r="L1617" t="s">
        <v>253</v>
      </c>
      <c r="M1617" t="s">
        <v>1099</v>
      </c>
      <c r="N1617" s="4">
        <f>IF(L1617="","",IF(OR(Registro2[[#This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17" t="str">
        <f t="shared" si="25"/>
        <v>abr/25</v>
      </c>
      <c r="P1617" t="str">
        <f>IF(Registro2[[#This Row],[Data de Pagamento]]&gt;0,TEXT(A1617,"mmm/aa"),"")</f>
        <v>abr/25</v>
      </c>
      <c r="T1617" s="4">
        <f>IF(Registro2[[#This Row],[Data de Pagamento]]="",0,IF(Registro2[[#This Row],[Conta Financeira]]=base!$A$6,0,Registro2[[#This Row],[Valor Unitário]]))</f>
        <v>35</v>
      </c>
      <c r="U16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17" t="str">
        <f>VLOOKUP(Registro2[[#This Row],[Categoria]],'Plano de Contas'!$V$3:W1574,2,0)</f>
        <v>Receitas Serviços</v>
      </c>
      <c r="X161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18" spans="1:24" hidden="1">
      <c r="A1618" s="1">
        <v>45766.822916666664</v>
      </c>
      <c r="B1618" s="1">
        <v>45766.822916666664</v>
      </c>
      <c r="D1618" t="s">
        <v>2</v>
      </c>
      <c r="E1618" t="s">
        <v>149</v>
      </c>
      <c r="F1618" t="s">
        <v>147</v>
      </c>
      <c r="G1618" t="s">
        <v>163</v>
      </c>
      <c r="I1618" s="4">
        <v>35</v>
      </c>
      <c r="J1618" s="4">
        <v>70</v>
      </c>
      <c r="L1618" t="s">
        <v>252</v>
      </c>
      <c r="M1618" t="s">
        <v>1409</v>
      </c>
      <c r="N1618" s="4">
        <f>IF(L1618="","",IF(OR(Registro2[[#This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18" t="str">
        <f t="shared" si="25"/>
        <v>abr/25</v>
      </c>
      <c r="P1618" t="str">
        <f>IF(Registro2[[#This Row],[Data de Pagamento]]&gt;0,TEXT(A1618,"mmm/aa"),"")</f>
        <v>abr/25</v>
      </c>
      <c r="T1618" s="4">
        <f>IF(Registro2[[#This Row],[Data de Pagamento]]="",0,IF(Registro2[[#This Row],[Conta Financeira]]=base!$A$6,0,Registro2[[#This Row],[Valor Unitário]]))</f>
        <v>35</v>
      </c>
      <c r="U16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18" t="str">
        <f>VLOOKUP(Registro2[[#This Row],[Categoria]],'Plano de Contas'!$V$3:W1684,2,0)</f>
        <v>Receitas Serviços</v>
      </c>
      <c r="X16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19" spans="1:24" hidden="1">
      <c r="A1619" s="1">
        <v>45766.822916666664</v>
      </c>
      <c r="B1619" s="1">
        <v>45766.822916666664</v>
      </c>
      <c r="D1619" t="s">
        <v>2</v>
      </c>
      <c r="E1619" t="s">
        <v>149</v>
      </c>
      <c r="F1619" t="s">
        <v>147</v>
      </c>
      <c r="G1619" t="s">
        <v>163</v>
      </c>
      <c r="I1619" s="4">
        <v>35</v>
      </c>
      <c r="J1619" s="4"/>
      <c r="L1619" t="s">
        <v>252</v>
      </c>
      <c r="M1619" t="s">
        <v>1409</v>
      </c>
      <c r="N1619" s="4">
        <f>IF(L1619="","",IF(OR(Registro2[[#This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19" t="str">
        <f t="shared" si="25"/>
        <v>abr/25</v>
      </c>
      <c r="P1619" t="str">
        <f>IF(Registro2[[#This Row],[Data de Pagamento]]&gt;0,TEXT(A1619,"mmm/aa"),"")</f>
        <v>abr/25</v>
      </c>
      <c r="T1619" s="4">
        <f>IF(Registro2[[#This Row],[Data de Pagamento]]="",0,IF(Registro2[[#This Row],[Conta Financeira]]=base!$A$6,0,Registro2[[#This Row],[Valor Unitário]]))</f>
        <v>35</v>
      </c>
      <c r="U16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19" t="str">
        <f>VLOOKUP(Registro2[[#This Row],[Categoria]],'Plano de Contas'!$V$3:W1685,2,0)</f>
        <v>Receitas Serviços</v>
      </c>
      <c r="X161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20" spans="1:24" hidden="1">
      <c r="A1620" s="1">
        <v>45766.857638888891</v>
      </c>
      <c r="B1620" s="1">
        <v>45766.857638888891</v>
      </c>
      <c r="D1620" t="s">
        <v>354</v>
      </c>
      <c r="E1620" t="s">
        <v>149</v>
      </c>
      <c r="F1620" t="s">
        <v>147</v>
      </c>
      <c r="G1620" t="s">
        <v>163</v>
      </c>
      <c r="I1620" s="4">
        <v>35</v>
      </c>
      <c r="J1620" s="4">
        <v>35</v>
      </c>
      <c r="L1620" t="s">
        <v>253</v>
      </c>
      <c r="M1620" t="s">
        <v>38</v>
      </c>
      <c r="N1620" s="4">
        <f>IF(L1620="","",IF(OR(Registro2[[#This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20" t="str">
        <f t="shared" si="25"/>
        <v>abr/25</v>
      </c>
      <c r="P1620" t="str">
        <f>IF(Registro2[[#This Row],[Data de Pagamento]]&gt;0,TEXT(A1620,"mmm/aa"),"")</f>
        <v>abr/25</v>
      </c>
      <c r="T1620" s="4">
        <f>IF(Registro2[[#This Row],[Data de Pagamento]]="",0,IF(Registro2[[#This Row],[Conta Financeira]]=base!$A$6,0,Registro2[[#This Row],[Valor Unitário]]))</f>
        <v>35</v>
      </c>
      <c r="U16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20" t="str">
        <f>VLOOKUP(Registro2[[#This Row],[Categoria]],'Plano de Contas'!$V$3:W1686,2,0)</f>
        <v>Receitas Serviços</v>
      </c>
      <c r="X162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621" spans="1:24" hidden="1">
      <c r="A1621" s="1">
        <v>45766.871527777781</v>
      </c>
      <c r="B1621" s="1">
        <v>45766.871527777781</v>
      </c>
      <c r="D1621" t="s">
        <v>1</v>
      </c>
      <c r="E1621" t="s">
        <v>149</v>
      </c>
      <c r="F1621" t="s">
        <v>152</v>
      </c>
      <c r="G1621" t="s">
        <v>353</v>
      </c>
      <c r="I1621" s="4">
        <v>60</v>
      </c>
      <c r="J1621" s="4">
        <v>50</v>
      </c>
      <c r="L1621" t="s">
        <v>252</v>
      </c>
      <c r="M1621" t="s">
        <v>2475</v>
      </c>
      <c r="N1621" s="4">
        <f>IF(L1621="","",IF(OR(Registro2[[#This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621" t="str">
        <f t="shared" si="25"/>
        <v>abr/25</v>
      </c>
      <c r="P1621" t="str">
        <f>IF(Registro2[[#This Row],[Data de Pagamento]]&gt;0,TEXT(A1621,"mmm/aa"),"")</f>
        <v>abr/25</v>
      </c>
      <c r="T1621" s="4">
        <f>IF(Registro2[[#This Row],[Data de Pagamento]]="",0,IF(Registro2[[#This Row],[Conta Financeira]]=base!$A$6,0,Registro2[[#This Row],[Valor Unitário]]))</f>
        <v>60</v>
      </c>
      <c r="U16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21" t="str">
        <f>VLOOKUP(Registro2[[#This Row],[Categoria]],'Plano de Contas'!$V$3:W1687,2,0)</f>
        <v>Receitas Serviços</v>
      </c>
      <c r="X162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22" spans="1:24" hidden="1">
      <c r="A1622" s="1">
        <v>45777</v>
      </c>
      <c r="B1622" s="1">
        <v>45777</v>
      </c>
      <c r="D1622" t="s">
        <v>947</v>
      </c>
      <c r="E1622" t="s">
        <v>137</v>
      </c>
      <c r="F1622" t="s">
        <v>146</v>
      </c>
      <c r="G1622" t="s">
        <v>314</v>
      </c>
      <c r="H1622" t="s">
        <v>447</v>
      </c>
      <c r="I1622" s="4">
        <v>1000</v>
      </c>
      <c r="J1622" s="4"/>
      <c r="N1622" s="4" t="str">
        <f>IF(L1622="","",IF(OR(Registro2[[#This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622" t="str">
        <f t="shared" si="25"/>
        <v>abr/25</v>
      </c>
      <c r="P1622" t="str">
        <f>IF(Registro2[[#This Row],[Data de Pagamento]]&gt;0,TEXT(A1622,"mmm/aa"),"")</f>
        <v>abr/25</v>
      </c>
      <c r="T1622" s="4">
        <f>IF(Registro2[[#This Row],[Data de Pagamento]]="",0,IF(Registro2[[#This Row],[Conta Financeira]]=base!$A$6,0,Registro2[[#This Row],[Valor Unitário]]))</f>
        <v>1000</v>
      </c>
      <c r="U16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22" t="str">
        <f>VLOOKUP(Registro2[[#This Row],[Categoria]],'Plano de Contas'!$V$3:W1252,2,0)</f>
        <v>Despesas Operacionais</v>
      </c>
      <c r="X162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23" spans="1:24" hidden="1">
      <c r="A1623" s="1">
        <v>45769</v>
      </c>
      <c r="B1623" s="1">
        <v>45769</v>
      </c>
      <c r="D1623" t="s">
        <v>947</v>
      </c>
      <c r="E1623" t="s">
        <v>137</v>
      </c>
      <c r="F1623" t="s">
        <v>139</v>
      </c>
      <c r="G1623" t="s">
        <v>332</v>
      </c>
      <c r="H1623" t="s">
        <v>2515</v>
      </c>
      <c r="I1623" s="4">
        <v>11.8</v>
      </c>
      <c r="J1623" s="4"/>
      <c r="N1623" s="4" t="str">
        <f>IF(L1623="","",IF(OR(Registro2[[#This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623" t="str">
        <f t="shared" si="25"/>
        <v>abr/25</v>
      </c>
      <c r="P1623" t="str">
        <f>IF(Registro2[[#This Row],[Data de Pagamento]]&gt;0,TEXT(A1623,"mmm/aa"),"")</f>
        <v>abr/25</v>
      </c>
      <c r="T1623" s="4">
        <f>IF(Registro2[[#This Row],[Data de Pagamento]]="",0,IF(Registro2[[#This Row],[Conta Financeira]]=base!$A$6,0,Registro2[[#This Row],[Valor Unitário]]))</f>
        <v>11.8</v>
      </c>
      <c r="U16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23" t="str">
        <f>VLOOKUP(Registro2[[#This Row],[Categoria]],'Plano de Contas'!$V$3:W1561,2,0)</f>
        <v>Custos Operacionais</v>
      </c>
      <c r="X162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24" spans="1:24" hidden="1">
      <c r="A1624" s="1">
        <v>45769</v>
      </c>
      <c r="B1624" s="1">
        <v>45769</v>
      </c>
      <c r="D1624" t="s">
        <v>947</v>
      </c>
      <c r="E1624" t="s">
        <v>137</v>
      </c>
      <c r="F1624" t="s">
        <v>139</v>
      </c>
      <c r="G1624" t="s">
        <v>332</v>
      </c>
      <c r="H1624" t="s">
        <v>2516</v>
      </c>
      <c r="I1624" s="4">
        <v>46.99</v>
      </c>
      <c r="J1624" s="4"/>
      <c r="N1624" s="4" t="str">
        <f>IF(L1624="","",IF(OR(Registro2[[#This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624" t="str">
        <f t="shared" si="25"/>
        <v>abr/25</v>
      </c>
      <c r="P1624" t="str">
        <f>IF(Registro2[[#This Row],[Data de Pagamento]]&gt;0,TEXT(A1624,"mmm/aa"),"")</f>
        <v>abr/25</v>
      </c>
      <c r="T1624" s="4">
        <f>IF(Registro2[[#This Row],[Data de Pagamento]]="",0,IF(Registro2[[#This Row],[Conta Financeira]]=base!$A$6,0,Registro2[[#This Row],[Valor Unitário]]))</f>
        <v>46.99</v>
      </c>
      <c r="U16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24" t="str">
        <f>VLOOKUP(Registro2[[#This Row],[Categoria]],'Plano de Contas'!$V$3:W1562,2,0)</f>
        <v>Custos Operacionais</v>
      </c>
      <c r="X162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25" spans="1:24" hidden="1">
      <c r="A1625" s="1">
        <v>45769</v>
      </c>
      <c r="B1625" s="1">
        <v>45769</v>
      </c>
      <c r="D1625" t="s">
        <v>947</v>
      </c>
      <c r="E1625" t="s">
        <v>137</v>
      </c>
      <c r="F1625" t="s">
        <v>139</v>
      </c>
      <c r="G1625" t="s">
        <v>332</v>
      </c>
      <c r="H1625" t="s">
        <v>2517</v>
      </c>
      <c r="I1625" s="4">
        <v>3.99</v>
      </c>
      <c r="J1625" s="4"/>
      <c r="N1625" s="4" t="str">
        <f>IF(L1625="","",IF(OR(Registro2[[#This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625" t="str">
        <f t="shared" si="25"/>
        <v>abr/25</v>
      </c>
      <c r="P1625" t="str">
        <f>IF(Registro2[[#This Row],[Data de Pagamento]]&gt;0,TEXT(A1625,"mmm/aa"),"")</f>
        <v>abr/25</v>
      </c>
      <c r="T1625" s="4">
        <f>IF(Registro2[[#This Row],[Data de Pagamento]]="",0,IF(Registro2[[#This Row],[Conta Financeira]]=base!$A$6,0,Registro2[[#This Row],[Valor Unitário]]))</f>
        <v>3.99</v>
      </c>
      <c r="U16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25" t="str">
        <f>VLOOKUP(Registro2[[#This Row],[Categoria]],'Plano de Contas'!$V$3:W1563,2,0)</f>
        <v>Custos Operacionais</v>
      </c>
      <c r="X162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26" spans="1:24" hidden="1">
      <c r="A1626" s="1">
        <v>45769</v>
      </c>
      <c r="B1626" s="1">
        <v>45769</v>
      </c>
      <c r="D1626" t="s">
        <v>947</v>
      </c>
      <c r="E1626" t="s">
        <v>137</v>
      </c>
      <c r="F1626" t="s">
        <v>139</v>
      </c>
      <c r="G1626" t="s">
        <v>332</v>
      </c>
      <c r="H1626" t="s">
        <v>2518</v>
      </c>
      <c r="I1626" s="4">
        <v>20</v>
      </c>
      <c r="J1626" s="4"/>
      <c r="N1626" s="4" t="str">
        <f>IF(L1626="","",IF(OR(Registro2[[#This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626" t="str">
        <f t="shared" si="25"/>
        <v>abr/25</v>
      </c>
      <c r="P1626" t="str">
        <f>IF(Registro2[[#This Row],[Data de Pagamento]]&gt;0,TEXT(A1626,"mmm/aa"),"")</f>
        <v>abr/25</v>
      </c>
      <c r="T1626" s="4">
        <f>IF(Registro2[[#This Row],[Data de Pagamento]]="",0,IF(Registro2[[#This Row],[Conta Financeira]]=base!$A$6,0,Registro2[[#This Row],[Valor Unitário]]))</f>
        <v>20</v>
      </c>
      <c r="U16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26" t="str">
        <f>VLOOKUP(Registro2[[#This Row],[Categoria]],'Plano de Contas'!$V$3:W1564,2,0)</f>
        <v>Custos Operacionais</v>
      </c>
      <c r="X162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27" spans="1:24" hidden="1">
      <c r="A1627" s="1">
        <v>45769</v>
      </c>
      <c r="B1627" s="1">
        <v>45769</v>
      </c>
      <c r="D1627" t="s">
        <v>947</v>
      </c>
      <c r="E1627" t="s">
        <v>137</v>
      </c>
      <c r="F1627" t="s">
        <v>967</v>
      </c>
      <c r="G1627" t="s">
        <v>335</v>
      </c>
      <c r="H1627" t="s">
        <v>434</v>
      </c>
      <c r="I1627" s="4">
        <v>650</v>
      </c>
      <c r="J1627" s="4"/>
      <c r="N1627" s="4" t="str">
        <f>IF(L1627="","",IF(OR(Registro2[[#This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627" t="str">
        <f t="shared" si="25"/>
        <v>abr/25</v>
      </c>
      <c r="P1627" t="str">
        <f>IF(Registro2[[#This Row],[Data de Pagamento]]&gt;0,TEXT(A1627,"mmm/aa"),"")</f>
        <v>abr/25</v>
      </c>
      <c r="T1627" s="4">
        <f>IF(Registro2[[#This Row],[Data de Pagamento]]="",0,IF(Registro2[[#This Row],[Conta Financeira]]=base!$A$6,0,Registro2[[#This Row],[Valor Unitário]]))</f>
        <v>650</v>
      </c>
      <c r="U16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27" t="str">
        <f>VLOOKUP(Registro2[[#This Row],[Categoria]],'Plano de Contas'!$V$3:W1565,2,0)</f>
        <v>Despesas Administrativas</v>
      </c>
      <c r="X16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28" spans="1:24" hidden="1">
      <c r="A1628" s="1">
        <v>45769</v>
      </c>
      <c r="B1628" s="1">
        <v>45769</v>
      </c>
      <c r="D1628" t="s">
        <v>947</v>
      </c>
      <c r="E1628" t="s">
        <v>137</v>
      </c>
      <c r="F1628" t="s">
        <v>967</v>
      </c>
      <c r="G1628" t="s">
        <v>968</v>
      </c>
      <c r="H1628" t="s">
        <v>2519</v>
      </c>
      <c r="I1628" s="4">
        <v>99.74</v>
      </c>
      <c r="J1628" s="4"/>
      <c r="N1628" s="4" t="str">
        <f>IF(L1628="","",IF(OR(Registro2[[#This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628" t="str">
        <f t="shared" si="25"/>
        <v>abr/25</v>
      </c>
      <c r="P1628" t="str">
        <f>IF(Registro2[[#This Row],[Data de Pagamento]]&gt;0,TEXT(A1628,"mmm/aa"),"")</f>
        <v>abr/25</v>
      </c>
      <c r="T1628" s="4">
        <f>IF(Registro2[[#This Row],[Data de Pagamento]]="",0,IF(Registro2[[#This Row],[Conta Financeira]]=base!$A$6,0,Registro2[[#This Row],[Valor Unitário]]))</f>
        <v>99.74</v>
      </c>
      <c r="U16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28" t="str">
        <f>VLOOKUP(Registro2[[#This Row],[Categoria]],'Plano de Contas'!$V$3:W1566,2,0)</f>
        <v>Despesas Administrativas</v>
      </c>
      <c r="X162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29" spans="1:24" hidden="1">
      <c r="A1629" s="1">
        <v>45769.416666666664</v>
      </c>
      <c r="B1629" s="1">
        <v>45769.416666666664</v>
      </c>
      <c r="D1629" t="s">
        <v>1</v>
      </c>
      <c r="E1629" t="s">
        <v>149</v>
      </c>
      <c r="F1629" t="s">
        <v>147</v>
      </c>
      <c r="G1629" t="s">
        <v>163</v>
      </c>
      <c r="I1629" s="4">
        <v>35</v>
      </c>
      <c r="J1629" s="4">
        <v>80</v>
      </c>
      <c r="L1629" t="s">
        <v>252</v>
      </c>
      <c r="M1629" t="s">
        <v>492</v>
      </c>
      <c r="N1629" s="4">
        <f>IF(L1629="","",IF(OR(Registro2[[#This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29" t="str">
        <f t="shared" si="25"/>
        <v>abr/25</v>
      </c>
      <c r="P1629" t="str">
        <f>IF(Registro2[[#This Row],[Data de Pagamento]]&gt;0,TEXT(A1629,"mmm/aa"),"")</f>
        <v>abr/25</v>
      </c>
      <c r="T1629" s="4">
        <f>IF(Registro2[[#This Row],[Data de Pagamento]]="",0,IF(Registro2[[#This Row],[Conta Financeira]]=base!$A$6,0,Registro2[[#This Row],[Valor Unitário]]))</f>
        <v>35</v>
      </c>
      <c r="U16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29" t="str">
        <f>VLOOKUP(Registro2[[#This Row],[Categoria]],'Plano de Contas'!$V$3:W1688,2,0)</f>
        <v>Receitas Serviços</v>
      </c>
      <c r="X16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30" spans="1:24" hidden="1">
      <c r="A1630" s="1">
        <v>45769.416666666664</v>
      </c>
      <c r="B1630" s="1">
        <v>45769.416666666664</v>
      </c>
      <c r="D1630" t="s">
        <v>1</v>
      </c>
      <c r="E1630" t="s">
        <v>149</v>
      </c>
      <c r="F1630" t="s">
        <v>152</v>
      </c>
      <c r="G1630" t="s">
        <v>352</v>
      </c>
      <c r="I1630" s="4">
        <v>20</v>
      </c>
      <c r="J1630" s="4"/>
      <c r="L1630" t="s">
        <v>252</v>
      </c>
      <c r="M1630" t="s">
        <v>492</v>
      </c>
      <c r="N1630" s="4">
        <f>IF(L1630="","",IF(OR(Registro2[[#This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630" t="str">
        <f t="shared" si="25"/>
        <v>abr/25</v>
      </c>
      <c r="P1630" t="str">
        <f>IF(Registro2[[#This Row],[Data de Pagamento]]&gt;0,TEXT(A1630,"mmm/aa"),"")</f>
        <v>abr/25</v>
      </c>
      <c r="T1630" s="4">
        <f>IF(Registro2[[#This Row],[Data de Pagamento]]="",0,IF(Registro2[[#This Row],[Conta Financeira]]=base!$A$6,0,Registro2[[#This Row],[Valor Unitário]]))</f>
        <v>20</v>
      </c>
      <c r="U16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30" t="str">
        <f>VLOOKUP(Registro2[[#This Row],[Categoria]],'Plano de Contas'!$V$3:W1689,2,0)</f>
        <v>Receitas Serviços</v>
      </c>
      <c r="X163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31" spans="1:24" hidden="1">
      <c r="A1631" s="1">
        <v>45769.416666666664</v>
      </c>
      <c r="B1631" s="1">
        <v>45769.416666666664</v>
      </c>
      <c r="D1631" t="s">
        <v>1</v>
      </c>
      <c r="E1631" t="s">
        <v>149</v>
      </c>
      <c r="F1631" t="s">
        <v>150</v>
      </c>
      <c r="G1631" t="s">
        <v>2477</v>
      </c>
      <c r="I1631" s="4">
        <v>25</v>
      </c>
      <c r="J1631" s="4"/>
      <c r="L1631" t="s">
        <v>252</v>
      </c>
      <c r="M1631" t="s">
        <v>492</v>
      </c>
      <c r="N1631" s="4">
        <f>IF(L1631="","",IF(OR(Registro2[[#This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631" t="str">
        <f t="shared" si="25"/>
        <v>abr/25</v>
      </c>
      <c r="P1631" t="str">
        <f>IF(Registro2[[#This Row],[Data de Pagamento]]&gt;0,TEXT(A1631,"mmm/aa"),"")</f>
        <v>abr/25</v>
      </c>
      <c r="T1631" s="4">
        <f>IF(Registro2[[#This Row],[Data de Pagamento]]="",0,IF(Registro2[[#This Row],[Conta Financeira]]=base!$A$6,0,Registro2[[#This Row],[Valor Unitário]]))</f>
        <v>25</v>
      </c>
      <c r="U16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31" t="e">
        <f>VLOOKUP(Registro2[[#This Row],[Categoria]],'Plano de Contas'!$V$3:W1690,2,0)</f>
        <v>#N/A</v>
      </c>
      <c r="X163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32" spans="1:24" hidden="1">
      <c r="A1632" s="1">
        <v>45769.447916666664</v>
      </c>
      <c r="B1632" s="1">
        <v>45769.447916666664</v>
      </c>
      <c r="D1632" t="s">
        <v>310</v>
      </c>
      <c r="E1632" t="s">
        <v>149</v>
      </c>
      <c r="F1632" t="s">
        <v>147</v>
      </c>
      <c r="G1632" t="s">
        <v>163</v>
      </c>
      <c r="I1632" s="4">
        <v>35</v>
      </c>
      <c r="J1632" s="4">
        <v>60</v>
      </c>
      <c r="L1632" t="s">
        <v>252</v>
      </c>
      <c r="M1632" t="s">
        <v>44</v>
      </c>
      <c r="N1632" s="4">
        <f>IF(L1632="","",IF(OR(Registro2[[#This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32" t="str">
        <f t="shared" si="25"/>
        <v>abr/25</v>
      </c>
      <c r="P1632" t="str">
        <f>IF(Registro2[[#This Row],[Data de Pagamento]]&gt;0,TEXT(A1632,"mmm/aa"),"")</f>
        <v>abr/25</v>
      </c>
      <c r="T1632" s="4">
        <f>IF(Registro2[[#This Row],[Data de Pagamento]]="",0,IF(Registro2[[#This Row],[Conta Financeira]]=base!$A$6,0,Registro2[[#This Row],[Valor Unitário]]))</f>
        <v>35</v>
      </c>
      <c r="U16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32" t="str">
        <f>VLOOKUP(Registro2[[#This Row],[Categoria]],'Plano de Contas'!$V$3:W1698,2,0)</f>
        <v>Receitas Serviços</v>
      </c>
      <c r="X163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633" spans="1:24" hidden="1">
      <c r="A1633" s="1">
        <v>45769.447916666664</v>
      </c>
      <c r="B1633" s="1">
        <v>45769.447916666664</v>
      </c>
      <c r="D1633" t="s">
        <v>310</v>
      </c>
      <c r="E1633" t="s">
        <v>149</v>
      </c>
      <c r="F1633" t="s">
        <v>150</v>
      </c>
      <c r="G1633" t="s">
        <v>509</v>
      </c>
      <c r="I1633" s="4">
        <v>25</v>
      </c>
      <c r="J1633" s="4"/>
      <c r="L1633" t="s">
        <v>252</v>
      </c>
      <c r="M1633" t="s">
        <v>44</v>
      </c>
      <c r="N1633" s="4">
        <f>IF(L1633="","",IF(OR(Registro2[[#This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633" t="str">
        <f t="shared" si="25"/>
        <v>abr/25</v>
      </c>
      <c r="P1633" t="str">
        <f>IF(Registro2[[#This Row],[Data de Pagamento]]&gt;0,TEXT(A1633,"mmm/aa"),"")</f>
        <v>abr/25</v>
      </c>
      <c r="T1633" s="4">
        <f>IF(Registro2[[#This Row],[Data de Pagamento]]="",0,IF(Registro2[[#This Row],[Conta Financeira]]=base!$A$6,0,Registro2[[#This Row],[Valor Unitário]]))</f>
        <v>25</v>
      </c>
      <c r="U16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33" t="str">
        <f>VLOOKUP(Registro2[[#This Row],[Categoria]],'Plano de Contas'!$V$3:W1699,2,0)</f>
        <v>Receitas Produtos</v>
      </c>
      <c r="X163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0.2225</v>
      </c>
    </row>
    <row r="1634" spans="1:24" hidden="1">
      <c r="A1634" s="1">
        <v>45769.458333333336</v>
      </c>
      <c r="B1634" s="1">
        <v>45769.458333333336</v>
      </c>
      <c r="D1634" t="s">
        <v>354</v>
      </c>
      <c r="E1634" t="s">
        <v>149</v>
      </c>
      <c r="F1634" t="s">
        <v>147</v>
      </c>
      <c r="G1634" t="s">
        <v>163</v>
      </c>
      <c r="I1634" s="4">
        <v>20</v>
      </c>
      <c r="J1634" s="4">
        <v>40</v>
      </c>
      <c r="L1634" t="s">
        <v>264</v>
      </c>
      <c r="M1634" t="s">
        <v>1077</v>
      </c>
      <c r="N1634" s="4">
        <f>IF(L1634="","",IF(OR(Registro2[[#This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634" t="str">
        <f t="shared" si="25"/>
        <v>abr/25</v>
      </c>
      <c r="P1634" t="str">
        <f>IF(Registro2[[#This Row],[Data de Pagamento]]&gt;0,TEXT(A1634,"mmm/aa"),"")</f>
        <v>abr/25</v>
      </c>
      <c r="T1634" s="4">
        <f>IF(Registro2[[#This Row],[Data de Pagamento]]="",0,IF(Registro2[[#This Row],[Conta Financeira]]=base!$A$6,0,Registro2[[#This Row],[Valor Unitário]]))</f>
        <v>20</v>
      </c>
      <c r="U16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34" t="str">
        <f>VLOOKUP(Registro2[[#This Row],[Categoria]],'Plano de Contas'!$V$3:W1696,2,0)</f>
        <v>Receitas Serviços</v>
      </c>
      <c r="X163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0.63</v>
      </c>
    </row>
    <row r="1635" spans="1:24" hidden="1">
      <c r="A1635" s="1">
        <v>45769.458333333336</v>
      </c>
      <c r="B1635" s="1">
        <v>45769.458333333336</v>
      </c>
      <c r="D1635" t="s">
        <v>354</v>
      </c>
      <c r="E1635" t="s">
        <v>149</v>
      </c>
      <c r="F1635" t="s">
        <v>152</v>
      </c>
      <c r="G1635" t="s">
        <v>352</v>
      </c>
      <c r="I1635" s="4">
        <v>20</v>
      </c>
      <c r="J1635" s="4"/>
      <c r="L1635" t="s">
        <v>264</v>
      </c>
      <c r="M1635" t="s">
        <v>1077</v>
      </c>
      <c r="N1635" s="4">
        <f>IF(L1635="","",IF(OR(Registro2[[#This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635" t="str">
        <f t="shared" si="25"/>
        <v>abr/25</v>
      </c>
      <c r="P1635" t="str">
        <f>IF(Registro2[[#This Row],[Data de Pagamento]]&gt;0,TEXT(A1635,"mmm/aa"),"")</f>
        <v>abr/25</v>
      </c>
      <c r="T1635" s="4">
        <f>IF(Registro2[[#This Row],[Data de Pagamento]]="",0,IF(Registro2[[#This Row],[Conta Financeira]]=base!$A$6,0,Registro2[[#This Row],[Valor Unitário]]))</f>
        <v>20</v>
      </c>
      <c r="U16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35" t="str">
        <f>VLOOKUP(Registro2[[#This Row],[Categoria]],'Plano de Contas'!$V$3:W1697,2,0)</f>
        <v>Receitas Serviços</v>
      </c>
      <c r="X163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0.63</v>
      </c>
    </row>
    <row r="1636" spans="1:24" hidden="1">
      <c r="A1636" s="1">
        <v>45769.520833333336</v>
      </c>
      <c r="B1636" s="1">
        <v>45769.520833333336</v>
      </c>
      <c r="D1636" t="s">
        <v>356</v>
      </c>
      <c r="E1636" t="s">
        <v>149</v>
      </c>
      <c r="F1636" t="s">
        <v>152</v>
      </c>
      <c r="G1636" t="s">
        <v>306</v>
      </c>
      <c r="I1636" s="4">
        <v>55</v>
      </c>
      <c r="J1636" s="4">
        <v>105</v>
      </c>
      <c r="L1636" t="s">
        <v>252</v>
      </c>
      <c r="M1636" t="s">
        <v>2480</v>
      </c>
      <c r="N1636" s="4">
        <f>IF(L1636="","",IF(OR(Registro2[[#This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1636" t="str">
        <f t="shared" si="25"/>
        <v>abr/25</v>
      </c>
      <c r="P1636" t="str">
        <f>IF(Registro2[[#This Row],[Data de Pagamento]]&gt;0,TEXT(A1636,"mmm/aa"),"")</f>
        <v>abr/25</v>
      </c>
      <c r="T1636" s="4">
        <f>IF(Registro2[[#This Row],[Data de Pagamento]]="",0,IF(Registro2[[#This Row],[Conta Financeira]]=base!$A$6,0,Registro2[[#This Row],[Valor Unitário]]))</f>
        <v>55</v>
      </c>
      <c r="U16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36" t="str">
        <f>VLOOKUP(Registro2[[#This Row],[Categoria]],'Plano de Contas'!$V$3:W1693,2,0)</f>
        <v>Receitas Serviços</v>
      </c>
      <c r="X163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37" spans="1:24" hidden="1">
      <c r="A1637" s="1">
        <v>45769.520833333336</v>
      </c>
      <c r="B1637" s="1">
        <v>45769.520833333336</v>
      </c>
      <c r="D1637" t="s">
        <v>356</v>
      </c>
      <c r="E1637" t="s">
        <v>149</v>
      </c>
      <c r="F1637" t="s">
        <v>147</v>
      </c>
      <c r="G1637" t="s">
        <v>1046</v>
      </c>
      <c r="I1637" s="4">
        <v>25</v>
      </c>
      <c r="J1637" s="4"/>
      <c r="L1637" t="s">
        <v>252</v>
      </c>
      <c r="M1637" t="s">
        <v>2480</v>
      </c>
      <c r="N1637" s="4">
        <f>IF(L1637="","",IF(OR(Registro2[[#This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1637" t="str">
        <f t="shared" si="25"/>
        <v>abr/25</v>
      </c>
      <c r="P1637" t="str">
        <f>IF(Registro2[[#This Row],[Data de Pagamento]]&gt;0,TEXT(A1637,"mmm/aa"),"")</f>
        <v>abr/25</v>
      </c>
      <c r="T1637" s="4">
        <f>IF(Registro2[[#This Row],[Data de Pagamento]]="",0,IF(Registro2[[#This Row],[Conta Financeira]]=base!$A$6,0,Registro2[[#This Row],[Valor Unitário]]))</f>
        <v>25</v>
      </c>
      <c r="U16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37" t="str">
        <f>VLOOKUP(Registro2[[#This Row],[Categoria]],'Plano de Contas'!$V$3:W1694,2,0)</f>
        <v>Receitas Serviços</v>
      </c>
      <c r="X163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38" spans="1:24" hidden="1">
      <c r="A1638" s="1">
        <v>45769.520833333336</v>
      </c>
      <c r="B1638" s="1">
        <v>45769.520833333336</v>
      </c>
      <c r="D1638" t="s">
        <v>356</v>
      </c>
      <c r="E1638" t="s">
        <v>149</v>
      </c>
      <c r="F1638" t="s">
        <v>150</v>
      </c>
      <c r="G1638" t="s">
        <v>510</v>
      </c>
      <c r="I1638" s="4">
        <v>25</v>
      </c>
      <c r="J1638" s="4"/>
      <c r="L1638" t="s">
        <v>252</v>
      </c>
      <c r="M1638" t="s">
        <v>2480</v>
      </c>
      <c r="N1638" s="4">
        <f>IF(L1638="","",IF(OR(Registro2[[#This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638" t="str">
        <f t="shared" si="25"/>
        <v>abr/25</v>
      </c>
      <c r="P1638" t="str">
        <f>IF(Registro2[[#This Row],[Data de Pagamento]]&gt;0,TEXT(A1638,"mmm/aa"),"")</f>
        <v>abr/25</v>
      </c>
      <c r="T1638" s="4">
        <f>IF(Registro2[[#This Row],[Data de Pagamento]]="",0,IF(Registro2[[#This Row],[Conta Financeira]]=base!$A$6,0,Registro2[[#This Row],[Valor Unitário]]))</f>
        <v>25</v>
      </c>
      <c r="U16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38" t="str">
        <f>VLOOKUP(Registro2[[#This Row],[Categoria]],'Plano de Contas'!$V$3:W1695,2,0)</f>
        <v>Receitas Produtos</v>
      </c>
      <c r="X163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39" spans="1:24" hidden="1">
      <c r="A1639" s="1">
        <v>45769.555555555555</v>
      </c>
      <c r="B1639" s="1">
        <v>45769.555555555555</v>
      </c>
      <c r="D1639" t="s">
        <v>1</v>
      </c>
      <c r="E1639" t="s">
        <v>149</v>
      </c>
      <c r="F1639" t="s">
        <v>152</v>
      </c>
      <c r="G1639" t="s">
        <v>353</v>
      </c>
      <c r="I1639" s="4">
        <v>60</v>
      </c>
      <c r="J1639" s="4">
        <v>60</v>
      </c>
      <c r="L1639" t="s">
        <v>264</v>
      </c>
      <c r="M1639" t="s">
        <v>1198</v>
      </c>
      <c r="N1639" s="4">
        <f>IF(L1639="","",IF(OR(Registro2[[#This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639" t="str">
        <f t="shared" si="25"/>
        <v>abr/25</v>
      </c>
      <c r="P1639" t="str">
        <f>IF(Registro2[[#This Row],[Data de Pagamento]]&gt;0,TEXT(A1639,"mmm/aa"),"")</f>
        <v>abr/25</v>
      </c>
      <c r="T1639" s="4">
        <f>IF(Registro2[[#This Row],[Data de Pagamento]]="",0,IF(Registro2[[#This Row],[Conta Financeira]]=base!$A$6,0,Registro2[[#This Row],[Valor Unitário]]))</f>
        <v>60</v>
      </c>
      <c r="U16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39" t="str">
        <f>VLOOKUP(Registro2[[#This Row],[Categoria]],'Plano de Contas'!$V$3:W1702,2,0)</f>
        <v>Receitas Serviços</v>
      </c>
      <c r="X163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40" spans="1:24" hidden="1">
      <c r="A1640" s="1">
        <v>45769.5625</v>
      </c>
      <c r="B1640" s="1">
        <v>45769.5625</v>
      </c>
      <c r="D1640" t="s">
        <v>2</v>
      </c>
      <c r="E1640" t="s">
        <v>149</v>
      </c>
      <c r="F1640" t="s">
        <v>147</v>
      </c>
      <c r="G1640" t="s">
        <v>163</v>
      </c>
      <c r="I1640" s="4">
        <v>35</v>
      </c>
      <c r="J1640" s="4">
        <v>60</v>
      </c>
      <c r="L1640" t="s">
        <v>253</v>
      </c>
      <c r="M1640" t="s">
        <v>940</v>
      </c>
      <c r="N1640" s="4">
        <f>IF(L1640="","",IF(OR(Registro2[[#This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40" t="str">
        <f t="shared" si="25"/>
        <v>abr/25</v>
      </c>
      <c r="P1640" t="str">
        <f>IF(Registro2[[#This Row],[Data de Pagamento]]&gt;0,TEXT(A1640,"mmm/aa"),"")</f>
        <v>abr/25</v>
      </c>
      <c r="T1640" s="4">
        <f>IF(Registro2[[#This Row],[Data de Pagamento]]="",0,IF(Registro2[[#This Row],[Conta Financeira]]=base!$A$6,0,Registro2[[#This Row],[Valor Unitário]]))</f>
        <v>35</v>
      </c>
      <c r="U16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40" t="str">
        <f>VLOOKUP(Registro2[[#This Row],[Categoria]],'Plano de Contas'!$V$3:W1700,2,0)</f>
        <v>Receitas Serviços</v>
      </c>
      <c r="X164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41" spans="1:24" hidden="1">
      <c r="A1641" s="1">
        <v>45769.5625</v>
      </c>
      <c r="B1641" s="1">
        <v>45769.5625</v>
      </c>
      <c r="D1641" t="s">
        <v>2</v>
      </c>
      <c r="E1641" t="s">
        <v>149</v>
      </c>
      <c r="F1641" t="s">
        <v>150</v>
      </c>
      <c r="G1641" t="s">
        <v>509</v>
      </c>
      <c r="I1641" s="4">
        <v>25</v>
      </c>
      <c r="J1641" s="4"/>
      <c r="L1641" t="s">
        <v>253</v>
      </c>
      <c r="M1641" t="s">
        <v>940</v>
      </c>
      <c r="N1641" s="4">
        <f>IF(L1641="","",IF(OR(Registro2[[#This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641" t="str">
        <f t="shared" si="25"/>
        <v>abr/25</v>
      </c>
      <c r="P1641" t="str">
        <f>IF(Registro2[[#This Row],[Data de Pagamento]]&gt;0,TEXT(A1641,"mmm/aa"),"")</f>
        <v>abr/25</v>
      </c>
      <c r="T1641" s="4">
        <f>IF(Registro2[[#This Row],[Data de Pagamento]]="",0,IF(Registro2[[#This Row],[Conta Financeira]]=base!$A$6,0,Registro2[[#This Row],[Valor Unitário]]))</f>
        <v>25</v>
      </c>
      <c r="U16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41" t="str">
        <f>VLOOKUP(Registro2[[#This Row],[Categoria]],'Plano de Contas'!$V$3:W1701,2,0)</f>
        <v>Receitas Produtos</v>
      </c>
      <c r="X164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42" spans="1:24" hidden="1">
      <c r="A1642" s="1">
        <v>45769.625</v>
      </c>
      <c r="B1642" s="1">
        <v>45769.625</v>
      </c>
      <c r="D1642" t="s">
        <v>1</v>
      </c>
      <c r="E1642" t="s">
        <v>149</v>
      </c>
      <c r="F1642" t="s">
        <v>147</v>
      </c>
      <c r="G1642" t="s">
        <v>163</v>
      </c>
      <c r="I1642" s="4">
        <v>35</v>
      </c>
      <c r="J1642" s="4">
        <v>45</v>
      </c>
      <c r="L1642" t="s">
        <v>252</v>
      </c>
      <c r="M1642" t="s">
        <v>2488</v>
      </c>
      <c r="N1642" s="4">
        <f>IF(L1642="","",IF(OR(Registro2[[#This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42" t="str">
        <f t="shared" si="25"/>
        <v>abr/25</v>
      </c>
      <c r="P1642" t="str">
        <f>IF(Registro2[[#This Row],[Data de Pagamento]]&gt;0,TEXT(A1642,"mmm/aa"),"")</f>
        <v>abr/25</v>
      </c>
      <c r="T1642" s="4">
        <f>IF(Registro2[[#This Row],[Data de Pagamento]]="",0,IF(Registro2[[#This Row],[Conta Financeira]]=base!$A$6,0,Registro2[[#This Row],[Valor Unitário]]))</f>
        <v>35</v>
      </c>
      <c r="U16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42" t="str">
        <f>VLOOKUP(Registro2[[#This Row],[Categoria]],'Plano de Contas'!$V$3:W1705,2,0)</f>
        <v>Receitas Serviços</v>
      </c>
      <c r="X164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43" spans="1:24" hidden="1">
      <c r="A1643" s="1">
        <v>45769.625</v>
      </c>
      <c r="B1643" s="1">
        <v>45769.625</v>
      </c>
      <c r="D1643" t="s">
        <v>1</v>
      </c>
      <c r="E1643" t="s">
        <v>149</v>
      </c>
      <c r="F1643" t="s">
        <v>147</v>
      </c>
      <c r="G1643" t="s">
        <v>167</v>
      </c>
      <c r="I1643" s="4">
        <v>10</v>
      </c>
      <c r="J1643" s="4"/>
      <c r="L1643" t="s">
        <v>252</v>
      </c>
      <c r="M1643" t="s">
        <v>2488</v>
      </c>
      <c r="N1643" s="4">
        <f>IF(L1643="","",IF(OR(Registro2[[#This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643" t="str">
        <f t="shared" si="25"/>
        <v>abr/25</v>
      </c>
      <c r="P1643" t="str">
        <f>IF(Registro2[[#This Row],[Data de Pagamento]]&gt;0,TEXT(A1643,"mmm/aa"),"")</f>
        <v>abr/25</v>
      </c>
      <c r="T1643" s="4">
        <f>IF(Registro2[[#This Row],[Data de Pagamento]]="",0,IF(Registro2[[#This Row],[Conta Financeira]]=base!$A$6,0,Registro2[[#This Row],[Valor Unitário]]))</f>
        <v>10</v>
      </c>
      <c r="U16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43" t="str">
        <f>VLOOKUP(Registro2[[#This Row],[Categoria]],'Plano de Contas'!$V$3:W1706,2,0)</f>
        <v>Receitas Serviços</v>
      </c>
      <c r="X164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44" spans="1:24" hidden="1">
      <c r="A1644" s="1">
        <v>45769.65625</v>
      </c>
      <c r="B1644" s="1">
        <v>45769.65625</v>
      </c>
      <c r="D1644" t="s">
        <v>1</v>
      </c>
      <c r="E1644" t="s">
        <v>149</v>
      </c>
      <c r="F1644" t="s">
        <v>152</v>
      </c>
      <c r="G1644" t="s">
        <v>353</v>
      </c>
      <c r="I1644" s="4">
        <v>60</v>
      </c>
      <c r="J1644" s="4">
        <v>90</v>
      </c>
      <c r="L1644" t="s">
        <v>253</v>
      </c>
      <c r="M1644" t="s">
        <v>2486</v>
      </c>
      <c r="N1644" s="4">
        <f>IF(L1644="","",IF(OR(Registro2[[#This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644" t="str">
        <f t="shared" si="25"/>
        <v>abr/25</v>
      </c>
      <c r="P1644" t="str">
        <f>IF(Registro2[[#This Row],[Data de Pagamento]]&gt;0,TEXT(A1644,"mmm/aa"),"")</f>
        <v>abr/25</v>
      </c>
      <c r="T1644" s="4">
        <f>IF(Registro2[[#This Row],[Data de Pagamento]]="",0,IF(Registro2[[#This Row],[Conta Financeira]]=base!$A$6,0,Registro2[[#This Row],[Valor Unitário]]))</f>
        <v>60</v>
      </c>
      <c r="U16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44" t="str">
        <f>VLOOKUP(Registro2[[#This Row],[Categoria]],'Plano de Contas'!$V$3:W1703,2,0)</f>
        <v>Receitas Serviços</v>
      </c>
      <c r="X164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45" spans="1:24" hidden="1">
      <c r="A1645" s="1">
        <v>45769.65625</v>
      </c>
      <c r="B1645" s="1">
        <v>45769.65625</v>
      </c>
      <c r="D1645" t="s">
        <v>1</v>
      </c>
      <c r="E1645" t="s">
        <v>149</v>
      </c>
      <c r="F1645" t="s">
        <v>150</v>
      </c>
      <c r="G1645" t="s">
        <v>513</v>
      </c>
      <c r="I1645" s="4">
        <v>30</v>
      </c>
      <c r="J1645" s="4"/>
      <c r="L1645" t="s">
        <v>253</v>
      </c>
      <c r="M1645" t="s">
        <v>2486</v>
      </c>
      <c r="N1645" s="4">
        <f>IF(L1645="","",IF(OR(Registro2[[#This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12</v>
      </c>
      <c r="O1645" t="str">
        <f t="shared" si="25"/>
        <v>abr/25</v>
      </c>
      <c r="P1645" t="str">
        <f>IF(Registro2[[#This Row],[Data de Pagamento]]&gt;0,TEXT(A1645,"mmm/aa"),"")</f>
        <v>abr/25</v>
      </c>
      <c r="T1645" s="4">
        <f>IF(Registro2[[#This Row],[Data de Pagamento]]="",0,IF(Registro2[[#This Row],[Conta Financeira]]=base!$A$6,0,Registro2[[#This Row],[Valor Unitário]]))</f>
        <v>30</v>
      </c>
      <c r="U16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45" t="str">
        <f>VLOOKUP(Registro2[[#This Row],[Categoria]],'Plano de Contas'!$V$3:W1704,2,0)</f>
        <v>Receitas Produtos</v>
      </c>
      <c r="X16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46" spans="1:24" hidden="1">
      <c r="A1646" s="1">
        <v>45769.666666666664</v>
      </c>
      <c r="B1646" s="1">
        <v>45769.666666666664</v>
      </c>
      <c r="D1646" t="s">
        <v>1</v>
      </c>
      <c r="E1646" t="s">
        <v>149</v>
      </c>
      <c r="F1646" t="s">
        <v>147</v>
      </c>
      <c r="G1646" t="s">
        <v>163</v>
      </c>
      <c r="I1646" s="4">
        <v>35</v>
      </c>
      <c r="J1646" s="4">
        <v>45</v>
      </c>
      <c r="L1646" t="s">
        <v>264</v>
      </c>
      <c r="M1646" t="s">
        <v>1416</v>
      </c>
      <c r="N1646" s="4">
        <f>IF(L1646="","",IF(OR(Registro2[[#This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46" t="str">
        <f t="shared" si="25"/>
        <v>abr/25</v>
      </c>
      <c r="P1646" t="str">
        <f>IF(Registro2[[#This Row],[Data de Pagamento]]&gt;0,TEXT(A1646,"mmm/aa"),"")</f>
        <v>abr/25</v>
      </c>
      <c r="T1646" s="4">
        <f>IF(Registro2[[#This Row],[Data de Pagamento]]="",0,IF(Registro2[[#This Row],[Conta Financeira]]=base!$A$6,0,Registro2[[#This Row],[Valor Unitário]]))</f>
        <v>35</v>
      </c>
      <c r="U16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46" t="str">
        <f>VLOOKUP(Registro2[[#This Row],[Categoria]],'Plano de Contas'!$V$3:W1707,2,0)</f>
        <v>Receitas Serviços</v>
      </c>
      <c r="X164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47" spans="1:24" hidden="1">
      <c r="A1647" s="1">
        <v>45769.666666666664</v>
      </c>
      <c r="B1647" s="1">
        <v>45769.666666666664</v>
      </c>
      <c r="D1647" t="s">
        <v>1</v>
      </c>
      <c r="E1647" t="s">
        <v>149</v>
      </c>
      <c r="F1647" t="s">
        <v>147</v>
      </c>
      <c r="G1647" t="s">
        <v>167</v>
      </c>
      <c r="I1647" s="4">
        <v>10</v>
      </c>
      <c r="J1647" s="4"/>
      <c r="L1647" t="s">
        <v>264</v>
      </c>
      <c r="M1647" t="s">
        <v>1416</v>
      </c>
      <c r="N1647" s="4">
        <f>IF(L1647="","",IF(OR(Registro2[[#This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647" t="str">
        <f t="shared" si="25"/>
        <v>abr/25</v>
      </c>
      <c r="P1647" t="str">
        <f>IF(Registro2[[#This Row],[Data de Pagamento]]&gt;0,TEXT(A1647,"mmm/aa"),"")</f>
        <v>abr/25</v>
      </c>
      <c r="T1647" s="4">
        <f>IF(Registro2[[#This Row],[Data de Pagamento]]="",0,IF(Registro2[[#This Row],[Conta Financeira]]=base!$A$6,0,Registro2[[#This Row],[Valor Unitário]]))</f>
        <v>10</v>
      </c>
      <c r="U16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47" t="str">
        <f>VLOOKUP(Registro2[[#This Row],[Categoria]],'Plano de Contas'!$V$3:W1708,2,0)</f>
        <v>Receitas Serviços</v>
      </c>
      <c r="X164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48" spans="1:24" hidden="1">
      <c r="A1648" s="1">
        <v>45769.6875</v>
      </c>
      <c r="B1648" s="1">
        <v>45769.6875</v>
      </c>
      <c r="D1648" t="s">
        <v>1</v>
      </c>
      <c r="E1648" t="s">
        <v>149</v>
      </c>
      <c r="F1648" t="s">
        <v>152</v>
      </c>
      <c r="G1648" t="s">
        <v>353</v>
      </c>
      <c r="I1648" s="4">
        <v>60</v>
      </c>
      <c r="J1648" s="4">
        <v>75</v>
      </c>
      <c r="L1648" t="s">
        <v>253</v>
      </c>
      <c r="M1648" t="s">
        <v>192</v>
      </c>
      <c r="N1648" s="4">
        <f>IF(L1648="","",IF(OR(Registro2[[#This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648" t="str">
        <f t="shared" si="25"/>
        <v>abr/25</v>
      </c>
      <c r="P1648" t="str">
        <f>IF(Registro2[[#This Row],[Data de Pagamento]]&gt;0,TEXT(A1648,"mmm/aa"),"")</f>
        <v>abr/25</v>
      </c>
      <c r="T1648" s="4">
        <f>IF(Registro2[[#This Row],[Data de Pagamento]]="",0,IF(Registro2[[#This Row],[Conta Financeira]]=base!$A$6,0,Registro2[[#This Row],[Valor Unitário]]))</f>
        <v>60</v>
      </c>
      <c r="U16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48" t="str">
        <f>VLOOKUP(Registro2[[#This Row],[Categoria]],'Plano de Contas'!$V$3:W1712,2,0)</f>
        <v>Receitas Serviços</v>
      </c>
      <c r="X164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49" spans="1:24" hidden="1">
      <c r="A1649" s="1">
        <v>45769.6875</v>
      </c>
      <c r="B1649" s="1">
        <v>45769.6875</v>
      </c>
      <c r="D1649" t="s">
        <v>1</v>
      </c>
      <c r="E1649" t="s">
        <v>149</v>
      </c>
      <c r="F1649" t="s">
        <v>147</v>
      </c>
      <c r="G1649" t="s">
        <v>1187</v>
      </c>
      <c r="I1649" s="4">
        <v>15</v>
      </c>
      <c r="J1649" s="4"/>
      <c r="L1649" t="s">
        <v>253</v>
      </c>
      <c r="M1649" t="s">
        <v>192</v>
      </c>
      <c r="N1649" s="4">
        <f>IF(L1649="","",IF(OR(Registro2[[#This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649" t="str">
        <f t="shared" si="25"/>
        <v>abr/25</v>
      </c>
      <c r="P1649" t="str">
        <f>IF(Registro2[[#This Row],[Data de Pagamento]]&gt;0,TEXT(A1649,"mmm/aa"),"")</f>
        <v>abr/25</v>
      </c>
      <c r="T1649" s="4">
        <f>IF(Registro2[[#This Row],[Data de Pagamento]]="",0,IF(Registro2[[#This Row],[Conta Financeira]]=base!$A$6,0,Registro2[[#This Row],[Valor Unitário]]))</f>
        <v>15</v>
      </c>
      <c r="U16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49" t="str">
        <f>VLOOKUP(Registro2[[#This Row],[Categoria]],'Plano de Contas'!$V$3:W1713,2,0)</f>
        <v>Receitas Serviços</v>
      </c>
      <c r="X164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50" spans="1:24" hidden="1">
      <c r="A1650" s="1">
        <v>45769.697916666664</v>
      </c>
      <c r="B1650" s="1">
        <v>45769.697916666664</v>
      </c>
      <c r="D1650" t="s">
        <v>2</v>
      </c>
      <c r="E1650" t="s">
        <v>149</v>
      </c>
      <c r="F1650" t="s">
        <v>147</v>
      </c>
      <c r="G1650" t="s">
        <v>163</v>
      </c>
      <c r="I1650" s="4">
        <v>35</v>
      </c>
      <c r="J1650" s="4">
        <v>20</v>
      </c>
      <c r="L1650" t="s">
        <v>252</v>
      </c>
      <c r="M1650" t="s">
        <v>914</v>
      </c>
      <c r="N1650" s="4">
        <f>IF(L1650="","",IF(OR(Registro2[[#This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50" t="str">
        <f t="shared" si="25"/>
        <v>abr/25</v>
      </c>
      <c r="P1650" t="str">
        <f>IF(Registro2[[#This Row],[Data de Pagamento]]&gt;0,TEXT(A1650,"mmm/aa"),"")</f>
        <v>abr/25</v>
      </c>
      <c r="T1650" s="4">
        <f>IF(Registro2[[#This Row],[Data de Pagamento]]="",0,IF(Registro2[[#This Row],[Conta Financeira]]=base!$A$6,0,Registro2[[#This Row],[Valor Unitário]]))</f>
        <v>35</v>
      </c>
      <c r="U16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50" t="str">
        <f>VLOOKUP(Registro2[[#This Row],[Categoria]],'Plano de Contas'!$V$3:W1709,2,0)</f>
        <v>Receitas Serviços</v>
      </c>
      <c r="X165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51" spans="1:24" hidden="1">
      <c r="A1651" s="1">
        <v>45769.729166666664</v>
      </c>
      <c r="B1651" s="1">
        <v>45769.729166666664</v>
      </c>
      <c r="D1651" t="s">
        <v>310</v>
      </c>
      <c r="E1651" t="s">
        <v>149</v>
      </c>
      <c r="F1651" t="s">
        <v>147</v>
      </c>
      <c r="G1651" t="s">
        <v>163</v>
      </c>
      <c r="I1651" s="4">
        <v>35</v>
      </c>
      <c r="J1651" s="4">
        <v>35</v>
      </c>
      <c r="L1651" t="s">
        <v>264</v>
      </c>
      <c r="M1651" t="s">
        <v>1138</v>
      </c>
      <c r="N1651" s="4">
        <f>IF(L1651="","",IF(OR(Registro2[[#This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51" t="str">
        <f t="shared" si="25"/>
        <v>abr/25</v>
      </c>
      <c r="P1651" t="str">
        <f>IF(Registro2[[#This Row],[Data de Pagamento]]&gt;0,TEXT(A1651,"mmm/aa"),"")</f>
        <v>abr/25</v>
      </c>
      <c r="T1651" s="4">
        <f>IF(Registro2[[#This Row],[Data de Pagamento]]="",0,IF(Registro2[[#This Row],[Conta Financeira]]=base!$A$6,0,Registro2[[#This Row],[Valor Unitário]]))</f>
        <v>35</v>
      </c>
      <c r="U16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51" t="str">
        <f>VLOOKUP(Registro2[[#This Row],[Categoria]],'Plano de Contas'!$V$3:W1714,2,0)</f>
        <v>Receitas Serviços</v>
      </c>
      <c r="X165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652" spans="1:24" hidden="1">
      <c r="A1652" s="1">
        <v>45769.739583333336</v>
      </c>
      <c r="B1652" s="1">
        <v>45769.739583333336</v>
      </c>
      <c r="D1652" t="s">
        <v>1</v>
      </c>
      <c r="E1652" t="s">
        <v>149</v>
      </c>
      <c r="F1652" t="s">
        <v>147</v>
      </c>
      <c r="G1652" t="s">
        <v>163</v>
      </c>
      <c r="I1652" s="4">
        <v>35</v>
      </c>
      <c r="J1652" s="4">
        <v>35</v>
      </c>
      <c r="L1652" t="s">
        <v>253</v>
      </c>
      <c r="M1652" t="s">
        <v>2495</v>
      </c>
      <c r="N1652" s="4">
        <f>IF(L1652="","",IF(OR(Registro2[[#This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52" t="str">
        <f t="shared" si="25"/>
        <v>abr/25</v>
      </c>
      <c r="P1652" t="str">
        <f>IF(Registro2[[#This Row],[Data de Pagamento]]&gt;0,TEXT(A1652,"mmm/aa"),"")</f>
        <v>abr/25</v>
      </c>
      <c r="T1652" s="4">
        <f>IF(Registro2[[#This Row],[Data de Pagamento]]="",0,IF(Registro2[[#This Row],[Conta Financeira]]=base!$A$6,0,Registro2[[#This Row],[Valor Unitário]]))</f>
        <v>35</v>
      </c>
      <c r="U16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52" t="str">
        <f>VLOOKUP(Registro2[[#This Row],[Categoria]],'Plano de Contas'!$V$3:W1715,2,0)</f>
        <v>Receitas Serviços</v>
      </c>
      <c r="X165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53" spans="1:24" hidden="1">
      <c r="A1653" s="1">
        <v>45769.75</v>
      </c>
      <c r="B1653" s="1">
        <v>45769.75</v>
      </c>
      <c r="D1653" t="s">
        <v>1</v>
      </c>
      <c r="E1653" t="s">
        <v>149</v>
      </c>
      <c r="F1653" t="s">
        <v>147</v>
      </c>
      <c r="G1653" t="s">
        <v>163</v>
      </c>
      <c r="I1653" s="4">
        <v>35</v>
      </c>
      <c r="J1653" s="4">
        <v>45</v>
      </c>
      <c r="L1653" t="s">
        <v>264</v>
      </c>
      <c r="M1653" t="s">
        <v>1134</v>
      </c>
      <c r="N1653" s="4">
        <f>IF(L1653="","",IF(OR(Registro2[[#This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53" t="str">
        <f t="shared" si="25"/>
        <v>abr/25</v>
      </c>
      <c r="P1653" t="str">
        <f>IF(Registro2[[#This Row],[Data de Pagamento]]&gt;0,TEXT(A1653,"mmm/aa"),"")</f>
        <v>abr/25</v>
      </c>
      <c r="T1653" s="4">
        <f>IF(Registro2[[#This Row],[Data de Pagamento]]="",0,IF(Registro2[[#This Row],[Conta Financeira]]=base!$A$6,0,Registro2[[#This Row],[Valor Unitário]]))</f>
        <v>35</v>
      </c>
      <c r="U16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53" t="str">
        <f>VLOOKUP(Registro2[[#This Row],[Categoria]],'Plano de Contas'!$V$3:W1710,2,0)</f>
        <v>Receitas Serviços</v>
      </c>
      <c r="X165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54" spans="1:24" hidden="1">
      <c r="A1654" s="1">
        <v>45769.75</v>
      </c>
      <c r="B1654" s="1">
        <v>45769.75</v>
      </c>
      <c r="D1654" t="s">
        <v>1</v>
      </c>
      <c r="E1654" t="s">
        <v>149</v>
      </c>
      <c r="F1654" t="s">
        <v>147</v>
      </c>
      <c r="G1654" t="s">
        <v>167</v>
      </c>
      <c r="I1654" s="4">
        <v>10</v>
      </c>
      <c r="J1654" s="4"/>
      <c r="L1654" t="s">
        <v>264</v>
      </c>
      <c r="M1654" t="s">
        <v>1134</v>
      </c>
      <c r="N1654" s="4">
        <f>IF(L1654="","",IF(OR(Registro2[[#This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654" t="str">
        <f t="shared" si="25"/>
        <v>abr/25</v>
      </c>
      <c r="P1654" t="str">
        <f>IF(Registro2[[#This Row],[Data de Pagamento]]&gt;0,TEXT(A1654,"mmm/aa"),"")</f>
        <v>abr/25</v>
      </c>
      <c r="T1654" s="4">
        <f>IF(Registro2[[#This Row],[Data de Pagamento]]="",0,IF(Registro2[[#This Row],[Conta Financeira]]=base!$A$6,0,Registro2[[#This Row],[Valor Unitário]]))</f>
        <v>10</v>
      </c>
      <c r="U16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54" t="str">
        <f>VLOOKUP(Registro2[[#This Row],[Categoria]],'Plano de Contas'!$V$3:W1711,2,0)</f>
        <v>Receitas Serviços</v>
      </c>
      <c r="X165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55" spans="1:24" hidden="1">
      <c r="A1655" s="1">
        <v>45769.770833333336</v>
      </c>
      <c r="B1655" s="1">
        <v>45769.770833333336</v>
      </c>
      <c r="D1655" t="s">
        <v>1</v>
      </c>
      <c r="E1655" t="s">
        <v>149</v>
      </c>
      <c r="F1655" t="s">
        <v>147</v>
      </c>
      <c r="G1655" t="s">
        <v>163</v>
      </c>
      <c r="I1655" s="4">
        <v>35</v>
      </c>
      <c r="J1655" s="4">
        <v>45</v>
      </c>
      <c r="L1655" t="s">
        <v>252</v>
      </c>
      <c r="M1655" t="s">
        <v>1116</v>
      </c>
      <c r="N1655" s="4">
        <f>IF(L1655="","",IF(OR(Registro2[[#This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55" t="str">
        <f t="shared" si="25"/>
        <v>abr/25</v>
      </c>
      <c r="P1655" t="str">
        <f>IF(Registro2[[#This Row],[Data de Pagamento]]&gt;0,TEXT(A1655,"mmm/aa"),"")</f>
        <v>abr/25</v>
      </c>
      <c r="T1655" s="4">
        <f>IF(Registro2[[#This Row],[Data de Pagamento]]="",0,IF(Registro2[[#This Row],[Conta Financeira]]=base!$A$6,0,Registro2[[#This Row],[Valor Unitário]]))</f>
        <v>35</v>
      </c>
      <c r="U16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55" t="str">
        <f>VLOOKUP(Registro2[[#This Row],[Categoria]],'Plano de Contas'!$V$3:W1691,2,0)</f>
        <v>Receitas Serviços</v>
      </c>
      <c r="X16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56" spans="1:24" hidden="1">
      <c r="A1656" s="1">
        <v>45769.770833333336</v>
      </c>
      <c r="B1656" s="1">
        <v>45769.770833333336</v>
      </c>
      <c r="D1656" t="s">
        <v>1</v>
      </c>
      <c r="E1656" t="s">
        <v>149</v>
      </c>
      <c r="F1656" t="s">
        <v>147</v>
      </c>
      <c r="G1656" t="s">
        <v>167</v>
      </c>
      <c r="I1656" s="4">
        <v>10</v>
      </c>
      <c r="J1656" s="4"/>
      <c r="L1656" t="s">
        <v>252</v>
      </c>
      <c r="M1656" t="s">
        <v>1116</v>
      </c>
      <c r="N1656" s="4">
        <f>IF(L1656="","",IF(OR(Registro2[[#This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656" t="str">
        <f t="shared" si="25"/>
        <v>abr/25</v>
      </c>
      <c r="P1656" t="str">
        <f>IF(Registro2[[#This Row],[Data de Pagamento]]&gt;0,TEXT(A1656,"mmm/aa"),"")</f>
        <v>abr/25</v>
      </c>
      <c r="T1656" s="4">
        <f>IF(Registro2[[#This Row],[Data de Pagamento]]="",0,IF(Registro2[[#This Row],[Conta Financeira]]=base!$A$6,0,Registro2[[#This Row],[Valor Unitário]]))</f>
        <v>10</v>
      </c>
      <c r="U16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56" t="str">
        <f>VLOOKUP(Registro2[[#This Row],[Categoria]],'Plano de Contas'!$V$3:W1692,2,0)</f>
        <v>Receitas Serviços</v>
      </c>
      <c r="X165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57" spans="1:24" hidden="1">
      <c r="A1657" s="1">
        <v>45769.770833333336</v>
      </c>
      <c r="B1657" s="1">
        <v>45769.770833333336</v>
      </c>
      <c r="D1657" t="s">
        <v>310</v>
      </c>
      <c r="E1657" t="s">
        <v>149</v>
      </c>
      <c r="F1657" t="s">
        <v>147</v>
      </c>
      <c r="G1657" t="s">
        <v>163</v>
      </c>
      <c r="I1657" s="4">
        <v>35</v>
      </c>
      <c r="J1657" s="4">
        <v>60</v>
      </c>
      <c r="L1657" t="s">
        <v>253</v>
      </c>
      <c r="M1657" t="s">
        <v>2332</v>
      </c>
      <c r="N1657" s="4">
        <f>IF(L1657="","",IF(OR(Registro2[[#This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57" t="str">
        <f t="shared" si="25"/>
        <v>abr/25</v>
      </c>
      <c r="P1657" t="str">
        <f>IF(Registro2[[#This Row],[Data de Pagamento]]&gt;0,TEXT(A1657,"mmm/aa"),"")</f>
        <v>abr/25</v>
      </c>
      <c r="T1657" s="4">
        <f>IF(Registro2[[#This Row],[Data de Pagamento]]="",0,IF(Registro2[[#This Row],[Conta Financeira]]=base!$A$6,0,Registro2[[#This Row],[Valor Unitário]]))</f>
        <v>35</v>
      </c>
      <c r="U16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57" t="str">
        <f>VLOOKUP(Registro2[[#This Row],[Categoria]],'Plano de Contas'!$V$3:W1718,2,0)</f>
        <v>Receitas Serviços</v>
      </c>
      <c r="X165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658" spans="1:24" hidden="1">
      <c r="A1658" s="1">
        <v>45769.770833333336</v>
      </c>
      <c r="B1658" s="1">
        <v>45769.770833333336</v>
      </c>
      <c r="D1658" t="s">
        <v>310</v>
      </c>
      <c r="E1658" t="s">
        <v>149</v>
      </c>
      <c r="F1658" t="s">
        <v>150</v>
      </c>
      <c r="G1658" t="s">
        <v>509</v>
      </c>
      <c r="I1658" s="4">
        <v>25</v>
      </c>
      <c r="J1658" s="4"/>
      <c r="L1658" t="s">
        <v>253</v>
      </c>
      <c r="M1658" t="s">
        <v>2332</v>
      </c>
      <c r="N1658" s="4">
        <f>IF(L1658="","",IF(OR(Registro2[[#This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658" t="str">
        <f t="shared" si="25"/>
        <v>abr/25</v>
      </c>
      <c r="P1658" t="str">
        <f>IF(Registro2[[#This Row],[Data de Pagamento]]&gt;0,TEXT(A1658,"mmm/aa"),"")</f>
        <v>abr/25</v>
      </c>
      <c r="T1658" s="4">
        <f>IF(Registro2[[#This Row],[Data de Pagamento]]="",0,IF(Registro2[[#This Row],[Conta Financeira]]=base!$A$6,0,Registro2[[#This Row],[Valor Unitário]]))</f>
        <v>25</v>
      </c>
      <c r="U16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58" t="str">
        <f>VLOOKUP(Registro2[[#This Row],[Categoria]],'Plano de Contas'!$V$3:W1719,2,0)</f>
        <v>Receitas Produtos</v>
      </c>
      <c r="X165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0.2225</v>
      </c>
    </row>
    <row r="1659" spans="1:24" hidden="1">
      <c r="A1659" s="1">
        <v>45769.791666666664</v>
      </c>
      <c r="B1659" s="1">
        <v>45769.791666666664</v>
      </c>
      <c r="D1659" t="s">
        <v>1</v>
      </c>
      <c r="E1659" t="s">
        <v>149</v>
      </c>
      <c r="F1659" t="s">
        <v>147</v>
      </c>
      <c r="G1659" t="s">
        <v>163</v>
      </c>
      <c r="I1659" s="4">
        <v>35</v>
      </c>
      <c r="J1659" s="4">
        <v>50</v>
      </c>
      <c r="L1659" t="s">
        <v>264</v>
      </c>
      <c r="M1659" t="s">
        <v>496</v>
      </c>
      <c r="N1659" s="4">
        <f>IF(L1659="","",IF(OR(Registro2[[#This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59" t="str">
        <f t="shared" si="25"/>
        <v>abr/25</v>
      </c>
      <c r="P1659" t="str">
        <f>IF(Registro2[[#This Row],[Data de Pagamento]]&gt;0,TEXT(A1659,"mmm/aa"),"")</f>
        <v>abr/25</v>
      </c>
      <c r="T1659" s="4">
        <f>IF(Registro2[[#This Row],[Data de Pagamento]]="",0,IF(Registro2[[#This Row],[Conta Financeira]]=base!$A$6,0,Registro2[[#This Row],[Valor Unitário]]))</f>
        <v>35</v>
      </c>
      <c r="U16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59" t="str">
        <f>VLOOKUP(Registro2[[#This Row],[Categoria]],'Plano de Contas'!$V$3:W1716,2,0)</f>
        <v>Receitas Serviços</v>
      </c>
      <c r="X165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60" spans="1:24" hidden="1">
      <c r="A1660" s="1">
        <v>45769.791666666664</v>
      </c>
      <c r="B1660" s="1">
        <v>45769.791666666664</v>
      </c>
      <c r="D1660" t="s">
        <v>1</v>
      </c>
      <c r="E1660" t="s">
        <v>149</v>
      </c>
      <c r="F1660" t="s">
        <v>147</v>
      </c>
      <c r="G1660" t="s">
        <v>1187</v>
      </c>
      <c r="I1660" s="4">
        <v>15</v>
      </c>
      <c r="J1660" s="4"/>
      <c r="L1660" t="s">
        <v>264</v>
      </c>
      <c r="M1660" t="s">
        <v>496</v>
      </c>
      <c r="N1660" s="4">
        <f>IF(L1660="","",IF(OR(Registro2[[#This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660" t="str">
        <f t="shared" si="25"/>
        <v>abr/25</v>
      </c>
      <c r="P1660" t="str">
        <f>IF(Registro2[[#This Row],[Data de Pagamento]]&gt;0,TEXT(A1660,"mmm/aa"),"")</f>
        <v>abr/25</v>
      </c>
      <c r="T1660" s="4">
        <f>IF(Registro2[[#This Row],[Data de Pagamento]]="",0,IF(Registro2[[#This Row],[Conta Financeira]]=base!$A$6,0,Registro2[[#This Row],[Valor Unitário]]))</f>
        <v>15</v>
      </c>
      <c r="U16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60" t="str">
        <f>VLOOKUP(Registro2[[#This Row],[Categoria]],'Plano de Contas'!$V$3:W1717,2,0)</f>
        <v>Receitas Serviços</v>
      </c>
      <c r="X16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61" spans="1:24" hidden="1">
      <c r="A1661" s="1">
        <v>45769.802083333336</v>
      </c>
      <c r="B1661" s="1">
        <v>45769.802083333336</v>
      </c>
      <c r="D1661" t="s">
        <v>1</v>
      </c>
      <c r="E1661" t="s">
        <v>149</v>
      </c>
      <c r="F1661" t="s">
        <v>147</v>
      </c>
      <c r="G1661" t="s">
        <v>163</v>
      </c>
      <c r="I1661" s="4">
        <v>35</v>
      </c>
      <c r="J1661" s="4">
        <v>55</v>
      </c>
      <c r="L1661" t="s">
        <v>252</v>
      </c>
      <c r="M1661" t="s">
        <v>281</v>
      </c>
      <c r="N1661" s="4">
        <f>IF(L1661="","",IF(OR(Registro2[[#This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61" t="str">
        <f t="shared" si="25"/>
        <v>abr/25</v>
      </c>
      <c r="P1661" t="str">
        <f>IF(Registro2[[#This Row],[Data de Pagamento]]&gt;0,TEXT(A1661,"mmm/aa"),"")</f>
        <v>abr/25</v>
      </c>
      <c r="T1661" s="4">
        <f>IF(Registro2[[#This Row],[Data de Pagamento]]="",0,IF(Registro2[[#This Row],[Conta Financeira]]=base!$A$6,0,Registro2[[#This Row],[Valor Unitário]]))</f>
        <v>35</v>
      </c>
      <c r="U16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61" t="str">
        <f>VLOOKUP(Registro2[[#This Row],[Categoria]],'Plano de Contas'!$V$3:W1720,2,0)</f>
        <v>Receitas Serviços</v>
      </c>
      <c r="X16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62" spans="1:24" hidden="1">
      <c r="A1662" s="1">
        <v>45769.802083333336</v>
      </c>
      <c r="B1662" s="1">
        <v>45769.802083333336</v>
      </c>
      <c r="D1662" t="s">
        <v>1</v>
      </c>
      <c r="E1662" t="s">
        <v>149</v>
      </c>
      <c r="F1662" t="s">
        <v>147</v>
      </c>
      <c r="G1662" t="s">
        <v>166</v>
      </c>
      <c r="I1662" s="4">
        <v>20</v>
      </c>
      <c r="J1662" s="4"/>
      <c r="L1662" t="s">
        <v>252</v>
      </c>
      <c r="M1662" t="s">
        <v>281</v>
      </c>
      <c r="N1662" s="4">
        <f>IF(L1662="","",IF(OR(Registro2[[#This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662" t="str">
        <f t="shared" si="25"/>
        <v>abr/25</v>
      </c>
      <c r="P1662" t="str">
        <f>IF(Registro2[[#This Row],[Data de Pagamento]]&gt;0,TEXT(A1662,"mmm/aa"),"")</f>
        <v>abr/25</v>
      </c>
      <c r="T1662" s="4">
        <f>IF(Registro2[[#This Row],[Data de Pagamento]]="",0,IF(Registro2[[#This Row],[Conta Financeira]]=base!$A$6,0,Registro2[[#This Row],[Valor Unitário]]))</f>
        <v>20</v>
      </c>
      <c r="U16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62" t="str">
        <f>VLOOKUP(Registro2[[#This Row],[Categoria]],'Plano de Contas'!$V$3:W1721,2,0)</f>
        <v>Receitas Serviços</v>
      </c>
      <c r="X166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63" spans="1:24" hidden="1">
      <c r="A1663" s="1">
        <v>45769.881944444445</v>
      </c>
      <c r="B1663" s="1">
        <v>45769.881944444445</v>
      </c>
      <c r="D1663" t="s">
        <v>354</v>
      </c>
      <c r="E1663" t="s">
        <v>149</v>
      </c>
      <c r="F1663" t="s">
        <v>152</v>
      </c>
      <c r="G1663" t="s">
        <v>353</v>
      </c>
      <c r="I1663" s="4">
        <v>60</v>
      </c>
      <c r="J1663" s="4">
        <v>75</v>
      </c>
      <c r="L1663" t="s">
        <v>253</v>
      </c>
      <c r="M1663" t="s">
        <v>1154</v>
      </c>
      <c r="N1663" s="4">
        <f>IF(L1663="","",IF(OR(Registro2[[#This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663" t="str">
        <f t="shared" si="25"/>
        <v>abr/25</v>
      </c>
      <c r="P1663" t="str">
        <f>IF(Registro2[[#This Row],[Data de Pagamento]]&gt;0,TEXT(A1663,"mmm/aa"),"")</f>
        <v>abr/25</v>
      </c>
      <c r="T1663" s="4">
        <f>IF(Registro2[[#This Row],[Data de Pagamento]]="",0,IF(Registro2[[#This Row],[Conta Financeira]]=base!$A$6,0,Registro2[[#This Row],[Valor Unitário]]))</f>
        <v>60</v>
      </c>
      <c r="U16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63" t="str">
        <f>VLOOKUP(Registro2[[#This Row],[Categoria]],'Plano de Contas'!$V$3:W1722,2,0)</f>
        <v>Receitas Serviços</v>
      </c>
      <c r="X166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</row>
    <row r="1664" spans="1:24" hidden="1">
      <c r="A1664" s="1">
        <v>45769.881944444445</v>
      </c>
      <c r="B1664" s="1">
        <v>45769.881944444445</v>
      </c>
      <c r="D1664" t="s">
        <v>354</v>
      </c>
      <c r="E1664" t="s">
        <v>149</v>
      </c>
      <c r="F1664" t="s">
        <v>147</v>
      </c>
      <c r="G1664" t="s">
        <v>1187</v>
      </c>
      <c r="I1664" s="4">
        <v>15</v>
      </c>
      <c r="J1664" s="4"/>
      <c r="L1664" t="s">
        <v>253</v>
      </c>
      <c r="M1664" t="s">
        <v>1154</v>
      </c>
      <c r="N1664" s="4">
        <f>IF(L1664="","",IF(OR(Registro2[[#This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664" t="str">
        <f t="shared" si="25"/>
        <v>abr/25</v>
      </c>
      <c r="P1664" t="str">
        <f>IF(Registro2[[#This Row],[Data de Pagamento]]&gt;0,TEXT(A1664,"mmm/aa"),"")</f>
        <v>abr/25</v>
      </c>
      <c r="T1664" s="4">
        <f>IF(Registro2[[#This Row],[Data de Pagamento]]="",0,IF(Registro2[[#This Row],[Conta Financeira]]=base!$A$6,0,Registro2[[#This Row],[Valor Unitário]]))</f>
        <v>15</v>
      </c>
      <c r="U16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64" t="str">
        <f>VLOOKUP(Registro2[[#This Row],[Categoria]],'Plano de Contas'!$V$3:W1723,2,0)</f>
        <v>Receitas Serviços</v>
      </c>
      <c r="X166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0.47250000000000003</v>
      </c>
    </row>
    <row r="1665" spans="1:24" hidden="1">
      <c r="A1665" s="1">
        <v>45769.899305555555</v>
      </c>
      <c r="B1665" s="1">
        <v>45769.899305555555</v>
      </c>
      <c r="D1665" t="s">
        <v>2</v>
      </c>
      <c r="E1665" t="s">
        <v>149</v>
      </c>
      <c r="F1665" t="s">
        <v>152</v>
      </c>
      <c r="G1665" t="s">
        <v>353</v>
      </c>
      <c r="I1665" s="4">
        <v>50</v>
      </c>
      <c r="J1665" s="4">
        <v>50</v>
      </c>
      <c r="L1665" t="s">
        <v>253</v>
      </c>
      <c r="M1665" t="s">
        <v>506</v>
      </c>
      <c r="N1665" s="4">
        <f>IF(L1665="","",IF(OR(Registro2[[#This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665" t="str">
        <f t="shared" si="25"/>
        <v>abr/25</v>
      </c>
      <c r="P1665" t="str">
        <f>IF(Registro2[[#This Row],[Data de Pagamento]]&gt;0,TEXT(A1665,"mmm/aa"),"")</f>
        <v>abr/25</v>
      </c>
      <c r="T1665" s="4">
        <f>IF(Registro2[[#This Row],[Data de Pagamento]]="",0,IF(Registro2[[#This Row],[Conta Financeira]]=base!$A$6,0,Registro2[[#This Row],[Valor Unitário]]))</f>
        <v>50</v>
      </c>
      <c r="U16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65" t="str">
        <f>VLOOKUP(Registro2[[#This Row],[Categoria]],'Plano de Contas'!$V$3:W1724,2,0)</f>
        <v>Receitas Serviços</v>
      </c>
      <c r="X166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66" spans="1:24" hidden="1">
      <c r="A1666" s="1">
        <v>45770.416666666664</v>
      </c>
      <c r="B1666" s="1">
        <v>45770.416666666664</v>
      </c>
      <c r="D1666" t="s">
        <v>1</v>
      </c>
      <c r="E1666" t="s">
        <v>149</v>
      </c>
      <c r="F1666" t="s">
        <v>147</v>
      </c>
      <c r="G1666" t="s">
        <v>163</v>
      </c>
      <c r="I1666" s="4">
        <v>35</v>
      </c>
      <c r="J1666" s="4">
        <v>35</v>
      </c>
      <c r="L1666" t="s">
        <v>264</v>
      </c>
      <c r="M1666" t="s">
        <v>1590</v>
      </c>
      <c r="N1666" s="4">
        <f>IF(L1666="","",IF(OR(Registro2[[#This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66" t="str">
        <f t="shared" ref="O1666:O1729" si="26">TEXT(B1666,"mmm/aa")</f>
        <v>abr/25</v>
      </c>
      <c r="P1666" t="str">
        <f>IF(Registro2[[#This Row],[Data de Pagamento]]&gt;0,TEXT(A1666,"mmm/aa"),"")</f>
        <v>abr/25</v>
      </c>
      <c r="T1666" s="4">
        <f>IF(Registro2[[#This Row],[Data de Pagamento]]="",0,IF(Registro2[[#This Row],[Conta Financeira]]=base!$A$6,0,Registro2[[#This Row],[Valor Unitário]]))</f>
        <v>35</v>
      </c>
      <c r="U16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66" t="str">
        <f>VLOOKUP(Registro2[[#This Row],[Categoria]],'Plano de Contas'!$V$3:W1725,2,0)</f>
        <v>Receitas Serviços</v>
      </c>
      <c r="X16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67" spans="1:24" hidden="1">
      <c r="A1667" s="1">
        <v>45770.416666666664</v>
      </c>
      <c r="B1667" s="1">
        <v>45770.416666666664</v>
      </c>
      <c r="D1667" t="s">
        <v>1</v>
      </c>
      <c r="E1667" t="s">
        <v>149</v>
      </c>
      <c r="F1667" t="s">
        <v>147</v>
      </c>
      <c r="G1667" t="s">
        <v>163</v>
      </c>
      <c r="I1667" s="4">
        <v>35</v>
      </c>
      <c r="J1667" s="4">
        <v>70</v>
      </c>
      <c r="L1667" t="s">
        <v>252</v>
      </c>
      <c r="M1667" t="s">
        <v>16</v>
      </c>
      <c r="N1667" s="4">
        <f>IF(L1667="","",IF(OR(Registro2[[#This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67" t="str">
        <f t="shared" si="26"/>
        <v>abr/25</v>
      </c>
      <c r="P1667" t="str">
        <f>IF(Registro2[[#This Row],[Data de Pagamento]]&gt;0,TEXT(A1667,"mmm/aa"),"")</f>
        <v>abr/25</v>
      </c>
      <c r="T1667" s="4">
        <f>IF(Registro2[[#This Row],[Data de Pagamento]]="",0,IF(Registro2[[#This Row],[Conta Financeira]]=base!$A$6,0,Registro2[[#This Row],[Valor Unitário]]))</f>
        <v>35</v>
      </c>
      <c r="U16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67" t="str">
        <f>VLOOKUP(Registro2[[#This Row],[Categoria]],'Plano de Contas'!$V$3:W1726,2,0)</f>
        <v>Receitas Serviços</v>
      </c>
      <c r="X166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68" spans="1:24" hidden="1">
      <c r="A1668" s="1">
        <v>45770.416666666664</v>
      </c>
      <c r="B1668" s="1">
        <v>45770.416666666664</v>
      </c>
      <c r="D1668" t="s">
        <v>1</v>
      </c>
      <c r="E1668" t="s">
        <v>149</v>
      </c>
      <c r="F1668" t="s">
        <v>147</v>
      </c>
      <c r="G1668" t="s">
        <v>163</v>
      </c>
      <c r="I1668" s="4">
        <v>35</v>
      </c>
      <c r="J1668" s="4"/>
      <c r="L1668" t="s">
        <v>253</v>
      </c>
      <c r="M1668" t="s">
        <v>16</v>
      </c>
      <c r="N1668" s="4">
        <f>IF(L1668="","",IF(OR(Registro2[[#This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68" t="str">
        <f t="shared" si="26"/>
        <v>abr/25</v>
      </c>
      <c r="P1668" t="str">
        <f>IF(Registro2[[#This Row],[Data de Pagamento]]&gt;0,TEXT(A1668,"mmm/aa"),"")</f>
        <v>abr/25</v>
      </c>
      <c r="T1668" s="4">
        <f>IF(Registro2[[#This Row],[Data de Pagamento]]="",0,IF(Registro2[[#This Row],[Conta Financeira]]=base!$A$6,0,Registro2[[#This Row],[Valor Unitário]]))</f>
        <v>35</v>
      </c>
      <c r="U16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68" t="str">
        <f>VLOOKUP(Registro2[[#This Row],[Categoria]],'Plano de Contas'!$V$3:W1727,2,0)</f>
        <v>Receitas Serviços</v>
      </c>
      <c r="X166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69" spans="1:24" hidden="1">
      <c r="A1669" s="1">
        <v>45770.479166666664</v>
      </c>
      <c r="B1669" s="1">
        <v>45770.479166666664</v>
      </c>
      <c r="D1669" t="s">
        <v>1</v>
      </c>
      <c r="E1669" t="s">
        <v>149</v>
      </c>
      <c r="F1669" t="s">
        <v>147</v>
      </c>
      <c r="G1669" t="s">
        <v>163</v>
      </c>
      <c r="I1669" s="4">
        <v>35</v>
      </c>
      <c r="J1669" s="4">
        <v>35</v>
      </c>
      <c r="L1669" t="s">
        <v>252</v>
      </c>
      <c r="M1669" t="s">
        <v>382</v>
      </c>
      <c r="N1669" s="4">
        <f>IF(L1669="","",IF(OR(Registro2[[#This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69" t="str">
        <f t="shared" si="26"/>
        <v>abr/25</v>
      </c>
      <c r="P1669" t="str">
        <f>IF(Registro2[[#This Row],[Data de Pagamento]]&gt;0,TEXT(A1669,"mmm/aa"),"")</f>
        <v>abr/25</v>
      </c>
      <c r="T1669" s="4">
        <f>IF(Registro2[[#This Row],[Data de Pagamento]]="",0,IF(Registro2[[#This Row],[Conta Financeira]]=base!$A$6,0,Registro2[[#This Row],[Valor Unitário]]))</f>
        <v>35</v>
      </c>
      <c r="U16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69" t="str">
        <f>VLOOKUP(Registro2[[#This Row],[Categoria]],'Plano de Contas'!$V$3:W1732,2,0)</f>
        <v>Receitas Serviços</v>
      </c>
      <c r="X166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70" spans="1:24" hidden="1">
      <c r="A1670" s="1">
        <v>45770.5</v>
      </c>
      <c r="B1670" s="1">
        <v>45770.5</v>
      </c>
      <c r="D1670" t="s">
        <v>1</v>
      </c>
      <c r="E1670" t="s">
        <v>149</v>
      </c>
      <c r="F1670" t="s">
        <v>147</v>
      </c>
      <c r="G1670" t="s">
        <v>163</v>
      </c>
      <c r="I1670" s="4">
        <v>35</v>
      </c>
      <c r="J1670" s="4">
        <v>95</v>
      </c>
      <c r="L1670" t="s">
        <v>264</v>
      </c>
      <c r="M1670" t="s">
        <v>2525</v>
      </c>
      <c r="N1670" s="4">
        <f>IF(L1670="","",IF(OR(Registro2[[#This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70" t="str">
        <f t="shared" si="26"/>
        <v>abr/25</v>
      </c>
      <c r="P1670" t="str">
        <f>IF(Registro2[[#This Row],[Data de Pagamento]]&gt;0,TEXT(A1670,"mmm/aa"),"")</f>
        <v>abr/25</v>
      </c>
      <c r="T1670" s="4">
        <f>IF(Registro2[[#This Row],[Data de Pagamento]]="",0,IF(Registro2[[#This Row],[Conta Financeira]]=base!$A$6,0,Registro2[[#This Row],[Valor Unitário]]))</f>
        <v>35</v>
      </c>
      <c r="U16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70" t="str">
        <f>VLOOKUP(Registro2[[#This Row],[Categoria]],'Plano de Contas'!$V$3:W1728,2,0)</f>
        <v>Receitas Serviços</v>
      </c>
      <c r="X167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71" spans="1:24" hidden="1">
      <c r="A1671" s="1">
        <v>45770.5</v>
      </c>
      <c r="B1671" s="1">
        <v>45770.5</v>
      </c>
      <c r="D1671" t="s">
        <v>1</v>
      </c>
      <c r="E1671" t="s">
        <v>149</v>
      </c>
      <c r="F1671" t="s">
        <v>147</v>
      </c>
      <c r="G1671" t="s">
        <v>163</v>
      </c>
      <c r="I1671" s="4">
        <v>35</v>
      </c>
      <c r="J1671" s="4"/>
      <c r="L1671" t="s">
        <v>264</v>
      </c>
      <c r="M1671" t="s">
        <v>2525</v>
      </c>
      <c r="N1671" s="4">
        <f>IF(L1671="","",IF(OR(Registro2[[#This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71" t="str">
        <f t="shared" si="26"/>
        <v>abr/25</v>
      </c>
      <c r="P1671" t="str">
        <f>IF(Registro2[[#This Row],[Data de Pagamento]]&gt;0,TEXT(A1671,"mmm/aa"),"")</f>
        <v>abr/25</v>
      </c>
      <c r="T1671" s="4">
        <f>IF(Registro2[[#This Row],[Data de Pagamento]]="",0,IF(Registro2[[#This Row],[Conta Financeira]]=base!$A$6,0,Registro2[[#This Row],[Valor Unitário]]))</f>
        <v>35</v>
      </c>
      <c r="U16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71" t="str">
        <f>VLOOKUP(Registro2[[#This Row],[Categoria]],'Plano de Contas'!$V$3:W1729,2,0)</f>
        <v>Receitas Serviços</v>
      </c>
      <c r="X167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72" spans="1:24" hidden="1">
      <c r="A1672" s="1">
        <v>45770.5</v>
      </c>
      <c r="B1672" s="1">
        <v>45770.5</v>
      </c>
      <c r="D1672" t="s">
        <v>1</v>
      </c>
      <c r="E1672" t="s">
        <v>149</v>
      </c>
      <c r="F1672" t="s">
        <v>150</v>
      </c>
      <c r="G1672" t="s">
        <v>2526</v>
      </c>
      <c r="I1672" s="4">
        <v>25</v>
      </c>
      <c r="J1672" s="4"/>
      <c r="L1672" t="s">
        <v>264</v>
      </c>
      <c r="M1672" t="s">
        <v>2525</v>
      </c>
      <c r="N1672" s="4">
        <f>IF(L1672="","",IF(OR(Registro2[[#This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672" t="str">
        <f t="shared" si="26"/>
        <v>abr/25</v>
      </c>
      <c r="P1672" t="str">
        <f>IF(Registro2[[#This Row],[Data de Pagamento]]&gt;0,TEXT(A1672,"mmm/aa"),"")</f>
        <v>abr/25</v>
      </c>
      <c r="T1672" s="4">
        <f>IF(Registro2[[#This Row],[Data de Pagamento]]="",0,IF(Registro2[[#This Row],[Conta Financeira]]=base!$A$6,0,Registro2[[#This Row],[Valor Unitário]]))</f>
        <v>25</v>
      </c>
      <c r="U16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72" t="e">
        <f>VLOOKUP(Registro2[[#This Row],[Categoria]],'Plano de Contas'!$V$3:W1730,2,0)</f>
        <v>#N/A</v>
      </c>
      <c r="X167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73" spans="1:24" hidden="1">
      <c r="A1673" s="1">
        <v>45770.520833333336</v>
      </c>
      <c r="B1673" s="1">
        <v>45770.520833333336</v>
      </c>
      <c r="D1673" t="s">
        <v>1</v>
      </c>
      <c r="E1673" t="s">
        <v>149</v>
      </c>
      <c r="F1673" t="s">
        <v>152</v>
      </c>
      <c r="G1673" t="s">
        <v>353</v>
      </c>
      <c r="I1673" s="4">
        <v>60</v>
      </c>
      <c r="J1673" s="4">
        <v>60</v>
      </c>
      <c r="L1673" t="s">
        <v>252</v>
      </c>
      <c r="M1673" t="s">
        <v>131</v>
      </c>
      <c r="N1673" s="4">
        <f>IF(L1673="","",IF(OR(Registro2[[#This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673" t="str">
        <f t="shared" si="26"/>
        <v>abr/25</v>
      </c>
      <c r="P1673" t="str">
        <f>IF(Registro2[[#This Row],[Data de Pagamento]]&gt;0,TEXT(A1673,"mmm/aa"),"")</f>
        <v>abr/25</v>
      </c>
      <c r="T1673" s="4">
        <f>IF(Registro2[[#This Row],[Data de Pagamento]]="",0,IF(Registro2[[#This Row],[Conta Financeira]]=base!$A$6,0,Registro2[[#This Row],[Valor Unitário]]))</f>
        <v>60</v>
      </c>
      <c r="U16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73" t="str">
        <f>VLOOKUP(Registro2[[#This Row],[Categoria]],'Plano de Contas'!$V$3:W1731,2,0)</f>
        <v>Receitas Serviços</v>
      </c>
      <c r="X167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74" spans="1:24" hidden="1">
      <c r="A1674" s="1">
        <v>45770.545138888891</v>
      </c>
      <c r="B1674" s="1">
        <v>45770.545138888891</v>
      </c>
      <c r="D1674" t="s">
        <v>1</v>
      </c>
      <c r="E1674" t="s">
        <v>149</v>
      </c>
      <c r="F1674" t="s">
        <v>152</v>
      </c>
      <c r="G1674" t="s">
        <v>353</v>
      </c>
      <c r="I1674" s="4">
        <v>60</v>
      </c>
      <c r="J1674" s="4">
        <v>70</v>
      </c>
      <c r="L1674" t="s">
        <v>253</v>
      </c>
      <c r="M1674" t="s">
        <v>2088</v>
      </c>
      <c r="N1674" s="4">
        <f>IF(L1674="","",IF(OR(Registro2[[#This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674" t="str">
        <f t="shared" si="26"/>
        <v>abr/25</v>
      </c>
      <c r="P1674" t="str">
        <f>IF(Registro2[[#This Row],[Data de Pagamento]]&gt;0,TEXT(A1674,"mmm/aa"),"")</f>
        <v>abr/25</v>
      </c>
      <c r="T1674" s="4">
        <f>IF(Registro2[[#This Row],[Data de Pagamento]]="",0,IF(Registro2[[#This Row],[Conta Financeira]]=base!$A$6,0,Registro2[[#This Row],[Valor Unitário]]))</f>
        <v>60</v>
      </c>
      <c r="U16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74" t="str">
        <f>VLOOKUP(Registro2[[#This Row],[Categoria]],'Plano de Contas'!$V$3:W1734,2,0)</f>
        <v>Receitas Serviços</v>
      </c>
      <c r="X167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75" spans="1:24" hidden="1">
      <c r="A1675" s="1">
        <v>45770.545138888891</v>
      </c>
      <c r="B1675" s="1">
        <v>45770.545138888891</v>
      </c>
      <c r="D1675" t="s">
        <v>1</v>
      </c>
      <c r="E1675" t="s">
        <v>149</v>
      </c>
      <c r="F1675" t="s">
        <v>147</v>
      </c>
      <c r="G1675" t="s">
        <v>166</v>
      </c>
      <c r="I1675" s="4">
        <v>10</v>
      </c>
      <c r="J1675" s="4"/>
      <c r="L1675" t="s">
        <v>253</v>
      </c>
      <c r="M1675" t="s">
        <v>2088</v>
      </c>
      <c r="N1675" s="4">
        <f>IF(L1675="","",IF(OR(Registro2[[#This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675" t="str">
        <f t="shared" si="26"/>
        <v>abr/25</v>
      </c>
      <c r="P1675" t="str">
        <f>IF(Registro2[[#This Row],[Data de Pagamento]]&gt;0,TEXT(A1675,"mmm/aa"),"")</f>
        <v>abr/25</v>
      </c>
      <c r="T1675" s="4">
        <f>IF(Registro2[[#This Row],[Data de Pagamento]]="",0,IF(Registro2[[#This Row],[Conta Financeira]]=base!$A$6,0,Registro2[[#This Row],[Valor Unitário]]))</f>
        <v>10</v>
      </c>
      <c r="U16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75" t="str">
        <f>VLOOKUP(Registro2[[#This Row],[Categoria]],'Plano de Contas'!$V$3:W1735,2,0)</f>
        <v>Receitas Serviços</v>
      </c>
      <c r="X167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76" spans="1:24" hidden="1">
      <c r="A1676" s="1">
        <v>45770.552083333336</v>
      </c>
      <c r="B1676" s="1">
        <v>45770.552083333336</v>
      </c>
      <c r="D1676" t="s">
        <v>1</v>
      </c>
      <c r="E1676" t="s">
        <v>149</v>
      </c>
      <c r="F1676" t="s">
        <v>147</v>
      </c>
      <c r="G1676" t="s">
        <v>160</v>
      </c>
      <c r="I1676" s="4">
        <v>12</v>
      </c>
      <c r="J1676" s="4">
        <v>12</v>
      </c>
      <c r="L1676" t="s">
        <v>252</v>
      </c>
      <c r="M1676" t="s">
        <v>491</v>
      </c>
      <c r="N1676" s="4">
        <f>IF(L1676="","",IF(OR(Registro2[[#This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1676" t="str">
        <f t="shared" si="26"/>
        <v>abr/25</v>
      </c>
      <c r="P1676" t="str">
        <f>IF(Registro2[[#This Row],[Data de Pagamento]]&gt;0,TEXT(A1676,"mmm/aa"),"")</f>
        <v>abr/25</v>
      </c>
      <c r="T1676" s="4">
        <f>IF(Registro2[[#This Row],[Data de Pagamento]]="",0,IF(Registro2[[#This Row],[Conta Financeira]]=base!$A$6,0,Registro2[[#This Row],[Valor Unitário]]))</f>
        <v>12</v>
      </c>
      <c r="U16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76" t="str">
        <f>VLOOKUP(Registro2[[#This Row],[Categoria]],'Plano de Contas'!$V$3:W1733,2,0)</f>
        <v>Receitas Serviços</v>
      </c>
      <c r="X167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77" spans="1:24" hidden="1">
      <c r="A1677" s="1">
        <v>45770.569444444445</v>
      </c>
      <c r="B1677" s="1">
        <v>45770.569444444445</v>
      </c>
      <c r="D1677" t="s">
        <v>1</v>
      </c>
      <c r="E1677" t="s">
        <v>149</v>
      </c>
      <c r="F1677" t="s">
        <v>147</v>
      </c>
      <c r="G1677" t="s">
        <v>163</v>
      </c>
      <c r="I1677" s="4">
        <v>35</v>
      </c>
      <c r="J1677" s="4">
        <v>55</v>
      </c>
      <c r="L1677" t="s">
        <v>252</v>
      </c>
      <c r="M1677" t="s">
        <v>1161</v>
      </c>
      <c r="N1677" s="4">
        <f>IF(L1677="","",IF(OR(Registro2[[#This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77" t="str">
        <f t="shared" si="26"/>
        <v>abr/25</v>
      </c>
      <c r="P1677" t="str">
        <f>IF(Registro2[[#This Row],[Data de Pagamento]]&gt;0,TEXT(A1677,"mmm/aa"),"")</f>
        <v>abr/25</v>
      </c>
      <c r="T1677" s="4">
        <f>IF(Registro2[[#This Row],[Data de Pagamento]]="",0,IF(Registro2[[#This Row],[Conta Financeira]]=base!$A$6,0,Registro2[[#This Row],[Valor Unitário]]))</f>
        <v>35</v>
      </c>
      <c r="U16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77" t="str">
        <f>VLOOKUP(Registro2[[#This Row],[Categoria]],'Plano de Contas'!$V$3:W1736,2,0)</f>
        <v>Receitas Serviços</v>
      </c>
      <c r="X167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78" spans="1:24" hidden="1">
      <c r="A1678" s="1">
        <v>45770.569444444445</v>
      </c>
      <c r="B1678" s="1">
        <v>45770.569444444445</v>
      </c>
      <c r="D1678" t="s">
        <v>1</v>
      </c>
      <c r="E1678" t="s">
        <v>149</v>
      </c>
      <c r="F1678" t="s">
        <v>152</v>
      </c>
      <c r="G1678" t="s">
        <v>352</v>
      </c>
      <c r="I1678" s="4">
        <v>20</v>
      </c>
      <c r="J1678" s="4"/>
      <c r="L1678" t="s">
        <v>252</v>
      </c>
      <c r="M1678" t="s">
        <v>1161</v>
      </c>
      <c r="N1678" s="4">
        <f>IF(L1678="","",IF(OR(Registro2[[#This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678" t="str">
        <f t="shared" si="26"/>
        <v>abr/25</v>
      </c>
      <c r="P1678" t="str">
        <f>IF(Registro2[[#This Row],[Data de Pagamento]]&gt;0,TEXT(A1678,"mmm/aa"),"")</f>
        <v>abr/25</v>
      </c>
      <c r="T1678" s="4">
        <f>IF(Registro2[[#This Row],[Data de Pagamento]]="",0,IF(Registro2[[#This Row],[Conta Financeira]]=base!$A$6,0,Registro2[[#This Row],[Valor Unitário]]))</f>
        <v>20</v>
      </c>
      <c r="U16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78" t="str">
        <f>VLOOKUP(Registro2[[#This Row],[Categoria]],'Plano de Contas'!$V$3:W1737,2,0)</f>
        <v>Receitas Serviços</v>
      </c>
      <c r="X16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79" spans="1:24" hidden="1">
      <c r="A1679" s="1">
        <v>45770.604166666664</v>
      </c>
      <c r="B1679" s="1">
        <v>45770.604166666664</v>
      </c>
      <c r="D1679" t="s">
        <v>354</v>
      </c>
      <c r="E1679" t="s">
        <v>149</v>
      </c>
      <c r="F1679" t="s">
        <v>147</v>
      </c>
      <c r="G1679" t="s">
        <v>163</v>
      </c>
      <c r="I1679" s="4">
        <v>35</v>
      </c>
      <c r="J1679" s="4">
        <v>55</v>
      </c>
      <c r="L1679" t="s">
        <v>253</v>
      </c>
      <c r="M1679" t="s">
        <v>1495</v>
      </c>
      <c r="N1679" s="4">
        <f>IF(L1679="","",IF(OR(Registro2[[#This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79" t="str">
        <f t="shared" si="26"/>
        <v>abr/25</v>
      </c>
      <c r="P1679" t="str">
        <f>IF(Registro2[[#This Row],[Data de Pagamento]]&gt;0,TEXT(A1679,"mmm/aa"),"")</f>
        <v>abr/25</v>
      </c>
      <c r="T1679" s="4">
        <f>IF(Registro2[[#This Row],[Data de Pagamento]]="",0,IF(Registro2[[#This Row],[Conta Financeira]]=base!$A$6,0,Registro2[[#This Row],[Valor Unitário]]))</f>
        <v>35</v>
      </c>
      <c r="U16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79" t="str">
        <f>VLOOKUP(Registro2[[#This Row],[Categoria]],'Plano de Contas'!$V$3:W1738,2,0)</f>
        <v>Receitas Serviços</v>
      </c>
      <c r="X167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680" spans="1:24" hidden="1">
      <c r="A1680" s="1">
        <v>45770.604166666664</v>
      </c>
      <c r="B1680" s="1">
        <v>45770.604166666664</v>
      </c>
      <c r="D1680" t="s">
        <v>354</v>
      </c>
      <c r="E1680" t="s">
        <v>149</v>
      </c>
      <c r="F1680" t="s">
        <v>150</v>
      </c>
      <c r="G1680" t="s">
        <v>509</v>
      </c>
      <c r="I1680" s="4">
        <v>20</v>
      </c>
      <c r="J1680" s="4"/>
      <c r="L1680" t="s">
        <v>253</v>
      </c>
      <c r="M1680" t="s">
        <v>1495</v>
      </c>
      <c r="N1680" s="4">
        <f>IF(L1680="","",IF(OR(Registro2[[#This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8</v>
      </c>
      <c r="O1680" t="str">
        <f t="shared" si="26"/>
        <v>abr/25</v>
      </c>
      <c r="P1680" t="str">
        <f>IF(Registro2[[#This Row],[Data de Pagamento]]&gt;0,TEXT(A1680,"mmm/aa"),"")</f>
        <v>abr/25</v>
      </c>
      <c r="T1680" s="4">
        <f>IF(Registro2[[#This Row],[Data de Pagamento]]="",0,IF(Registro2[[#This Row],[Conta Financeira]]=base!$A$6,0,Registro2[[#This Row],[Valor Unitário]]))</f>
        <v>20</v>
      </c>
      <c r="U16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80" t="str">
        <f>VLOOKUP(Registro2[[#This Row],[Categoria]],'Plano de Contas'!$V$3:W1739,2,0)</f>
        <v>Receitas Produtos</v>
      </c>
      <c r="X168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0.63</v>
      </c>
    </row>
    <row r="1681" spans="1:24" hidden="1">
      <c r="A1681" s="1">
        <v>45770.618055555555</v>
      </c>
      <c r="B1681" s="1">
        <v>45770.618055555555</v>
      </c>
      <c r="D1681" t="s">
        <v>1</v>
      </c>
      <c r="E1681" t="s">
        <v>149</v>
      </c>
      <c r="F1681" t="s">
        <v>147</v>
      </c>
      <c r="G1681" t="s">
        <v>163</v>
      </c>
      <c r="I1681" s="4">
        <v>35</v>
      </c>
      <c r="J1681" s="4">
        <v>60</v>
      </c>
      <c r="L1681" t="s">
        <v>253</v>
      </c>
      <c r="M1681" t="s">
        <v>116</v>
      </c>
      <c r="N1681" s="4">
        <f>IF(L1681="","",IF(OR(Registro2[[#This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81" t="str">
        <f t="shared" si="26"/>
        <v>abr/25</v>
      </c>
      <c r="P1681" t="str">
        <f>IF(Registro2[[#This Row],[Data de Pagamento]]&gt;0,TEXT(A1681,"mmm/aa"),"")</f>
        <v>abr/25</v>
      </c>
      <c r="T1681" s="4">
        <f>IF(Registro2[[#This Row],[Data de Pagamento]]="",0,IF(Registro2[[#This Row],[Conta Financeira]]=base!$A$6,0,Registro2[[#This Row],[Valor Unitário]]))</f>
        <v>35</v>
      </c>
      <c r="U16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81" t="str">
        <f>VLOOKUP(Registro2[[#This Row],[Categoria]],'Plano de Contas'!$V$3:W1740,2,0)</f>
        <v>Receitas Serviços</v>
      </c>
      <c r="X168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82" spans="1:24" hidden="1">
      <c r="A1682" s="1">
        <v>45770.618055555555</v>
      </c>
      <c r="B1682" s="1">
        <v>45770.618055555555</v>
      </c>
      <c r="D1682" t="s">
        <v>1</v>
      </c>
      <c r="E1682" t="s">
        <v>149</v>
      </c>
      <c r="F1682" t="s">
        <v>150</v>
      </c>
      <c r="G1682" t="s">
        <v>509</v>
      </c>
      <c r="I1682" s="4">
        <v>25</v>
      </c>
      <c r="J1682" s="4"/>
      <c r="L1682" t="s">
        <v>253</v>
      </c>
      <c r="M1682" t="s">
        <v>116</v>
      </c>
      <c r="N1682" s="4">
        <f>IF(L1682="","",IF(OR(Registro2[[#This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682" t="str">
        <f t="shared" si="26"/>
        <v>abr/25</v>
      </c>
      <c r="P1682" t="str">
        <f>IF(Registro2[[#This Row],[Data de Pagamento]]&gt;0,TEXT(A1682,"mmm/aa"),"")</f>
        <v>abr/25</v>
      </c>
      <c r="T1682" s="4">
        <f>IF(Registro2[[#This Row],[Data de Pagamento]]="",0,IF(Registro2[[#This Row],[Conta Financeira]]=base!$A$6,0,Registro2[[#This Row],[Valor Unitário]]))</f>
        <v>25</v>
      </c>
      <c r="U16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82" t="str">
        <f>VLOOKUP(Registro2[[#This Row],[Categoria]],'Plano de Contas'!$V$3:W1741,2,0)</f>
        <v>Receitas Produtos</v>
      </c>
      <c r="X16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83" spans="1:24" hidden="1">
      <c r="A1683" s="1">
        <v>45771</v>
      </c>
      <c r="B1683" s="1">
        <v>45771</v>
      </c>
      <c r="D1683" t="s">
        <v>138</v>
      </c>
      <c r="E1683" t="s">
        <v>137</v>
      </c>
      <c r="F1683" t="s">
        <v>138</v>
      </c>
      <c r="G1683" t="s">
        <v>338</v>
      </c>
      <c r="H1683" t="s">
        <v>1301</v>
      </c>
      <c r="I1683" s="4">
        <v>57.97</v>
      </c>
      <c r="J1683" s="4"/>
      <c r="N1683" s="4" t="str">
        <f>IF(L1683="","",IF(OR(Registro2[[#This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683" t="str">
        <f t="shared" si="26"/>
        <v>abr/25</v>
      </c>
      <c r="P1683" t="str">
        <f>IF(Registro2[[#This Row],[Data de Pagamento]]&gt;0,TEXT(A1683,"mmm/aa"),"")</f>
        <v>abr/25</v>
      </c>
      <c r="T1683" s="4">
        <f>IF(Registro2[[#This Row],[Data de Pagamento]]="",0,IF(Registro2[[#This Row],[Conta Financeira]]=base!$A$6,0,Registro2[[#This Row],[Valor Unitário]]))</f>
        <v>57.97</v>
      </c>
      <c r="U16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83" t="str">
        <f>VLOOKUP(Registro2[[#This Row],[Categoria]],'Plano de Contas'!$V$3:W1567,2,0)</f>
        <v>Despesas Administrativas</v>
      </c>
      <c r="X16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84" spans="1:24" hidden="1">
      <c r="A1684" s="1">
        <v>45771</v>
      </c>
      <c r="B1684" s="1">
        <v>45771</v>
      </c>
      <c r="D1684" t="s">
        <v>139</v>
      </c>
      <c r="E1684" t="s">
        <v>137</v>
      </c>
      <c r="F1684" t="s">
        <v>139</v>
      </c>
      <c r="G1684" t="s">
        <v>332</v>
      </c>
      <c r="H1684" t="s">
        <v>1252</v>
      </c>
      <c r="I1684" s="4">
        <v>29.9</v>
      </c>
      <c r="J1684" s="4"/>
      <c r="N1684" s="4" t="str">
        <f>IF(L1684="","",IF(OR(Registro2[[#This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684" t="str">
        <f t="shared" si="26"/>
        <v>abr/25</v>
      </c>
      <c r="P1684" t="str">
        <f>IF(Registro2[[#This Row],[Data de Pagamento]]&gt;0,TEXT(A1684,"mmm/aa"),"")</f>
        <v>abr/25</v>
      </c>
      <c r="T1684" s="4">
        <f>IF(Registro2[[#This Row],[Data de Pagamento]]="",0,IF(Registro2[[#This Row],[Conta Financeira]]=base!$A$6,0,Registro2[[#This Row],[Valor Unitário]]))</f>
        <v>29.9</v>
      </c>
      <c r="U16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84" t="str">
        <f>VLOOKUP(Registro2[[#This Row],[Categoria]],'Plano de Contas'!$V$3:W1568,2,0)</f>
        <v>Custos Operacionais</v>
      </c>
      <c r="X168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85" spans="1:24" hidden="1">
      <c r="A1685" s="1">
        <v>45771</v>
      </c>
      <c r="B1685" s="1">
        <v>45771</v>
      </c>
      <c r="D1685" t="s">
        <v>138</v>
      </c>
      <c r="E1685" t="s">
        <v>137</v>
      </c>
      <c r="F1685" t="s">
        <v>138</v>
      </c>
      <c r="G1685" t="s">
        <v>145</v>
      </c>
      <c r="H1685" t="s">
        <v>2520</v>
      </c>
      <c r="I1685" s="4">
        <v>172.23</v>
      </c>
      <c r="J1685" s="4"/>
      <c r="N1685" s="4" t="str">
        <f>IF(L1685="","",IF(OR(Registro2[[#This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685" t="str">
        <f t="shared" si="26"/>
        <v>abr/25</v>
      </c>
      <c r="P1685" t="str">
        <f>IF(Registro2[[#This Row],[Data de Pagamento]]&gt;0,TEXT(A1685,"mmm/aa"),"")</f>
        <v>abr/25</v>
      </c>
      <c r="T1685" s="4">
        <f>IF(Registro2[[#This Row],[Data de Pagamento]]="",0,IF(Registro2[[#This Row],[Conta Financeira]]=base!$A$6,0,Registro2[[#This Row],[Valor Unitário]]))</f>
        <v>172.23</v>
      </c>
      <c r="U16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85" t="str">
        <f>VLOOKUP(Registro2[[#This Row],[Categoria]],'Plano de Contas'!$V$3:W1569,2,0)</f>
        <v>Imposto de Renda</v>
      </c>
      <c r="X168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86" spans="1:24" hidden="1">
      <c r="A1686" s="1">
        <v>45771.416666666664</v>
      </c>
      <c r="B1686" s="1">
        <v>45771.416666666664</v>
      </c>
      <c r="D1686" t="s">
        <v>1</v>
      </c>
      <c r="E1686" t="s">
        <v>149</v>
      </c>
      <c r="F1686" t="s">
        <v>147</v>
      </c>
      <c r="G1686" t="s">
        <v>1046</v>
      </c>
      <c r="I1686" s="4">
        <v>35</v>
      </c>
      <c r="J1686" s="4">
        <v>87</v>
      </c>
      <c r="L1686" t="s">
        <v>264</v>
      </c>
      <c r="M1686" t="s">
        <v>465</v>
      </c>
      <c r="N1686" s="4">
        <f>IF(L1686="","",IF(OR(Registro2[[#This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86" t="str">
        <f t="shared" si="26"/>
        <v>abr/25</v>
      </c>
      <c r="P1686" t="str">
        <f>IF(Registro2[[#This Row],[Data de Pagamento]]&gt;0,TEXT(A1686,"mmm/aa"),"")</f>
        <v>abr/25</v>
      </c>
      <c r="T1686" s="4">
        <f>IF(Registro2[[#This Row],[Data de Pagamento]]="",0,IF(Registro2[[#This Row],[Conta Financeira]]=base!$A$6,0,Registro2[[#This Row],[Valor Unitário]]))</f>
        <v>35</v>
      </c>
      <c r="U16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86" t="str">
        <f>VLOOKUP(Registro2[[#This Row],[Categoria]],'Plano de Contas'!$V$3:W1744,2,0)</f>
        <v>Receitas Serviços</v>
      </c>
      <c r="X168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87" spans="1:24" hidden="1">
      <c r="A1687" s="1">
        <v>45771.416666666664</v>
      </c>
      <c r="B1687" s="1">
        <v>45771.416666666664</v>
      </c>
      <c r="D1687" t="s">
        <v>1</v>
      </c>
      <c r="E1687" t="s">
        <v>149</v>
      </c>
      <c r="F1687" t="s">
        <v>147</v>
      </c>
      <c r="G1687" t="s">
        <v>160</v>
      </c>
      <c r="I1687" s="4">
        <v>12</v>
      </c>
      <c r="J1687" s="4"/>
      <c r="L1687" t="s">
        <v>264</v>
      </c>
      <c r="M1687" t="s">
        <v>465</v>
      </c>
      <c r="N1687" s="4">
        <f>IF(L1687="","",IF(OR(Registro2[[#This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1687" t="str">
        <f t="shared" si="26"/>
        <v>abr/25</v>
      </c>
      <c r="P1687" t="str">
        <f>IF(Registro2[[#This Row],[Data de Pagamento]]&gt;0,TEXT(A1687,"mmm/aa"),"")</f>
        <v>abr/25</v>
      </c>
      <c r="T1687" s="4">
        <f>IF(Registro2[[#This Row],[Data de Pagamento]]="",0,IF(Registro2[[#This Row],[Conta Financeira]]=base!$A$6,0,Registro2[[#This Row],[Valor Unitário]]))</f>
        <v>12</v>
      </c>
      <c r="U16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87" t="str">
        <f>VLOOKUP(Registro2[[#This Row],[Categoria]],'Plano de Contas'!$V$3:W1745,2,0)</f>
        <v>Receitas Serviços</v>
      </c>
      <c r="X168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88" spans="1:24" hidden="1">
      <c r="A1688" s="1">
        <v>45771.416666666664</v>
      </c>
      <c r="B1688" s="1">
        <v>45771.416666666664</v>
      </c>
      <c r="D1688" t="s">
        <v>1</v>
      </c>
      <c r="E1688" t="s">
        <v>149</v>
      </c>
      <c r="F1688" t="s">
        <v>150</v>
      </c>
      <c r="G1688" t="s">
        <v>2536</v>
      </c>
      <c r="I1688" s="4">
        <v>40</v>
      </c>
      <c r="J1688" s="4"/>
      <c r="L1688" t="s">
        <v>264</v>
      </c>
      <c r="M1688" t="s">
        <v>465</v>
      </c>
      <c r="N1688" s="4">
        <f>IF(L1688="","",IF(OR(Registro2[[#This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1688" t="str">
        <f t="shared" si="26"/>
        <v>abr/25</v>
      </c>
      <c r="P1688" t="str">
        <f>IF(Registro2[[#This Row],[Data de Pagamento]]&gt;0,TEXT(A1688,"mmm/aa"),"")</f>
        <v>abr/25</v>
      </c>
      <c r="T1688" s="4">
        <f>IF(Registro2[[#This Row],[Data de Pagamento]]="",0,IF(Registro2[[#This Row],[Conta Financeira]]=base!$A$6,0,Registro2[[#This Row],[Valor Unitário]]))</f>
        <v>40</v>
      </c>
      <c r="U16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88" t="e">
        <f>VLOOKUP(Registro2[[#This Row],[Categoria]],'Plano de Contas'!$V$3:W1746,2,0)</f>
        <v>#N/A</v>
      </c>
      <c r="X168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89" spans="1:24" hidden="1">
      <c r="A1689" s="1">
        <v>45771.4375</v>
      </c>
      <c r="B1689" s="1">
        <v>45771.4375</v>
      </c>
      <c r="D1689" t="s">
        <v>1</v>
      </c>
      <c r="E1689" t="s">
        <v>149</v>
      </c>
      <c r="F1689" t="s">
        <v>147</v>
      </c>
      <c r="G1689" t="s">
        <v>163</v>
      </c>
      <c r="I1689" s="4">
        <v>35</v>
      </c>
      <c r="J1689" s="4">
        <v>45</v>
      </c>
      <c r="L1689" t="s">
        <v>253</v>
      </c>
      <c r="M1689" t="s">
        <v>62</v>
      </c>
      <c r="N1689" s="4">
        <f>IF(L1689="","",IF(OR(Registro2[[#This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89" t="str">
        <f t="shared" si="26"/>
        <v>abr/25</v>
      </c>
      <c r="P1689" t="str">
        <f>IF(Registro2[[#This Row],[Data de Pagamento]]&gt;0,TEXT(A1689,"mmm/aa"),"")</f>
        <v>abr/25</v>
      </c>
      <c r="T1689" s="4">
        <f>IF(Registro2[[#This Row],[Data de Pagamento]]="",0,IF(Registro2[[#This Row],[Conta Financeira]]=base!$A$6,0,Registro2[[#This Row],[Valor Unitário]]))</f>
        <v>35</v>
      </c>
      <c r="U16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89" t="str">
        <f>VLOOKUP(Registro2[[#This Row],[Categoria]],'Plano de Contas'!$V$3:W1742,2,0)</f>
        <v>Receitas Serviços</v>
      </c>
      <c r="X168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90" spans="1:24" hidden="1">
      <c r="A1690" s="1">
        <v>45771.4375</v>
      </c>
      <c r="B1690" s="1">
        <v>45771.4375</v>
      </c>
      <c r="D1690" t="s">
        <v>1</v>
      </c>
      <c r="E1690" t="s">
        <v>149</v>
      </c>
      <c r="F1690" t="s">
        <v>147</v>
      </c>
      <c r="G1690" t="s">
        <v>167</v>
      </c>
      <c r="I1690" s="4">
        <v>10</v>
      </c>
      <c r="J1690" s="4"/>
      <c r="L1690" t="s">
        <v>253</v>
      </c>
      <c r="M1690" t="s">
        <v>62</v>
      </c>
      <c r="N1690" s="4">
        <f>IF(L1690="","",IF(OR(Registro2[[#This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690" t="str">
        <f t="shared" si="26"/>
        <v>abr/25</v>
      </c>
      <c r="P1690" t="str">
        <f>IF(Registro2[[#This Row],[Data de Pagamento]]&gt;0,TEXT(A1690,"mmm/aa"),"")</f>
        <v>abr/25</v>
      </c>
      <c r="T1690" s="4">
        <f>IF(Registro2[[#This Row],[Data de Pagamento]]="",0,IF(Registro2[[#This Row],[Conta Financeira]]=base!$A$6,0,Registro2[[#This Row],[Valor Unitário]]))</f>
        <v>10</v>
      </c>
      <c r="U16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90" t="str">
        <f>VLOOKUP(Registro2[[#This Row],[Categoria]],'Plano de Contas'!$V$3:W1743,2,0)</f>
        <v>Receitas Serviços</v>
      </c>
      <c r="X169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91" spans="1:24" hidden="1">
      <c r="A1691" s="1">
        <v>45771.447916666664</v>
      </c>
      <c r="B1691" s="1">
        <v>45771.447916666664</v>
      </c>
      <c r="D1691" t="s">
        <v>1</v>
      </c>
      <c r="E1691" t="s">
        <v>149</v>
      </c>
      <c r="F1691" t="s">
        <v>147</v>
      </c>
      <c r="G1691" t="s">
        <v>163</v>
      </c>
      <c r="I1691" s="4">
        <v>35</v>
      </c>
      <c r="J1691" s="4">
        <v>35</v>
      </c>
      <c r="L1691" t="s">
        <v>252</v>
      </c>
      <c r="M1691" t="s">
        <v>107</v>
      </c>
      <c r="N1691" s="4">
        <f>IF(L1691="","",IF(OR(Registro2[[#This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91" t="str">
        <f t="shared" si="26"/>
        <v>abr/25</v>
      </c>
      <c r="P1691" t="str">
        <f>IF(Registro2[[#This Row],[Data de Pagamento]]&gt;0,TEXT(A1691,"mmm/aa"),"")</f>
        <v>abr/25</v>
      </c>
      <c r="T1691" s="4">
        <f>IF(Registro2[[#This Row],[Data de Pagamento]]="",0,IF(Registro2[[#This Row],[Conta Financeira]]=base!$A$6,0,Registro2[[#This Row],[Valor Unitário]]))</f>
        <v>35</v>
      </c>
      <c r="U16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91" t="str">
        <f>VLOOKUP(Registro2[[#This Row],[Categoria]],'Plano de Contas'!$V$3:W1748,2,0)</f>
        <v>Receitas Serviços</v>
      </c>
      <c r="X169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92" spans="1:24" hidden="1">
      <c r="A1692" s="1">
        <v>45771.479166666664</v>
      </c>
      <c r="B1692" s="1">
        <v>45771.479166666664</v>
      </c>
      <c r="D1692" t="s">
        <v>354</v>
      </c>
      <c r="E1692" t="s">
        <v>149</v>
      </c>
      <c r="F1692" t="s">
        <v>147</v>
      </c>
      <c r="G1692" t="s">
        <v>163</v>
      </c>
      <c r="I1692" s="4">
        <v>35</v>
      </c>
      <c r="J1692" s="4">
        <v>45</v>
      </c>
      <c r="L1692" t="s">
        <v>252</v>
      </c>
      <c r="M1692" t="s">
        <v>1485</v>
      </c>
      <c r="N1692" s="4">
        <f>IF(L1692="","",IF(OR(Registro2[[#This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92" t="str">
        <f t="shared" si="26"/>
        <v>abr/25</v>
      </c>
      <c r="P1692" t="str">
        <f>IF(Registro2[[#This Row],[Data de Pagamento]]&gt;0,TEXT(A1692,"mmm/aa"),"")</f>
        <v>abr/25</v>
      </c>
      <c r="T1692" s="4">
        <f>IF(Registro2[[#This Row],[Data de Pagamento]]="",0,IF(Registro2[[#This Row],[Conta Financeira]]=base!$A$6,0,Registro2[[#This Row],[Valor Unitário]]))</f>
        <v>35</v>
      </c>
      <c r="U16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92" t="str">
        <f>VLOOKUP(Registro2[[#This Row],[Categoria]],'Plano de Contas'!$V$3:W1749,2,0)</f>
        <v>Receitas Serviços</v>
      </c>
      <c r="X169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693" spans="1:24" hidden="1">
      <c r="A1693" s="1">
        <v>45771.479166666664</v>
      </c>
      <c r="B1693" s="1">
        <v>45771.479166666664</v>
      </c>
      <c r="D1693" t="s">
        <v>354</v>
      </c>
      <c r="E1693" t="s">
        <v>149</v>
      </c>
      <c r="F1693" t="s">
        <v>147</v>
      </c>
      <c r="G1693" t="s">
        <v>167</v>
      </c>
      <c r="I1693" s="4">
        <v>10</v>
      </c>
      <c r="J1693" s="4"/>
      <c r="L1693" t="s">
        <v>252</v>
      </c>
      <c r="M1693" t="s">
        <v>1485</v>
      </c>
      <c r="N1693" s="4">
        <f>IF(L1693="","",IF(OR(Registro2[[#This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693" t="str">
        <f t="shared" si="26"/>
        <v>abr/25</v>
      </c>
      <c r="P1693" t="str">
        <f>IF(Registro2[[#This Row],[Data de Pagamento]]&gt;0,TEXT(A1693,"mmm/aa"),"")</f>
        <v>abr/25</v>
      </c>
      <c r="T1693" s="4">
        <f>IF(Registro2[[#This Row],[Data de Pagamento]]="",0,IF(Registro2[[#This Row],[Conta Financeira]]=base!$A$6,0,Registro2[[#This Row],[Valor Unitário]]))</f>
        <v>10</v>
      </c>
      <c r="U16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93" t="str">
        <f>VLOOKUP(Registro2[[#This Row],[Categoria]],'Plano de Contas'!$V$3:W1750,2,0)</f>
        <v>Receitas Serviços</v>
      </c>
      <c r="X169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</row>
    <row r="1694" spans="1:24" hidden="1">
      <c r="A1694" s="1">
        <v>45771.479166666664</v>
      </c>
      <c r="B1694" s="1">
        <v>45771.479166666664</v>
      </c>
      <c r="D1694" t="s">
        <v>354</v>
      </c>
      <c r="E1694" t="s">
        <v>149</v>
      </c>
      <c r="F1694" t="s">
        <v>147</v>
      </c>
      <c r="G1694" t="s">
        <v>163</v>
      </c>
      <c r="I1694" s="4">
        <v>35</v>
      </c>
      <c r="J1694" s="4">
        <v>55</v>
      </c>
      <c r="L1694" t="s">
        <v>253</v>
      </c>
      <c r="M1694" t="s">
        <v>292</v>
      </c>
      <c r="N1694" s="4">
        <f>IF(L1694="","",IF(OR(Registro2[[#This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94" t="str">
        <f t="shared" si="26"/>
        <v>abr/25</v>
      </c>
      <c r="P1694" t="str">
        <f>IF(Registro2[[#This Row],[Data de Pagamento]]&gt;0,TEXT(A1694,"mmm/aa"),"")</f>
        <v>abr/25</v>
      </c>
      <c r="T1694" s="4">
        <f>IF(Registro2[[#This Row],[Data de Pagamento]]="",0,IF(Registro2[[#This Row],[Conta Financeira]]=base!$A$6,0,Registro2[[#This Row],[Valor Unitário]]))</f>
        <v>35</v>
      </c>
      <c r="U16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94" t="str">
        <f>VLOOKUP(Registro2[[#This Row],[Categoria]],'Plano de Contas'!$V$3:W1751,2,0)</f>
        <v>Receitas Serviços</v>
      </c>
      <c r="X169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695" spans="1:24" hidden="1">
      <c r="A1695" s="1">
        <v>45771.479166666664</v>
      </c>
      <c r="B1695" s="1">
        <v>45771.479166666664</v>
      </c>
      <c r="D1695" t="s">
        <v>354</v>
      </c>
      <c r="E1695" t="s">
        <v>149</v>
      </c>
      <c r="F1695" t="s">
        <v>152</v>
      </c>
      <c r="G1695" t="s">
        <v>352</v>
      </c>
      <c r="I1695" s="4">
        <v>20</v>
      </c>
      <c r="J1695" s="4"/>
      <c r="L1695" t="s">
        <v>253</v>
      </c>
      <c r="M1695" t="s">
        <v>292</v>
      </c>
      <c r="N1695" s="4">
        <f>IF(L1695="","",IF(OR(Registro2[[#This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695" t="str">
        <f t="shared" si="26"/>
        <v>abr/25</v>
      </c>
      <c r="P1695" t="str">
        <f>IF(Registro2[[#This Row],[Data de Pagamento]]&gt;0,TEXT(A1695,"mmm/aa"),"")</f>
        <v>abr/25</v>
      </c>
      <c r="T1695" s="4">
        <f>IF(Registro2[[#This Row],[Data de Pagamento]]="",0,IF(Registro2[[#This Row],[Conta Financeira]]=base!$A$6,0,Registro2[[#This Row],[Valor Unitário]]))</f>
        <v>20</v>
      </c>
      <c r="U16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95" t="str">
        <f>VLOOKUP(Registro2[[#This Row],[Categoria]],'Plano de Contas'!$V$3:W1752,2,0)</f>
        <v>Receitas Serviços</v>
      </c>
      <c r="X169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0.63</v>
      </c>
    </row>
    <row r="1696" spans="1:24" hidden="1">
      <c r="A1696" s="1">
        <v>45771.489583333336</v>
      </c>
      <c r="B1696" s="1">
        <v>45771.489583333336</v>
      </c>
      <c r="D1696" t="s">
        <v>1</v>
      </c>
      <c r="E1696" t="s">
        <v>149</v>
      </c>
      <c r="F1696" t="s">
        <v>147</v>
      </c>
      <c r="G1696" t="s">
        <v>163</v>
      </c>
      <c r="I1696" s="4">
        <v>35</v>
      </c>
      <c r="J1696" s="4">
        <v>35</v>
      </c>
      <c r="L1696" t="s">
        <v>264</v>
      </c>
      <c r="M1696" t="s">
        <v>67</v>
      </c>
      <c r="N1696" s="4">
        <f>IF(L1696="","",IF(OR(Registro2[[#This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96" t="str">
        <f t="shared" si="26"/>
        <v>abr/25</v>
      </c>
      <c r="P1696" t="str">
        <f>IF(Registro2[[#This Row],[Data de Pagamento]]&gt;0,TEXT(A1696,"mmm/aa"),"")</f>
        <v>abr/25</v>
      </c>
      <c r="T1696" s="4">
        <f>IF(Registro2[[#This Row],[Data de Pagamento]]="",0,IF(Registro2[[#This Row],[Conta Financeira]]=base!$A$6,0,Registro2[[#This Row],[Valor Unitário]]))</f>
        <v>35</v>
      </c>
      <c r="U16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96" t="str">
        <f>VLOOKUP(Registro2[[#This Row],[Categoria]],'Plano de Contas'!$V$3:W1756,2,0)</f>
        <v>Receitas Serviços</v>
      </c>
      <c r="X169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97" spans="1:24" hidden="1">
      <c r="A1697" s="1">
        <v>45771.614583333336</v>
      </c>
      <c r="B1697" s="1">
        <v>45771.614583333336</v>
      </c>
      <c r="D1697" t="s">
        <v>1</v>
      </c>
      <c r="E1697" t="s">
        <v>149</v>
      </c>
      <c r="F1697" t="s">
        <v>147</v>
      </c>
      <c r="G1697" t="s">
        <v>163</v>
      </c>
      <c r="I1697" s="4">
        <v>35</v>
      </c>
      <c r="J1697" s="4">
        <v>50</v>
      </c>
      <c r="L1697" t="s">
        <v>253</v>
      </c>
      <c r="M1697" t="s">
        <v>278</v>
      </c>
      <c r="N1697" s="4">
        <f>IF(L1697="","",IF(OR(Registro2[[#This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697" t="str">
        <f t="shared" si="26"/>
        <v>abr/25</v>
      </c>
      <c r="P1697" t="str">
        <f>IF(Registro2[[#This Row],[Data de Pagamento]]&gt;0,TEXT(A1697,"mmm/aa"),"")</f>
        <v>abr/25</v>
      </c>
      <c r="T1697" s="4">
        <f>IF(Registro2[[#This Row],[Data de Pagamento]]="",0,IF(Registro2[[#This Row],[Conta Financeira]]=base!$A$6,0,Registro2[[#This Row],[Valor Unitário]]))</f>
        <v>35</v>
      </c>
      <c r="U16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97" t="str">
        <f>VLOOKUP(Registro2[[#This Row],[Categoria]],'Plano de Contas'!$V$3:W1761,2,0)</f>
        <v>Receitas Serviços</v>
      </c>
      <c r="X169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98" spans="1:24" hidden="1">
      <c r="A1698" s="1">
        <v>45771.614583333336</v>
      </c>
      <c r="B1698" s="1">
        <v>45771.614583333336</v>
      </c>
      <c r="D1698" t="s">
        <v>1</v>
      </c>
      <c r="E1698" t="s">
        <v>149</v>
      </c>
      <c r="F1698" t="s">
        <v>147</v>
      </c>
      <c r="G1698" t="s">
        <v>1446</v>
      </c>
      <c r="I1698" s="4">
        <v>15</v>
      </c>
      <c r="J1698" s="4"/>
      <c r="L1698" t="s">
        <v>253</v>
      </c>
      <c r="M1698" t="s">
        <v>278</v>
      </c>
      <c r="N1698" s="4">
        <f>IF(L1698="","",IF(OR(Registro2[[#This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698" t="str">
        <f t="shared" si="26"/>
        <v>abr/25</v>
      </c>
      <c r="P1698" t="str">
        <f>IF(Registro2[[#This Row],[Data de Pagamento]]&gt;0,TEXT(A1698,"mmm/aa"),"")</f>
        <v>abr/25</v>
      </c>
      <c r="T1698" s="4">
        <f>IF(Registro2[[#This Row],[Data de Pagamento]]="",0,IF(Registro2[[#This Row],[Conta Financeira]]=base!$A$6,0,Registro2[[#This Row],[Valor Unitário]]))</f>
        <v>15</v>
      </c>
      <c r="U16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98" t="e">
        <f>VLOOKUP(Registro2[[#This Row],[Categoria]],'Plano de Contas'!$V$3:W1762,2,0)</f>
        <v>#N/A</v>
      </c>
      <c r="X169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699" spans="1:24" hidden="1">
      <c r="A1699" s="1">
        <v>45771.625</v>
      </c>
      <c r="B1699" s="1">
        <v>45771.625</v>
      </c>
      <c r="D1699" t="s">
        <v>1</v>
      </c>
      <c r="E1699" t="s">
        <v>149</v>
      </c>
      <c r="F1699" t="s">
        <v>150</v>
      </c>
      <c r="G1699" t="s">
        <v>2477</v>
      </c>
      <c r="I1699" s="4">
        <v>25</v>
      </c>
      <c r="J1699" s="4">
        <v>25</v>
      </c>
      <c r="L1699" t="s">
        <v>252</v>
      </c>
      <c r="M1699" t="s">
        <v>131</v>
      </c>
      <c r="N1699" s="4">
        <f>IF(L1699="","",IF(OR(Registro2[[#This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699" t="str">
        <f t="shared" si="26"/>
        <v>abr/25</v>
      </c>
      <c r="P1699" t="str">
        <f>IF(Registro2[[#This Row],[Data de Pagamento]]&gt;0,TEXT(A1699,"mmm/aa"),"")</f>
        <v>abr/25</v>
      </c>
      <c r="T1699" s="4">
        <f>IF(Registro2[[#This Row],[Data de Pagamento]]="",0,IF(Registro2[[#This Row],[Conta Financeira]]=base!$A$6,0,Registro2[[#This Row],[Valor Unitário]]))</f>
        <v>25</v>
      </c>
      <c r="U16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699" t="e">
        <f>VLOOKUP(Registro2[[#This Row],[Categoria]],'Plano de Contas'!$V$3:W1757,2,0)</f>
        <v>#N/A</v>
      </c>
      <c r="X169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00" spans="1:24" hidden="1">
      <c r="A1700" s="1">
        <v>45771.666666666664</v>
      </c>
      <c r="B1700" s="1">
        <v>45771.666666666664</v>
      </c>
      <c r="D1700" t="s">
        <v>1</v>
      </c>
      <c r="E1700" t="s">
        <v>149</v>
      </c>
      <c r="F1700" t="s">
        <v>147</v>
      </c>
      <c r="G1700" t="s">
        <v>163</v>
      </c>
      <c r="I1700" s="4">
        <v>35</v>
      </c>
      <c r="J1700" s="4">
        <v>60</v>
      </c>
      <c r="L1700" t="s">
        <v>253</v>
      </c>
      <c r="M1700" t="s">
        <v>384</v>
      </c>
      <c r="N1700" s="4">
        <f>IF(L1700="","",IF(OR(Registro2[[#This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00" t="str">
        <f t="shared" si="26"/>
        <v>abr/25</v>
      </c>
      <c r="P1700" t="str">
        <f>IF(Registro2[[#This Row],[Data de Pagamento]]&gt;0,TEXT(A1700,"mmm/aa"),"")</f>
        <v>abr/25</v>
      </c>
      <c r="T1700" s="4">
        <f>IF(Registro2[[#This Row],[Data de Pagamento]]="",0,IF(Registro2[[#This Row],[Conta Financeira]]=base!$A$6,0,Registro2[[#This Row],[Valor Unitário]]))</f>
        <v>35</v>
      </c>
      <c r="U17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00" t="str">
        <f>VLOOKUP(Registro2[[#This Row],[Categoria]],'Plano de Contas'!$V$3:W1758,2,0)</f>
        <v>Receitas Serviços</v>
      </c>
      <c r="X170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01" spans="1:24" hidden="1">
      <c r="A1701" s="1">
        <v>45771.666666666664</v>
      </c>
      <c r="B1701" s="1">
        <v>45771.666666666664</v>
      </c>
      <c r="D1701" t="s">
        <v>1</v>
      </c>
      <c r="E1701" t="s">
        <v>149</v>
      </c>
      <c r="F1701" t="s">
        <v>147</v>
      </c>
      <c r="G1701" t="s">
        <v>1187</v>
      </c>
      <c r="I1701" s="4">
        <v>15</v>
      </c>
      <c r="J1701" s="4"/>
      <c r="L1701" t="s">
        <v>253</v>
      </c>
      <c r="M1701" t="s">
        <v>384</v>
      </c>
      <c r="N1701" s="4">
        <f>IF(L1701="","",IF(OR(Registro2[[#This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701" t="str">
        <f t="shared" si="26"/>
        <v>abr/25</v>
      </c>
      <c r="P1701" t="str">
        <f>IF(Registro2[[#This Row],[Data de Pagamento]]&gt;0,TEXT(A1701,"mmm/aa"),"")</f>
        <v>abr/25</v>
      </c>
      <c r="T1701" s="4">
        <f>IF(Registro2[[#This Row],[Data de Pagamento]]="",0,IF(Registro2[[#This Row],[Conta Financeira]]=base!$A$6,0,Registro2[[#This Row],[Valor Unitário]]))</f>
        <v>15</v>
      </c>
      <c r="U17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01" t="str">
        <f>VLOOKUP(Registro2[[#This Row],[Categoria]],'Plano de Contas'!$V$3:W1759,2,0)</f>
        <v>Receitas Serviços</v>
      </c>
      <c r="X170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02" spans="1:24" hidden="1">
      <c r="A1702" s="1">
        <v>45771.666666666664</v>
      </c>
      <c r="B1702" s="1">
        <v>45771.666666666664</v>
      </c>
      <c r="D1702" t="s">
        <v>1</v>
      </c>
      <c r="E1702" t="s">
        <v>149</v>
      </c>
      <c r="F1702" t="s">
        <v>147</v>
      </c>
      <c r="G1702" t="s">
        <v>167</v>
      </c>
      <c r="I1702" s="4">
        <v>10</v>
      </c>
      <c r="J1702" s="4"/>
      <c r="L1702" t="s">
        <v>253</v>
      </c>
      <c r="M1702" t="s">
        <v>384</v>
      </c>
      <c r="N1702" s="4">
        <f>IF(L1702="","",IF(OR(Registro2[[#This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702" t="str">
        <f t="shared" si="26"/>
        <v>abr/25</v>
      </c>
      <c r="P1702" t="str">
        <f>IF(Registro2[[#This Row],[Data de Pagamento]]&gt;0,TEXT(A1702,"mmm/aa"),"")</f>
        <v>abr/25</v>
      </c>
      <c r="T1702" s="4">
        <f>IF(Registro2[[#This Row],[Data de Pagamento]]="",0,IF(Registro2[[#This Row],[Conta Financeira]]=base!$A$6,0,Registro2[[#This Row],[Valor Unitário]]))</f>
        <v>10</v>
      </c>
      <c r="U17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02" t="str">
        <f>VLOOKUP(Registro2[[#This Row],[Categoria]],'Plano de Contas'!$V$3:W1760,2,0)</f>
        <v>Receitas Serviços</v>
      </c>
      <c r="X170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03" spans="1:24" hidden="1">
      <c r="A1703" s="1">
        <v>45771.708333333336</v>
      </c>
      <c r="B1703" s="1">
        <v>45771.708333333336</v>
      </c>
      <c r="D1703" t="s">
        <v>1</v>
      </c>
      <c r="E1703" t="s">
        <v>149</v>
      </c>
      <c r="F1703" t="s">
        <v>147</v>
      </c>
      <c r="G1703" t="s">
        <v>163</v>
      </c>
      <c r="I1703" s="4">
        <v>35</v>
      </c>
      <c r="J1703" s="4">
        <v>35</v>
      </c>
      <c r="L1703" t="s">
        <v>252</v>
      </c>
      <c r="M1703" t="s">
        <v>482</v>
      </c>
      <c r="N1703" s="4">
        <f>IF(L1703="","",IF(OR(Registro2[[#This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03" t="str">
        <f t="shared" si="26"/>
        <v>abr/25</v>
      </c>
      <c r="P1703" t="str">
        <f>IF(Registro2[[#This Row],[Data de Pagamento]]&gt;0,TEXT(A1703,"mmm/aa"),"")</f>
        <v>abr/25</v>
      </c>
      <c r="T1703" s="4">
        <f>IF(Registro2[[#This Row],[Data de Pagamento]]="",0,IF(Registro2[[#This Row],[Conta Financeira]]=base!$A$6,0,Registro2[[#This Row],[Valor Unitário]]))</f>
        <v>35</v>
      </c>
      <c r="U17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03" t="str">
        <f>VLOOKUP(Registro2[[#This Row],[Categoria]],'Plano de Contas'!$V$3:W1763,2,0)</f>
        <v>Receitas Serviços</v>
      </c>
      <c r="X17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04" spans="1:24" hidden="1">
      <c r="A1704" s="1">
        <v>45771.71875</v>
      </c>
      <c r="B1704" s="1">
        <v>45771.71875</v>
      </c>
      <c r="D1704" t="s">
        <v>2</v>
      </c>
      <c r="E1704" t="s">
        <v>149</v>
      </c>
      <c r="F1704" t="s">
        <v>147</v>
      </c>
      <c r="G1704" t="s">
        <v>163</v>
      </c>
      <c r="I1704" s="4">
        <v>35</v>
      </c>
      <c r="J1704" s="4">
        <v>45</v>
      </c>
      <c r="L1704" t="s">
        <v>252</v>
      </c>
      <c r="M1704" t="s">
        <v>200</v>
      </c>
      <c r="N1704" s="4">
        <f>IF(L1704="","",IF(OR(Registro2[[#This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04" t="str">
        <f t="shared" si="26"/>
        <v>abr/25</v>
      </c>
      <c r="P1704" t="str">
        <f>IF(Registro2[[#This Row],[Data de Pagamento]]&gt;0,TEXT(A1704,"mmm/aa"),"")</f>
        <v>abr/25</v>
      </c>
      <c r="T1704" s="4">
        <f>IF(Registro2[[#This Row],[Data de Pagamento]]="",0,IF(Registro2[[#This Row],[Conta Financeira]]=base!$A$6,0,Registro2[[#This Row],[Valor Unitário]]))</f>
        <v>35</v>
      </c>
      <c r="U17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04" t="str">
        <f>VLOOKUP(Registro2[[#This Row],[Categoria]],'Plano de Contas'!$V$3:W1754,2,0)</f>
        <v>Receitas Serviços</v>
      </c>
      <c r="X17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05" spans="1:24" hidden="1">
      <c r="A1705" s="1">
        <v>45771.71875</v>
      </c>
      <c r="B1705" s="1">
        <v>45771.71875</v>
      </c>
      <c r="D1705" t="s">
        <v>2</v>
      </c>
      <c r="E1705" t="s">
        <v>149</v>
      </c>
      <c r="F1705" t="s">
        <v>147</v>
      </c>
      <c r="G1705" t="s">
        <v>167</v>
      </c>
      <c r="I1705" s="4">
        <v>10</v>
      </c>
      <c r="J1705" s="4"/>
      <c r="L1705" t="s">
        <v>252</v>
      </c>
      <c r="M1705" t="s">
        <v>200</v>
      </c>
      <c r="N1705" s="4">
        <f>IF(L1705="","",IF(OR(Registro2[[#This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705" t="str">
        <f t="shared" si="26"/>
        <v>abr/25</v>
      </c>
      <c r="P1705" t="str">
        <f>IF(Registro2[[#This Row],[Data de Pagamento]]&gt;0,TEXT(A1705,"mmm/aa"),"")</f>
        <v>abr/25</v>
      </c>
      <c r="T1705" s="4">
        <f>IF(Registro2[[#This Row],[Data de Pagamento]]="",0,IF(Registro2[[#This Row],[Conta Financeira]]=base!$A$6,0,Registro2[[#This Row],[Valor Unitário]]))</f>
        <v>10</v>
      </c>
      <c r="U17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05" t="str">
        <f>VLOOKUP(Registro2[[#This Row],[Categoria]],'Plano de Contas'!$V$3:W1755,2,0)</f>
        <v>Receitas Serviços</v>
      </c>
      <c r="X17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06" spans="1:24" hidden="1">
      <c r="A1706" s="1">
        <v>45771.71875</v>
      </c>
      <c r="B1706" s="1">
        <v>45771.71875</v>
      </c>
      <c r="D1706" t="s">
        <v>1</v>
      </c>
      <c r="E1706" t="s">
        <v>149</v>
      </c>
      <c r="F1706" t="s">
        <v>147</v>
      </c>
      <c r="G1706" t="s">
        <v>163</v>
      </c>
      <c r="I1706" s="4">
        <v>35</v>
      </c>
      <c r="J1706" s="4">
        <v>60</v>
      </c>
      <c r="L1706" t="s">
        <v>264</v>
      </c>
      <c r="M1706" t="s">
        <v>2550</v>
      </c>
      <c r="N1706" s="4">
        <f>IF(L1706="","",IF(OR(Registro2[[#This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06" t="str">
        <f t="shared" si="26"/>
        <v>abr/25</v>
      </c>
      <c r="P1706" t="str">
        <f>IF(Registro2[[#This Row],[Data de Pagamento]]&gt;0,TEXT(A1706,"mmm/aa"),"")</f>
        <v>abr/25</v>
      </c>
      <c r="T1706" s="4">
        <f>IF(Registro2[[#This Row],[Data de Pagamento]]="",0,IF(Registro2[[#This Row],[Conta Financeira]]=base!$A$6,0,Registro2[[#This Row],[Valor Unitário]]))</f>
        <v>35</v>
      </c>
      <c r="U17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06" t="str">
        <f>VLOOKUP(Registro2[[#This Row],[Categoria]],'Plano de Contas'!$V$3:W1767,2,0)</f>
        <v>Receitas Serviços</v>
      </c>
      <c r="X170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07" spans="1:24" hidden="1">
      <c r="A1707" s="1">
        <v>45771.71875</v>
      </c>
      <c r="B1707" s="1">
        <v>45771.71875</v>
      </c>
      <c r="D1707" t="s">
        <v>1</v>
      </c>
      <c r="E1707" t="s">
        <v>149</v>
      </c>
      <c r="F1707" t="s">
        <v>150</v>
      </c>
      <c r="G1707" t="s">
        <v>2526</v>
      </c>
      <c r="I1707" s="4">
        <v>25</v>
      </c>
      <c r="J1707" s="4"/>
      <c r="L1707" t="s">
        <v>264</v>
      </c>
      <c r="M1707" t="s">
        <v>2550</v>
      </c>
      <c r="N1707" s="4">
        <f>IF(L1707="","",IF(OR(Registro2[[#This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707" t="str">
        <f t="shared" si="26"/>
        <v>abr/25</v>
      </c>
      <c r="P1707" t="str">
        <f>IF(Registro2[[#This Row],[Data de Pagamento]]&gt;0,TEXT(A1707,"mmm/aa"),"")</f>
        <v>abr/25</v>
      </c>
      <c r="T1707" s="4">
        <f>IF(Registro2[[#This Row],[Data de Pagamento]]="",0,IF(Registro2[[#This Row],[Conta Financeira]]=base!$A$6,0,Registro2[[#This Row],[Valor Unitário]]))</f>
        <v>25</v>
      </c>
      <c r="U17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07" t="e">
        <f>VLOOKUP(Registro2[[#This Row],[Categoria]],'Plano de Contas'!$V$3:W1768,2,0)</f>
        <v>#N/A</v>
      </c>
      <c r="X170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08" spans="1:24" hidden="1">
      <c r="A1708" s="1">
        <v>45771.739583333336</v>
      </c>
      <c r="B1708" s="1">
        <v>45771.739583333336</v>
      </c>
      <c r="D1708" t="s">
        <v>1</v>
      </c>
      <c r="E1708" t="s">
        <v>149</v>
      </c>
      <c r="F1708" t="s">
        <v>147</v>
      </c>
      <c r="G1708" t="s">
        <v>163</v>
      </c>
      <c r="I1708" s="4">
        <v>35</v>
      </c>
      <c r="J1708" s="4">
        <v>50</v>
      </c>
      <c r="L1708" t="s">
        <v>253</v>
      </c>
      <c r="M1708" t="s">
        <v>2550</v>
      </c>
      <c r="N1708" s="4">
        <f>IF(L1708="","",IF(OR(Registro2[[#This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08" t="str">
        <f t="shared" si="26"/>
        <v>abr/25</v>
      </c>
      <c r="P1708" t="str">
        <f>IF(Registro2[[#This Row],[Data de Pagamento]]&gt;0,TEXT(A1708,"mmm/aa"),"")</f>
        <v>abr/25</v>
      </c>
      <c r="T1708" s="4">
        <f>IF(Registro2[[#This Row],[Data de Pagamento]]="",0,IF(Registro2[[#This Row],[Conta Financeira]]=base!$A$6,0,Registro2[[#This Row],[Valor Unitário]]))</f>
        <v>35</v>
      </c>
      <c r="U17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08" t="str">
        <f>VLOOKUP(Registro2[[#This Row],[Categoria]],'Plano de Contas'!$V$3:W1765,2,0)</f>
        <v>Receitas Serviços</v>
      </c>
      <c r="X170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09" spans="1:24" hidden="1">
      <c r="A1709" s="1">
        <v>45771.739583333336</v>
      </c>
      <c r="B1709" s="1">
        <v>45771.739583333336</v>
      </c>
      <c r="D1709" t="s">
        <v>1</v>
      </c>
      <c r="E1709" t="s">
        <v>149</v>
      </c>
      <c r="F1709" t="s">
        <v>147</v>
      </c>
      <c r="G1709" t="s">
        <v>1446</v>
      </c>
      <c r="I1709" s="4">
        <v>15</v>
      </c>
      <c r="J1709" s="4"/>
      <c r="L1709" t="s">
        <v>253</v>
      </c>
      <c r="M1709" t="s">
        <v>2550</v>
      </c>
      <c r="N1709" s="4">
        <f>IF(L1709="","",IF(OR(Registro2[[#This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709" t="str">
        <f t="shared" si="26"/>
        <v>abr/25</v>
      </c>
      <c r="P1709" t="str">
        <f>IF(Registro2[[#This Row],[Data de Pagamento]]&gt;0,TEXT(A1709,"mmm/aa"),"")</f>
        <v>abr/25</v>
      </c>
      <c r="T1709" s="4">
        <f>IF(Registro2[[#This Row],[Data de Pagamento]]="",0,IF(Registro2[[#This Row],[Conta Financeira]]=base!$A$6,0,Registro2[[#This Row],[Valor Unitário]]))</f>
        <v>15</v>
      </c>
      <c r="U17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09" t="e">
        <f>VLOOKUP(Registro2[[#This Row],[Categoria]],'Plano de Contas'!$V$3:W1766,2,0)</f>
        <v>#N/A</v>
      </c>
      <c r="X170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10" spans="1:24" hidden="1">
      <c r="A1710" s="1">
        <v>45771.770833333336</v>
      </c>
      <c r="B1710" s="1">
        <v>45771.770833333336</v>
      </c>
      <c r="D1710" t="s">
        <v>2</v>
      </c>
      <c r="E1710" t="s">
        <v>149</v>
      </c>
      <c r="F1710" t="s">
        <v>147</v>
      </c>
      <c r="G1710" t="s">
        <v>163</v>
      </c>
      <c r="I1710" s="4">
        <v>0</v>
      </c>
      <c r="J1710" s="4">
        <v>0</v>
      </c>
      <c r="L1710" t="s">
        <v>253</v>
      </c>
      <c r="M1710" t="s">
        <v>20</v>
      </c>
      <c r="N1710" s="4">
        <f>IF(L1710="","",IF(OR(Registro2[[#This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0</v>
      </c>
      <c r="O1710" t="str">
        <f t="shared" si="26"/>
        <v>abr/25</v>
      </c>
      <c r="P1710" t="str">
        <f>IF(Registro2[[#This Row],[Data de Pagamento]]&gt;0,TEXT(A1710,"mmm/aa"),"")</f>
        <v>abr/25</v>
      </c>
      <c r="T1710" s="4">
        <f>IF(Registro2[[#This Row],[Data de Pagamento]]="",0,IF(Registro2[[#This Row],[Conta Financeira]]=base!$A$6,0,Registro2[[#This Row],[Valor Unitário]]))</f>
        <v>0</v>
      </c>
      <c r="U17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10" t="str">
        <f>VLOOKUP(Registro2[[#This Row],[Categoria]],'Plano de Contas'!$V$3:W1764,2,0)</f>
        <v>Receitas Serviços</v>
      </c>
      <c r="X171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11" spans="1:24" hidden="1">
      <c r="A1711" s="1">
        <v>45771.790277777778</v>
      </c>
      <c r="B1711" s="1">
        <v>45771.790277777778</v>
      </c>
      <c r="D1711" t="s">
        <v>138</v>
      </c>
      <c r="E1711" t="s">
        <v>137</v>
      </c>
      <c r="F1711" t="s">
        <v>138</v>
      </c>
      <c r="G1711" t="s">
        <v>338</v>
      </c>
      <c r="H1711" t="s">
        <v>2521</v>
      </c>
      <c r="I1711" s="4">
        <v>57.97</v>
      </c>
      <c r="J1711" s="4"/>
      <c r="N1711" s="4" t="str">
        <f>IF(L1711="","",IF(OR(Registro2[[#This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711" t="str">
        <f t="shared" si="26"/>
        <v>abr/25</v>
      </c>
      <c r="P1711" t="str">
        <f>IF(Registro2[[#This Row],[Data de Pagamento]]&gt;0,TEXT(A1711,"mmm/aa"),"")</f>
        <v>abr/25</v>
      </c>
      <c r="T1711" s="4">
        <f>IF(Registro2[[#This Row],[Data de Pagamento]]="",0,IF(Registro2[[#This Row],[Conta Financeira]]=base!$A$6,0,Registro2[[#This Row],[Valor Unitário]]))</f>
        <v>57.97</v>
      </c>
      <c r="U17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11" t="str">
        <f>VLOOKUP(Registro2[[#This Row],[Categoria]],'Plano de Contas'!$V$3:W1570,2,0)</f>
        <v>Despesas Administrativas</v>
      </c>
      <c r="X17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12" spans="1:24" hidden="1">
      <c r="A1712" s="1">
        <v>45772</v>
      </c>
      <c r="B1712" s="1">
        <v>45772</v>
      </c>
      <c r="D1712" t="s">
        <v>2</v>
      </c>
      <c r="E1712" t="s">
        <v>149</v>
      </c>
      <c r="F1712" t="s">
        <v>150</v>
      </c>
      <c r="G1712" t="s">
        <v>513</v>
      </c>
      <c r="I1712" s="4">
        <v>35</v>
      </c>
      <c r="J1712" s="4">
        <v>35</v>
      </c>
      <c r="L1712" t="s">
        <v>253</v>
      </c>
      <c r="M1712" t="s">
        <v>1381</v>
      </c>
      <c r="N1712" s="4">
        <f>IF(L1712="","",IF(OR(Registro2[[#This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14</v>
      </c>
      <c r="O1712" t="str">
        <f t="shared" si="26"/>
        <v>abr/25</v>
      </c>
      <c r="P1712" t="str">
        <f>IF(Registro2[[#This Row],[Data de Pagamento]]&gt;0,TEXT(A1712,"mmm/aa"),"")</f>
        <v>abr/25</v>
      </c>
      <c r="T1712" s="4">
        <f>IF(Registro2[[#This Row],[Data de Pagamento]]="",0,IF(Registro2[[#This Row],[Conta Financeira]]=base!$A$6,0,Registro2[[#This Row],[Valor Unitário]]))</f>
        <v>35</v>
      </c>
      <c r="U17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12" t="str">
        <f>VLOOKUP(Registro2[[#This Row],[Categoria]],'Plano de Contas'!$V$3:W1806,2,0)</f>
        <v>Receitas Produtos</v>
      </c>
      <c r="X171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13" spans="1:24" hidden="1">
      <c r="A1713" s="1">
        <v>45772.447916666664</v>
      </c>
      <c r="B1713" s="1">
        <v>45772.447916666664</v>
      </c>
      <c r="D1713" t="s">
        <v>354</v>
      </c>
      <c r="E1713" t="s">
        <v>149</v>
      </c>
      <c r="F1713" t="s">
        <v>147</v>
      </c>
      <c r="G1713" t="s">
        <v>163</v>
      </c>
      <c r="I1713" s="4">
        <v>35</v>
      </c>
      <c r="J1713" s="4">
        <v>35</v>
      </c>
      <c r="L1713" t="s">
        <v>252</v>
      </c>
      <c r="M1713" t="s">
        <v>400</v>
      </c>
      <c r="N1713" s="4">
        <f>IF(L1713="","",IF(OR(Registro2[[#This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13" t="str">
        <f t="shared" si="26"/>
        <v>abr/25</v>
      </c>
      <c r="P1713" t="str">
        <f>IF(Registro2[[#This Row],[Data de Pagamento]]&gt;0,TEXT(A1713,"mmm/aa"),"")</f>
        <v>abr/25</v>
      </c>
      <c r="T1713" s="4">
        <f>IF(Registro2[[#This Row],[Data de Pagamento]]="",0,IF(Registro2[[#This Row],[Conta Financeira]]=base!$A$6,0,Registro2[[#This Row],[Valor Unitário]]))</f>
        <v>35</v>
      </c>
      <c r="U17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13" t="str">
        <f>VLOOKUP(Registro2[[#This Row],[Categoria]],'Plano de Contas'!$V$3:W1773,2,0)</f>
        <v>Receitas Serviços</v>
      </c>
      <c r="X171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714" spans="1:24" hidden="1">
      <c r="A1714" s="1">
        <v>45772.46875</v>
      </c>
      <c r="B1714" s="1">
        <v>45772.46875</v>
      </c>
      <c r="D1714" t="s">
        <v>354</v>
      </c>
      <c r="E1714" t="s">
        <v>149</v>
      </c>
      <c r="F1714" t="s">
        <v>152</v>
      </c>
      <c r="G1714" t="s">
        <v>353</v>
      </c>
      <c r="I1714" s="4">
        <v>50</v>
      </c>
      <c r="J1714" s="4">
        <v>50</v>
      </c>
      <c r="L1714" t="s">
        <v>253</v>
      </c>
      <c r="M1714" t="s">
        <v>122</v>
      </c>
      <c r="N1714" s="4">
        <f>IF(L1714="","",IF(OR(Registro2[[#This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714" t="str">
        <f t="shared" si="26"/>
        <v>abr/25</v>
      </c>
      <c r="P1714" t="str">
        <f>IF(Registro2[[#This Row],[Data de Pagamento]]&gt;0,TEXT(A1714,"mmm/aa"),"")</f>
        <v>abr/25</v>
      </c>
      <c r="T1714" s="4">
        <f>IF(Registro2[[#This Row],[Data de Pagamento]]="",0,IF(Registro2[[#This Row],[Conta Financeira]]=base!$A$6,0,Registro2[[#This Row],[Valor Unitário]]))</f>
        <v>50</v>
      </c>
      <c r="U17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14" t="str">
        <f>VLOOKUP(Registro2[[#This Row],[Categoria]],'Plano de Contas'!$V$3:W1774,2,0)</f>
        <v>Receitas Serviços</v>
      </c>
      <c r="X171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1.575</v>
      </c>
    </row>
    <row r="1715" spans="1:24" hidden="1">
      <c r="A1715" s="1">
        <v>45772.614583333336</v>
      </c>
      <c r="B1715" s="1">
        <v>45772.614583333336</v>
      </c>
      <c r="D1715" t="s">
        <v>1</v>
      </c>
      <c r="E1715" t="s">
        <v>149</v>
      </c>
      <c r="F1715" t="s">
        <v>147</v>
      </c>
      <c r="G1715" t="s">
        <v>163</v>
      </c>
      <c r="I1715" s="4">
        <v>35</v>
      </c>
      <c r="J1715" s="4">
        <v>45</v>
      </c>
      <c r="L1715" t="s">
        <v>253</v>
      </c>
      <c r="M1715" t="s">
        <v>207</v>
      </c>
      <c r="N1715" s="4">
        <f>IF(L1715="","",IF(OR(Registro2[[#This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15" t="str">
        <f t="shared" si="26"/>
        <v>abr/25</v>
      </c>
      <c r="P1715" t="str">
        <f>IF(Registro2[[#This Row],[Data de Pagamento]]&gt;0,TEXT(A1715,"mmm/aa"),"")</f>
        <v>abr/25</v>
      </c>
      <c r="T1715" s="4">
        <f>IF(Registro2[[#This Row],[Data de Pagamento]]="",0,IF(Registro2[[#This Row],[Conta Financeira]]=base!$A$6,0,Registro2[[#This Row],[Valor Unitário]]))</f>
        <v>35</v>
      </c>
      <c r="U17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15" t="str">
        <f>VLOOKUP(Registro2[[#This Row],[Categoria]],'Plano de Contas'!$V$3:W1781,2,0)</f>
        <v>Receitas Serviços</v>
      </c>
      <c r="X171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16" spans="1:24" hidden="1">
      <c r="A1716" s="1">
        <v>45772.614583333336</v>
      </c>
      <c r="B1716" s="1">
        <v>45772.614583333336</v>
      </c>
      <c r="D1716" t="s">
        <v>1</v>
      </c>
      <c r="E1716" t="s">
        <v>149</v>
      </c>
      <c r="F1716" t="s">
        <v>147</v>
      </c>
      <c r="G1716" t="s">
        <v>167</v>
      </c>
      <c r="I1716" s="4">
        <v>10</v>
      </c>
      <c r="J1716" s="4"/>
      <c r="L1716" t="s">
        <v>253</v>
      </c>
      <c r="M1716" t="s">
        <v>207</v>
      </c>
      <c r="N1716" s="4">
        <f>IF(L1716="","",IF(OR(Registro2[[#This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716" t="str">
        <f t="shared" si="26"/>
        <v>abr/25</v>
      </c>
      <c r="P1716" t="str">
        <f>IF(Registro2[[#This Row],[Data de Pagamento]]&gt;0,TEXT(A1716,"mmm/aa"),"")</f>
        <v>abr/25</v>
      </c>
      <c r="T1716" s="4">
        <f>IF(Registro2[[#This Row],[Data de Pagamento]]="",0,IF(Registro2[[#This Row],[Conta Financeira]]=base!$A$6,0,Registro2[[#This Row],[Valor Unitário]]))</f>
        <v>10</v>
      </c>
      <c r="U17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16" t="str">
        <f>VLOOKUP(Registro2[[#This Row],[Categoria]],'Plano de Contas'!$V$3:W1782,2,0)</f>
        <v>Receitas Serviços</v>
      </c>
      <c r="X171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17" spans="1:24" hidden="1">
      <c r="A1717" s="1">
        <v>45772.65625</v>
      </c>
      <c r="B1717" s="1">
        <v>45772.65625</v>
      </c>
      <c r="D1717" t="s">
        <v>1</v>
      </c>
      <c r="E1717" t="s">
        <v>149</v>
      </c>
      <c r="F1717" t="s">
        <v>147</v>
      </c>
      <c r="G1717" t="s">
        <v>167</v>
      </c>
      <c r="I1717" s="4">
        <v>15</v>
      </c>
      <c r="J1717" s="4">
        <v>55</v>
      </c>
      <c r="L1717" t="s">
        <v>253</v>
      </c>
      <c r="M1717" t="s">
        <v>14</v>
      </c>
      <c r="N1717" s="4">
        <f>IF(L1717="","",IF(OR(Registro2[[#This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717" t="str">
        <f t="shared" si="26"/>
        <v>abr/25</v>
      </c>
      <c r="P1717" t="str">
        <f>IF(Registro2[[#This Row],[Data de Pagamento]]&gt;0,TEXT(A1717,"mmm/aa"),"")</f>
        <v>abr/25</v>
      </c>
      <c r="T1717" s="4">
        <f>IF(Registro2[[#This Row],[Data de Pagamento]]="",0,IF(Registro2[[#This Row],[Conta Financeira]]=base!$A$6,0,Registro2[[#This Row],[Valor Unitário]]))</f>
        <v>15</v>
      </c>
      <c r="U17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17" t="str">
        <f>VLOOKUP(Registro2[[#This Row],[Categoria]],'Plano de Contas'!$V$3:W1770,2,0)</f>
        <v>Receitas Serviços</v>
      </c>
      <c r="X171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18" spans="1:24" hidden="1">
      <c r="A1718" s="1">
        <v>45772.65625</v>
      </c>
      <c r="B1718" s="1">
        <v>45772.65625</v>
      </c>
      <c r="D1718" t="s">
        <v>1</v>
      </c>
      <c r="E1718" t="s">
        <v>149</v>
      </c>
      <c r="F1718" t="s">
        <v>150</v>
      </c>
      <c r="G1718" t="s">
        <v>472</v>
      </c>
      <c r="I1718" s="4">
        <v>40</v>
      </c>
      <c r="J1718" s="4"/>
      <c r="L1718" t="s">
        <v>253</v>
      </c>
      <c r="M1718" t="s">
        <v>14</v>
      </c>
      <c r="N1718" s="4">
        <f>IF(L1718="","",IF(OR(Registro2[[#This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1718" t="str">
        <f t="shared" si="26"/>
        <v>abr/25</v>
      </c>
      <c r="P1718" t="str">
        <f>IF(Registro2[[#This Row],[Data de Pagamento]]&gt;0,TEXT(A1718,"mmm/aa"),"")</f>
        <v>abr/25</v>
      </c>
      <c r="T1718" s="4">
        <f>IF(Registro2[[#This Row],[Data de Pagamento]]="",0,IF(Registro2[[#This Row],[Conta Financeira]]=base!$A$6,0,Registro2[[#This Row],[Valor Unitário]]))</f>
        <v>40</v>
      </c>
      <c r="U17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18" t="str">
        <f>VLOOKUP(Registro2[[#This Row],[Categoria]],'Plano de Contas'!$V$3:W1771,2,0)</f>
        <v>Receitas Produtos</v>
      </c>
      <c r="X17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19" spans="1:24" hidden="1">
      <c r="A1719" s="1">
        <v>45772.666666666664</v>
      </c>
      <c r="B1719" s="1">
        <v>45772.666666666664</v>
      </c>
      <c r="D1719" t="s">
        <v>354</v>
      </c>
      <c r="E1719" t="s">
        <v>149</v>
      </c>
      <c r="F1719" t="s">
        <v>147</v>
      </c>
      <c r="G1719" t="s">
        <v>163</v>
      </c>
      <c r="I1719" s="4">
        <v>35</v>
      </c>
      <c r="J1719" s="4">
        <v>35</v>
      </c>
      <c r="L1719" t="s">
        <v>253</v>
      </c>
      <c r="M1719" t="s">
        <v>284</v>
      </c>
      <c r="N1719" s="4">
        <f>IF(L1719="","",IF(OR(Registro2[[#This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19" t="str">
        <f t="shared" si="26"/>
        <v>abr/25</v>
      </c>
      <c r="P1719" t="str">
        <f>IF(Registro2[[#This Row],[Data de Pagamento]]&gt;0,TEXT(A1719,"mmm/aa"),"")</f>
        <v>abr/25</v>
      </c>
      <c r="T1719" s="4">
        <f>IF(Registro2[[#This Row],[Data de Pagamento]]="",0,IF(Registro2[[#This Row],[Conta Financeira]]=base!$A$6,0,Registro2[[#This Row],[Valor Unitário]]))</f>
        <v>35</v>
      </c>
      <c r="U17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19" t="str">
        <f>VLOOKUP(Registro2[[#This Row],[Categoria]],'Plano de Contas'!$V$3:W1775,2,0)</f>
        <v>Receitas Serviços</v>
      </c>
      <c r="X171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720" spans="1:24" hidden="1">
      <c r="A1720" s="1">
        <v>45772.677083333336</v>
      </c>
      <c r="B1720" s="1">
        <v>45772.677083333336</v>
      </c>
      <c r="D1720" t="s">
        <v>354</v>
      </c>
      <c r="E1720" t="s">
        <v>149</v>
      </c>
      <c r="F1720" t="s">
        <v>147</v>
      </c>
      <c r="G1720" t="s">
        <v>163</v>
      </c>
      <c r="I1720" s="4">
        <v>35</v>
      </c>
      <c r="J1720" s="4">
        <v>35</v>
      </c>
      <c r="L1720" t="s">
        <v>264</v>
      </c>
      <c r="M1720" t="s">
        <v>2247</v>
      </c>
      <c r="N1720" s="4">
        <f>IF(L1720="","",IF(OR(Registro2[[#This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20" t="str">
        <f t="shared" si="26"/>
        <v>abr/25</v>
      </c>
      <c r="P1720" t="str">
        <f>IF(Registro2[[#This Row],[Data de Pagamento]]&gt;0,TEXT(A1720,"mmm/aa"),"")</f>
        <v>abr/25</v>
      </c>
      <c r="T1720" s="4">
        <f>IF(Registro2[[#This Row],[Data de Pagamento]]="",0,IF(Registro2[[#This Row],[Conta Financeira]]=base!$A$6,0,Registro2[[#This Row],[Valor Unitário]]))</f>
        <v>35</v>
      </c>
      <c r="U17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20" t="str">
        <f>VLOOKUP(Registro2[[#This Row],[Categoria]],'Plano de Contas'!$V$3:W1785,2,0)</f>
        <v>Receitas Serviços</v>
      </c>
      <c r="X172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721" spans="1:24" hidden="1">
      <c r="A1721" s="1">
        <v>45772.739583333336</v>
      </c>
      <c r="B1721" s="1">
        <v>45772.739583333336</v>
      </c>
      <c r="D1721" t="s">
        <v>310</v>
      </c>
      <c r="E1721" t="s">
        <v>149</v>
      </c>
      <c r="F1721" t="s">
        <v>147</v>
      </c>
      <c r="G1721" t="s">
        <v>163</v>
      </c>
      <c r="I1721" s="4">
        <v>35</v>
      </c>
      <c r="J1721" s="4">
        <v>60</v>
      </c>
      <c r="L1721" t="s">
        <v>253</v>
      </c>
      <c r="M1721" t="s">
        <v>408</v>
      </c>
      <c r="N1721" s="4">
        <f>IF(L1721="","",IF(OR(Registro2[[#This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21" t="str">
        <f t="shared" si="26"/>
        <v>abr/25</v>
      </c>
      <c r="P1721" t="str">
        <f>IF(Registro2[[#This Row],[Data de Pagamento]]&gt;0,TEXT(A1721,"mmm/aa"),"")</f>
        <v>abr/25</v>
      </c>
      <c r="T1721" s="4">
        <f>IF(Registro2[[#This Row],[Data de Pagamento]]="",0,IF(Registro2[[#This Row],[Conta Financeira]]=base!$A$6,0,Registro2[[#This Row],[Valor Unitário]]))</f>
        <v>35</v>
      </c>
      <c r="U17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21" t="str">
        <f>VLOOKUP(Registro2[[#This Row],[Categoria]],'Plano de Contas'!$V$3:W1786,2,0)</f>
        <v>Receitas Serviços</v>
      </c>
      <c r="X172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722" spans="1:24" hidden="1">
      <c r="A1722" s="1">
        <v>45772.739583333336</v>
      </c>
      <c r="B1722" s="1">
        <v>45772.739583333336</v>
      </c>
      <c r="D1722" t="s">
        <v>310</v>
      </c>
      <c r="E1722" t="s">
        <v>149</v>
      </c>
      <c r="F1722" t="s">
        <v>150</v>
      </c>
      <c r="G1722" t="s">
        <v>2477</v>
      </c>
      <c r="I1722" s="4">
        <v>25</v>
      </c>
      <c r="J1722" s="4"/>
      <c r="L1722" t="s">
        <v>253</v>
      </c>
      <c r="M1722" t="s">
        <v>408</v>
      </c>
      <c r="N1722" s="4">
        <f>IF(L1722="","",IF(OR(Registro2[[#This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722" t="str">
        <f t="shared" si="26"/>
        <v>abr/25</v>
      </c>
      <c r="P1722" t="str">
        <f>IF(Registro2[[#This Row],[Data de Pagamento]]&gt;0,TEXT(A1722,"mmm/aa"),"")</f>
        <v>abr/25</v>
      </c>
      <c r="T1722" s="4">
        <f>IF(Registro2[[#This Row],[Data de Pagamento]]="",0,IF(Registro2[[#This Row],[Conta Financeira]]=base!$A$6,0,Registro2[[#This Row],[Valor Unitário]]))</f>
        <v>25</v>
      </c>
      <c r="U17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22" t="e">
        <f>VLOOKUP(Registro2[[#This Row],[Categoria]],'Plano de Contas'!$V$3:W1787,2,0)</f>
        <v>#N/A</v>
      </c>
      <c r="X172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0.2225</v>
      </c>
    </row>
    <row r="1723" spans="1:24" hidden="1">
      <c r="A1723" s="1">
        <v>45772.75</v>
      </c>
      <c r="B1723" s="1">
        <v>45772.75</v>
      </c>
      <c r="D1723" t="s">
        <v>310</v>
      </c>
      <c r="E1723" t="s">
        <v>149</v>
      </c>
      <c r="F1723" t="s">
        <v>152</v>
      </c>
      <c r="G1723" t="s">
        <v>353</v>
      </c>
      <c r="I1723" s="4">
        <v>60</v>
      </c>
      <c r="J1723" s="4">
        <v>60</v>
      </c>
      <c r="L1723" t="s">
        <v>252</v>
      </c>
      <c r="M1723" t="s">
        <v>11</v>
      </c>
      <c r="N1723" s="4">
        <f>IF(L1723="","",IF(OR(Registro2[[#This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723" t="str">
        <f t="shared" si="26"/>
        <v>abr/25</v>
      </c>
      <c r="P1723" t="str">
        <f>IF(Registro2[[#This Row],[Data de Pagamento]]&gt;0,TEXT(A1723,"mmm/aa"),"")</f>
        <v>abr/25</v>
      </c>
      <c r="T1723" s="4">
        <f>IF(Registro2[[#This Row],[Data de Pagamento]]="",0,IF(Registro2[[#This Row],[Conta Financeira]]=base!$A$6,0,Registro2[[#This Row],[Valor Unitário]]))</f>
        <v>60</v>
      </c>
      <c r="U17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23" t="str">
        <f>VLOOKUP(Registro2[[#This Row],[Categoria]],'Plano de Contas'!$V$3:W1783,2,0)</f>
        <v>Receitas Serviços</v>
      </c>
      <c r="X172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</row>
    <row r="1724" spans="1:24" hidden="1">
      <c r="A1724" s="1">
        <v>45772.760416666664</v>
      </c>
      <c r="B1724" s="1">
        <v>45772.760416666664</v>
      </c>
      <c r="D1724" t="s">
        <v>1</v>
      </c>
      <c r="E1724" t="s">
        <v>149</v>
      </c>
      <c r="F1724" t="s">
        <v>147</v>
      </c>
      <c r="G1724" t="s">
        <v>163</v>
      </c>
      <c r="I1724" s="4">
        <v>35</v>
      </c>
      <c r="J1724" s="4">
        <v>35</v>
      </c>
      <c r="L1724" t="s">
        <v>264</v>
      </c>
      <c r="M1724" t="s">
        <v>375</v>
      </c>
      <c r="N1724" s="4">
        <f>IF(L1724="","",IF(OR(Registro2[[#This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24" t="str">
        <f t="shared" si="26"/>
        <v>abr/25</v>
      </c>
      <c r="P1724" t="str">
        <f>IF(Registro2[[#This Row],[Data de Pagamento]]&gt;0,TEXT(A1724,"mmm/aa"),"")</f>
        <v>abr/25</v>
      </c>
      <c r="T1724" s="4">
        <f>IF(Registro2[[#This Row],[Data de Pagamento]]="",0,IF(Registro2[[#This Row],[Conta Financeira]]=base!$A$6,0,Registro2[[#This Row],[Valor Unitário]]))</f>
        <v>35</v>
      </c>
      <c r="U17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24" t="str">
        <f>VLOOKUP(Registro2[[#This Row],[Categoria]],'Plano de Contas'!$V$3:W1780,2,0)</f>
        <v>Receitas Serviços</v>
      </c>
      <c r="X172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25" spans="1:24" hidden="1">
      <c r="A1725" s="1">
        <v>45772.763888888891</v>
      </c>
      <c r="B1725" s="1">
        <v>45772.763888888891</v>
      </c>
      <c r="D1725" t="s">
        <v>1</v>
      </c>
      <c r="E1725" t="s">
        <v>149</v>
      </c>
      <c r="F1725" t="s">
        <v>147</v>
      </c>
      <c r="G1725" t="s">
        <v>163</v>
      </c>
      <c r="I1725" s="4">
        <v>35</v>
      </c>
      <c r="J1725" s="4">
        <v>35</v>
      </c>
      <c r="L1725" t="s">
        <v>264</v>
      </c>
      <c r="M1725" t="s">
        <v>1112</v>
      </c>
      <c r="N1725" s="4">
        <f>IF(L1725="","",IF(OR(Registro2[[#This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25" t="str">
        <f t="shared" si="26"/>
        <v>abr/25</v>
      </c>
      <c r="P1725" t="str">
        <f>IF(Registro2[[#This Row],[Data de Pagamento]]&gt;0,TEXT(A1725,"mmm/aa"),"")</f>
        <v>abr/25</v>
      </c>
      <c r="T1725" s="4">
        <f>IF(Registro2[[#This Row],[Data de Pagamento]]="",0,IF(Registro2[[#This Row],[Conta Financeira]]=base!$A$6,0,Registro2[[#This Row],[Valor Unitário]]))</f>
        <v>35</v>
      </c>
      <c r="U17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25" t="str">
        <f>VLOOKUP(Registro2[[#This Row],[Categoria]],'Plano de Contas'!$V$3:W1788,2,0)</f>
        <v>Receitas Serviços</v>
      </c>
      <c r="X172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26" spans="1:24" hidden="1">
      <c r="A1726" s="1">
        <v>45772.770833333336</v>
      </c>
      <c r="B1726" s="1">
        <v>45772.770833333336</v>
      </c>
      <c r="D1726" t="s">
        <v>2</v>
      </c>
      <c r="E1726" t="s">
        <v>149</v>
      </c>
      <c r="F1726" t="s">
        <v>147</v>
      </c>
      <c r="G1726" t="s">
        <v>163</v>
      </c>
      <c r="I1726" s="4">
        <v>35</v>
      </c>
      <c r="J1726" s="4">
        <v>35</v>
      </c>
      <c r="L1726" t="s">
        <v>253</v>
      </c>
      <c r="M1726" t="s">
        <v>185</v>
      </c>
      <c r="N1726" s="4">
        <f>IF(L1726="","",IF(OR(Registro2[[#This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26" t="str">
        <f t="shared" si="26"/>
        <v>abr/25</v>
      </c>
      <c r="P1726" t="str">
        <f>IF(Registro2[[#This Row],[Data de Pagamento]]&gt;0,TEXT(A1726,"mmm/aa"),"")</f>
        <v>abr/25</v>
      </c>
      <c r="T1726" s="4">
        <f>IF(Registro2[[#This Row],[Data de Pagamento]]="",0,IF(Registro2[[#This Row],[Conta Financeira]]=base!$A$6,0,Registro2[[#This Row],[Valor Unitário]]))</f>
        <v>35</v>
      </c>
      <c r="U17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26" t="str">
        <f>VLOOKUP(Registro2[[#This Row],[Categoria]],'Plano de Contas'!$V$3:W1772,2,0)</f>
        <v>Receitas Serviços</v>
      </c>
      <c r="X172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27" spans="1:24" hidden="1">
      <c r="A1727" s="1">
        <v>45772.78125</v>
      </c>
      <c r="B1727" s="1">
        <v>45772.78125</v>
      </c>
      <c r="D1727" t="s">
        <v>1</v>
      </c>
      <c r="E1727" t="s">
        <v>149</v>
      </c>
      <c r="F1727" t="s">
        <v>152</v>
      </c>
      <c r="G1727" t="s">
        <v>353</v>
      </c>
      <c r="I1727" s="4">
        <v>55</v>
      </c>
      <c r="J1727" s="4">
        <v>70</v>
      </c>
      <c r="L1727" t="s">
        <v>252</v>
      </c>
      <c r="M1727" t="s">
        <v>286</v>
      </c>
      <c r="N1727" s="4">
        <f>IF(L1727="","",IF(OR(Registro2[[#This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1727" t="str">
        <f t="shared" si="26"/>
        <v>abr/25</v>
      </c>
      <c r="P1727" t="str">
        <f>IF(Registro2[[#This Row],[Data de Pagamento]]&gt;0,TEXT(A1727,"mmm/aa"),"")</f>
        <v>abr/25</v>
      </c>
      <c r="T1727" s="4">
        <f>IF(Registro2[[#This Row],[Data de Pagamento]]="",0,IF(Registro2[[#This Row],[Conta Financeira]]=base!$A$6,0,Registro2[[#This Row],[Valor Unitário]]))</f>
        <v>55</v>
      </c>
      <c r="U17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27" t="str">
        <f>VLOOKUP(Registro2[[#This Row],[Categoria]],'Plano de Contas'!$V$3:W1792,2,0)</f>
        <v>Receitas Serviços</v>
      </c>
      <c r="X17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28" spans="1:24" hidden="1">
      <c r="A1728" s="1">
        <v>45772.78125</v>
      </c>
      <c r="B1728" s="1">
        <v>45772.78125</v>
      </c>
      <c r="D1728" t="s">
        <v>1</v>
      </c>
      <c r="E1728" t="s">
        <v>149</v>
      </c>
      <c r="F1728" t="s">
        <v>147</v>
      </c>
      <c r="G1728" t="s">
        <v>1187</v>
      </c>
      <c r="I1728" s="4">
        <v>15</v>
      </c>
      <c r="J1728" s="4"/>
      <c r="L1728" t="s">
        <v>252</v>
      </c>
      <c r="M1728" t="s">
        <v>286</v>
      </c>
      <c r="N1728" s="4">
        <f>IF(L1728="","",IF(OR(Registro2[[#This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728" t="str">
        <f t="shared" si="26"/>
        <v>abr/25</v>
      </c>
      <c r="P1728" t="str">
        <f>IF(Registro2[[#This Row],[Data de Pagamento]]&gt;0,TEXT(A1728,"mmm/aa"),"")</f>
        <v>abr/25</v>
      </c>
      <c r="T1728" s="4">
        <f>IF(Registro2[[#This Row],[Data de Pagamento]]="",0,IF(Registro2[[#This Row],[Conta Financeira]]=base!$A$6,0,Registro2[[#This Row],[Valor Unitário]]))</f>
        <v>15</v>
      </c>
      <c r="U17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28" t="str">
        <f>VLOOKUP(Registro2[[#This Row],[Categoria]],'Plano de Contas'!$V$3:W1793,2,0)</f>
        <v>Receitas Serviços</v>
      </c>
      <c r="X172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29" spans="1:24" hidden="1">
      <c r="A1729" s="1">
        <v>45772.791666666664</v>
      </c>
      <c r="B1729" s="1">
        <v>45772.791666666664</v>
      </c>
      <c r="D1729" t="s">
        <v>1</v>
      </c>
      <c r="E1729" t="s">
        <v>149</v>
      </c>
      <c r="F1729" t="s">
        <v>147</v>
      </c>
      <c r="G1729" t="s">
        <v>163</v>
      </c>
      <c r="I1729" s="4">
        <v>35</v>
      </c>
      <c r="J1729" s="4">
        <v>35</v>
      </c>
      <c r="L1729" t="s">
        <v>253</v>
      </c>
      <c r="M1729" t="s">
        <v>53</v>
      </c>
      <c r="N1729" s="4">
        <f>IF(L1729="","",IF(OR(Registro2[[#This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29" t="str">
        <f t="shared" si="26"/>
        <v>abr/25</v>
      </c>
      <c r="P1729" t="str">
        <f>IF(Registro2[[#This Row],[Data de Pagamento]]&gt;0,TEXT(A1729,"mmm/aa"),"")</f>
        <v>abr/25</v>
      </c>
      <c r="T1729" s="4">
        <f>IF(Registro2[[#This Row],[Data de Pagamento]]="",0,IF(Registro2[[#This Row],[Conta Financeira]]=base!$A$6,0,Registro2[[#This Row],[Valor Unitário]]))</f>
        <v>35</v>
      </c>
      <c r="U17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29" t="str">
        <f>VLOOKUP(Registro2[[#This Row],[Categoria]],'Plano de Contas'!$V$3:W1779,2,0)</f>
        <v>Receitas Serviços</v>
      </c>
      <c r="X17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30" spans="1:24" hidden="1">
      <c r="A1730" s="1">
        <v>45772.802083333336</v>
      </c>
      <c r="B1730" s="1">
        <v>45772.802083333336</v>
      </c>
      <c r="D1730" t="s">
        <v>354</v>
      </c>
      <c r="E1730" t="s">
        <v>149</v>
      </c>
      <c r="F1730" t="s">
        <v>147</v>
      </c>
      <c r="G1730" t="s">
        <v>163</v>
      </c>
      <c r="I1730" s="4">
        <v>35</v>
      </c>
      <c r="J1730" s="4">
        <v>35</v>
      </c>
      <c r="L1730" t="s">
        <v>253</v>
      </c>
      <c r="M1730" t="s">
        <v>2069</v>
      </c>
      <c r="N1730" s="4">
        <f>IF(L1730="","",IF(OR(Registro2[[#This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30" t="str">
        <f t="shared" ref="O1730:O1793" si="27">TEXT(B1730,"mmm/aa")</f>
        <v>abr/25</v>
      </c>
      <c r="P1730" t="str">
        <f>IF(Registro2[[#This Row],[Data de Pagamento]]&gt;0,TEXT(A1730,"mmm/aa"),"")</f>
        <v>abr/25</v>
      </c>
      <c r="T1730" s="4">
        <f>IF(Registro2[[#This Row],[Data de Pagamento]]="",0,IF(Registro2[[#This Row],[Conta Financeira]]=base!$A$6,0,Registro2[[#This Row],[Valor Unitário]]))</f>
        <v>35</v>
      </c>
      <c r="U17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30" t="str">
        <f>VLOOKUP(Registro2[[#This Row],[Categoria]],'Plano de Contas'!$V$3:W1796,2,0)</f>
        <v>Receitas Serviços</v>
      </c>
      <c r="X173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731" spans="1:24" hidden="1">
      <c r="A1731" s="1">
        <v>45772.8125</v>
      </c>
      <c r="B1731" s="1">
        <v>45772.8125</v>
      </c>
      <c r="D1731" t="s">
        <v>1</v>
      </c>
      <c r="E1731" t="s">
        <v>149</v>
      </c>
      <c r="F1731" t="s">
        <v>147</v>
      </c>
      <c r="G1731" t="s">
        <v>163</v>
      </c>
      <c r="I1731" s="4">
        <v>35</v>
      </c>
      <c r="J1731" s="4">
        <v>35</v>
      </c>
      <c r="L1731" t="s">
        <v>253</v>
      </c>
      <c r="M1731" t="s">
        <v>1490</v>
      </c>
      <c r="N1731" s="4">
        <f>IF(L1731="","",IF(OR(Registro2[[#This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31" t="str">
        <f t="shared" si="27"/>
        <v>abr/25</v>
      </c>
      <c r="P1731" t="str">
        <f>IF(Registro2[[#This Row],[Data de Pagamento]]&gt;0,TEXT(A1731,"mmm/aa"),"")</f>
        <v>abr/25</v>
      </c>
      <c r="T1731" s="4">
        <f>IF(Registro2[[#This Row],[Data de Pagamento]]="",0,IF(Registro2[[#This Row],[Conta Financeira]]=base!$A$6,0,Registro2[[#This Row],[Valor Unitário]]))</f>
        <v>35</v>
      </c>
      <c r="U17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31" t="str">
        <f>VLOOKUP(Registro2[[#This Row],[Categoria]],'Plano de Contas'!$V$3:W1784,2,0)</f>
        <v>Receitas Serviços</v>
      </c>
      <c r="X173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32" spans="1:24" hidden="1">
      <c r="A1732" s="1">
        <v>45773.375</v>
      </c>
      <c r="B1732" s="1">
        <v>45773.375</v>
      </c>
      <c r="D1732" t="s">
        <v>310</v>
      </c>
      <c r="E1732" t="s">
        <v>149</v>
      </c>
      <c r="F1732" t="s">
        <v>147</v>
      </c>
      <c r="G1732" t="s">
        <v>163</v>
      </c>
      <c r="I1732" s="4">
        <v>35</v>
      </c>
      <c r="J1732" s="4">
        <v>35</v>
      </c>
      <c r="L1732" t="s">
        <v>253</v>
      </c>
      <c r="M1732" t="s">
        <v>1564</v>
      </c>
      <c r="N1732" s="4">
        <f>IF(L1732="","",IF(OR(Registro2[[#This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32" t="str">
        <f t="shared" si="27"/>
        <v>abr/25</v>
      </c>
      <c r="P1732" t="str">
        <f>IF(Registro2[[#This Row],[Data de Pagamento]]&gt;0,TEXT(A1732,"mmm/aa"),"")</f>
        <v>abr/25</v>
      </c>
      <c r="T1732" s="4">
        <f>IF(Registro2[[#This Row],[Data de Pagamento]]="",0,IF(Registro2[[#This Row],[Conta Financeira]]=base!$A$6,0,Registro2[[#This Row],[Valor Unitário]]))</f>
        <v>35</v>
      </c>
      <c r="U17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32" t="str">
        <f>VLOOKUP(Registro2[[#This Row],[Categoria]],'Plano de Contas'!$V$3:W1753,2,0)</f>
        <v>Receitas Serviços</v>
      </c>
      <c r="X173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733" spans="1:24" hidden="1">
      <c r="A1733" s="1">
        <v>45773.395833333336</v>
      </c>
      <c r="B1733" s="1">
        <v>45773.395833333336</v>
      </c>
      <c r="D1733" t="s">
        <v>310</v>
      </c>
      <c r="E1733" t="s">
        <v>149</v>
      </c>
      <c r="F1733" t="s">
        <v>147</v>
      </c>
      <c r="G1733" t="s">
        <v>163</v>
      </c>
      <c r="I1733" s="4">
        <v>35</v>
      </c>
      <c r="J1733" s="4">
        <v>35</v>
      </c>
      <c r="L1733" t="s">
        <v>252</v>
      </c>
      <c r="M1733" t="s">
        <v>1310</v>
      </c>
      <c r="N1733" s="4">
        <f>IF(L1733="","",IF(OR(Registro2[[#This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33" t="str">
        <f t="shared" si="27"/>
        <v>abr/25</v>
      </c>
      <c r="P1733" t="str">
        <f>IF(Registro2[[#This Row],[Data de Pagamento]]&gt;0,TEXT(A1733,"mmm/aa"),"")</f>
        <v>abr/25</v>
      </c>
      <c r="T1733" s="4">
        <f>IF(Registro2[[#This Row],[Data de Pagamento]]="",0,IF(Registro2[[#This Row],[Conta Financeira]]=base!$A$6,0,Registro2[[#This Row],[Valor Unitário]]))</f>
        <v>35</v>
      </c>
      <c r="U17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33" t="str">
        <f>VLOOKUP(Registro2[[#This Row],[Categoria]],'Plano de Contas'!$V$3:W1778,2,0)</f>
        <v>Receitas Serviços</v>
      </c>
      <c r="X173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734" spans="1:24" hidden="1">
      <c r="A1734" s="1">
        <v>45773.395833333336</v>
      </c>
      <c r="B1734" s="1">
        <v>45773.395833333336</v>
      </c>
      <c r="D1734" t="s">
        <v>354</v>
      </c>
      <c r="E1734" t="s">
        <v>149</v>
      </c>
      <c r="F1734" t="s">
        <v>147</v>
      </c>
      <c r="G1734" t="s">
        <v>163</v>
      </c>
      <c r="I1734" s="4">
        <v>35</v>
      </c>
      <c r="J1734" s="4">
        <v>70</v>
      </c>
      <c r="L1734" t="s">
        <v>253</v>
      </c>
      <c r="M1734" t="s">
        <v>466</v>
      </c>
      <c r="N1734" s="4">
        <f>IF(L1734="","",IF(OR(Registro2[[#This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34" t="str">
        <f t="shared" si="27"/>
        <v>abr/25</v>
      </c>
      <c r="P1734" t="str">
        <f>IF(Registro2[[#This Row],[Data de Pagamento]]&gt;0,TEXT(A1734,"mmm/aa"),"")</f>
        <v>abr/25</v>
      </c>
      <c r="T1734" s="4">
        <f>IF(Registro2[[#This Row],[Data de Pagamento]]="",0,IF(Registro2[[#This Row],[Conta Financeira]]=base!$A$6,0,Registro2[[#This Row],[Valor Unitário]]))</f>
        <v>35</v>
      </c>
      <c r="U17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34" t="str">
        <f>VLOOKUP(Registro2[[#This Row],[Categoria]],'Plano de Contas'!$V$3:W1789,2,0)</f>
        <v>Receitas Serviços</v>
      </c>
      <c r="X173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735" spans="1:24" hidden="1">
      <c r="A1735" s="1">
        <v>45773.395833333336</v>
      </c>
      <c r="B1735" s="1">
        <v>45773.395833333336</v>
      </c>
      <c r="D1735" t="s">
        <v>354</v>
      </c>
      <c r="E1735" t="s">
        <v>149</v>
      </c>
      <c r="F1735" t="s">
        <v>147</v>
      </c>
      <c r="G1735" t="s">
        <v>167</v>
      </c>
      <c r="I1735" s="4">
        <v>10</v>
      </c>
      <c r="J1735" s="4"/>
      <c r="L1735" t="s">
        <v>253</v>
      </c>
      <c r="M1735" t="s">
        <v>466</v>
      </c>
      <c r="N1735" s="4">
        <f>IF(L1735="","",IF(OR(Registro2[[#This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735" t="str">
        <f t="shared" si="27"/>
        <v>abr/25</v>
      </c>
      <c r="P1735" t="str">
        <f>IF(Registro2[[#This Row],[Data de Pagamento]]&gt;0,TEXT(A1735,"mmm/aa"),"")</f>
        <v>abr/25</v>
      </c>
      <c r="T1735" s="4">
        <f>IF(Registro2[[#This Row],[Data de Pagamento]]="",0,IF(Registro2[[#This Row],[Conta Financeira]]=base!$A$6,0,Registro2[[#This Row],[Valor Unitário]]))</f>
        <v>10</v>
      </c>
      <c r="U17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35" t="str">
        <f>VLOOKUP(Registro2[[#This Row],[Categoria]],'Plano de Contas'!$V$3:W1790,2,0)</f>
        <v>Receitas Serviços</v>
      </c>
      <c r="X173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</row>
    <row r="1736" spans="1:24" hidden="1">
      <c r="A1736" s="1">
        <v>45773.395833333336</v>
      </c>
      <c r="B1736" s="1">
        <v>45773.395833333336</v>
      </c>
      <c r="D1736" t="s">
        <v>354</v>
      </c>
      <c r="E1736" t="s">
        <v>149</v>
      </c>
      <c r="F1736" t="s">
        <v>150</v>
      </c>
      <c r="G1736" t="s">
        <v>2477</v>
      </c>
      <c r="I1736" s="4">
        <v>25</v>
      </c>
      <c r="J1736" s="4"/>
      <c r="L1736" t="s">
        <v>253</v>
      </c>
      <c r="M1736" t="s">
        <v>466</v>
      </c>
      <c r="N1736" s="4">
        <f>IF(L1736="","",IF(OR(Registro2[[#This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736" t="str">
        <f t="shared" si="27"/>
        <v>abr/25</v>
      </c>
      <c r="P1736" t="str">
        <f>IF(Registro2[[#This Row],[Data de Pagamento]]&gt;0,TEXT(A1736,"mmm/aa"),"")</f>
        <v>abr/25</v>
      </c>
      <c r="T1736" s="4">
        <f>IF(Registro2[[#This Row],[Data de Pagamento]]="",0,IF(Registro2[[#This Row],[Conta Financeira]]=base!$A$6,0,Registro2[[#This Row],[Valor Unitário]]))</f>
        <v>25</v>
      </c>
      <c r="U17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36" t="e">
        <f>VLOOKUP(Registro2[[#This Row],[Categoria]],'Plano de Contas'!$V$3:W1791,2,0)</f>
        <v>#N/A</v>
      </c>
      <c r="X173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0.78749999999999998</v>
      </c>
    </row>
    <row r="1737" spans="1:24" hidden="1">
      <c r="A1737" s="1">
        <v>45773.416666666664</v>
      </c>
      <c r="B1737" s="1">
        <v>45773.416666666664</v>
      </c>
      <c r="D1737" t="s">
        <v>1</v>
      </c>
      <c r="E1737" t="s">
        <v>149</v>
      </c>
      <c r="F1737" t="s">
        <v>147</v>
      </c>
      <c r="G1737" t="s">
        <v>163</v>
      </c>
      <c r="I1737" s="4">
        <v>35</v>
      </c>
      <c r="J1737" s="4">
        <v>35</v>
      </c>
      <c r="L1737" t="s">
        <v>252</v>
      </c>
      <c r="M1737" t="s">
        <v>364</v>
      </c>
      <c r="N1737" s="4">
        <f>IF(L1737="","",IF(OR(Registro2[[#This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37" t="str">
        <f t="shared" si="27"/>
        <v>abr/25</v>
      </c>
      <c r="P1737" t="str">
        <f>IF(Registro2[[#This Row],[Data de Pagamento]]&gt;0,TEXT(A1737,"mmm/aa"),"")</f>
        <v>abr/25</v>
      </c>
      <c r="T1737" s="4">
        <f>IF(Registro2[[#This Row],[Data de Pagamento]]="",0,IF(Registro2[[#This Row],[Conta Financeira]]=base!$A$6,0,Registro2[[#This Row],[Valor Unitário]]))</f>
        <v>35</v>
      </c>
      <c r="U17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37" t="str">
        <f>VLOOKUP(Registro2[[#This Row],[Categoria]],'Plano de Contas'!$V$3:W1747,2,0)</f>
        <v>Receitas Serviços</v>
      </c>
      <c r="X173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38" spans="1:24" hidden="1">
      <c r="A1738" s="1">
        <v>45773.427083333336</v>
      </c>
      <c r="B1738" s="1">
        <v>45773.427083333336</v>
      </c>
      <c r="D1738" t="s">
        <v>2</v>
      </c>
      <c r="E1738" t="s">
        <v>149</v>
      </c>
      <c r="F1738" t="s">
        <v>147</v>
      </c>
      <c r="G1738" t="s">
        <v>163</v>
      </c>
      <c r="I1738" s="4">
        <v>35</v>
      </c>
      <c r="J1738" s="4">
        <v>70</v>
      </c>
      <c r="L1738" t="s">
        <v>264</v>
      </c>
      <c r="M1738" t="s">
        <v>372</v>
      </c>
      <c r="N1738" s="4">
        <f>IF(L1738="","",IF(OR(Registro2[[#This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38" t="str">
        <f t="shared" si="27"/>
        <v>abr/25</v>
      </c>
      <c r="P1738" t="str">
        <f>IF(Registro2[[#This Row],[Data de Pagamento]]&gt;0,TEXT(A1738,"mmm/aa"),"")</f>
        <v>abr/25</v>
      </c>
      <c r="T1738" s="4">
        <f>IF(Registro2[[#This Row],[Data de Pagamento]]="",0,IF(Registro2[[#This Row],[Conta Financeira]]=base!$A$6,0,Registro2[[#This Row],[Valor Unitário]]))</f>
        <v>35</v>
      </c>
      <c r="U17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38" t="str">
        <f>VLOOKUP(Registro2[[#This Row],[Categoria]],'Plano de Contas'!$V$3:W1800,2,0)</f>
        <v>Receitas Serviços</v>
      </c>
      <c r="X173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39" spans="1:24" hidden="1">
      <c r="A1739" s="1">
        <v>45773.427083333336</v>
      </c>
      <c r="B1739" s="1">
        <v>45773.427083333336</v>
      </c>
      <c r="D1739" t="s">
        <v>2</v>
      </c>
      <c r="E1739" t="s">
        <v>149</v>
      </c>
      <c r="F1739" t="s">
        <v>147</v>
      </c>
      <c r="G1739" t="s">
        <v>163</v>
      </c>
      <c r="I1739" s="4">
        <v>35</v>
      </c>
      <c r="J1739" s="4"/>
      <c r="L1739" t="s">
        <v>264</v>
      </c>
      <c r="M1739" t="s">
        <v>372</v>
      </c>
      <c r="N1739" s="4">
        <f>IF(L1739="","",IF(OR(Registro2[[#This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39" t="str">
        <f t="shared" si="27"/>
        <v>abr/25</v>
      </c>
      <c r="P1739" t="str">
        <f>IF(Registro2[[#This Row],[Data de Pagamento]]&gt;0,TEXT(A1739,"mmm/aa"),"")</f>
        <v>abr/25</v>
      </c>
      <c r="T1739" s="4">
        <f>IF(Registro2[[#This Row],[Data de Pagamento]]="",0,IF(Registro2[[#This Row],[Conta Financeira]]=base!$A$6,0,Registro2[[#This Row],[Valor Unitário]]))</f>
        <v>35</v>
      </c>
      <c r="U17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39" t="str">
        <f>VLOOKUP(Registro2[[#This Row],[Categoria]],'Plano de Contas'!$V$3:W1801,2,0)</f>
        <v>Receitas Serviços</v>
      </c>
      <c r="X173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40" spans="1:24" hidden="1">
      <c r="A1740" s="1">
        <v>45773.447916666664</v>
      </c>
      <c r="B1740" s="1">
        <v>45773.447916666664</v>
      </c>
      <c r="D1740" t="s">
        <v>882</v>
      </c>
      <c r="E1740" t="s">
        <v>149</v>
      </c>
      <c r="F1740" t="s">
        <v>147</v>
      </c>
      <c r="G1740" t="s">
        <v>163</v>
      </c>
      <c r="I1740" s="4">
        <v>35</v>
      </c>
      <c r="J1740" s="4">
        <v>55</v>
      </c>
      <c r="L1740" t="s">
        <v>252</v>
      </c>
      <c r="M1740" t="s">
        <v>22</v>
      </c>
      <c r="N1740" s="4">
        <f>IF(L1740="","",IF(OR(Registro2[[#This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40" t="str">
        <f t="shared" si="27"/>
        <v>abr/25</v>
      </c>
      <c r="P1740" t="str">
        <f>IF(Registro2[[#This Row],[Data de Pagamento]]&gt;0,TEXT(A1740,"mmm/aa"),"")</f>
        <v>abr/25</v>
      </c>
      <c r="T1740" s="4">
        <f>IF(Registro2[[#This Row],[Data de Pagamento]]="",0,IF(Registro2[[#This Row],[Conta Financeira]]=base!$A$6,0,Registro2[[#This Row],[Valor Unitário]]))</f>
        <v>35</v>
      </c>
      <c r="U17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40" t="str">
        <f>VLOOKUP(Registro2[[#This Row],[Categoria]],'Plano de Contas'!$V$3:W1776,2,0)</f>
        <v>Receitas Serviços</v>
      </c>
      <c r="X174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41" spans="1:24" hidden="1">
      <c r="A1741" s="1">
        <v>45773.447916666664</v>
      </c>
      <c r="B1741" s="1">
        <v>45773.447916666664</v>
      </c>
      <c r="D1741" t="s">
        <v>882</v>
      </c>
      <c r="E1741" t="s">
        <v>149</v>
      </c>
      <c r="F1741" t="s">
        <v>147</v>
      </c>
      <c r="G1741" t="s">
        <v>166</v>
      </c>
      <c r="I1741" s="4">
        <v>20</v>
      </c>
      <c r="J1741" s="4"/>
      <c r="L1741" t="s">
        <v>252</v>
      </c>
      <c r="M1741" t="s">
        <v>22</v>
      </c>
      <c r="N1741" s="4">
        <f>IF(L1741="","",IF(OR(Registro2[[#This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741" t="str">
        <f t="shared" si="27"/>
        <v>abr/25</v>
      </c>
      <c r="P1741" t="str">
        <f>IF(Registro2[[#This Row],[Data de Pagamento]]&gt;0,TEXT(A1741,"mmm/aa"),"")</f>
        <v>abr/25</v>
      </c>
      <c r="T1741" s="4">
        <f>IF(Registro2[[#This Row],[Data de Pagamento]]="",0,IF(Registro2[[#This Row],[Conta Financeira]]=base!$A$6,0,Registro2[[#This Row],[Valor Unitário]]))</f>
        <v>20</v>
      </c>
      <c r="U17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41" t="str">
        <f>VLOOKUP(Registro2[[#This Row],[Categoria]],'Plano de Contas'!$V$3:W1777,2,0)</f>
        <v>Receitas Serviços</v>
      </c>
      <c r="X174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42" spans="1:24" hidden="1">
      <c r="A1742" s="1">
        <v>45773.447916666664</v>
      </c>
      <c r="B1742" s="1">
        <v>45773.447916666664</v>
      </c>
      <c r="D1742" t="s">
        <v>354</v>
      </c>
      <c r="E1742" t="s">
        <v>149</v>
      </c>
      <c r="F1742" t="s">
        <v>147</v>
      </c>
      <c r="G1742" t="s">
        <v>163</v>
      </c>
      <c r="I1742" s="4">
        <v>35</v>
      </c>
      <c r="J1742" s="4">
        <v>95</v>
      </c>
      <c r="L1742" t="s">
        <v>253</v>
      </c>
      <c r="M1742" t="s">
        <v>2576</v>
      </c>
      <c r="N1742" s="4">
        <f>IF(L1742="","",IF(OR(Registro2[[#This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42" t="str">
        <f t="shared" si="27"/>
        <v>abr/25</v>
      </c>
      <c r="P1742" t="str">
        <f>IF(Registro2[[#This Row],[Data de Pagamento]]&gt;0,TEXT(A1742,"mmm/aa"),"")</f>
        <v>abr/25</v>
      </c>
      <c r="T1742" s="4">
        <f>IF(Registro2[[#This Row],[Data de Pagamento]]="",0,IF(Registro2[[#This Row],[Conta Financeira]]=base!$A$6,0,Registro2[[#This Row],[Valor Unitário]]))</f>
        <v>35</v>
      </c>
      <c r="U17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42" t="str">
        <f>VLOOKUP(Registro2[[#This Row],[Categoria]],'Plano de Contas'!$V$3:W1802,2,0)</f>
        <v>Receitas Serviços</v>
      </c>
      <c r="X174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743" spans="1:24" hidden="1">
      <c r="A1743" s="1">
        <v>45773.447916666664</v>
      </c>
      <c r="B1743" s="1">
        <v>45773.447916666664</v>
      </c>
      <c r="D1743" t="s">
        <v>354</v>
      </c>
      <c r="E1743" t="s">
        <v>149</v>
      </c>
      <c r="F1743" t="s">
        <v>150</v>
      </c>
      <c r="G1743" t="s">
        <v>513</v>
      </c>
      <c r="I1743" s="4">
        <v>35</v>
      </c>
      <c r="J1743" s="4"/>
      <c r="L1743" t="s">
        <v>253</v>
      </c>
      <c r="M1743" t="s">
        <v>2576</v>
      </c>
      <c r="N1743" s="4">
        <f>IF(L1743="","",IF(OR(Registro2[[#This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14</v>
      </c>
      <c r="O1743" t="str">
        <f t="shared" si="27"/>
        <v>abr/25</v>
      </c>
      <c r="P1743" t="str">
        <f>IF(Registro2[[#This Row],[Data de Pagamento]]&gt;0,TEXT(A1743,"mmm/aa"),"")</f>
        <v>abr/25</v>
      </c>
      <c r="T1743" s="4">
        <f>IF(Registro2[[#This Row],[Data de Pagamento]]="",0,IF(Registro2[[#This Row],[Conta Financeira]]=base!$A$6,0,Registro2[[#This Row],[Valor Unitário]]))</f>
        <v>35</v>
      </c>
      <c r="U17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43" t="str">
        <f>VLOOKUP(Registro2[[#This Row],[Categoria]],'Plano de Contas'!$V$3:W1803,2,0)</f>
        <v>Receitas Produtos</v>
      </c>
      <c r="X174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744" spans="1:24" hidden="1">
      <c r="A1744" s="1">
        <v>45773.447916666664</v>
      </c>
      <c r="B1744" s="1">
        <v>45773.447916666664</v>
      </c>
      <c r="D1744" t="s">
        <v>354</v>
      </c>
      <c r="E1744" t="s">
        <v>149</v>
      </c>
      <c r="F1744" t="s">
        <v>147</v>
      </c>
      <c r="G1744" t="s">
        <v>1046</v>
      </c>
      <c r="I1744" s="4">
        <v>25</v>
      </c>
      <c r="J1744" s="4"/>
      <c r="L1744" t="s">
        <v>253</v>
      </c>
      <c r="M1744" t="s">
        <v>2576</v>
      </c>
      <c r="N1744" s="4">
        <f>IF(L1744="","",IF(OR(Registro2[[#This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1744" t="str">
        <f t="shared" si="27"/>
        <v>abr/25</v>
      </c>
      <c r="P1744" t="str">
        <f>IF(Registro2[[#This Row],[Data de Pagamento]]&gt;0,TEXT(A1744,"mmm/aa"),"")</f>
        <v>abr/25</v>
      </c>
      <c r="T1744" s="4">
        <f>IF(Registro2[[#This Row],[Data de Pagamento]]="",0,IF(Registro2[[#This Row],[Conta Financeira]]=base!$A$6,0,Registro2[[#This Row],[Valor Unitário]]))</f>
        <v>25</v>
      </c>
      <c r="U17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44" t="str">
        <f>VLOOKUP(Registro2[[#This Row],[Categoria]],'Plano de Contas'!$V$3:W1804,2,0)</f>
        <v>Receitas Serviços</v>
      </c>
      <c r="X174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0.78749999999999998</v>
      </c>
    </row>
    <row r="1745" spans="1:24" hidden="1">
      <c r="A1745" s="1">
        <v>45773.548611111109</v>
      </c>
      <c r="B1745" s="1">
        <v>45773.548611111109</v>
      </c>
      <c r="D1745" t="s">
        <v>2</v>
      </c>
      <c r="E1745" t="s">
        <v>149</v>
      </c>
      <c r="F1745" t="s">
        <v>147</v>
      </c>
      <c r="G1745" t="s">
        <v>163</v>
      </c>
      <c r="I1745" s="4">
        <v>35</v>
      </c>
      <c r="J1745" s="4">
        <v>35</v>
      </c>
      <c r="L1745" t="s">
        <v>252</v>
      </c>
      <c r="M1745" t="s">
        <v>2580</v>
      </c>
      <c r="N1745" s="4">
        <f>IF(L1745="","",IF(OR(Registro2[[#This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45" t="str">
        <f t="shared" si="27"/>
        <v>abr/25</v>
      </c>
      <c r="P1745" t="str">
        <f>IF(Registro2[[#This Row],[Data de Pagamento]]&gt;0,TEXT(A1745,"mmm/aa"),"")</f>
        <v>abr/25</v>
      </c>
      <c r="T1745" s="4">
        <f>IF(Registro2[[#This Row],[Data de Pagamento]]="",0,IF(Registro2[[#This Row],[Conta Financeira]]=base!$A$6,0,Registro2[[#This Row],[Valor Unitário]]))</f>
        <v>35</v>
      </c>
      <c r="U17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45" t="str">
        <f>VLOOKUP(Registro2[[#This Row],[Categoria]],'Plano de Contas'!$V$3:W1807,2,0)</f>
        <v>Receitas Serviços</v>
      </c>
      <c r="X17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46" spans="1:24" hidden="1">
      <c r="A1746" s="1">
        <v>45773.5625</v>
      </c>
      <c r="B1746" s="1">
        <v>45773.5625</v>
      </c>
      <c r="D1746" t="s">
        <v>2</v>
      </c>
      <c r="E1746" t="s">
        <v>149</v>
      </c>
      <c r="F1746" t="s">
        <v>147</v>
      </c>
      <c r="G1746" t="s">
        <v>163</v>
      </c>
      <c r="I1746" s="4">
        <v>35</v>
      </c>
      <c r="J1746" s="4">
        <v>35</v>
      </c>
      <c r="L1746" t="s">
        <v>253</v>
      </c>
      <c r="M1746" t="s">
        <v>115</v>
      </c>
      <c r="N1746" s="4">
        <f>IF(L1746="","",IF(OR(Registro2[[#This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46" t="str">
        <f t="shared" si="27"/>
        <v>abr/25</v>
      </c>
      <c r="P1746" t="str">
        <f>IF(Registro2[[#This Row],[Data de Pagamento]]&gt;0,TEXT(A1746,"mmm/aa"),"")</f>
        <v>abr/25</v>
      </c>
      <c r="T1746" s="4">
        <f>IF(Registro2[[#This Row],[Data de Pagamento]]="",0,IF(Registro2[[#This Row],[Conta Financeira]]=base!$A$6,0,Registro2[[#This Row],[Valor Unitário]]))</f>
        <v>35</v>
      </c>
      <c r="U17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46" t="str">
        <f>VLOOKUP(Registro2[[#This Row],[Categoria]],'Plano de Contas'!$V$3:W1805,2,0)</f>
        <v>Receitas Serviços</v>
      </c>
      <c r="X174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47" spans="1:24" hidden="1">
      <c r="A1747" s="1">
        <v>45773.59375</v>
      </c>
      <c r="B1747" s="1">
        <v>45773.59375</v>
      </c>
      <c r="D1747" t="s">
        <v>2</v>
      </c>
      <c r="E1747" t="s">
        <v>149</v>
      </c>
      <c r="F1747" t="s">
        <v>152</v>
      </c>
      <c r="G1747" t="s">
        <v>353</v>
      </c>
      <c r="I1747" s="4">
        <v>50</v>
      </c>
      <c r="J1747" s="4">
        <v>50</v>
      </c>
      <c r="L1747" t="s">
        <v>264</v>
      </c>
      <c r="M1747" t="s">
        <v>1184</v>
      </c>
      <c r="N1747" s="4">
        <f>IF(L1747="","",IF(OR(Registro2[[#This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747" t="str">
        <f t="shared" si="27"/>
        <v>abr/25</v>
      </c>
      <c r="P1747" t="str">
        <f>IF(Registro2[[#This Row],[Data de Pagamento]]&gt;0,TEXT(A1747,"mmm/aa"),"")</f>
        <v>abr/25</v>
      </c>
      <c r="T1747" s="4">
        <f>IF(Registro2[[#This Row],[Data de Pagamento]]="",0,IF(Registro2[[#This Row],[Conta Financeira]]=base!$A$6,0,Registro2[[#This Row],[Valor Unitário]]))</f>
        <v>50</v>
      </c>
      <c r="U17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47" t="str">
        <f>VLOOKUP(Registro2[[#This Row],[Categoria]],'Plano de Contas'!$V$3:W1810,2,0)</f>
        <v>Receitas Serviços</v>
      </c>
      <c r="X174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48" spans="1:24" hidden="1">
      <c r="A1748" s="1">
        <v>45773.59375</v>
      </c>
      <c r="B1748" s="1">
        <v>45773.59375</v>
      </c>
      <c r="D1748" t="s">
        <v>1</v>
      </c>
      <c r="E1748" t="s">
        <v>149</v>
      </c>
      <c r="F1748" t="s">
        <v>152</v>
      </c>
      <c r="G1748" t="s">
        <v>353</v>
      </c>
      <c r="I1748" s="4">
        <v>60</v>
      </c>
      <c r="J1748" s="4">
        <v>60</v>
      </c>
      <c r="L1748" t="s">
        <v>253</v>
      </c>
      <c r="M1748" t="s">
        <v>183</v>
      </c>
      <c r="N1748" s="4">
        <f>IF(L1748="","",IF(OR(Registro2[[#This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748" t="str">
        <f t="shared" si="27"/>
        <v>abr/25</v>
      </c>
      <c r="P1748" t="str">
        <f>IF(Registro2[[#This Row],[Data de Pagamento]]&gt;0,TEXT(A1748,"mmm/aa"),"")</f>
        <v>abr/25</v>
      </c>
      <c r="T1748" s="4">
        <f>IF(Registro2[[#This Row],[Data de Pagamento]]="",0,IF(Registro2[[#This Row],[Conta Financeira]]=base!$A$6,0,Registro2[[#This Row],[Valor Unitário]]))</f>
        <v>60</v>
      </c>
      <c r="U17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48" t="str">
        <f>VLOOKUP(Registro2[[#This Row],[Categoria]],'Plano de Contas'!$V$3:W1811,2,0)</f>
        <v>Receitas Serviços</v>
      </c>
      <c r="X174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49" spans="1:24" hidden="1">
      <c r="A1749" s="1">
        <v>45773.614583333336</v>
      </c>
      <c r="B1749" s="1">
        <v>45773.614583333336</v>
      </c>
      <c r="D1749" t="s">
        <v>310</v>
      </c>
      <c r="E1749" t="s">
        <v>149</v>
      </c>
      <c r="F1749" t="s">
        <v>147</v>
      </c>
      <c r="G1749" t="s">
        <v>163</v>
      </c>
      <c r="I1749" s="4">
        <v>35</v>
      </c>
      <c r="J1749" s="4">
        <v>70</v>
      </c>
      <c r="L1749" t="s">
        <v>252</v>
      </c>
      <c r="M1749" t="s">
        <v>2587</v>
      </c>
      <c r="N1749" s="4">
        <f>IF(L1749="","",IF(OR(Registro2[[#This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49" t="str">
        <f t="shared" si="27"/>
        <v>abr/25</v>
      </c>
      <c r="P1749" t="str">
        <f>IF(Registro2[[#This Row],[Data de Pagamento]]&gt;0,TEXT(A1749,"mmm/aa"),"")</f>
        <v>abr/25</v>
      </c>
      <c r="T1749" s="4">
        <f>IF(Registro2[[#This Row],[Data de Pagamento]]="",0,IF(Registro2[[#This Row],[Conta Financeira]]=base!$A$6,0,Registro2[[#This Row],[Valor Unitário]]))</f>
        <v>35</v>
      </c>
      <c r="U17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49" t="str">
        <f>VLOOKUP(Registro2[[#This Row],[Categoria]],'Plano de Contas'!$V$3:W1814,2,0)</f>
        <v>Receitas Serviços</v>
      </c>
      <c r="X174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750" spans="1:24" hidden="1">
      <c r="A1750" s="1">
        <v>45773.614583333336</v>
      </c>
      <c r="B1750" s="1">
        <v>45773.614583333336</v>
      </c>
      <c r="D1750" t="s">
        <v>310</v>
      </c>
      <c r="E1750" t="s">
        <v>149</v>
      </c>
      <c r="F1750" t="s">
        <v>147</v>
      </c>
      <c r="G1750" t="s">
        <v>163</v>
      </c>
      <c r="I1750" s="4">
        <v>35</v>
      </c>
      <c r="J1750" s="4"/>
      <c r="L1750" t="s">
        <v>252</v>
      </c>
      <c r="M1750" t="s">
        <v>2587</v>
      </c>
      <c r="N1750" s="4">
        <f>IF(L1750="","",IF(OR(Registro2[[#This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50" t="str">
        <f t="shared" si="27"/>
        <v>abr/25</v>
      </c>
      <c r="P1750" t="str">
        <f>IF(Registro2[[#This Row],[Data de Pagamento]]&gt;0,TEXT(A1750,"mmm/aa"),"")</f>
        <v>abr/25</v>
      </c>
      <c r="T1750" s="4">
        <f>IF(Registro2[[#This Row],[Data de Pagamento]]="",0,IF(Registro2[[#This Row],[Conta Financeira]]=base!$A$6,0,Registro2[[#This Row],[Valor Unitário]]))</f>
        <v>35</v>
      </c>
      <c r="U17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50" t="str">
        <f>VLOOKUP(Registro2[[#This Row],[Categoria]],'Plano de Contas'!$V$3:W1815,2,0)</f>
        <v>Receitas Serviços</v>
      </c>
      <c r="X175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751" spans="1:24" hidden="1">
      <c r="A1751" s="1">
        <v>45773.625</v>
      </c>
      <c r="B1751" s="1">
        <v>45773.625</v>
      </c>
      <c r="D1751" t="s">
        <v>1</v>
      </c>
      <c r="E1751" t="s">
        <v>149</v>
      </c>
      <c r="F1751" t="s">
        <v>147</v>
      </c>
      <c r="G1751" t="s">
        <v>163</v>
      </c>
      <c r="I1751" s="4">
        <v>35</v>
      </c>
      <c r="J1751" s="4">
        <v>35</v>
      </c>
      <c r="L1751" t="s">
        <v>264</v>
      </c>
      <c r="M1751" t="s">
        <v>1435</v>
      </c>
      <c r="N1751" s="4">
        <f>IF(L1751="","",IF(OR(Registro2[[#This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51" t="str">
        <f t="shared" si="27"/>
        <v>abr/25</v>
      </c>
      <c r="P1751" t="str">
        <f>IF(Registro2[[#This Row],[Data de Pagamento]]&gt;0,TEXT(A1751,"mmm/aa"),"")</f>
        <v>abr/25</v>
      </c>
      <c r="T1751" s="4">
        <f>IF(Registro2[[#This Row],[Data de Pagamento]]="",0,IF(Registro2[[#This Row],[Conta Financeira]]=base!$A$6,0,Registro2[[#This Row],[Valor Unitário]]))</f>
        <v>35</v>
      </c>
      <c r="U17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51" t="str">
        <f>VLOOKUP(Registro2[[#This Row],[Categoria]],'Plano de Contas'!$V$3:W1769,2,0)</f>
        <v>Receitas Serviços</v>
      </c>
      <c r="X175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52" spans="1:24" hidden="1">
      <c r="A1752" s="1">
        <v>45773.625</v>
      </c>
      <c r="B1752" s="1">
        <v>45773.625</v>
      </c>
      <c r="D1752" t="s">
        <v>1</v>
      </c>
      <c r="E1752" t="s">
        <v>149</v>
      </c>
      <c r="F1752" t="s">
        <v>147</v>
      </c>
      <c r="G1752" t="s">
        <v>163</v>
      </c>
      <c r="I1752" s="4">
        <v>35</v>
      </c>
      <c r="J1752" s="4">
        <v>35</v>
      </c>
      <c r="L1752" t="s">
        <v>252</v>
      </c>
      <c r="M1752" t="s">
        <v>24</v>
      </c>
      <c r="N1752" s="4">
        <f>IF(L1752="","",IF(OR(Registro2[[#This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52" t="str">
        <f t="shared" si="27"/>
        <v>abr/25</v>
      </c>
      <c r="P1752" t="str">
        <f>IF(Registro2[[#This Row],[Data de Pagamento]]&gt;0,TEXT(A1752,"mmm/aa"),"")</f>
        <v>abr/25</v>
      </c>
      <c r="T1752" s="4">
        <f>IF(Registro2[[#This Row],[Data de Pagamento]]="",0,IF(Registro2[[#This Row],[Conta Financeira]]=base!$A$6,0,Registro2[[#This Row],[Valor Unitário]]))</f>
        <v>35</v>
      </c>
      <c r="U17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52" t="str">
        <f>VLOOKUP(Registro2[[#This Row],[Categoria]],'Plano de Contas'!$V$3:W1797,2,0)</f>
        <v>Receitas Serviços</v>
      </c>
      <c r="X175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53" spans="1:24" hidden="1">
      <c r="A1753" s="1">
        <v>45773.625</v>
      </c>
      <c r="B1753" s="1">
        <v>45773.625</v>
      </c>
      <c r="D1753" t="s">
        <v>1</v>
      </c>
      <c r="E1753" t="s">
        <v>149</v>
      </c>
      <c r="F1753" t="s">
        <v>147</v>
      </c>
      <c r="G1753" t="s">
        <v>163</v>
      </c>
      <c r="I1753" s="4">
        <v>20</v>
      </c>
      <c r="J1753" s="4">
        <v>20</v>
      </c>
      <c r="L1753" t="s">
        <v>264</v>
      </c>
      <c r="M1753" t="s">
        <v>382</v>
      </c>
      <c r="N1753" s="4">
        <f>IF(L1753="","",IF(OR(Registro2[[#This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753" t="str">
        <f t="shared" si="27"/>
        <v>abr/25</v>
      </c>
      <c r="P1753" t="str">
        <f>IF(Registro2[[#This Row],[Data de Pagamento]]&gt;0,TEXT(A1753,"mmm/aa"),"")</f>
        <v>abr/25</v>
      </c>
      <c r="T1753" s="4">
        <f>IF(Registro2[[#This Row],[Data de Pagamento]]="",0,IF(Registro2[[#This Row],[Conta Financeira]]=base!$A$6,0,Registro2[[#This Row],[Valor Unitário]]))</f>
        <v>20</v>
      </c>
      <c r="U17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53" t="str">
        <f>VLOOKUP(Registro2[[#This Row],[Categoria]],'Plano de Contas'!$V$3:W1840,2,0)</f>
        <v>Receitas Serviços</v>
      </c>
      <c r="X175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54" spans="1:24" hidden="1">
      <c r="A1754" s="1">
        <v>45773.645833333336</v>
      </c>
      <c r="B1754" s="1">
        <v>45773.645833333336</v>
      </c>
      <c r="D1754" t="s">
        <v>1</v>
      </c>
      <c r="E1754" t="s">
        <v>149</v>
      </c>
      <c r="F1754" t="s">
        <v>147</v>
      </c>
      <c r="G1754" t="s">
        <v>163</v>
      </c>
      <c r="I1754" s="4">
        <v>35</v>
      </c>
      <c r="J1754" s="4">
        <v>50</v>
      </c>
      <c r="L1754" t="s">
        <v>253</v>
      </c>
      <c r="M1754" t="s">
        <v>1523</v>
      </c>
      <c r="N1754" s="4">
        <f>IF(L1754="","",IF(OR(Registro2[[#This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54" t="str">
        <f t="shared" si="27"/>
        <v>abr/25</v>
      </c>
      <c r="P1754" t="str">
        <f>IF(Registro2[[#This Row],[Data de Pagamento]]&gt;0,TEXT(A1754,"mmm/aa"),"")</f>
        <v>abr/25</v>
      </c>
      <c r="T1754" s="4">
        <f>IF(Registro2[[#This Row],[Data de Pagamento]]="",0,IF(Registro2[[#This Row],[Conta Financeira]]=base!$A$6,0,Registro2[[#This Row],[Valor Unitário]]))</f>
        <v>35</v>
      </c>
      <c r="U17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54" t="str">
        <f>VLOOKUP(Registro2[[#This Row],[Categoria]],'Plano de Contas'!$V$3:W1808,2,0)</f>
        <v>Receitas Serviços</v>
      </c>
      <c r="X175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55" spans="1:24" hidden="1">
      <c r="A1755" s="1">
        <v>45773.645833333336</v>
      </c>
      <c r="B1755" s="1">
        <v>45773.645833333336</v>
      </c>
      <c r="D1755" t="s">
        <v>1</v>
      </c>
      <c r="E1755" t="s">
        <v>149</v>
      </c>
      <c r="F1755" t="s">
        <v>147</v>
      </c>
      <c r="G1755" t="s">
        <v>167</v>
      </c>
      <c r="I1755" s="4">
        <v>15</v>
      </c>
      <c r="J1755" s="4"/>
      <c r="L1755" t="s">
        <v>253</v>
      </c>
      <c r="M1755" t="s">
        <v>1523</v>
      </c>
      <c r="N1755" s="4">
        <f>IF(L1755="","",IF(OR(Registro2[[#This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755" t="str">
        <f t="shared" si="27"/>
        <v>abr/25</v>
      </c>
      <c r="P1755" t="str">
        <f>IF(Registro2[[#This Row],[Data de Pagamento]]&gt;0,TEXT(A1755,"mmm/aa"),"")</f>
        <v>abr/25</v>
      </c>
      <c r="T1755" s="4">
        <f>IF(Registro2[[#This Row],[Data de Pagamento]]="",0,IF(Registro2[[#This Row],[Conta Financeira]]=base!$A$6,0,Registro2[[#This Row],[Valor Unitário]]))</f>
        <v>15</v>
      </c>
      <c r="U17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55" t="str">
        <f>VLOOKUP(Registro2[[#This Row],[Categoria]],'Plano de Contas'!$V$3:W1809,2,0)</f>
        <v>Receitas Serviços</v>
      </c>
      <c r="X17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56" spans="1:24" hidden="1">
      <c r="A1756" s="1">
        <v>45773.645833333336</v>
      </c>
      <c r="B1756" s="1">
        <v>45773.645833333336</v>
      </c>
      <c r="D1756" t="s">
        <v>1</v>
      </c>
      <c r="E1756" t="s">
        <v>149</v>
      </c>
      <c r="F1756" t="s">
        <v>147</v>
      </c>
      <c r="G1756" t="s">
        <v>163</v>
      </c>
      <c r="I1756" s="4">
        <v>35</v>
      </c>
      <c r="J1756" s="4">
        <v>70</v>
      </c>
      <c r="L1756" t="s">
        <v>252</v>
      </c>
      <c r="M1756" t="s">
        <v>2585</v>
      </c>
      <c r="N1756" s="4">
        <f>IF(L1756="","",IF(OR(Registro2[[#This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56" t="str">
        <f t="shared" si="27"/>
        <v>abr/25</v>
      </c>
      <c r="P1756" t="str">
        <f>IF(Registro2[[#This Row],[Data de Pagamento]]&gt;0,TEXT(A1756,"mmm/aa"),"")</f>
        <v>abr/25</v>
      </c>
      <c r="T1756" s="4">
        <f>IF(Registro2[[#This Row],[Data de Pagamento]]="",0,IF(Registro2[[#This Row],[Conta Financeira]]=base!$A$6,0,Registro2[[#This Row],[Valor Unitário]]))</f>
        <v>35</v>
      </c>
      <c r="U17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56" t="str">
        <f>VLOOKUP(Registro2[[#This Row],[Categoria]],'Plano de Contas'!$V$3:W1812,2,0)</f>
        <v>Receitas Serviços</v>
      </c>
      <c r="X175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57" spans="1:24" hidden="1">
      <c r="A1757" s="1">
        <v>45773.645833333336</v>
      </c>
      <c r="B1757" s="1">
        <v>45773.645833333336</v>
      </c>
      <c r="D1757" t="s">
        <v>1</v>
      </c>
      <c r="E1757" t="s">
        <v>149</v>
      </c>
      <c r="F1757" t="s">
        <v>147</v>
      </c>
      <c r="G1757" t="s">
        <v>163</v>
      </c>
      <c r="I1757" s="4">
        <v>35</v>
      </c>
      <c r="J1757" s="4"/>
      <c r="L1757" t="s">
        <v>252</v>
      </c>
      <c r="M1757" t="s">
        <v>2585</v>
      </c>
      <c r="N1757" s="4">
        <f>IF(L1757="","",IF(OR(Registro2[[#This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57" t="str">
        <f t="shared" si="27"/>
        <v>abr/25</v>
      </c>
      <c r="P1757" t="str">
        <f>IF(Registro2[[#This Row],[Data de Pagamento]]&gt;0,TEXT(A1757,"mmm/aa"),"")</f>
        <v>abr/25</v>
      </c>
      <c r="T1757" s="4">
        <f>IF(Registro2[[#This Row],[Data de Pagamento]]="",0,IF(Registro2[[#This Row],[Conta Financeira]]=base!$A$6,0,Registro2[[#This Row],[Valor Unitário]]))</f>
        <v>35</v>
      </c>
      <c r="U17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57" t="str">
        <f>VLOOKUP(Registro2[[#This Row],[Categoria]],'Plano de Contas'!$V$3:W1813,2,0)</f>
        <v>Receitas Serviços</v>
      </c>
      <c r="X17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58" spans="1:24" hidden="1">
      <c r="A1758" s="1">
        <v>45773.677083333336</v>
      </c>
      <c r="B1758" s="1">
        <v>45773.677083333336</v>
      </c>
      <c r="D1758" t="s">
        <v>1</v>
      </c>
      <c r="E1758" t="s">
        <v>149</v>
      </c>
      <c r="F1758" t="s">
        <v>147</v>
      </c>
      <c r="G1758" t="s">
        <v>163</v>
      </c>
      <c r="I1758" s="4">
        <v>35</v>
      </c>
      <c r="J1758" s="4">
        <v>60</v>
      </c>
      <c r="L1758" t="s">
        <v>252</v>
      </c>
      <c r="M1758" t="s">
        <v>480</v>
      </c>
      <c r="N1758" s="4">
        <f>IF(L1758="","",IF(OR(Registro2[[#This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58" t="str">
        <f t="shared" si="27"/>
        <v>abr/25</v>
      </c>
      <c r="P1758" t="str">
        <f>IF(Registro2[[#This Row],[Data de Pagamento]]&gt;0,TEXT(A1758,"mmm/aa"),"")</f>
        <v>abr/25</v>
      </c>
      <c r="T1758" s="4">
        <f>IF(Registro2[[#This Row],[Data de Pagamento]]="",0,IF(Registro2[[#This Row],[Conta Financeira]]=base!$A$6,0,Registro2[[#This Row],[Valor Unitário]]))</f>
        <v>35</v>
      </c>
      <c r="U17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58" t="str">
        <f>VLOOKUP(Registro2[[#This Row],[Categoria]],'Plano de Contas'!$V$3:W1798,2,0)</f>
        <v>Receitas Serviços</v>
      </c>
      <c r="X17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59" spans="1:24" hidden="1">
      <c r="A1759" s="1">
        <v>45773.677083333336</v>
      </c>
      <c r="B1759" s="1">
        <v>45773.677083333336</v>
      </c>
      <c r="D1759" t="s">
        <v>1</v>
      </c>
      <c r="E1759" t="s">
        <v>149</v>
      </c>
      <c r="F1759" t="s">
        <v>150</v>
      </c>
      <c r="G1759" t="s">
        <v>2477</v>
      </c>
      <c r="I1759" s="4">
        <v>25</v>
      </c>
      <c r="J1759" s="4"/>
      <c r="L1759" t="s">
        <v>252</v>
      </c>
      <c r="M1759" t="s">
        <v>480</v>
      </c>
      <c r="N1759" s="4">
        <f>IF(L1759="","",IF(OR(Registro2[[#This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759" t="str">
        <f t="shared" si="27"/>
        <v>abr/25</v>
      </c>
      <c r="P1759" t="str">
        <f>IF(Registro2[[#This Row],[Data de Pagamento]]&gt;0,TEXT(A1759,"mmm/aa"),"")</f>
        <v>abr/25</v>
      </c>
      <c r="T1759" s="4">
        <f>IF(Registro2[[#This Row],[Data de Pagamento]]="",0,IF(Registro2[[#This Row],[Conta Financeira]]=base!$A$6,0,Registro2[[#This Row],[Valor Unitário]]))</f>
        <v>25</v>
      </c>
      <c r="U17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59" t="e">
        <f>VLOOKUP(Registro2[[#This Row],[Categoria]],'Plano de Contas'!$V$3:W1799,2,0)</f>
        <v>#N/A</v>
      </c>
      <c r="X175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60" spans="1:24" hidden="1">
      <c r="A1760" s="1">
        <v>45773.701388888891</v>
      </c>
      <c r="B1760" s="1">
        <v>45773.701388888891</v>
      </c>
      <c r="D1760" t="s">
        <v>1</v>
      </c>
      <c r="E1760" t="s">
        <v>149</v>
      </c>
      <c r="F1760" t="s">
        <v>147</v>
      </c>
      <c r="G1760" t="s">
        <v>163</v>
      </c>
      <c r="I1760" s="4">
        <v>35</v>
      </c>
      <c r="J1760" s="4">
        <v>60</v>
      </c>
      <c r="L1760" t="s">
        <v>253</v>
      </c>
      <c r="M1760" t="s">
        <v>500</v>
      </c>
      <c r="N1760" s="4">
        <f>IF(L1760="","",IF(OR(Registro2[[#This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60" t="str">
        <f t="shared" si="27"/>
        <v>abr/25</v>
      </c>
      <c r="P1760" t="str">
        <f>IF(Registro2[[#This Row],[Data de Pagamento]]&gt;0,TEXT(A1760,"mmm/aa"),"")</f>
        <v>abr/25</v>
      </c>
      <c r="T1760" s="4">
        <f>IF(Registro2[[#This Row],[Data de Pagamento]]="",0,IF(Registro2[[#This Row],[Conta Financeira]]=base!$A$6,0,Registro2[[#This Row],[Valor Unitário]]))</f>
        <v>35</v>
      </c>
      <c r="U17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60" t="str">
        <f>VLOOKUP(Registro2[[#This Row],[Categoria]],'Plano de Contas'!$V$3:W1820,2,0)</f>
        <v>Receitas Serviços</v>
      </c>
      <c r="X17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61" spans="1:24" hidden="1">
      <c r="A1761" s="1">
        <v>45773.701388888891</v>
      </c>
      <c r="B1761" s="1">
        <v>45773.701388888891</v>
      </c>
      <c r="D1761" t="s">
        <v>1</v>
      </c>
      <c r="E1761" t="s">
        <v>149</v>
      </c>
      <c r="F1761" t="s">
        <v>147</v>
      </c>
      <c r="G1761" t="s">
        <v>1046</v>
      </c>
      <c r="I1761" s="4">
        <v>15</v>
      </c>
      <c r="J1761" s="4"/>
      <c r="L1761" t="s">
        <v>253</v>
      </c>
      <c r="M1761" t="s">
        <v>500</v>
      </c>
      <c r="N1761" s="4">
        <f>IF(L1761="","",IF(OR(Registro2[[#This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761" t="str">
        <f t="shared" si="27"/>
        <v>abr/25</v>
      </c>
      <c r="P1761" t="str">
        <f>IF(Registro2[[#This Row],[Data de Pagamento]]&gt;0,TEXT(A1761,"mmm/aa"),"")</f>
        <v>abr/25</v>
      </c>
      <c r="T1761" s="4">
        <f>IF(Registro2[[#This Row],[Data de Pagamento]]="",0,IF(Registro2[[#This Row],[Conta Financeira]]=base!$A$6,0,Registro2[[#This Row],[Valor Unitário]]))</f>
        <v>15</v>
      </c>
      <c r="U17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61" t="str">
        <f>VLOOKUP(Registro2[[#This Row],[Categoria]],'Plano de Contas'!$V$3:W1821,2,0)</f>
        <v>Receitas Serviços</v>
      </c>
      <c r="X17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62" spans="1:24" hidden="1">
      <c r="A1762" s="1">
        <v>45773.701388888891</v>
      </c>
      <c r="B1762" s="1">
        <v>45773.701388888891</v>
      </c>
      <c r="D1762" t="s">
        <v>1</v>
      </c>
      <c r="E1762" t="s">
        <v>149</v>
      </c>
      <c r="F1762" t="s">
        <v>147</v>
      </c>
      <c r="G1762" t="s">
        <v>167</v>
      </c>
      <c r="I1762" s="4">
        <v>10</v>
      </c>
      <c r="J1762" s="4"/>
      <c r="L1762" t="s">
        <v>253</v>
      </c>
      <c r="M1762" t="s">
        <v>500</v>
      </c>
      <c r="N1762" s="4">
        <f>IF(L1762="","",IF(OR(Registro2[[#This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762" t="str">
        <f t="shared" si="27"/>
        <v>abr/25</v>
      </c>
      <c r="P1762" t="str">
        <f>IF(Registro2[[#This Row],[Data de Pagamento]]&gt;0,TEXT(A1762,"mmm/aa"),"")</f>
        <v>abr/25</v>
      </c>
      <c r="T1762" s="4">
        <f>IF(Registro2[[#This Row],[Data de Pagamento]]="",0,IF(Registro2[[#This Row],[Conta Financeira]]=base!$A$6,0,Registro2[[#This Row],[Valor Unitário]]))</f>
        <v>10</v>
      </c>
      <c r="U17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62" t="str">
        <f>VLOOKUP(Registro2[[#This Row],[Categoria]],'Plano de Contas'!$V$3:W1822,2,0)</f>
        <v>Receitas Serviços</v>
      </c>
      <c r="X176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63" spans="1:24" hidden="1">
      <c r="A1763" s="1">
        <v>45773.729166666664</v>
      </c>
      <c r="B1763" s="1">
        <v>45773.729166666664</v>
      </c>
      <c r="D1763" t="s">
        <v>1</v>
      </c>
      <c r="E1763" t="s">
        <v>149</v>
      </c>
      <c r="F1763" t="s">
        <v>147</v>
      </c>
      <c r="G1763" t="s">
        <v>1046</v>
      </c>
      <c r="I1763" s="4">
        <v>35</v>
      </c>
      <c r="J1763" s="4">
        <v>45</v>
      </c>
      <c r="L1763" t="s">
        <v>252</v>
      </c>
      <c r="M1763" t="s">
        <v>83</v>
      </c>
      <c r="N1763" s="4">
        <f>IF(L1763="","",IF(OR(Registro2[[#This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63" t="str">
        <f t="shared" si="27"/>
        <v>abr/25</v>
      </c>
      <c r="P1763" t="str">
        <f>IF(Registro2[[#This Row],[Data de Pagamento]]&gt;0,TEXT(A1763,"mmm/aa"),"")</f>
        <v>abr/25</v>
      </c>
      <c r="T1763" s="4">
        <f>IF(Registro2[[#This Row],[Data de Pagamento]]="",0,IF(Registro2[[#This Row],[Conta Financeira]]=base!$A$6,0,Registro2[[#This Row],[Valor Unitário]]))</f>
        <v>35</v>
      </c>
      <c r="U17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63" t="str">
        <f>VLOOKUP(Registro2[[#This Row],[Categoria]],'Plano de Contas'!$V$3:W1816,2,0)</f>
        <v>Receitas Serviços</v>
      </c>
      <c r="X176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64" spans="1:24" hidden="1">
      <c r="A1764" s="1">
        <v>45773.729166666664</v>
      </c>
      <c r="B1764" s="1">
        <v>45773.729166666664</v>
      </c>
      <c r="D1764" t="s">
        <v>1</v>
      </c>
      <c r="E1764" t="s">
        <v>149</v>
      </c>
      <c r="F1764" t="s">
        <v>147</v>
      </c>
      <c r="G1764" t="s">
        <v>167</v>
      </c>
      <c r="I1764" s="4">
        <v>10</v>
      </c>
      <c r="J1764" s="4"/>
      <c r="L1764" t="s">
        <v>252</v>
      </c>
      <c r="M1764" t="s">
        <v>83</v>
      </c>
      <c r="N1764" s="4">
        <f>IF(L1764="","",IF(OR(Registro2[[#This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764" t="str">
        <f t="shared" si="27"/>
        <v>abr/25</v>
      </c>
      <c r="P1764" t="str">
        <f>IF(Registro2[[#This Row],[Data de Pagamento]]&gt;0,TEXT(A1764,"mmm/aa"),"")</f>
        <v>abr/25</v>
      </c>
      <c r="T1764" s="4">
        <f>IF(Registro2[[#This Row],[Data de Pagamento]]="",0,IF(Registro2[[#This Row],[Conta Financeira]]=base!$A$6,0,Registro2[[#This Row],[Valor Unitário]]))</f>
        <v>10</v>
      </c>
      <c r="U17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64" t="str">
        <f>VLOOKUP(Registro2[[#This Row],[Categoria]],'Plano de Contas'!$V$3:W1817,2,0)</f>
        <v>Receitas Serviços</v>
      </c>
      <c r="X176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65" spans="1:24" hidden="1">
      <c r="A1765" s="1">
        <v>45773.746527777781</v>
      </c>
      <c r="B1765" s="1">
        <v>45773.746527777781</v>
      </c>
      <c r="D1765" t="s">
        <v>1</v>
      </c>
      <c r="E1765" t="s">
        <v>149</v>
      </c>
      <c r="F1765" t="s">
        <v>147</v>
      </c>
      <c r="G1765" t="s">
        <v>163</v>
      </c>
      <c r="I1765" s="4">
        <v>35</v>
      </c>
      <c r="J1765" s="4">
        <v>75</v>
      </c>
      <c r="L1765" t="s">
        <v>253</v>
      </c>
      <c r="M1765" t="s">
        <v>191</v>
      </c>
      <c r="N1765" s="4">
        <f>IF(L1765="","",IF(OR(Registro2[[#This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65" t="str">
        <f t="shared" si="27"/>
        <v>abr/25</v>
      </c>
      <c r="P1765" t="str">
        <f>IF(Registro2[[#This Row],[Data de Pagamento]]&gt;0,TEXT(A1765,"mmm/aa"),"")</f>
        <v>abr/25</v>
      </c>
      <c r="T1765" s="4">
        <f>IF(Registro2[[#This Row],[Data de Pagamento]]="",0,IF(Registro2[[#This Row],[Conta Financeira]]=base!$A$6,0,Registro2[[#This Row],[Valor Unitário]]))</f>
        <v>35</v>
      </c>
      <c r="U17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65" t="str">
        <f>VLOOKUP(Registro2[[#This Row],[Categoria]],'Plano de Contas'!$V$3:W1825,2,0)</f>
        <v>Receitas Serviços</v>
      </c>
      <c r="X176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66" spans="1:24" hidden="1">
      <c r="A1766" s="1">
        <v>45773.746527777781</v>
      </c>
      <c r="B1766" s="1">
        <v>45773.746527777781</v>
      </c>
      <c r="D1766" t="s">
        <v>1</v>
      </c>
      <c r="E1766" t="s">
        <v>149</v>
      </c>
      <c r="F1766" t="s">
        <v>150</v>
      </c>
      <c r="G1766" t="s">
        <v>472</v>
      </c>
      <c r="I1766" s="4">
        <v>40</v>
      </c>
      <c r="J1766" s="4"/>
      <c r="L1766" t="s">
        <v>253</v>
      </c>
      <c r="M1766" t="s">
        <v>191</v>
      </c>
      <c r="N1766" s="4">
        <f>IF(L1766="","",IF(OR(Registro2[[#This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1766" t="str">
        <f t="shared" si="27"/>
        <v>abr/25</v>
      </c>
      <c r="P1766" t="str">
        <f>IF(Registro2[[#This Row],[Data de Pagamento]]&gt;0,TEXT(A1766,"mmm/aa"),"")</f>
        <v>abr/25</v>
      </c>
      <c r="T1766" s="4">
        <f>IF(Registro2[[#This Row],[Data de Pagamento]]="",0,IF(Registro2[[#This Row],[Conta Financeira]]=base!$A$6,0,Registro2[[#This Row],[Valor Unitário]]))</f>
        <v>40</v>
      </c>
      <c r="U17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66" t="str">
        <f>VLOOKUP(Registro2[[#This Row],[Categoria]],'Plano de Contas'!$V$3:W1826,2,0)</f>
        <v>Receitas Produtos</v>
      </c>
      <c r="X17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67" spans="1:24" hidden="1">
      <c r="A1767" s="1">
        <v>45773.75</v>
      </c>
      <c r="B1767" s="1">
        <v>45773.75</v>
      </c>
      <c r="D1767" t="s">
        <v>1</v>
      </c>
      <c r="E1767" t="s">
        <v>149</v>
      </c>
      <c r="F1767" t="s">
        <v>147</v>
      </c>
      <c r="G1767" t="s">
        <v>163</v>
      </c>
      <c r="I1767" s="4">
        <v>35</v>
      </c>
      <c r="J1767" s="4">
        <v>65</v>
      </c>
      <c r="L1767" t="s">
        <v>264</v>
      </c>
      <c r="M1767" t="s">
        <v>497</v>
      </c>
      <c r="N1767" s="4">
        <f>IF(L1767="","",IF(OR(Registro2[[#This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67" t="str">
        <f t="shared" si="27"/>
        <v>abr/25</v>
      </c>
      <c r="P1767" t="str">
        <f>IF(Registro2[[#This Row],[Data de Pagamento]]&gt;0,TEXT(A1767,"mmm/aa"),"")</f>
        <v>abr/25</v>
      </c>
      <c r="T1767" s="4">
        <f>IF(Registro2[[#This Row],[Data de Pagamento]]="",0,IF(Registro2[[#This Row],[Conta Financeira]]=base!$A$6,0,Registro2[[#This Row],[Valor Unitário]]))</f>
        <v>35</v>
      </c>
      <c r="U17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67" t="str">
        <f>VLOOKUP(Registro2[[#This Row],[Categoria]],'Plano de Contas'!$V$3:W1827,2,0)</f>
        <v>Receitas Serviços</v>
      </c>
      <c r="X176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68" spans="1:24" hidden="1">
      <c r="A1768" s="1">
        <v>45773.75</v>
      </c>
      <c r="B1768" s="1">
        <v>45773.75</v>
      </c>
      <c r="D1768" t="s">
        <v>1</v>
      </c>
      <c r="E1768" t="s">
        <v>149</v>
      </c>
      <c r="F1768" t="s">
        <v>150</v>
      </c>
      <c r="G1768" t="s">
        <v>2526</v>
      </c>
      <c r="I1768" s="4">
        <v>25</v>
      </c>
      <c r="J1768" s="4"/>
      <c r="L1768" t="s">
        <v>264</v>
      </c>
      <c r="M1768" t="s">
        <v>497</v>
      </c>
      <c r="N1768" s="4">
        <f>IF(L1768="","",IF(OR(Registro2[[#This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768" t="str">
        <f t="shared" si="27"/>
        <v>abr/25</v>
      </c>
      <c r="P1768" t="str">
        <f>IF(Registro2[[#This Row],[Data de Pagamento]]&gt;0,TEXT(A1768,"mmm/aa"),"")</f>
        <v>abr/25</v>
      </c>
      <c r="T1768" s="4">
        <f>IF(Registro2[[#This Row],[Data de Pagamento]]="",0,IF(Registro2[[#This Row],[Conta Financeira]]=base!$A$6,0,Registro2[[#This Row],[Valor Unitário]]))</f>
        <v>25</v>
      </c>
      <c r="U17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68" t="e">
        <f>VLOOKUP(Registro2[[#This Row],[Categoria]],'Plano de Contas'!$V$3:W1828,2,0)</f>
        <v>#N/A</v>
      </c>
      <c r="X176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69" spans="1:24" hidden="1">
      <c r="A1769" s="1">
        <v>45773.75</v>
      </c>
      <c r="B1769" s="1">
        <v>45773.75</v>
      </c>
      <c r="D1769" t="s">
        <v>1</v>
      </c>
      <c r="E1769" t="s">
        <v>149</v>
      </c>
      <c r="F1769" t="s">
        <v>910</v>
      </c>
      <c r="G1769" t="s">
        <v>910</v>
      </c>
      <c r="I1769" s="4">
        <v>5</v>
      </c>
      <c r="J1769" s="4"/>
      <c r="L1769" t="s">
        <v>264</v>
      </c>
      <c r="M1769" t="s">
        <v>497</v>
      </c>
      <c r="N1769" s="4" t="str">
        <f>IF(L1769="","",IF(OR(Registro2[[#This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769" t="str">
        <f t="shared" si="27"/>
        <v>abr/25</v>
      </c>
      <c r="P1769" t="str">
        <f>IF(Registro2[[#This Row],[Data de Pagamento]]&gt;0,TEXT(A1769,"mmm/aa"),"")</f>
        <v>abr/25</v>
      </c>
      <c r="T1769" s="4">
        <f>IF(Registro2[[#This Row],[Data de Pagamento]]="",0,IF(Registro2[[#This Row],[Conta Financeira]]=base!$A$6,0,Registro2[[#This Row],[Valor Unitário]]))</f>
        <v>5</v>
      </c>
      <c r="U17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69" t="str">
        <f>VLOOKUP(Registro2[[#This Row],[Categoria]],'Plano de Contas'!$V$3:W1829,2,0)</f>
        <v>Outras Receitas</v>
      </c>
      <c r="X176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70" spans="1:24" hidden="1">
      <c r="A1770" s="1">
        <v>45773.791666666664</v>
      </c>
      <c r="B1770" s="1">
        <v>45773.791666666664</v>
      </c>
      <c r="D1770" t="s">
        <v>1</v>
      </c>
      <c r="E1770" t="s">
        <v>149</v>
      </c>
      <c r="F1770" t="s">
        <v>147</v>
      </c>
      <c r="G1770" t="s">
        <v>163</v>
      </c>
      <c r="I1770" s="4">
        <v>35</v>
      </c>
      <c r="J1770" s="4">
        <v>60</v>
      </c>
      <c r="L1770" t="s">
        <v>253</v>
      </c>
      <c r="M1770" t="s">
        <v>37</v>
      </c>
      <c r="N1770" s="4">
        <f>IF(L1770="","",IF(OR(Registro2[[#This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70" t="str">
        <f t="shared" si="27"/>
        <v>abr/25</v>
      </c>
      <c r="P1770" t="str">
        <f>IF(Registro2[[#This Row],[Data de Pagamento]]&gt;0,TEXT(A1770,"mmm/aa"),"")</f>
        <v>abr/25</v>
      </c>
      <c r="T1770" s="4">
        <f>IF(Registro2[[#This Row],[Data de Pagamento]]="",0,IF(Registro2[[#This Row],[Conta Financeira]]=base!$A$6,0,Registro2[[#This Row],[Valor Unitário]]))</f>
        <v>35</v>
      </c>
      <c r="U17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70" t="str">
        <f>VLOOKUP(Registro2[[#This Row],[Categoria]],'Plano de Contas'!$V$3:W1794,2,0)</f>
        <v>Receitas Serviços</v>
      </c>
      <c r="X177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71" spans="1:24" hidden="1">
      <c r="A1771" s="1">
        <v>45773.791666666664</v>
      </c>
      <c r="B1771" s="1">
        <v>45773.791666666664</v>
      </c>
      <c r="D1771" t="s">
        <v>1</v>
      </c>
      <c r="E1771" t="s">
        <v>149</v>
      </c>
      <c r="F1771" t="s">
        <v>147</v>
      </c>
      <c r="G1771" t="s">
        <v>1046</v>
      </c>
      <c r="I1771" s="4">
        <v>25</v>
      </c>
      <c r="J1771" s="4"/>
      <c r="L1771" t="s">
        <v>253</v>
      </c>
      <c r="M1771" t="s">
        <v>37</v>
      </c>
      <c r="N1771" s="4">
        <f>IF(L1771="","",IF(OR(Registro2[[#This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1771" t="str">
        <f t="shared" si="27"/>
        <v>abr/25</v>
      </c>
      <c r="P1771" t="str">
        <f>IF(Registro2[[#This Row],[Data de Pagamento]]&gt;0,TEXT(A1771,"mmm/aa"),"")</f>
        <v>abr/25</v>
      </c>
      <c r="T1771" s="4">
        <f>IF(Registro2[[#This Row],[Data de Pagamento]]="",0,IF(Registro2[[#This Row],[Conta Financeira]]=base!$A$6,0,Registro2[[#This Row],[Valor Unitário]]))</f>
        <v>25</v>
      </c>
      <c r="U17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71" t="str">
        <f>VLOOKUP(Registro2[[#This Row],[Categoria]],'Plano de Contas'!$V$3:W1795,2,0)</f>
        <v>Receitas Serviços</v>
      </c>
      <c r="X177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72" spans="1:24" hidden="1">
      <c r="A1772" s="1">
        <v>45773.798611111109</v>
      </c>
      <c r="B1772" s="1">
        <v>45773.798611111109</v>
      </c>
      <c r="D1772" t="s">
        <v>354</v>
      </c>
      <c r="E1772" t="s">
        <v>149</v>
      </c>
      <c r="F1772" t="s">
        <v>147</v>
      </c>
      <c r="G1772" t="s">
        <v>163</v>
      </c>
      <c r="I1772" s="4">
        <v>35</v>
      </c>
      <c r="J1772" s="4">
        <v>35</v>
      </c>
      <c r="L1772" t="s">
        <v>253</v>
      </c>
      <c r="M1772" t="s">
        <v>2008</v>
      </c>
      <c r="N1772" s="4">
        <f>IF(L1772="","",IF(OR(Registro2[[#This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72" t="str">
        <f t="shared" si="27"/>
        <v>abr/25</v>
      </c>
      <c r="P1772" t="str">
        <f>IF(Registro2[[#This Row],[Data de Pagamento]]&gt;0,TEXT(A1772,"mmm/aa"),"")</f>
        <v>abr/25</v>
      </c>
      <c r="T1772" s="4">
        <f>IF(Registro2[[#This Row],[Data de Pagamento]]="",0,IF(Registro2[[#This Row],[Conta Financeira]]=base!$A$6,0,Registro2[[#This Row],[Valor Unitário]]))</f>
        <v>35</v>
      </c>
      <c r="U17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72" t="str">
        <f>VLOOKUP(Registro2[[#This Row],[Categoria]],'Plano de Contas'!$V$3:W1830,2,0)</f>
        <v>Receitas Serviços</v>
      </c>
      <c r="X177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773" spans="1:24" hidden="1">
      <c r="A1773" s="1">
        <v>45773.8125</v>
      </c>
      <c r="B1773" s="1">
        <v>45773.8125</v>
      </c>
      <c r="D1773" t="s">
        <v>354</v>
      </c>
      <c r="E1773" t="s">
        <v>149</v>
      </c>
      <c r="F1773" t="s">
        <v>147</v>
      </c>
      <c r="G1773" t="s">
        <v>163</v>
      </c>
      <c r="I1773" s="4">
        <v>35</v>
      </c>
      <c r="J1773" s="4">
        <v>50</v>
      </c>
      <c r="L1773" t="s">
        <v>253</v>
      </c>
      <c r="M1773" t="s">
        <v>28</v>
      </c>
      <c r="N1773" s="4">
        <f>IF(L1773="","",IF(OR(Registro2[[#This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73" t="str">
        <f t="shared" si="27"/>
        <v>abr/25</v>
      </c>
      <c r="P1773" t="str">
        <f>IF(Registro2[[#This Row],[Data de Pagamento]]&gt;0,TEXT(A1773,"mmm/aa"),"")</f>
        <v>abr/25</v>
      </c>
      <c r="T1773" s="4">
        <f>IF(Registro2[[#This Row],[Data de Pagamento]]="",0,IF(Registro2[[#This Row],[Conta Financeira]]=base!$A$6,0,Registro2[[#This Row],[Valor Unitário]]))</f>
        <v>35</v>
      </c>
      <c r="U17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73" t="str">
        <f>VLOOKUP(Registro2[[#This Row],[Categoria]],'Plano de Contas'!$V$3:W1818,2,0)</f>
        <v>Receitas Serviços</v>
      </c>
      <c r="X177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774" spans="1:24" hidden="1">
      <c r="A1774" s="1">
        <v>45773.8125</v>
      </c>
      <c r="B1774" s="1">
        <v>45773.8125</v>
      </c>
      <c r="D1774" t="s">
        <v>354</v>
      </c>
      <c r="E1774" t="s">
        <v>149</v>
      </c>
      <c r="F1774" t="s">
        <v>147</v>
      </c>
      <c r="G1774" t="s">
        <v>167</v>
      </c>
      <c r="I1774" s="4">
        <v>15</v>
      </c>
      <c r="J1774" s="4"/>
      <c r="L1774" t="s">
        <v>253</v>
      </c>
      <c r="M1774" t="s">
        <v>28</v>
      </c>
      <c r="N1774" s="4">
        <f>IF(L1774="","",IF(OR(Registro2[[#This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774" t="str">
        <f t="shared" si="27"/>
        <v>abr/25</v>
      </c>
      <c r="P1774" t="str">
        <f>IF(Registro2[[#This Row],[Data de Pagamento]]&gt;0,TEXT(A1774,"mmm/aa"),"")</f>
        <v>abr/25</v>
      </c>
      <c r="T1774" s="4">
        <f>IF(Registro2[[#This Row],[Data de Pagamento]]="",0,IF(Registro2[[#This Row],[Conta Financeira]]=base!$A$6,0,Registro2[[#This Row],[Valor Unitário]]))</f>
        <v>15</v>
      </c>
      <c r="U17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74" t="str">
        <f>VLOOKUP(Registro2[[#This Row],[Categoria]],'Plano de Contas'!$V$3:W1819,2,0)</f>
        <v>Receitas Serviços</v>
      </c>
      <c r="X177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0.47250000000000003</v>
      </c>
    </row>
    <row r="1775" spans="1:24" hidden="1">
      <c r="A1775" s="1">
        <v>45773.8125</v>
      </c>
      <c r="B1775" s="1">
        <v>45773.8125</v>
      </c>
      <c r="D1775" t="s">
        <v>1</v>
      </c>
      <c r="E1775" t="s">
        <v>149</v>
      </c>
      <c r="F1775" t="s">
        <v>147</v>
      </c>
      <c r="G1775" t="s">
        <v>163</v>
      </c>
      <c r="I1775" s="4">
        <v>35</v>
      </c>
      <c r="J1775" s="4">
        <v>60</v>
      </c>
      <c r="L1775" t="s">
        <v>264</v>
      </c>
      <c r="M1775" t="s">
        <v>1712</v>
      </c>
      <c r="N1775" s="4">
        <f>IF(L1775="","",IF(OR(Registro2[[#This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75" t="str">
        <f t="shared" si="27"/>
        <v>abr/25</v>
      </c>
      <c r="P1775" t="str">
        <f>IF(Registro2[[#This Row],[Data de Pagamento]]&gt;0,TEXT(A1775,"mmm/aa"),"")</f>
        <v>abr/25</v>
      </c>
      <c r="T1775" s="4">
        <f>IF(Registro2[[#This Row],[Data de Pagamento]]="",0,IF(Registro2[[#This Row],[Conta Financeira]]=base!$A$6,0,Registro2[[#This Row],[Valor Unitário]]))</f>
        <v>35</v>
      </c>
      <c r="U17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75" t="str">
        <f>VLOOKUP(Registro2[[#This Row],[Categoria]],'Plano de Contas'!$V$3:W1823,2,0)</f>
        <v>Receitas Serviços</v>
      </c>
      <c r="X177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76" spans="1:24" hidden="1">
      <c r="A1776" s="1">
        <v>45773.8125</v>
      </c>
      <c r="B1776" s="1">
        <v>45773.8125</v>
      </c>
      <c r="D1776" t="s">
        <v>1</v>
      </c>
      <c r="E1776" t="s">
        <v>149</v>
      </c>
      <c r="F1776" t="s">
        <v>150</v>
      </c>
      <c r="G1776" t="s">
        <v>2526</v>
      </c>
      <c r="I1776" s="4">
        <v>25</v>
      </c>
      <c r="J1776" s="4"/>
      <c r="L1776" t="s">
        <v>264</v>
      </c>
      <c r="M1776" t="s">
        <v>1712</v>
      </c>
      <c r="N1776" s="4">
        <f>IF(L1776="","",IF(OR(Registro2[[#This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776" t="str">
        <f t="shared" si="27"/>
        <v>abr/25</v>
      </c>
      <c r="P1776" t="str">
        <f>IF(Registro2[[#This Row],[Data de Pagamento]]&gt;0,TEXT(A1776,"mmm/aa"),"")</f>
        <v>abr/25</v>
      </c>
      <c r="T1776" s="4">
        <f>IF(Registro2[[#This Row],[Data de Pagamento]]="",0,IF(Registro2[[#This Row],[Conta Financeira]]=base!$A$6,0,Registro2[[#This Row],[Valor Unitário]]))</f>
        <v>25</v>
      </c>
      <c r="U17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76" t="e">
        <f>VLOOKUP(Registro2[[#This Row],[Categoria]],'Plano de Contas'!$V$3:W1824,2,0)</f>
        <v>#N/A</v>
      </c>
      <c r="X177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77" spans="1:24" hidden="1">
      <c r="A1777" s="1">
        <v>45773.815972222219</v>
      </c>
      <c r="B1777" s="1">
        <v>45773.815972222219</v>
      </c>
      <c r="D1777" t="s">
        <v>2</v>
      </c>
      <c r="E1777" t="s">
        <v>149</v>
      </c>
      <c r="F1777" t="s">
        <v>147</v>
      </c>
      <c r="G1777" t="s">
        <v>163</v>
      </c>
      <c r="I1777" s="4">
        <v>35</v>
      </c>
      <c r="J1777" s="4">
        <v>45</v>
      </c>
      <c r="L1777" t="s">
        <v>252</v>
      </c>
      <c r="M1777" t="s">
        <v>1109</v>
      </c>
      <c r="N1777" s="4">
        <f>IF(L1777="","",IF(OR(Registro2[[#This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77" t="str">
        <f t="shared" si="27"/>
        <v>abr/25</v>
      </c>
      <c r="P1777" t="str">
        <f>IF(Registro2[[#This Row],[Data de Pagamento]]&gt;0,TEXT(A1777,"mmm/aa"),"")</f>
        <v>abr/25</v>
      </c>
      <c r="T1777" s="4">
        <f>IF(Registro2[[#This Row],[Data de Pagamento]]="",0,IF(Registro2[[#This Row],[Conta Financeira]]=base!$A$6,0,Registro2[[#This Row],[Valor Unitário]]))</f>
        <v>35</v>
      </c>
      <c r="U17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77" t="str">
        <f>VLOOKUP(Registro2[[#This Row],[Categoria]],'Plano de Contas'!$V$3:W1831,2,0)</f>
        <v>Receitas Serviços</v>
      </c>
      <c r="X177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78" spans="1:24" hidden="1">
      <c r="A1778" s="1">
        <v>45773.815972222219</v>
      </c>
      <c r="B1778" s="1">
        <v>45773.815972222219</v>
      </c>
      <c r="D1778" t="s">
        <v>2</v>
      </c>
      <c r="E1778" t="s">
        <v>149</v>
      </c>
      <c r="F1778" t="s">
        <v>147</v>
      </c>
      <c r="G1778" t="s">
        <v>167</v>
      </c>
      <c r="I1778" s="4">
        <v>10</v>
      </c>
      <c r="J1778" s="4"/>
      <c r="L1778" t="s">
        <v>252</v>
      </c>
      <c r="M1778" t="s">
        <v>1109</v>
      </c>
      <c r="N1778" s="4">
        <f>IF(L1778="","",IF(OR(Registro2[[#This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778" t="str">
        <f t="shared" si="27"/>
        <v>abr/25</v>
      </c>
      <c r="P1778" t="str">
        <f>IF(Registro2[[#This Row],[Data de Pagamento]]&gt;0,TEXT(A1778,"mmm/aa"),"")</f>
        <v>abr/25</v>
      </c>
      <c r="T1778" s="4">
        <f>IF(Registro2[[#This Row],[Data de Pagamento]]="",0,IF(Registro2[[#This Row],[Conta Financeira]]=base!$A$6,0,Registro2[[#This Row],[Valor Unitário]]))</f>
        <v>10</v>
      </c>
      <c r="U17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78" t="str">
        <f>VLOOKUP(Registro2[[#This Row],[Categoria]],'Plano de Contas'!$V$3:W1832,2,0)</f>
        <v>Receitas Serviços</v>
      </c>
      <c r="X17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79" spans="1:24" hidden="1">
      <c r="A1779" s="1">
        <v>45773.819444444445</v>
      </c>
      <c r="B1779" s="1">
        <v>45773.819444444445</v>
      </c>
      <c r="D1779" t="s">
        <v>1</v>
      </c>
      <c r="E1779" t="s">
        <v>149</v>
      </c>
      <c r="F1779" t="s">
        <v>147</v>
      </c>
      <c r="G1779" t="s">
        <v>163</v>
      </c>
      <c r="I1779" s="4">
        <v>35</v>
      </c>
      <c r="J1779" s="4">
        <v>45</v>
      </c>
      <c r="L1779" t="s">
        <v>264</v>
      </c>
      <c r="M1779" t="s">
        <v>2597</v>
      </c>
      <c r="N1779" s="4">
        <f>IF(L1779="","",IF(OR(Registro2[[#This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79" t="str">
        <f t="shared" si="27"/>
        <v>abr/25</v>
      </c>
      <c r="P1779" t="str">
        <f>IF(Registro2[[#This Row],[Data de Pagamento]]&gt;0,TEXT(A1779,"mmm/aa"),"")</f>
        <v>abr/25</v>
      </c>
      <c r="T1779" s="4">
        <f>IF(Registro2[[#This Row],[Data de Pagamento]]="",0,IF(Registro2[[#This Row],[Conta Financeira]]=base!$A$6,0,Registro2[[#This Row],[Valor Unitário]]))</f>
        <v>35</v>
      </c>
      <c r="U17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79" t="str">
        <f>VLOOKUP(Registro2[[#This Row],[Categoria]],'Plano de Contas'!$V$3:W1833,2,0)</f>
        <v>Receitas Serviços</v>
      </c>
      <c r="X177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80" spans="1:24" hidden="1">
      <c r="A1780" s="1">
        <v>45773.819444444445</v>
      </c>
      <c r="B1780" s="1">
        <v>45773.819444444445</v>
      </c>
      <c r="D1780" t="s">
        <v>1</v>
      </c>
      <c r="E1780" t="s">
        <v>149</v>
      </c>
      <c r="F1780" t="s">
        <v>147</v>
      </c>
      <c r="G1780" t="s">
        <v>167</v>
      </c>
      <c r="I1780" s="4">
        <v>10</v>
      </c>
      <c r="J1780" s="4"/>
      <c r="L1780" t="s">
        <v>264</v>
      </c>
      <c r="M1780" t="s">
        <v>2597</v>
      </c>
      <c r="N1780" s="4">
        <f>IF(L1780="","",IF(OR(Registro2[[#This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780" t="str">
        <f t="shared" si="27"/>
        <v>abr/25</v>
      </c>
      <c r="P1780" t="str">
        <f>IF(Registro2[[#This Row],[Data de Pagamento]]&gt;0,TEXT(A1780,"mmm/aa"),"")</f>
        <v>abr/25</v>
      </c>
      <c r="T1780" s="4">
        <f>IF(Registro2[[#This Row],[Data de Pagamento]]="",0,IF(Registro2[[#This Row],[Conta Financeira]]=base!$A$6,0,Registro2[[#This Row],[Valor Unitário]]))</f>
        <v>10</v>
      </c>
      <c r="U17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80" t="str">
        <f>VLOOKUP(Registro2[[#This Row],[Categoria]],'Plano de Contas'!$V$3:W1834,2,0)</f>
        <v>Receitas Serviços</v>
      </c>
      <c r="X178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81" spans="1:24" hidden="1">
      <c r="A1781" s="1">
        <v>45773.850694444445</v>
      </c>
      <c r="B1781" s="1">
        <v>45773.850694444445</v>
      </c>
      <c r="D1781" t="s">
        <v>2</v>
      </c>
      <c r="E1781" t="s">
        <v>149</v>
      </c>
      <c r="F1781" t="s">
        <v>147</v>
      </c>
      <c r="G1781" t="s">
        <v>1046</v>
      </c>
      <c r="I1781" s="4">
        <v>25</v>
      </c>
      <c r="J1781" s="4">
        <v>50</v>
      </c>
      <c r="L1781" t="s">
        <v>253</v>
      </c>
      <c r="M1781" t="s">
        <v>126</v>
      </c>
      <c r="N1781" s="4">
        <f>IF(L1781="","",IF(OR(Registro2[[#This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1781" t="str">
        <f t="shared" si="27"/>
        <v>abr/25</v>
      </c>
      <c r="P1781" t="str">
        <f>IF(Registro2[[#This Row],[Data de Pagamento]]&gt;0,TEXT(A1781,"mmm/aa"),"")</f>
        <v>abr/25</v>
      </c>
      <c r="T1781" s="4">
        <f>IF(Registro2[[#This Row],[Data de Pagamento]]="",0,IF(Registro2[[#This Row],[Conta Financeira]]=base!$A$6,0,Registro2[[#This Row],[Valor Unitário]]))</f>
        <v>25</v>
      </c>
      <c r="U17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81" t="str">
        <f>VLOOKUP(Registro2[[#This Row],[Categoria]],'Plano de Contas'!$V$3:W1835,2,0)</f>
        <v>Receitas Serviços</v>
      </c>
      <c r="X178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82" spans="1:24" hidden="1">
      <c r="A1782" s="1">
        <v>45773.850694444445</v>
      </c>
      <c r="B1782" s="1">
        <v>45773.850694444445</v>
      </c>
      <c r="D1782" t="s">
        <v>2</v>
      </c>
      <c r="E1782" t="s">
        <v>149</v>
      </c>
      <c r="F1782" t="s">
        <v>150</v>
      </c>
      <c r="G1782" t="s">
        <v>509</v>
      </c>
      <c r="I1782" s="4">
        <v>25</v>
      </c>
      <c r="J1782" s="4"/>
      <c r="L1782" t="s">
        <v>253</v>
      </c>
      <c r="M1782" t="s">
        <v>126</v>
      </c>
      <c r="N1782" s="4">
        <f>IF(L1782="","",IF(OR(Registro2[[#This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782" t="str">
        <f t="shared" si="27"/>
        <v>abr/25</v>
      </c>
      <c r="P1782" t="str">
        <f>IF(Registro2[[#This Row],[Data de Pagamento]]&gt;0,TEXT(A1782,"mmm/aa"),"")</f>
        <v>abr/25</v>
      </c>
      <c r="T1782" s="4">
        <f>IF(Registro2[[#This Row],[Data de Pagamento]]="",0,IF(Registro2[[#This Row],[Conta Financeira]]=base!$A$6,0,Registro2[[#This Row],[Valor Unitário]]))</f>
        <v>25</v>
      </c>
      <c r="U17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82" t="str">
        <f>VLOOKUP(Registro2[[#This Row],[Categoria]],'Plano de Contas'!$V$3:W1836,2,0)</f>
        <v>Receitas Produtos</v>
      </c>
      <c r="X17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83" spans="1:24" hidden="1">
      <c r="A1783" s="1">
        <v>45773.868055555555</v>
      </c>
      <c r="B1783" s="1">
        <v>45773.868055555555</v>
      </c>
      <c r="D1783" t="s">
        <v>1</v>
      </c>
      <c r="E1783" t="s">
        <v>149</v>
      </c>
      <c r="F1783" t="s">
        <v>152</v>
      </c>
      <c r="G1783" t="s">
        <v>353</v>
      </c>
      <c r="I1783" s="4">
        <v>50</v>
      </c>
      <c r="J1783" s="4">
        <v>50</v>
      </c>
      <c r="L1783" t="s">
        <v>264</v>
      </c>
      <c r="M1783" t="s">
        <v>1499</v>
      </c>
      <c r="N1783" s="4">
        <f>IF(L1783="","",IF(OR(Registro2[[#This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783" t="str">
        <f t="shared" si="27"/>
        <v>abr/25</v>
      </c>
      <c r="P1783" t="str">
        <f>IF(Registro2[[#This Row],[Data de Pagamento]]&gt;0,TEXT(A1783,"mmm/aa"),"")</f>
        <v>abr/25</v>
      </c>
      <c r="T1783" s="4">
        <f>IF(Registro2[[#This Row],[Data de Pagamento]]="",0,IF(Registro2[[#This Row],[Conta Financeira]]=base!$A$6,0,Registro2[[#This Row],[Valor Unitário]]))</f>
        <v>50</v>
      </c>
      <c r="U17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83" t="str">
        <f>VLOOKUP(Registro2[[#This Row],[Categoria]],'Plano de Contas'!$V$3:W1837,2,0)</f>
        <v>Receitas Serviços</v>
      </c>
      <c r="X17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84" spans="1:24" hidden="1">
      <c r="A1784" s="1">
        <v>45773.878472222219</v>
      </c>
      <c r="B1784" s="1">
        <v>45773.878472222219</v>
      </c>
      <c r="D1784" t="s">
        <v>1</v>
      </c>
      <c r="E1784" t="s">
        <v>149</v>
      </c>
      <c r="F1784" t="s">
        <v>147</v>
      </c>
      <c r="G1784" t="s">
        <v>163</v>
      </c>
      <c r="I1784" s="4">
        <v>35</v>
      </c>
      <c r="J1784" s="4">
        <v>35</v>
      </c>
      <c r="L1784" t="s">
        <v>252</v>
      </c>
      <c r="M1784" t="s">
        <v>424</v>
      </c>
      <c r="N1784" s="4">
        <f>IF(L1784="","",IF(OR(Registro2[[#This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84" t="str">
        <f t="shared" si="27"/>
        <v>abr/25</v>
      </c>
      <c r="P1784" t="str">
        <f>IF(Registro2[[#This Row],[Data de Pagamento]]&gt;0,TEXT(A1784,"mmm/aa"),"")</f>
        <v>abr/25</v>
      </c>
      <c r="T1784" s="4">
        <f>IF(Registro2[[#This Row],[Data de Pagamento]]="",0,IF(Registro2[[#This Row],[Conta Financeira]]=base!$A$6,0,Registro2[[#This Row],[Valor Unitário]]))</f>
        <v>35</v>
      </c>
      <c r="U17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84" t="str">
        <f>VLOOKUP(Registro2[[#This Row],[Categoria]],'Plano de Contas'!$V$3:W1838,2,0)</f>
        <v>Receitas Serviços</v>
      </c>
      <c r="X178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85" spans="1:24" hidden="1">
      <c r="A1785" s="1">
        <v>45773.902777777781</v>
      </c>
      <c r="B1785" s="1">
        <v>45773.902777777781</v>
      </c>
      <c r="D1785" t="s">
        <v>354</v>
      </c>
      <c r="E1785" t="s">
        <v>149</v>
      </c>
      <c r="F1785" t="s">
        <v>147</v>
      </c>
      <c r="G1785" t="s">
        <v>163</v>
      </c>
      <c r="I1785" s="4">
        <v>35</v>
      </c>
      <c r="J1785" s="4">
        <v>35</v>
      </c>
      <c r="L1785" t="s">
        <v>253</v>
      </c>
      <c r="M1785" t="s">
        <v>2305</v>
      </c>
      <c r="N1785" s="4">
        <f>IF(L1785="","",IF(OR(Registro2[[#This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85" t="str">
        <f t="shared" si="27"/>
        <v>abr/25</v>
      </c>
      <c r="P1785" t="str">
        <f>IF(Registro2[[#This Row],[Data de Pagamento]]&gt;0,TEXT(A1785,"mmm/aa"),"")</f>
        <v>abr/25</v>
      </c>
      <c r="T1785" s="4">
        <f>IF(Registro2[[#This Row],[Data de Pagamento]]="",0,IF(Registro2[[#This Row],[Conta Financeira]]=base!$A$6,0,Registro2[[#This Row],[Valor Unitário]]))</f>
        <v>35</v>
      </c>
      <c r="U17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85" t="str">
        <f>VLOOKUP(Registro2[[#This Row],[Categoria]],'Plano de Contas'!$V$3:W1839,2,0)</f>
        <v>Receitas Serviços</v>
      </c>
      <c r="X178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786" spans="1:24" hidden="1">
      <c r="A1786" s="1">
        <v>45775.416666666664</v>
      </c>
      <c r="B1786" s="1">
        <v>45775.416666666664</v>
      </c>
      <c r="D1786" t="s">
        <v>1</v>
      </c>
      <c r="E1786" t="s">
        <v>149</v>
      </c>
      <c r="F1786" t="s">
        <v>147</v>
      </c>
      <c r="G1786" t="s">
        <v>163</v>
      </c>
      <c r="I1786" s="4">
        <v>35</v>
      </c>
      <c r="J1786" s="4">
        <v>35</v>
      </c>
      <c r="L1786" t="s">
        <v>252</v>
      </c>
      <c r="M1786" t="s">
        <v>277</v>
      </c>
      <c r="N1786" s="4">
        <f>IF(L1786="","",IF(OR(Registro2[[#This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86" t="str">
        <f t="shared" si="27"/>
        <v>abr/25</v>
      </c>
      <c r="P1786" t="str">
        <f>IF(Registro2[[#This Row],[Data de Pagamento]]&gt;0,TEXT(A1786,"mmm/aa"),"")</f>
        <v>abr/25</v>
      </c>
      <c r="T1786" s="4">
        <f>IF(Registro2[[#This Row],[Data de Pagamento]]="",0,IF(Registro2[[#This Row],[Conta Financeira]]=base!$A$6,0,Registro2[[#This Row],[Valor Unitário]]))</f>
        <v>35</v>
      </c>
      <c r="U17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86" t="str">
        <f>VLOOKUP(Registro2[[#This Row],[Categoria]],'Plano de Contas'!$V$3:W1841,2,0)</f>
        <v>Receitas Serviços</v>
      </c>
      <c r="X178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87" spans="1:24" hidden="1">
      <c r="A1787" s="1">
        <v>45775.552083333336</v>
      </c>
      <c r="B1787" s="1">
        <v>45775.552083333336</v>
      </c>
      <c r="D1787" t="s">
        <v>1</v>
      </c>
      <c r="E1787" t="s">
        <v>149</v>
      </c>
      <c r="F1787" t="s">
        <v>147</v>
      </c>
      <c r="G1787" t="s">
        <v>163</v>
      </c>
      <c r="I1787" s="4">
        <v>35</v>
      </c>
      <c r="J1787" s="4">
        <v>35</v>
      </c>
      <c r="L1787" t="s">
        <v>252</v>
      </c>
      <c r="M1787" t="s">
        <v>2605</v>
      </c>
      <c r="N1787" s="4">
        <f>IF(L1787="","",IF(OR(Registro2[[#This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87" t="str">
        <f t="shared" si="27"/>
        <v>abr/25</v>
      </c>
      <c r="P1787" t="str">
        <f>IF(Registro2[[#This Row],[Data de Pagamento]]&gt;0,TEXT(A1787,"mmm/aa"),"")</f>
        <v>abr/25</v>
      </c>
      <c r="T1787" s="4">
        <f>IF(Registro2[[#This Row],[Data de Pagamento]]="",0,IF(Registro2[[#This Row],[Conta Financeira]]=base!$A$6,0,Registro2[[#This Row],[Valor Unitário]]))</f>
        <v>35</v>
      </c>
      <c r="U17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87" t="str">
        <f>VLOOKUP(Registro2[[#This Row],[Categoria]],'Plano de Contas'!$V$3:W1842,2,0)</f>
        <v>Receitas Serviços</v>
      </c>
      <c r="X178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88" spans="1:24" hidden="1">
      <c r="A1788" s="1">
        <v>45775.583333333336</v>
      </c>
      <c r="B1788" s="1">
        <v>45775.583333333336</v>
      </c>
      <c r="D1788" t="s">
        <v>354</v>
      </c>
      <c r="E1788" t="s">
        <v>149</v>
      </c>
      <c r="F1788" t="s">
        <v>150</v>
      </c>
      <c r="G1788" t="s">
        <v>2477</v>
      </c>
      <c r="I1788" s="4">
        <v>25</v>
      </c>
      <c r="J1788" s="4">
        <v>25</v>
      </c>
      <c r="L1788" t="s">
        <v>264</v>
      </c>
      <c r="M1788" t="s">
        <v>2129</v>
      </c>
      <c r="N1788" s="4">
        <f>IF(L1788="","",IF(OR(Registro2[[#This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788" t="str">
        <f t="shared" si="27"/>
        <v>abr/25</v>
      </c>
      <c r="P1788" t="str">
        <f>IF(Registro2[[#This Row],[Data de Pagamento]]&gt;0,TEXT(A1788,"mmm/aa"),"")</f>
        <v>abr/25</v>
      </c>
      <c r="T1788" s="4">
        <f>IF(Registro2[[#This Row],[Data de Pagamento]]="",0,IF(Registro2[[#This Row],[Conta Financeira]]=base!$A$6,0,Registro2[[#This Row],[Valor Unitário]]))</f>
        <v>25</v>
      </c>
      <c r="U17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88" t="e">
        <f>VLOOKUP(Registro2[[#This Row],[Categoria]],'Plano de Contas'!$V$3:W1843,2,0)</f>
        <v>#N/A</v>
      </c>
      <c r="X178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0.78749999999999998</v>
      </c>
    </row>
    <row r="1789" spans="1:24" hidden="1">
      <c r="A1789" s="1">
        <v>45775.59375</v>
      </c>
      <c r="B1789" s="1">
        <v>45775.59375</v>
      </c>
      <c r="D1789" t="s">
        <v>354</v>
      </c>
      <c r="E1789" t="s">
        <v>149</v>
      </c>
      <c r="F1789" t="s">
        <v>147</v>
      </c>
      <c r="G1789" t="s">
        <v>1046</v>
      </c>
      <c r="I1789" s="4">
        <v>35</v>
      </c>
      <c r="J1789" s="4">
        <v>35</v>
      </c>
      <c r="L1789" t="s">
        <v>253</v>
      </c>
      <c r="M1789" t="s">
        <v>2025</v>
      </c>
      <c r="N1789" s="4">
        <f>IF(L1789="","",IF(OR(Registro2[[#This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89" t="str">
        <f t="shared" si="27"/>
        <v>abr/25</v>
      </c>
      <c r="P1789" t="str">
        <f>IF(Registro2[[#This Row],[Data de Pagamento]]&gt;0,TEXT(A1789,"mmm/aa"),"")</f>
        <v>abr/25</v>
      </c>
      <c r="T1789" s="4">
        <f>IF(Registro2[[#This Row],[Data de Pagamento]]="",0,IF(Registro2[[#This Row],[Conta Financeira]]=base!$A$6,0,Registro2[[#This Row],[Valor Unitário]]))</f>
        <v>35</v>
      </c>
      <c r="U17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89" t="str">
        <f>VLOOKUP(Registro2[[#This Row],[Categoria]],'Plano de Contas'!$V$3:W1844,2,0)</f>
        <v>Receitas Serviços</v>
      </c>
      <c r="X178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790" spans="1:24" hidden="1">
      <c r="A1790" s="1">
        <v>45775.625</v>
      </c>
      <c r="B1790" s="1">
        <v>45775.625</v>
      </c>
      <c r="D1790" t="s">
        <v>1</v>
      </c>
      <c r="E1790" t="s">
        <v>149</v>
      </c>
      <c r="F1790" t="s">
        <v>147</v>
      </c>
      <c r="G1790" t="s">
        <v>1046</v>
      </c>
      <c r="I1790" s="4">
        <v>35</v>
      </c>
      <c r="J1790" s="4">
        <v>35</v>
      </c>
      <c r="L1790" t="s">
        <v>253</v>
      </c>
      <c r="M1790" t="s">
        <v>2322</v>
      </c>
      <c r="N1790" s="4">
        <f>IF(L1790="","",IF(OR(Registro2[[#This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90" t="str">
        <f t="shared" si="27"/>
        <v>abr/25</v>
      </c>
      <c r="P1790" t="str">
        <f>IF(Registro2[[#This Row],[Data de Pagamento]]&gt;0,TEXT(A1790,"mmm/aa"),"")</f>
        <v>abr/25</v>
      </c>
      <c r="T1790" s="4">
        <f>IF(Registro2[[#This Row],[Data de Pagamento]]="",0,IF(Registro2[[#This Row],[Conta Financeira]]=base!$A$6,0,Registro2[[#This Row],[Valor Unitário]]))</f>
        <v>35</v>
      </c>
      <c r="U17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90" t="str">
        <f>VLOOKUP(Registro2[[#This Row],[Categoria]],'Plano de Contas'!$V$3:W1845,2,0)</f>
        <v>Receitas Serviços</v>
      </c>
      <c r="X179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91" spans="1:24" hidden="1">
      <c r="A1791" s="1">
        <v>45775.635416666664</v>
      </c>
      <c r="B1791" s="1">
        <v>45775.635416666664</v>
      </c>
      <c r="D1791" t="s">
        <v>310</v>
      </c>
      <c r="E1791" t="s">
        <v>149</v>
      </c>
      <c r="F1791" t="s">
        <v>147</v>
      </c>
      <c r="G1791" t="s">
        <v>163</v>
      </c>
      <c r="I1791" s="4">
        <v>35</v>
      </c>
      <c r="J1791" s="4">
        <v>20</v>
      </c>
      <c r="L1791" t="s">
        <v>252</v>
      </c>
      <c r="M1791" t="s">
        <v>2129</v>
      </c>
      <c r="N1791" s="4">
        <f>IF(L1791="","",IF(OR(Registro2[[#This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91" t="str">
        <f t="shared" si="27"/>
        <v>abr/25</v>
      </c>
      <c r="P1791" t="str">
        <f>IF(Registro2[[#This Row],[Data de Pagamento]]&gt;0,TEXT(A1791,"mmm/aa"),"")</f>
        <v>abr/25</v>
      </c>
      <c r="T1791" s="4">
        <f>IF(Registro2[[#This Row],[Data de Pagamento]]="",0,IF(Registro2[[#This Row],[Conta Financeira]]=base!$A$6,0,Registro2[[#This Row],[Valor Unitário]]))</f>
        <v>35</v>
      </c>
      <c r="U17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91" t="str">
        <f>VLOOKUP(Registro2[[#This Row],[Categoria]],'Plano de Contas'!$V$3:W1846,2,0)</f>
        <v>Receitas Serviços</v>
      </c>
      <c r="X179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792" spans="1:24" hidden="1">
      <c r="A1792" s="1">
        <v>45775.708333333336</v>
      </c>
      <c r="B1792" s="1">
        <v>45775.708333333336</v>
      </c>
      <c r="D1792" t="s">
        <v>1</v>
      </c>
      <c r="E1792" t="s">
        <v>149</v>
      </c>
      <c r="F1792" t="s">
        <v>147</v>
      </c>
      <c r="G1792" t="s">
        <v>163</v>
      </c>
      <c r="I1792" s="4">
        <v>35</v>
      </c>
      <c r="J1792" s="4">
        <v>35</v>
      </c>
      <c r="L1792" t="s">
        <v>253</v>
      </c>
      <c r="M1792" t="s">
        <v>2611</v>
      </c>
      <c r="N1792" s="4">
        <f>IF(L1792="","",IF(OR(Registro2[[#This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92" t="str">
        <f t="shared" si="27"/>
        <v>abr/25</v>
      </c>
      <c r="P1792" t="str">
        <f>IF(Registro2[[#This Row],[Data de Pagamento]]&gt;0,TEXT(A1792,"mmm/aa"),"")</f>
        <v>abr/25</v>
      </c>
      <c r="T1792" s="4">
        <f>IF(Registro2[[#This Row],[Data de Pagamento]]="",0,IF(Registro2[[#This Row],[Conta Financeira]]=base!$A$6,0,Registro2[[#This Row],[Valor Unitário]]))</f>
        <v>35</v>
      </c>
      <c r="U17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92" t="str">
        <f>VLOOKUP(Registro2[[#This Row],[Categoria]],'Plano de Contas'!$V$3:W1847,2,0)</f>
        <v>Receitas Serviços</v>
      </c>
      <c r="X179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93" spans="1:24" hidden="1">
      <c r="A1793" s="1">
        <v>45775.729166666664</v>
      </c>
      <c r="B1793" s="1">
        <v>45775.729166666664</v>
      </c>
      <c r="D1793" t="s">
        <v>310</v>
      </c>
      <c r="E1793" t="s">
        <v>149</v>
      </c>
      <c r="F1793" t="s">
        <v>152</v>
      </c>
      <c r="G1793" t="s">
        <v>353</v>
      </c>
      <c r="I1793" s="4">
        <v>60</v>
      </c>
      <c r="J1793" s="4">
        <v>80</v>
      </c>
      <c r="L1793" t="s">
        <v>252</v>
      </c>
      <c r="M1793" t="s">
        <v>2613</v>
      </c>
      <c r="N1793" s="4">
        <f>IF(L1793="","",IF(OR(Registro2[[#This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793" t="str">
        <f t="shared" si="27"/>
        <v>abr/25</v>
      </c>
      <c r="P1793" t="str">
        <f>IF(Registro2[[#This Row],[Data de Pagamento]]&gt;0,TEXT(A1793,"mmm/aa"),"")</f>
        <v>abr/25</v>
      </c>
      <c r="T1793" s="4">
        <f>IF(Registro2[[#This Row],[Data de Pagamento]]="",0,IF(Registro2[[#This Row],[Conta Financeira]]=base!$A$6,0,Registro2[[#This Row],[Valor Unitário]]))</f>
        <v>60</v>
      </c>
      <c r="U17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93" t="str">
        <f>VLOOKUP(Registro2[[#This Row],[Categoria]],'Plano de Contas'!$V$3:W1848,2,0)</f>
        <v>Receitas Serviços</v>
      </c>
      <c r="X179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</row>
    <row r="1794" spans="1:24" hidden="1">
      <c r="A1794" s="1">
        <v>45775.729166666664</v>
      </c>
      <c r="B1794" s="1">
        <v>45775.729166666664</v>
      </c>
      <c r="D1794" t="s">
        <v>310</v>
      </c>
      <c r="E1794" t="s">
        <v>149</v>
      </c>
      <c r="F1794" t="s">
        <v>152</v>
      </c>
      <c r="G1794" t="s">
        <v>352</v>
      </c>
      <c r="I1794" s="4">
        <v>20</v>
      </c>
      <c r="J1794" s="4"/>
      <c r="L1794" t="s">
        <v>252</v>
      </c>
      <c r="M1794" t="s">
        <v>2613</v>
      </c>
      <c r="N1794" s="4">
        <f>IF(L1794="","",IF(OR(Registro2[[#This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794" t="str">
        <f t="shared" ref="O1794:O1800" si="28">TEXT(B1794,"mmm/aa")</f>
        <v>abr/25</v>
      </c>
      <c r="P1794" t="str">
        <f>IF(Registro2[[#This Row],[Data de Pagamento]]&gt;0,TEXT(A1794,"mmm/aa"),"")</f>
        <v>abr/25</v>
      </c>
      <c r="T1794" s="4">
        <f>IF(Registro2[[#This Row],[Data de Pagamento]]="",0,IF(Registro2[[#This Row],[Conta Financeira]]=base!$A$6,0,Registro2[[#This Row],[Valor Unitário]]))</f>
        <v>20</v>
      </c>
      <c r="U17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94" t="str">
        <f>VLOOKUP(Registro2[[#This Row],[Categoria]],'Plano de Contas'!$V$3:W1849,2,0)</f>
        <v>Receitas Serviços</v>
      </c>
      <c r="X179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</row>
    <row r="1795" spans="1:24" hidden="1">
      <c r="A1795" s="1">
        <v>45775.729166666664</v>
      </c>
      <c r="B1795" s="1">
        <v>45775.729166666664</v>
      </c>
      <c r="D1795" t="s">
        <v>2</v>
      </c>
      <c r="E1795" t="s">
        <v>149</v>
      </c>
      <c r="F1795" t="s">
        <v>147</v>
      </c>
      <c r="G1795" t="s">
        <v>163</v>
      </c>
      <c r="I1795" s="4">
        <v>35</v>
      </c>
      <c r="J1795" s="4">
        <v>35</v>
      </c>
      <c r="L1795" t="s">
        <v>253</v>
      </c>
      <c r="M1795" t="s">
        <v>1657</v>
      </c>
      <c r="N1795" s="4">
        <f>IF(L1795="","",IF(OR(Registro2[[#This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95" t="str">
        <f t="shared" si="28"/>
        <v>abr/25</v>
      </c>
      <c r="P1795" t="str">
        <f>IF(Registro2[[#This Row],[Data de Pagamento]]&gt;0,TEXT(A1795,"mmm/aa"),"")</f>
        <v>abr/25</v>
      </c>
      <c r="T1795" s="4">
        <f>IF(Registro2[[#This Row],[Data de Pagamento]]="",0,IF(Registro2[[#This Row],[Conta Financeira]]=base!$A$6,0,Registro2[[#This Row],[Valor Unitário]]))</f>
        <v>35</v>
      </c>
      <c r="U17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95" t="str">
        <f>VLOOKUP(Registro2[[#This Row],[Categoria]],'Plano de Contas'!$V$3:W1853,2,0)</f>
        <v>Receitas Serviços</v>
      </c>
      <c r="X179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96" spans="1:24" hidden="1">
      <c r="A1796" s="1">
        <v>45775.743055555555</v>
      </c>
      <c r="B1796" s="1">
        <v>45775.743055555555</v>
      </c>
      <c r="D1796" t="s">
        <v>355</v>
      </c>
      <c r="E1796" t="s">
        <v>149</v>
      </c>
      <c r="F1796" t="s">
        <v>147</v>
      </c>
      <c r="G1796" t="s">
        <v>163</v>
      </c>
      <c r="I1796" s="4">
        <v>35</v>
      </c>
      <c r="J1796" s="4">
        <v>60</v>
      </c>
      <c r="L1796" t="s">
        <v>253</v>
      </c>
      <c r="M1796" t="s">
        <v>2615</v>
      </c>
      <c r="N1796" s="4">
        <f>IF(L1796="","",IF(OR(Registro2[[#This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96" t="str">
        <f t="shared" si="28"/>
        <v>abr/25</v>
      </c>
      <c r="P1796" t="str">
        <f>IF(Registro2[[#This Row],[Data de Pagamento]]&gt;0,TEXT(A1796,"mmm/aa"),"")</f>
        <v>abr/25</v>
      </c>
      <c r="T1796" s="4">
        <f>IF(Registro2[[#This Row],[Data de Pagamento]]="",0,IF(Registro2[[#This Row],[Conta Financeira]]=base!$A$6,0,Registro2[[#This Row],[Valor Unitário]]))</f>
        <v>35</v>
      </c>
      <c r="U17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96" t="str">
        <f>VLOOKUP(Registro2[[#This Row],[Categoria]],'Plano de Contas'!$V$3:W1850,2,0)</f>
        <v>Receitas Serviços</v>
      </c>
      <c r="X179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97" spans="1:24" hidden="1">
      <c r="A1797" s="1">
        <v>45775.743055555555</v>
      </c>
      <c r="B1797" s="1">
        <v>45775.743055555555</v>
      </c>
      <c r="D1797" t="s">
        <v>355</v>
      </c>
      <c r="E1797" t="s">
        <v>149</v>
      </c>
      <c r="F1797" t="s">
        <v>150</v>
      </c>
      <c r="G1797" t="s">
        <v>509</v>
      </c>
      <c r="I1797" s="4">
        <v>25</v>
      </c>
      <c r="J1797" s="4"/>
      <c r="L1797" t="s">
        <v>253</v>
      </c>
      <c r="M1797" t="s">
        <v>2615</v>
      </c>
      <c r="N1797" s="4">
        <f>IF(L1797="","",IF(OR(Registro2[[#This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797" t="str">
        <f t="shared" si="28"/>
        <v>abr/25</v>
      </c>
      <c r="P1797" t="str">
        <f>IF(Registro2[[#This Row],[Data de Pagamento]]&gt;0,TEXT(A1797,"mmm/aa"),"")</f>
        <v>abr/25</v>
      </c>
      <c r="T1797" s="4">
        <f>IF(Registro2[[#This Row],[Data de Pagamento]]="",0,IF(Registro2[[#This Row],[Conta Financeira]]=base!$A$6,0,Registro2[[#This Row],[Valor Unitário]]))</f>
        <v>25</v>
      </c>
      <c r="U17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97" t="str">
        <f>VLOOKUP(Registro2[[#This Row],[Categoria]],'Plano de Contas'!$V$3:W1851,2,0)</f>
        <v>Receitas Produtos</v>
      </c>
      <c r="X179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98" spans="1:24" hidden="1">
      <c r="A1798" s="1">
        <v>45775.791666666664</v>
      </c>
      <c r="B1798" s="1">
        <v>45775.791666666664</v>
      </c>
      <c r="D1798" t="s">
        <v>1</v>
      </c>
      <c r="E1798" t="s">
        <v>149</v>
      </c>
      <c r="F1798" t="s">
        <v>147</v>
      </c>
      <c r="G1798" t="s">
        <v>163</v>
      </c>
      <c r="I1798" s="4">
        <v>35</v>
      </c>
      <c r="J1798" s="4">
        <v>35</v>
      </c>
      <c r="L1798" t="s">
        <v>252</v>
      </c>
      <c r="M1798" t="s">
        <v>2617</v>
      </c>
      <c r="N1798" s="4">
        <f>IF(L1798="","",IF(OR(Registro2[[#This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798" t="str">
        <f t="shared" si="28"/>
        <v>abr/25</v>
      </c>
      <c r="P1798" t="str">
        <f>IF(Registro2[[#This Row],[Data de Pagamento]]&gt;0,TEXT(A1798,"mmm/aa"),"")</f>
        <v>abr/25</v>
      </c>
      <c r="T1798" s="4">
        <f>IF(Registro2[[#This Row],[Data de Pagamento]]="",0,IF(Registro2[[#This Row],[Conta Financeira]]=base!$A$6,0,Registro2[[#This Row],[Valor Unitário]]))</f>
        <v>35</v>
      </c>
      <c r="U17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98" t="str">
        <f>VLOOKUP(Registro2[[#This Row],[Categoria]],'Plano de Contas'!$V$3:W1852,2,0)</f>
        <v>Receitas Serviços</v>
      </c>
      <c r="X179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799" spans="1:24" hidden="1">
      <c r="A1799" s="1">
        <v>45775.822916666664</v>
      </c>
      <c r="B1799" s="1">
        <v>45775.822916666664</v>
      </c>
      <c r="D1799" t="s">
        <v>1</v>
      </c>
      <c r="E1799" t="s">
        <v>149</v>
      </c>
      <c r="F1799" t="s">
        <v>147</v>
      </c>
      <c r="G1799" t="s">
        <v>160</v>
      </c>
      <c r="I1799" s="4">
        <v>12</v>
      </c>
      <c r="J1799" s="4">
        <v>12</v>
      </c>
      <c r="L1799" t="s">
        <v>252</v>
      </c>
      <c r="M1799" t="s">
        <v>360</v>
      </c>
      <c r="N1799" s="4">
        <f>IF(L1799="","",IF(OR(Registro2[[#This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1799" t="str">
        <f t="shared" si="28"/>
        <v>abr/25</v>
      </c>
      <c r="P1799" t="str">
        <f>IF(Registro2[[#This Row],[Data de Pagamento]]&gt;0,TEXT(A1799,"mmm/aa"),"")</f>
        <v>abr/25</v>
      </c>
      <c r="T1799" s="4">
        <f>IF(Registro2[[#This Row],[Data de Pagamento]]="",0,IF(Registro2[[#This Row],[Conta Financeira]]=base!$A$6,0,Registro2[[#This Row],[Valor Unitário]]))</f>
        <v>12</v>
      </c>
      <c r="U17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799" t="str">
        <f>VLOOKUP(Registro2[[#This Row],[Categoria]],'Plano de Contas'!$V$3:W1854,2,0)</f>
        <v>Receitas Serviços</v>
      </c>
      <c r="X179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00" spans="1:24" hidden="1">
      <c r="A1800" s="1">
        <v>45777</v>
      </c>
      <c r="B1800" s="1">
        <v>45777</v>
      </c>
      <c r="D1800" t="s">
        <v>947</v>
      </c>
      <c r="E1800" t="s">
        <v>137</v>
      </c>
      <c r="F1800" t="s">
        <v>138</v>
      </c>
      <c r="G1800" t="s">
        <v>266</v>
      </c>
      <c r="H1800" t="s">
        <v>266</v>
      </c>
      <c r="I1800" s="4">
        <v>2000</v>
      </c>
      <c r="J1800" s="4"/>
      <c r="N1800" s="4" t="str">
        <f>IF(L1800="","",IF(OR(Registro2[[#This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800" t="str">
        <f t="shared" si="28"/>
        <v>abr/25</v>
      </c>
      <c r="P1800" t="str">
        <f>IF(Registro2[[#This Row],[Data de Pagamento]]&gt;0,TEXT(A1800,"mmm/aa"),"")</f>
        <v>abr/25</v>
      </c>
      <c r="T1800" s="4">
        <f>IF(Registro2[[#This Row],[Data de Pagamento]]="",0,IF(Registro2[[#This Row],[Conta Financeira]]=base!$A$6,0,Registro2[[#This Row],[Valor Unitário]]))</f>
        <v>2000</v>
      </c>
      <c r="U18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00" t="str">
        <f>VLOOKUP(Registro2[[#This Row],[Categoria]],'Plano de Contas'!$V$3:W1255,2,0)</f>
        <v>Custos Operacionais</v>
      </c>
      <c r="X180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01" spans="1:24" hidden="1">
      <c r="A1801" s="1">
        <v>45777</v>
      </c>
      <c r="B1801" s="1">
        <v>45777</v>
      </c>
      <c r="D1801" t="s">
        <v>947</v>
      </c>
      <c r="E1801" t="s">
        <v>137</v>
      </c>
      <c r="F1801" t="s">
        <v>139</v>
      </c>
      <c r="G1801" t="s">
        <v>336</v>
      </c>
      <c r="H1801" t="s">
        <v>2696</v>
      </c>
      <c r="I1801" s="4">
        <v>2767.5</v>
      </c>
      <c r="J1801" s="4"/>
      <c r="L1801" t="s">
        <v>252</v>
      </c>
      <c r="N1801" s="4" t="str">
        <f>IF(L1801="","",IF(OR(Registro2[[#This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801" t="str">
        <f t="shared" ref="O1801:O1806" si="29">TEXT(B1801,"mmm/aa")</f>
        <v>abr/25</v>
      </c>
      <c r="P1801" t="str">
        <f>IF(Registro2[[#This Row],[Data de Pagamento]]&gt;0,TEXT(A1801,"mmm/aa"),"")</f>
        <v>abr/25</v>
      </c>
      <c r="T1801" s="4">
        <f>IF(Registro2[[#This Row],[Data de Pagamento]]="",0,IF(Registro2[[#This Row],[Conta Financeira]]=base!$A$6,0,Registro2[[#This Row],[Valor Unitário]]))</f>
        <v>2767.5</v>
      </c>
      <c r="U18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01" t="str">
        <f>VLOOKUP(Registro2[[#This Row],[Categoria]],'Plano de Contas'!$V$3:W1855,2,0)</f>
        <v>Custos Operacionais</v>
      </c>
      <c r="X180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02" spans="1:24" hidden="1">
      <c r="A1802" s="1">
        <v>45777</v>
      </c>
      <c r="B1802" s="1">
        <v>45777</v>
      </c>
      <c r="D1802" t="s">
        <v>947</v>
      </c>
      <c r="E1802" t="s">
        <v>137</v>
      </c>
      <c r="F1802" t="s">
        <v>139</v>
      </c>
      <c r="G1802" t="s">
        <v>336</v>
      </c>
      <c r="H1802" t="s">
        <v>2697</v>
      </c>
      <c r="I1802" s="4">
        <v>3951.95</v>
      </c>
      <c r="J1802" s="4"/>
      <c r="L1802" t="s">
        <v>253</v>
      </c>
      <c r="N1802" s="4" t="str">
        <f>IF(L1802="","",IF(OR(Registro2[[#This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802" t="str">
        <f t="shared" si="29"/>
        <v>abr/25</v>
      </c>
      <c r="P1802" t="str">
        <f>IF(Registro2[[#This Row],[Data de Pagamento]]&gt;0,TEXT(A1802,"mmm/aa"),"")</f>
        <v>abr/25</v>
      </c>
      <c r="T1802" s="4">
        <f>IF(Registro2[[#This Row],[Data de Pagamento]]="",0,IF(Registro2[[#This Row],[Conta Financeira]]=base!$A$6,0,Registro2[[#This Row],[Valor Unitário]]))</f>
        <v>3951.95</v>
      </c>
      <c r="U18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02" t="str">
        <f>VLOOKUP(Registro2[[#This Row],[Categoria]],'Plano de Contas'!$V$3:W1856,2,0)</f>
        <v>Custos Operacionais</v>
      </c>
      <c r="X180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03" spans="1:24" hidden="1">
      <c r="A1803" s="1">
        <v>45777</v>
      </c>
      <c r="B1803" s="1">
        <v>45777</v>
      </c>
      <c r="D1803" t="s">
        <v>947</v>
      </c>
      <c r="E1803" t="s">
        <v>137</v>
      </c>
      <c r="F1803" t="s">
        <v>139</v>
      </c>
      <c r="G1803" t="s">
        <v>336</v>
      </c>
      <c r="H1803" t="s">
        <v>2698</v>
      </c>
      <c r="I1803" s="4">
        <v>2166.1</v>
      </c>
      <c r="J1803" s="4"/>
      <c r="L1803" t="s">
        <v>264</v>
      </c>
      <c r="N1803" s="4" t="str">
        <f>IF(L1803="","",IF(OR(Registro2[[#This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803" t="str">
        <f t="shared" si="29"/>
        <v>abr/25</v>
      </c>
      <c r="P1803" t="str">
        <f>IF(Registro2[[#This Row],[Data de Pagamento]]&gt;0,TEXT(A1803,"mmm/aa"),"")</f>
        <v>abr/25</v>
      </c>
      <c r="T1803" s="4">
        <f>IF(Registro2[[#This Row],[Data de Pagamento]]="",0,IF(Registro2[[#This Row],[Conta Financeira]]=base!$A$6,0,Registro2[[#This Row],[Valor Unitário]]))</f>
        <v>2166.1</v>
      </c>
      <c r="U18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03" t="str">
        <f>VLOOKUP(Registro2[[#This Row],[Categoria]],'Plano de Contas'!$V$3:W1857,2,0)</f>
        <v>Custos Operacionais</v>
      </c>
      <c r="X18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04" spans="1:24" hidden="1">
      <c r="A1804" s="1">
        <v>45777.443055555559</v>
      </c>
      <c r="B1804" s="1">
        <v>45777.443055555559</v>
      </c>
      <c r="D1804" t="s">
        <v>136</v>
      </c>
      <c r="E1804" t="s">
        <v>137</v>
      </c>
      <c r="F1804" t="s">
        <v>138</v>
      </c>
      <c r="G1804" t="s">
        <v>339</v>
      </c>
      <c r="H1804" t="s">
        <v>2699</v>
      </c>
      <c r="I1804" s="4">
        <v>105.26</v>
      </c>
      <c r="J1804" s="4"/>
      <c r="N1804" s="4" t="str">
        <f>IF(L1804="","",IF(OR(Registro2[[#This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804" t="str">
        <f t="shared" si="29"/>
        <v>abr/25</v>
      </c>
      <c r="P1804" t="str">
        <f>IF(Registro2[[#This Row],[Data de Pagamento]]&gt;0,TEXT(A1804,"mmm/aa"),"")</f>
        <v>abr/25</v>
      </c>
      <c r="T1804" s="4">
        <f>IF(Registro2[[#This Row],[Data de Pagamento]]="",0,IF(Registro2[[#This Row],[Conta Financeira]]=base!$A$6,0,Registro2[[#This Row],[Valor Unitário]]))</f>
        <v>105.26</v>
      </c>
      <c r="U18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04" t="str">
        <f>VLOOKUP(Registro2[[#This Row],[Categoria]],'Plano de Contas'!$V$3:W1858,2,0)</f>
        <v>Despesas Gerias &amp; Vendas</v>
      </c>
      <c r="X18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05" spans="1:24" hidden="1">
      <c r="A1805" s="1">
        <v>45777.443055555559</v>
      </c>
      <c r="B1805" s="1">
        <v>45777.443055555559</v>
      </c>
      <c r="D1805" t="s">
        <v>947</v>
      </c>
      <c r="E1805" t="s">
        <v>137</v>
      </c>
      <c r="F1805" t="s">
        <v>138</v>
      </c>
      <c r="G1805" t="s">
        <v>334</v>
      </c>
      <c r="H1805" t="s">
        <v>2700</v>
      </c>
      <c r="I1805" s="4">
        <v>400</v>
      </c>
      <c r="J1805" s="4"/>
      <c r="N1805" s="4" t="str">
        <f>IF(L1805="","",IF(OR(Registro2[[#This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805" t="str">
        <f t="shared" si="29"/>
        <v>abr/25</v>
      </c>
      <c r="P1805" t="str">
        <f>IF(Registro2[[#This Row],[Data de Pagamento]]&gt;0,TEXT(A1805,"mmm/aa"),"")</f>
        <v>abr/25</v>
      </c>
      <c r="T1805" s="4">
        <f>IF(Registro2[[#This Row],[Data de Pagamento]]="",0,IF(Registro2[[#This Row],[Conta Financeira]]=base!$A$6,0,Registro2[[#This Row],[Valor Unitário]]))</f>
        <v>400</v>
      </c>
      <c r="U18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05" t="str">
        <f>VLOOKUP(Registro2[[#This Row],[Categoria]],'Plano de Contas'!$V$3:W1859,2,0)</f>
        <v>Despesas Administrativas</v>
      </c>
      <c r="X18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06" spans="1:24" hidden="1">
      <c r="A1806" s="1">
        <v>45777.443055555559</v>
      </c>
      <c r="B1806" s="1">
        <v>45777.443055555559</v>
      </c>
      <c r="D1806" t="s">
        <v>947</v>
      </c>
      <c r="E1806" t="s">
        <v>137</v>
      </c>
      <c r="F1806" t="s">
        <v>967</v>
      </c>
      <c r="G1806" t="s">
        <v>2701</v>
      </c>
      <c r="H1806" t="s">
        <v>2702</v>
      </c>
      <c r="I1806" s="4">
        <v>784</v>
      </c>
      <c r="J1806" s="4"/>
      <c r="N1806" s="4" t="str">
        <f>IF(L1806="","",IF(OR(Registro2[[#This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806" t="str">
        <f t="shared" si="29"/>
        <v>abr/25</v>
      </c>
      <c r="P1806" t="str">
        <f>IF(Registro2[[#This Row],[Data de Pagamento]]&gt;0,TEXT(A1806,"mmm/aa"),"")</f>
        <v>abr/25</v>
      </c>
      <c r="T1806" s="4">
        <f>IF(Registro2[[#This Row],[Data de Pagamento]]="",0,IF(Registro2[[#This Row],[Conta Financeira]]=base!$A$6,0,Registro2[[#This Row],[Valor Unitário]]))</f>
        <v>784</v>
      </c>
      <c r="U18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06" t="e">
        <f>VLOOKUP(Registro2[[#This Row],[Categoria]],'Plano de Contas'!$V$3:W1860,2,0)</f>
        <v>#N/A</v>
      </c>
      <c r="X180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07" spans="1:24" hidden="1">
      <c r="A1807" s="1">
        <v>45777</v>
      </c>
      <c r="B1807" s="1">
        <v>45777</v>
      </c>
      <c r="D1807" t="s">
        <v>354</v>
      </c>
      <c r="E1807" t="s">
        <v>149</v>
      </c>
      <c r="F1807" t="s">
        <v>147</v>
      </c>
      <c r="G1807" t="s">
        <v>163</v>
      </c>
      <c r="I1807" s="4">
        <v>35</v>
      </c>
      <c r="J1807" s="4">
        <v>60</v>
      </c>
      <c r="L1807" s="3" t="s">
        <v>252</v>
      </c>
      <c r="M1807" t="s">
        <v>1899</v>
      </c>
      <c r="N1807" s="4">
        <f>IF(L1807="","",IF(OR(Registro2[[#This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07" t="str">
        <f t="shared" ref="O1807:O1851" si="30">TEXT(B1807,"mmm/aa")</f>
        <v>abr/25</v>
      </c>
      <c r="P1807" t="str">
        <f>IF(Registro2[[#This Row],[Data de Pagamento]]&gt;0,TEXT(A1807,"mmm/aa"),"")</f>
        <v>abr/25</v>
      </c>
      <c r="T1807" s="4">
        <f>IF(Registro2[[#This Row],[Data de Pagamento]]="",0,IF(Registro2[[#This Row],[Conta Financeira]]=base!$A$6,0,Registro2[[#This Row],[Valor Unitário]]))</f>
        <v>35</v>
      </c>
      <c r="U18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07" t="str">
        <f>VLOOKUP(Registro2[[#This Row],[Categoria]],'Plano de Contas'!$V$3:W1861,2,0)</f>
        <v>Receitas Serviços</v>
      </c>
      <c r="X180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808" spans="1:24" hidden="1">
      <c r="A1808" s="1">
        <v>45777</v>
      </c>
      <c r="B1808" s="1">
        <v>45777</v>
      </c>
      <c r="D1808" t="s">
        <v>354</v>
      </c>
      <c r="E1808" t="s">
        <v>149</v>
      </c>
      <c r="F1808" t="s">
        <v>147</v>
      </c>
      <c r="G1808" t="s">
        <v>1046</v>
      </c>
      <c r="I1808" s="4">
        <v>25</v>
      </c>
      <c r="J1808" s="4" t="s">
        <v>1604</v>
      </c>
      <c r="L1808" s="3" t="s">
        <v>252</v>
      </c>
      <c r="M1808" t="s">
        <v>1899</v>
      </c>
      <c r="N1808" s="4">
        <f>IF(L1808="","",IF(OR(Registro2[[#This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1808" t="str">
        <f t="shared" si="30"/>
        <v>abr/25</v>
      </c>
      <c r="P1808" t="str">
        <f>IF(Registro2[[#This Row],[Data de Pagamento]]&gt;0,TEXT(A1808,"mmm/aa"),"")</f>
        <v>abr/25</v>
      </c>
      <c r="T1808" s="4">
        <f>IF(Registro2[[#This Row],[Data de Pagamento]]="",0,IF(Registro2[[#This Row],[Conta Financeira]]=base!$A$6,0,Registro2[[#This Row],[Valor Unitário]]))</f>
        <v>25</v>
      </c>
      <c r="U18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08" t="str">
        <f>VLOOKUP(Registro2[[#This Row],[Categoria]],'Plano de Contas'!$V$3:W1862,2,0)</f>
        <v>Receitas Serviços</v>
      </c>
      <c r="X180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0.78749999999999998</v>
      </c>
    </row>
    <row r="1809" spans="1:24" hidden="1">
      <c r="A1809" s="1">
        <v>45776</v>
      </c>
      <c r="B1809" s="1">
        <v>45776</v>
      </c>
      <c r="D1809" t="s">
        <v>1</v>
      </c>
      <c r="E1809" t="s">
        <v>149</v>
      </c>
      <c r="F1809" t="s">
        <v>147</v>
      </c>
      <c r="G1809" t="s">
        <v>163</v>
      </c>
      <c r="I1809" s="4">
        <v>35</v>
      </c>
      <c r="J1809" s="4">
        <v>35</v>
      </c>
      <c r="L1809" t="s">
        <v>253</v>
      </c>
      <c r="M1809" t="s">
        <v>895</v>
      </c>
      <c r="N1809" s="4">
        <f>IF(L1809="","",IF(OR(Registro2[[#This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09" t="str">
        <f t="shared" si="30"/>
        <v>abr/25</v>
      </c>
      <c r="P1809" t="str">
        <f>IF(Registro2[[#This Row],[Data de Pagamento]]&gt;0,TEXT(A1809,"mmm/aa"),"")</f>
        <v>abr/25</v>
      </c>
      <c r="T1809" s="4">
        <f>IF(Registro2[[#This Row],[Data de Pagamento]]="",0,IF(Registro2[[#This Row],[Conta Financeira]]=base!$A$6,0,Registro2[[#This Row],[Valor Unitário]]))</f>
        <v>35</v>
      </c>
      <c r="U18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09" t="str">
        <f>VLOOKUP(Registro2[[#This Row],[Categoria]],'Plano de Contas'!$V$3:W1863,2,0)</f>
        <v>Receitas Serviços</v>
      </c>
      <c r="X180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10" spans="1:24" hidden="1">
      <c r="A1810" s="1">
        <v>45776</v>
      </c>
      <c r="B1810" s="1">
        <v>45776</v>
      </c>
      <c r="D1810" t="s">
        <v>1</v>
      </c>
      <c r="E1810" t="s">
        <v>149</v>
      </c>
      <c r="F1810" t="s">
        <v>147</v>
      </c>
      <c r="G1810" t="s">
        <v>163</v>
      </c>
      <c r="I1810" s="4">
        <v>35</v>
      </c>
      <c r="J1810" s="4">
        <v>50</v>
      </c>
      <c r="L1810" t="s">
        <v>253</v>
      </c>
      <c r="M1810" t="s">
        <v>467</v>
      </c>
      <c r="N1810" s="4">
        <f>IF(L1810="","",IF(OR(Registro2[[#This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10" t="str">
        <f t="shared" si="30"/>
        <v>abr/25</v>
      </c>
      <c r="P1810" t="str">
        <f>IF(Registro2[[#This Row],[Data de Pagamento]]&gt;0,TEXT(A1810,"mmm/aa"),"")</f>
        <v>abr/25</v>
      </c>
      <c r="T1810" s="4">
        <f>IF(Registro2[[#This Row],[Data de Pagamento]]="",0,IF(Registro2[[#This Row],[Conta Financeira]]=base!$A$6,0,Registro2[[#This Row],[Valor Unitário]]))</f>
        <v>35</v>
      </c>
      <c r="U18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10" t="str">
        <f>VLOOKUP(Registro2[[#This Row],[Categoria]],'Plano de Contas'!$V$3:W1864,2,0)</f>
        <v>Receitas Serviços</v>
      </c>
      <c r="X181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11" spans="1:24" hidden="1">
      <c r="A1811" s="1">
        <v>45776</v>
      </c>
      <c r="B1811" s="1">
        <v>45776</v>
      </c>
      <c r="D1811" t="s">
        <v>1</v>
      </c>
      <c r="E1811" t="s">
        <v>149</v>
      </c>
      <c r="F1811" t="s">
        <v>147</v>
      </c>
      <c r="G1811" t="s">
        <v>167</v>
      </c>
      <c r="I1811" s="4">
        <v>15</v>
      </c>
      <c r="J1811" s="4" t="s">
        <v>1604</v>
      </c>
      <c r="L1811" t="s">
        <v>253</v>
      </c>
      <c r="M1811" t="s">
        <v>467</v>
      </c>
      <c r="N1811" s="4">
        <f>IF(L1811="","",IF(OR(Registro2[[#This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811" t="str">
        <f t="shared" si="30"/>
        <v>abr/25</v>
      </c>
      <c r="P1811" t="str">
        <f>IF(Registro2[[#This Row],[Data de Pagamento]]&gt;0,TEXT(A1811,"mmm/aa"),"")</f>
        <v>abr/25</v>
      </c>
      <c r="T1811" s="4">
        <f>IF(Registro2[[#This Row],[Data de Pagamento]]="",0,IF(Registro2[[#This Row],[Conta Financeira]]=base!$A$6,0,Registro2[[#This Row],[Valor Unitário]]))</f>
        <v>15</v>
      </c>
      <c r="U18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11" t="str">
        <f>VLOOKUP(Registro2[[#This Row],[Categoria]],'Plano de Contas'!$V$3:W1865,2,0)</f>
        <v>Receitas Serviços</v>
      </c>
      <c r="X18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12" spans="1:24" hidden="1">
      <c r="A1812" s="1">
        <v>45776</v>
      </c>
      <c r="B1812" s="1">
        <v>45776</v>
      </c>
      <c r="D1812" t="s">
        <v>1</v>
      </c>
      <c r="E1812" t="s">
        <v>149</v>
      </c>
      <c r="F1812" t="s">
        <v>147</v>
      </c>
      <c r="G1812" t="s">
        <v>163</v>
      </c>
      <c r="I1812" s="4">
        <v>35</v>
      </c>
      <c r="J1812" s="4">
        <v>35</v>
      </c>
      <c r="L1812" t="s">
        <v>264</v>
      </c>
      <c r="M1812" t="s">
        <v>2631</v>
      </c>
      <c r="N1812" s="4">
        <f>IF(L1812="","",IF(OR(Registro2[[#This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12" t="str">
        <f t="shared" si="30"/>
        <v>abr/25</v>
      </c>
      <c r="P1812" t="str">
        <f>IF(Registro2[[#This Row],[Data de Pagamento]]&gt;0,TEXT(A1812,"mmm/aa"),"")</f>
        <v>abr/25</v>
      </c>
      <c r="T1812" s="4">
        <f>IF(Registro2[[#This Row],[Data de Pagamento]]="",0,IF(Registro2[[#This Row],[Conta Financeira]]=base!$A$6,0,Registro2[[#This Row],[Valor Unitário]]))</f>
        <v>35</v>
      </c>
      <c r="U18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12" t="str">
        <f>VLOOKUP(Registro2[[#This Row],[Categoria]],'Plano de Contas'!$V$3:W1866,2,0)</f>
        <v>Receitas Serviços</v>
      </c>
      <c r="X181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13" spans="1:24" hidden="1">
      <c r="A1813" s="1">
        <v>45776</v>
      </c>
      <c r="B1813" s="1">
        <v>45776</v>
      </c>
      <c r="D1813" t="s">
        <v>1</v>
      </c>
      <c r="E1813" t="s">
        <v>149</v>
      </c>
      <c r="F1813" t="s">
        <v>147</v>
      </c>
      <c r="G1813" t="s">
        <v>163</v>
      </c>
      <c r="I1813" s="4">
        <v>35</v>
      </c>
      <c r="J1813" s="4">
        <v>35</v>
      </c>
      <c r="L1813" s="3" t="s">
        <v>252</v>
      </c>
      <c r="M1813" t="s">
        <v>1031</v>
      </c>
      <c r="N1813" s="4">
        <f>IF(L1813="","",IF(OR(Registro2[[#This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13" t="str">
        <f t="shared" si="30"/>
        <v>abr/25</v>
      </c>
      <c r="P1813" t="str">
        <f>IF(Registro2[[#This Row],[Data de Pagamento]]&gt;0,TEXT(A1813,"mmm/aa"),"")</f>
        <v>abr/25</v>
      </c>
      <c r="T1813" s="4">
        <f>IF(Registro2[[#This Row],[Data de Pagamento]]="",0,IF(Registro2[[#This Row],[Conta Financeira]]=base!$A$6,0,Registro2[[#This Row],[Valor Unitário]]))</f>
        <v>35</v>
      </c>
      <c r="U18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13" t="str">
        <f>VLOOKUP(Registro2[[#This Row],[Categoria]],'Plano de Contas'!$V$3:W1867,2,0)</f>
        <v>Receitas Serviços</v>
      </c>
      <c r="X181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14" spans="1:24" hidden="1">
      <c r="A1814" s="1">
        <v>45776</v>
      </c>
      <c r="B1814" s="1">
        <v>45776</v>
      </c>
      <c r="D1814" t="s">
        <v>1</v>
      </c>
      <c r="E1814" t="s">
        <v>149</v>
      </c>
      <c r="F1814" t="s">
        <v>152</v>
      </c>
      <c r="G1814" t="s">
        <v>353</v>
      </c>
      <c r="I1814" s="4">
        <v>60</v>
      </c>
      <c r="J1814" s="4">
        <v>60</v>
      </c>
      <c r="L1814" t="s">
        <v>253</v>
      </c>
      <c r="M1814" t="s">
        <v>906</v>
      </c>
      <c r="N1814" s="4">
        <f>IF(L1814="","",IF(OR(Registro2[[#This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814" t="str">
        <f t="shared" si="30"/>
        <v>abr/25</v>
      </c>
      <c r="P1814" t="str">
        <f>IF(Registro2[[#This Row],[Data de Pagamento]]&gt;0,TEXT(A1814,"mmm/aa"),"")</f>
        <v>abr/25</v>
      </c>
      <c r="T1814" s="4">
        <f>IF(Registro2[[#This Row],[Data de Pagamento]]="",0,IF(Registro2[[#This Row],[Conta Financeira]]=base!$A$6,0,Registro2[[#This Row],[Valor Unitário]]))</f>
        <v>60</v>
      </c>
      <c r="U18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14" t="str">
        <f>VLOOKUP(Registro2[[#This Row],[Categoria]],'Plano de Contas'!$V$3:W1868,2,0)</f>
        <v>Receitas Serviços</v>
      </c>
      <c r="X181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15" spans="1:24" hidden="1">
      <c r="A1815" s="1">
        <v>45776</v>
      </c>
      <c r="B1815" s="1">
        <v>45776</v>
      </c>
      <c r="D1815" t="s">
        <v>354</v>
      </c>
      <c r="E1815" t="s">
        <v>149</v>
      </c>
      <c r="F1815" t="s">
        <v>152</v>
      </c>
      <c r="G1815" t="s">
        <v>353</v>
      </c>
      <c r="I1815" s="4">
        <v>50</v>
      </c>
      <c r="J1815" s="4">
        <v>50</v>
      </c>
      <c r="L1815" t="s">
        <v>253</v>
      </c>
      <c r="M1815" t="s">
        <v>122</v>
      </c>
      <c r="N1815" s="4">
        <f>IF(L1815="","",IF(OR(Registro2[[#This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815" t="str">
        <f t="shared" si="30"/>
        <v>abr/25</v>
      </c>
      <c r="P1815" t="str">
        <f>IF(Registro2[[#This Row],[Data de Pagamento]]&gt;0,TEXT(A1815,"mmm/aa"),"")</f>
        <v>abr/25</v>
      </c>
      <c r="T1815" s="4">
        <f>IF(Registro2[[#This Row],[Data de Pagamento]]="",0,IF(Registro2[[#This Row],[Conta Financeira]]=base!$A$6,0,Registro2[[#This Row],[Valor Unitário]]))</f>
        <v>50</v>
      </c>
      <c r="U18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15" t="str">
        <f>VLOOKUP(Registro2[[#This Row],[Categoria]],'Plano de Contas'!$V$3:W1869,2,0)</f>
        <v>Receitas Serviços</v>
      </c>
      <c r="X181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1.575</v>
      </c>
    </row>
    <row r="1816" spans="1:24" hidden="1">
      <c r="A1816" s="1">
        <v>45776</v>
      </c>
      <c r="B1816" s="1">
        <v>45776</v>
      </c>
      <c r="D1816" t="s">
        <v>1</v>
      </c>
      <c r="E1816" t="s">
        <v>149</v>
      </c>
      <c r="F1816" t="s">
        <v>147</v>
      </c>
      <c r="G1816" t="s">
        <v>163</v>
      </c>
      <c r="I1816" s="4">
        <v>35</v>
      </c>
      <c r="J1816" s="4">
        <v>35</v>
      </c>
      <c r="L1816" t="s">
        <v>264</v>
      </c>
      <c r="M1816" t="s">
        <v>202</v>
      </c>
      <c r="N1816" s="4">
        <f>IF(L1816="","",IF(OR(Registro2[[#This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16" t="str">
        <f t="shared" si="30"/>
        <v>abr/25</v>
      </c>
      <c r="P1816" t="str">
        <f>IF(Registro2[[#This Row],[Data de Pagamento]]&gt;0,TEXT(A1816,"mmm/aa"),"")</f>
        <v>abr/25</v>
      </c>
      <c r="T1816" s="4">
        <f>IF(Registro2[[#This Row],[Data de Pagamento]]="",0,IF(Registro2[[#This Row],[Conta Financeira]]=base!$A$6,0,Registro2[[#This Row],[Valor Unitário]]))</f>
        <v>35</v>
      </c>
      <c r="U18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16" t="str">
        <f>VLOOKUP(Registro2[[#This Row],[Categoria]],'Plano de Contas'!$V$3:W1870,2,0)</f>
        <v>Receitas Serviços</v>
      </c>
      <c r="X181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17" spans="1:24" hidden="1">
      <c r="A1817" s="1">
        <v>45775</v>
      </c>
      <c r="B1817" s="1">
        <v>45775</v>
      </c>
      <c r="D1817" t="s">
        <v>310</v>
      </c>
      <c r="E1817" t="s">
        <v>149</v>
      </c>
      <c r="F1817" t="s">
        <v>147</v>
      </c>
      <c r="G1817" t="s">
        <v>160</v>
      </c>
      <c r="I1817" s="4">
        <v>12</v>
      </c>
      <c r="J1817" s="4">
        <v>12</v>
      </c>
      <c r="L1817" s="3" t="s">
        <v>252</v>
      </c>
      <c r="M1817" t="s">
        <v>2060</v>
      </c>
      <c r="N1817" s="4">
        <f>IF(L1817="","",IF(OR(Registro2[[#This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1817" t="str">
        <f t="shared" si="30"/>
        <v>abr/25</v>
      </c>
      <c r="P1817" t="str">
        <f>IF(Registro2[[#This Row],[Data de Pagamento]]&gt;0,TEXT(A1817,"mmm/aa"),"")</f>
        <v>abr/25</v>
      </c>
      <c r="T1817" s="4">
        <f>IF(Registro2[[#This Row],[Data de Pagamento]]="",0,IF(Registro2[[#This Row],[Conta Financeira]]=base!$A$6,0,Registro2[[#This Row],[Valor Unitário]]))</f>
        <v>12</v>
      </c>
      <c r="U18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17" t="str">
        <f>VLOOKUP(Registro2[[#This Row],[Categoria]],'Plano de Contas'!$V$3:W1871,2,0)</f>
        <v>Receitas Serviços</v>
      </c>
      <c r="X181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0.10680000000000001</v>
      </c>
    </row>
    <row r="1818" spans="1:24" hidden="1">
      <c r="A1818" s="1">
        <v>45777</v>
      </c>
      <c r="B1818" s="1">
        <v>45777</v>
      </c>
      <c r="D1818" t="s">
        <v>1</v>
      </c>
      <c r="E1818" t="s">
        <v>149</v>
      </c>
      <c r="F1818" t="s">
        <v>147</v>
      </c>
      <c r="G1818" t="s">
        <v>163</v>
      </c>
      <c r="I1818" s="4">
        <v>35</v>
      </c>
      <c r="J1818" s="4">
        <v>35</v>
      </c>
      <c r="L1818" t="s">
        <v>253</v>
      </c>
      <c r="M1818" t="s">
        <v>278</v>
      </c>
      <c r="N1818" s="4">
        <f>IF(L1818="","",IF(OR(Registro2[[#This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18" t="str">
        <f t="shared" si="30"/>
        <v>abr/25</v>
      </c>
      <c r="P1818" t="str">
        <f>IF(Registro2[[#This Row],[Data de Pagamento]]&gt;0,TEXT(A1818,"mmm/aa"),"")</f>
        <v>abr/25</v>
      </c>
      <c r="T1818" s="4">
        <f>IF(Registro2[[#This Row],[Data de Pagamento]]="",0,IF(Registro2[[#This Row],[Conta Financeira]]=base!$A$6,0,Registro2[[#This Row],[Valor Unitário]]))</f>
        <v>35</v>
      </c>
      <c r="U18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18" t="str">
        <f>VLOOKUP(Registro2[[#This Row],[Categoria]],'Plano de Contas'!$V$3:W1872,2,0)</f>
        <v>Receitas Serviços</v>
      </c>
      <c r="X18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19" spans="1:24" hidden="1">
      <c r="A1819" s="1">
        <v>45776</v>
      </c>
      <c r="B1819" s="1">
        <v>45776</v>
      </c>
      <c r="D1819" t="s">
        <v>1</v>
      </c>
      <c r="E1819" t="s">
        <v>149</v>
      </c>
      <c r="F1819" t="s">
        <v>147</v>
      </c>
      <c r="G1819" t="s">
        <v>163</v>
      </c>
      <c r="I1819" s="4">
        <v>30</v>
      </c>
      <c r="J1819" s="4">
        <v>40</v>
      </c>
      <c r="L1819" t="s">
        <v>264</v>
      </c>
      <c r="M1819" t="s">
        <v>1348</v>
      </c>
      <c r="N1819" s="4">
        <f>IF(L1819="","",IF(OR(Registro2[[#This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1819" t="str">
        <f t="shared" si="30"/>
        <v>abr/25</v>
      </c>
      <c r="P1819" t="str">
        <f>IF(Registro2[[#This Row],[Data de Pagamento]]&gt;0,TEXT(A1819,"mmm/aa"),"")</f>
        <v>abr/25</v>
      </c>
      <c r="T1819" s="4">
        <f>IF(Registro2[[#This Row],[Data de Pagamento]]="",0,IF(Registro2[[#This Row],[Conta Financeira]]=base!$A$6,0,Registro2[[#This Row],[Valor Unitário]]))</f>
        <v>30</v>
      </c>
      <c r="U18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19" t="str">
        <f>VLOOKUP(Registro2[[#This Row],[Categoria]],'Plano de Contas'!$V$3:W1873,2,0)</f>
        <v>Receitas Serviços</v>
      </c>
      <c r="X181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20" spans="1:24" hidden="1">
      <c r="A1820" s="1">
        <v>45776</v>
      </c>
      <c r="B1820" s="1">
        <v>45776</v>
      </c>
      <c r="D1820" t="s">
        <v>1</v>
      </c>
      <c r="E1820" t="s">
        <v>149</v>
      </c>
      <c r="F1820" t="s">
        <v>147</v>
      </c>
      <c r="G1820" t="s">
        <v>167</v>
      </c>
      <c r="I1820" s="4">
        <v>10</v>
      </c>
      <c r="J1820" s="4" t="s">
        <v>1604</v>
      </c>
      <c r="L1820" t="s">
        <v>264</v>
      </c>
      <c r="M1820" t="s">
        <v>1348</v>
      </c>
      <c r="N1820" s="4">
        <f>IF(L1820="","",IF(OR(Registro2[[#This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820" t="str">
        <f t="shared" si="30"/>
        <v>abr/25</v>
      </c>
      <c r="P1820" t="str">
        <f>IF(Registro2[[#This Row],[Data de Pagamento]]&gt;0,TEXT(A1820,"mmm/aa"),"")</f>
        <v>abr/25</v>
      </c>
      <c r="T1820" s="4">
        <f>IF(Registro2[[#This Row],[Data de Pagamento]]="",0,IF(Registro2[[#This Row],[Conta Financeira]]=base!$A$6,0,Registro2[[#This Row],[Valor Unitário]]))</f>
        <v>10</v>
      </c>
      <c r="U18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20" t="str">
        <f>VLOOKUP(Registro2[[#This Row],[Categoria]],'Plano de Contas'!$V$3:W1874,2,0)</f>
        <v>Receitas Serviços</v>
      </c>
      <c r="X182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21" spans="1:24" hidden="1">
      <c r="A1821" s="1">
        <v>45776</v>
      </c>
      <c r="B1821" s="1">
        <v>45776</v>
      </c>
      <c r="D1821" t="s">
        <v>1</v>
      </c>
      <c r="E1821" t="s">
        <v>149</v>
      </c>
      <c r="F1821" t="s">
        <v>147</v>
      </c>
      <c r="G1821" t="s">
        <v>163</v>
      </c>
      <c r="I1821" s="4">
        <v>35</v>
      </c>
      <c r="J1821" s="4">
        <v>50</v>
      </c>
      <c r="L1821" s="3" t="s">
        <v>252</v>
      </c>
      <c r="M1821" t="s">
        <v>2648</v>
      </c>
      <c r="N1821" s="4">
        <f>IF(L1821="","",IF(OR(Registro2[[#This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21" t="str">
        <f t="shared" si="30"/>
        <v>abr/25</v>
      </c>
      <c r="P1821" t="str">
        <f>IF(Registro2[[#This Row],[Data de Pagamento]]&gt;0,TEXT(A1821,"mmm/aa"),"")</f>
        <v>abr/25</v>
      </c>
      <c r="T1821" s="4">
        <f>IF(Registro2[[#This Row],[Data de Pagamento]]="",0,IF(Registro2[[#This Row],[Conta Financeira]]=base!$A$6,0,Registro2[[#This Row],[Valor Unitário]]))</f>
        <v>35</v>
      </c>
      <c r="U18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21" t="str">
        <f>VLOOKUP(Registro2[[#This Row],[Categoria]],'Plano de Contas'!$V$3:W1875,2,0)</f>
        <v>Receitas Serviços</v>
      </c>
      <c r="X182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22" spans="1:24" hidden="1">
      <c r="A1822" s="1">
        <v>45776</v>
      </c>
      <c r="B1822" s="1">
        <v>45776</v>
      </c>
      <c r="D1822" t="s">
        <v>1</v>
      </c>
      <c r="E1822" t="s">
        <v>149</v>
      </c>
      <c r="F1822" t="s">
        <v>147</v>
      </c>
      <c r="G1822" t="s">
        <v>167</v>
      </c>
      <c r="I1822" s="4">
        <v>10</v>
      </c>
      <c r="J1822" s="4" t="s">
        <v>1604</v>
      </c>
      <c r="L1822" s="3" t="s">
        <v>252</v>
      </c>
      <c r="M1822" t="s">
        <v>2648</v>
      </c>
      <c r="N1822" s="4">
        <f>IF(L1822="","",IF(OR(Registro2[[#This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822" t="str">
        <f t="shared" si="30"/>
        <v>abr/25</v>
      </c>
      <c r="P1822" t="str">
        <f>IF(Registro2[[#This Row],[Data de Pagamento]]&gt;0,TEXT(A1822,"mmm/aa"),"")</f>
        <v>abr/25</v>
      </c>
      <c r="T1822" s="4">
        <f>IF(Registro2[[#This Row],[Data de Pagamento]]="",0,IF(Registro2[[#This Row],[Conta Financeira]]=base!$A$6,0,Registro2[[#This Row],[Valor Unitário]]))</f>
        <v>10</v>
      </c>
      <c r="U18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22" t="str">
        <f>VLOOKUP(Registro2[[#This Row],[Categoria]],'Plano de Contas'!$V$3:W1876,2,0)</f>
        <v>Receitas Serviços</v>
      </c>
      <c r="X182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23" spans="1:24" hidden="1">
      <c r="A1823" s="1">
        <v>45777</v>
      </c>
      <c r="B1823" s="1">
        <v>45777</v>
      </c>
      <c r="D1823" t="s">
        <v>1</v>
      </c>
      <c r="E1823" t="s">
        <v>149</v>
      </c>
      <c r="F1823" t="s">
        <v>147</v>
      </c>
      <c r="G1823" t="s">
        <v>163</v>
      </c>
      <c r="I1823" s="4">
        <v>35</v>
      </c>
      <c r="J1823" s="4">
        <v>35</v>
      </c>
      <c r="L1823" s="3" t="s">
        <v>252</v>
      </c>
      <c r="M1823" t="s">
        <v>403</v>
      </c>
      <c r="N1823" s="4">
        <f>IF(L1823="","",IF(OR(Registro2[[#This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23" t="str">
        <f t="shared" si="30"/>
        <v>abr/25</v>
      </c>
      <c r="P1823" t="str">
        <f>IF(Registro2[[#This Row],[Data de Pagamento]]&gt;0,TEXT(A1823,"mmm/aa"),"")</f>
        <v>abr/25</v>
      </c>
      <c r="T1823" s="4">
        <f>IF(Registro2[[#This Row],[Data de Pagamento]]="",0,IF(Registro2[[#This Row],[Conta Financeira]]=base!$A$6,0,Registro2[[#This Row],[Valor Unitário]]))</f>
        <v>35</v>
      </c>
      <c r="U18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23" t="str">
        <f>VLOOKUP(Registro2[[#This Row],[Categoria]],'Plano de Contas'!$V$3:W1877,2,0)</f>
        <v>Receitas Serviços</v>
      </c>
      <c r="X182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24" spans="1:24" hidden="1">
      <c r="A1824" s="1">
        <v>45776</v>
      </c>
      <c r="B1824" s="1">
        <v>45776</v>
      </c>
      <c r="D1824" t="s">
        <v>354</v>
      </c>
      <c r="E1824" t="s">
        <v>149</v>
      </c>
      <c r="F1824" t="s">
        <v>147</v>
      </c>
      <c r="G1824" t="s">
        <v>163</v>
      </c>
      <c r="I1824" s="4">
        <v>35</v>
      </c>
      <c r="J1824" s="4">
        <v>35</v>
      </c>
      <c r="L1824" t="s">
        <v>253</v>
      </c>
      <c r="M1824" t="s">
        <v>197</v>
      </c>
      <c r="N1824" s="4">
        <f>IF(L1824="","",IF(OR(Registro2[[#This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24" t="str">
        <f t="shared" si="30"/>
        <v>abr/25</v>
      </c>
      <c r="P1824" t="str">
        <f>IF(Registro2[[#This Row],[Data de Pagamento]]&gt;0,TEXT(A1824,"mmm/aa"),"")</f>
        <v>abr/25</v>
      </c>
      <c r="T1824" s="4">
        <f>IF(Registro2[[#This Row],[Data de Pagamento]]="",0,IF(Registro2[[#This Row],[Conta Financeira]]=base!$A$6,0,Registro2[[#This Row],[Valor Unitário]]))</f>
        <v>35</v>
      </c>
      <c r="U18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24" t="str">
        <f>VLOOKUP(Registro2[[#This Row],[Categoria]],'Plano de Contas'!$V$3:W1878,2,0)</f>
        <v>Receitas Serviços</v>
      </c>
      <c r="X182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825" spans="1:24" hidden="1">
      <c r="A1825" s="1">
        <v>45776</v>
      </c>
      <c r="B1825" s="1">
        <v>45776</v>
      </c>
      <c r="D1825" t="s">
        <v>1</v>
      </c>
      <c r="E1825" t="s">
        <v>149</v>
      </c>
      <c r="F1825" t="s">
        <v>147</v>
      </c>
      <c r="G1825" t="s">
        <v>163</v>
      </c>
      <c r="I1825" s="4">
        <v>35</v>
      </c>
      <c r="J1825" s="4">
        <v>35</v>
      </c>
      <c r="L1825" t="s">
        <v>253</v>
      </c>
      <c r="M1825" t="s">
        <v>2654</v>
      </c>
      <c r="N1825" s="4">
        <f>IF(L1825="","",IF(OR(Registro2[[#This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25" t="str">
        <f t="shared" si="30"/>
        <v>abr/25</v>
      </c>
      <c r="P1825" t="str">
        <f>IF(Registro2[[#This Row],[Data de Pagamento]]&gt;0,TEXT(A1825,"mmm/aa"),"")</f>
        <v>abr/25</v>
      </c>
      <c r="T1825" s="4">
        <f>IF(Registro2[[#This Row],[Data de Pagamento]]="",0,IF(Registro2[[#This Row],[Conta Financeira]]=base!$A$6,0,Registro2[[#This Row],[Valor Unitário]]))</f>
        <v>35</v>
      </c>
      <c r="U18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25" t="str">
        <f>VLOOKUP(Registro2[[#This Row],[Categoria]],'Plano de Contas'!$V$3:W1879,2,0)</f>
        <v>Receitas Serviços</v>
      </c>
      <c r="X182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26" spans="1:24" hidden="1">
      <c r="A1826" s="1">
        <v>45777</v>
      </c>
      <c r="B1826" s="1">
        <v>45777</v>
      </c>
      <c r="D1826" t="s">
        <v>354</v>
      </c>
      <c r="E1826" t="s">
        <v>149</v>
      </c>
      <c r="F1826" t="s">
        <v>147</v>
      </c>
      <c r="G1826" t="s">
        <v>163</v>
      </c>
      <c r="I1826" s="4">
        <v>35</v>
      </c>
      <c r="J1826" s="4">
        <v>35</v>
      </c>
      <c r="L1826" t="s">
        <v>264</v>
      </c>
      <c r="M1826" t="s">
        <v>2657</v>
      </c>
      <c r="N1826" s="4">
        <f>IF(L1826="","",IF(OR(Registro2[[#This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26" t="str">
        <f t="shared" si="30"/>
        <v>abr/25</v>
      </c>
      <c r="P1826" t="str">
        <f>IF(Registro2[[#This Row],[Data de Pagamento]]&gt;0,TEXT(A1826,"mmm/aa"),"")</f>
        <v>abr/25</v>
      </c>
      <c r="T1826" s="4">
        <f>IF(Registro2[[#This Row],[Data de Pagamento]]="",0,IF(Registro2[[#This Row],[Conta Financeira]]=base!$A$6,0,Registro2[[#This Row],[Valor Unitário]]))</f>
        <v>35</v>
      </c>
      <c r="U18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26" t="str">
        <f>VLOOKUP(Registro2[[#This Row],[Categoria]],'Plano de Contas'!$V$3:W1880,2,0)</f>
        <v>Receitas Serviços</v>
      </c>
      <c r="X182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827" spans="1:24" hidden="1">
      <c r="A1827" s="1">
        <v>45777</v>
      </c>
      <c r="B1827" s="1">
        <v>45777</v>
      </c>
      <c r="D1827" t="s">
        <v>1</v>
      </c>
      <c r="E1827" t="s">
        <v>149</v>
      </c>
      <c r="F1827" t="s">
        <v>147</v>
      </c>
      <c r="G1827" t="s">
        <v>163</v>
      </c>
      <c r="I1827" s="4">
        <v>35</v>
      </c>
      <c r="J1827" s="4">
        <v>30</v>
      </c>
      <c r="L1827" s="3" t="s">
        <v>252</v>
      </c>
      <c r="M1827" t="s">
        <v>10</v>
      </c>
      <c r="N1827" s="4">
        <f>IF(L1827="","",IF(OR(Registro2[[#This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27" t="str">
        <f t="shared" si="30"/>
        <v>abr/25</v>
      </c>
      <c r="P1827" t="str">
        <f>IF(Registro2[[#This Row],[Data de Pagamento]]&gt;0,TEXT(A1827,"mmm/aa"),"")</f>
        <v>abr/25</v>
      </c>
      <c r="T1827" s="4">
        <f>IF(Registro2[[#This Row],[Data de Pagamento]]="",0,IF(Registro2[[#This Row],[Conta Financeira]]=base!$A$6,0,Registro2[[#This Row],[Valor Unitário]]))</f>
        <v>35</v>
      </c>
      <c r="U18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27" t="str">
        <f>VLOOKUP(Registro2[[#This Row],[Categoria]],'Plano de Contas'!$V$3:W1881,2,0)</f>
        <v>Receitas Serviços</v>
      </c>
      <c r="X18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28" spans="1:24" hidden="1">
      <c r="A1828" s="1">
        <v>45777</v>
      </c>
      <c r="B1828" s="1">
        <v>45777</v>
      </c>
      <c r="D1828" t="s">
        <v>1</v>
      </c>
      <c r="E1828" t="s">
        <v>149</v>
      </c>
      <c r="F1828" t="s">
        <v>147</v>
      </c>
      <c r="G1828" t="s">
        <v>163</v>
      </c>
      <c r="I1828" s="4">
        <v>35</v>
      </c>
      <c r="J1828" s="4">
        <v>35</v>
      </c>
      <c r="L1828" s="3" t="s">
        <v>252</v>
      </c>
      <c r="M1828" t="s">
        <v>1988</v>
      </c>
      <c r="N1828" s="4">
        <f>IF(L1828="","",IF(OR(Registro2[[#This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28" t="str">
        <f t="shared" si="30"/>
        <v>abr/25</v>
      </c>
      <c r="P1828" t="str">
        <f>IF(Registro2[[#This Row],[Data de Pagamento]]&gt;0,TEXT(A1828,"mmm/aa"),"")</f>
        <v>abr/25</v>
      </c>
      <c r="T1828" s="4">
        <f>IF(Registro2[[#This Row],[Data de Pagamento]]="",0,IF(Registro2[[#This Row],[Conta Financeira]]=base!$A$6,0,Registro2[[#This Row],[Valor Unitário]]))</f>
        <v>35</v>
      </c>
      <c r="U18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28" t="str">
        <f>VLOOKUP(Registro2[[#This Row],[Categoria]],'Plano de Contas'!$V$3:W1882,2,0)</f>
        <v>Receitas Serviços</v>
      </c>
      <c r="X182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29" spans="1:24" hidden="1">
      <c r="A1829" s="1">
        <v>45777</v>
      </c>
      <c r="B1829" s="1">
        <v>45777</v>
      </c>
      <c r="D1829" t="s">
        <v>1</v>
      </c>
      <c r="E1829" t="s">
        <v>149</v>
      </c>
      <c r="F1829" t="s">
        <v>147</v>
      </c>
      <c r="G1829" t="s">
        <v>163</v>
      </c>
      <c r="I1829" s="4">
        <v>35</v>
      </c>
      <c r="J1829" s="4">
        <v>35</v>
      </c>
      <c r="L1829" t="s">
        <v>253</v>
      </c>
      <c r="M1829" t="s">
        <v>1981</v>
      </c>
      <c r="N1829" s="4">
        <f>IF(L1829="","",IF(OR(Registro2[[#This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29" t="str">
        <f t="shared" si="30"/>
        <v>abr/25</v>
      </c>
      <c r="P1829" t="str">
        <f>IF(Registro2[[#This Row],[Data de Pagamento]]&gt;0,TEXT(A1829,"mmm/aa"),"")</f>
        <v>abr/25</v>
      </c>
      <c r="T1829" s="4">
        <f>IF(Registro2[[#This Row],[Data de Pagamento]]="",0,IF(Registro2[[#This Row],[Conta Financeira]]=base!$A$6,0,Registro2[[#This Row],[Valor Unitário]]))</f>
        <v>35</v>
      </c>
      <c r="U18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29" t="str">
        <f>VLOOKUP(Registro2[[#This Row],[Categoria]],'Plano de Contas'!$V$3:W1883,2,0)</f>
        <v>Receitas Serviços</v>
      </c>
      <c r="X18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30" spans="1:24" hidden="1">
      <c r="A1830" s="1">
        <v>45777</v>
      </c>
      <c r="B1830" s="1">
        <v>45777</v>
      </c>
      <c r="D1830" t="s">
        <v>2</v>
      </c>
      <c r="E1830" t="s">
        <v>149</v>
      </c>
      <c r="F1830" t="s">
        <v>147</v>
      </c>
      <c r="G1830" t="s">
        <v>163</v>
      </c>
      <c r="I1830" s="4">
        <v>35</v>
      </c>
      <c r="J1830" s="4">
        <v>35</v>
      </c>
      <c r="L1830" t="s">
        <v>253</v>
      </c>
      <c r="M1830" t="s">
        <v>127</v>
      </c>
      <c r="N1830" s="4">
        <f>IF(L1830="","",IF(OR(Registro2[[#This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30" t="str">
        <f t="shared" si="30"/>
        <v>abr/25</v>
      </c>
      <c r="P1830" t="str">
        <f>IF(Registro2[[#This Row],[Data de Pagamento]]&gt;0,TEXT(A1830,"mmm/aa"),"")</f>
        <v>abr/25</v>
      </c>
      <c r="T1830" s="4">
        <f>IF(Registro2[[#This Row],[Data de Pagamento]]="",0,IF(Registro2[[#This Row],[Conta Financeira]]=base!$A$6,0,Registro2[[#This Row],[Valor Unitário]]))</f>
        <v>35</v>
      </c>
      <c r="U18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30" t="str">
        <f>VLOOKUP(Registro2[[#This Row],[Categoria]],'Plano de Contas'!$V$3:W1884,2,0)</f>
        <v>Receitas Serviços</v>
      </c>
      <c r="X183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31" spans="1:24" hidden="1">
      <c r="A1831" s="1">
        <v>45777</v>
      </c>
      <c r="B1831" s="1">
        <v>45777</v>
      </c>
      <c r="D1831" t="s">
        <v>1</v>
      </c>
      <c r="E1831" t="s">
        <v>149</v>
      </c>
      <c r="F1831" t="s">
        <v>147</v>
      </c>
      <c r="G1831" t="s">
        <v>163</v>
      </c>
      <c r="I1831" s="4">
        <v>35</v>
      </c>
      <c r="J1831" s="4">
        <v>35</v>
      </c>
      <c r="L1831" s="3" t="s">
        <v>252</v>
      </c>
      <c r="M1831" t="s">
        <v>2668</v>
      </c>
      <c r="N1831" s="4">
        <f>IF(L1831="","",IF(OR(Registro2[[#This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31" t="str">
        <f t="shared" si="30"/>
        <v>abr/25</v>
      </c>
      <c r="P1831" t="str">
        <f>IF(Registro2[[#This Row],[Data de Pagamento]]&gt;0,TEXT(A1831,"mmm/aa"),"")</f>
        <v>abr/25</v>
      </c>
      <c r="T1831" s="4">
        <f>IF(Registro2[[#This Row],[Data de Pagamento]]="",0,IF(Registro2[[#This Row],[Conta Financeira]]=base!$A$6,0,Registro2[[#This Row],[Valor Unitário]]))</f>
        <v>35</v>
      </c>
      <c r="U18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31" t="str">
        <f>VLOOKUP(Registro2[[#This Row],[Categoria]],'Plano de Contas'!$V$3:W1885,2,0)</f>
        <v>Receitas Serviços</v>
      </c>
      <c r="X183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32" spans="1:24" hidden="1">
      <c r="A1832" s="1">
        <v>45777</v>
      </c>
      <c r="B1832" s="1">
        <v>45777</v>
      </c>
      <c r="D1832" t="s">
        <v>1</v>
      </c>
      <c r="E1832" t="s">
        <v>149</v>
      </c>
      <c r="F1832" t="s">
        <v>147</v>
      </c>
      <c r="G1832" t="s">
        <v>163</v>
      </c>
      <c r="I1832" s="4">
        <v>35</v>
      </c>
      <c r="J1832" s="4">
        <v>45</v>
      </c>
      <c r="L1832" t="s">
        <v>253</v>
      </c>
      <c r="M1832" t="s">
        <v>2233</v>
      </c>
      <c r="N1832" s="4">
        <f>IF(L1832="","",IF(OR(Registro2[[#This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32" t="str">
        <f t="shared" si="30"/>
        <v>abr/25</v>
      </c>
      <c r="P1832" t="str">
        <f>IF(Registro2[[#This Row],[Data de Pagamento]]&gt;0,TEXT(A1832,"mmm/aa"),"")</f>
        <v>abr/25</v>
      </c>
      <c r="T1832" s="4">
        <f>IF(Registro2[[#This Row],[Data de Pagamento]]="",0,IF(Registro2[[#This Row],[Conta Financeira]]=base!$A$6,0,Registro2[[#This Row],[Valor Unitário]]))</f>
        <v>35</v>
      </c>
      <c r="U18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32" t="str">
        <f>VLOOKUP(Registro2[[#This Row],[Categoria]],'Plano de Contas'!$V$3:W1886,2,0)</f>
        <v>Receitas Serviços</v>
      </c>
      <c r="X183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33" spans="1:24" hidden="1">
      <c r="A1833" s="1">
        <v>45777</v>
      </c>
      <c r="B1833" s="1">
        <v>45777</v>
      </c>
      <c r="D1833" t="s">
        <v>1</v>
      </c>
      <c r="E1833" t="s">
        <v>149</v>
      </c>
      <c r="F1833" t="s">
        <v>147</v>
      </c>
      <c r="G1833" t="s">
        <v>167</v>
      </c>
      <c r="I1833" s="4">
        <v>10</v>
      </c>
      <c r="J1833" s="4" t="s">
        <v>1604</v>
      </c>
      <c r="L1833" t="s">
        <v>253</v>
      </c>
      <c r="M1833" t="s">
        <v>2233</v>
      </c>
      <c r="N1833" s="4">
        <f>IF(L1833="","",IF(OR(Registro2[[#This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833" t="str">
        <f t="shared" si="30"/>
        <v>abr/25</v>
      </c>
      <c r="P1833" t="str">
        <f>IF(Registro2[[#This Row],[Data de Pagamento]]&gt;0,TEXT(A1833,"mmm/aa"),"")</f>
        <v>abr/25</v>
      </c>
      <c r="T1833" s="4">
        <f>IF(Registro2[[#This Row],[Data de Pagamento]]="",0,IF(Registro2[[#This Row],[Conta Financeira]]=base!$A$6,0,Registro2[[#This Row],[Valor Unitário]]))</f>
        <v>10</v>
      </c>
      <c r="U18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33" t="str">
        <f>VLOOKUP(Registro2[[#This Row],[Categoria]],'Plano de Contas'!$V$3:W1887,2,0)</f>
        <v>Receitas Serviços</v>
      </c>
      <c r="X183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34" spans="1:24" hidden="1">
      <c r="A1834" s="1">
        <v>45777</v>
      </c>
      <c r="B1834" s="1">
        <v>45777</v>
      </c>
      <c r="D1834" t="s">
        <v>2</v>
      </c>
      <c r="E1834" t="s">
        <v>149</v>
      </c>
      <c r="F1834" t="s">
        <v>147</v>
      </c>
      <c r="G1834" t="s">
        <v>163</v>
      </c>
      <c r="I1834" s="4">
        <v>35</v>
      </c>
      <c r="J1834" s="4">
        <v>35</v>
      </c>
      <c r="L1834" s="3" t="s">
        <v>252</v>
      </c>
      <c r="M1834" t="s">
        <v>18</v>
      </c>
      <c r="N1834" s="4">
        <f>IF(L1834="","",IF(OR(Registro2[[#This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34" t="str">
        <f t="shared" si="30"/>
        <v>abr/25</v>
      </c>
      <c r="P1834" t="str">
        <f>IF(Registro2[[#This Row],[Data de Pagamento]]&gt;0,TEXT(A1834,"mmm/aa"),"")</f>
        <v>abr/25</v>
      </c>
      <c r="T1834" s="4">
        <f>IF(Registro2[[#This Row],[Data de Pagamento]]="",0,IF(Registro2[[#This Row],[Conta Financeira]]=base!$A$6,0,Registro2[[#This Row],[Valor Unitário]]))</f>
        <v>35</v>
      </c>
      <c r="U18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34" t="str">
        <f>VLOOKUP(Registro2[[#This Row],[Categoria]],'Plano de Contas'!$V$3:W1888,2,0)</f>
        <v>Receitas Serviços</v>
      </c>
      <c r="X183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35" spans="1:24" hidden="1">
      <c r="A1835" s="1">
        <v>45777</v>
      </c>
      <c r="B1835" s="1">
        <v>45777</v>
      </c>
      <c r="D1835" t="s">
        <v>1</v>
      </c>
      <c r="E1835" t="s">
        <v>149</v>
      </c>
      <c r="F1835" t="s">
        <v>147</v>
      </c>
      <c r="G1835" t="s">
        <v>163</v>
      </c>
      <c r="I1835" s="4">
        <v>35</v>
      </c>
      <c r="J1835" s="4">
        <v>35</v>
      </c>
      <c r="L1835" t="s">
        <v>264</v>
      </c>
      <c r="M1835" t="s">
        <v>483</v>
      </c>
      <c r="N1835" s="4">
        <f>IF(L1835="","",IF(OR(Registro2[[#This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35" t="str">
        <f t="shared" si="30"/>
        <v>abr/25</v>
      </c>
      <c r="P1835" t="str">
        <f>IF(Registro2[[#This Row],[Data de Pagamento]]&gt;0,TEXT(A1835,"mmm/aa"),"")</f>
        <v>abr/25</v>
      </c>
      <c r="T1835" s="4">
        <f>IF(Registro2[[#This Row],[Data de Pagamento]]="",0,IF(Registro2[[#This Row],[Conta Financeira]]=base!$A$6,0,Registro2[[#This Row],[Valor Unitário]]))</f>
        <v>35</v>
      </c>
      <c r="U18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35" t="str">
        <f>VLOOKUP(Registro2[[#This Row],[Categoria]],'Plano de Contas'!$V$3:W1889,2,0)</f>
        <v>Receitas Serviços</v>
      </c>
      <c r="X183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36" spans="1:24" hidden="1">
      <c r="A1836" s="1">
        <v>45777</v>
      </c>
      <c r="B1836" s="1">
        <v>45777</v>
      </c>
      <c r="D1836" t="s">
        <v>310</v>
      </c>
      <c r="E1836" t="s">
        <v>149</v>
      </c>
      <c r="F1836" t="s">
        <v>147</v>
      </c>
      <c r="G1836" t="s">
        <v>163</v>
      </c>
      <c r="I1836" s="4">
        <v>35</v>
      </c>
      <c r="J1836" s="4">
        <v>95</v>
      </c>
      <c r="L1836" t="s">
        <v>253</v>
      </c>
      <c r="M1836" t="s">
        <v>11</v>
      </c>
      <c r="N1836" s="4">
        <f>IF(L1836="","",IF(OR(Registro2[[#This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36" t="str">
        <f t="shared" si="30"/>
        <v>abr/25</v>
      </c>
      <c r="P1836" t="str">
        <f>IF(Registro2[[#This Row],[Data de Pagamento]]&gt;0,TEXT(A1836,"mmm/aa"),"")</f>
        <v>abr/25</v>
      </c>
      <c r="T1836" s="4">
        <f>IF(Registro2[[#This Row],[Data de Pagamento]]="",0,IF(Registro2[[#This Row],[Conta Financeira]]=base!$A$6,0,Registro2[[#This Row],[Valor Unitário]]))</f>
        <v>35</v>
      </c>
      <c r="U18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36" t="str">
        <f>VLOOKUP(Registro2[[#This Row],[Categoria]],'Plano de Contas'!$V$3:W1890,2,0)</f>
        <v>Receitas Serviços</v>
      </c>
      <c r="X183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837" spans="1:24" hidden="1">
      <c r="A1837" s="1">
        <v>45777</v>
      </c>
      <c r="B1837" s="1">
        <v>45777</v>
      </c>
      <c r="D1837" t="s">
        <v>310</v>
      </c>
      <c r="E1837" t="s">
        <v>149</v>
      </c>
      <c r="F1837" t="s">
        <v>152</v>
      </c>
      <c r="G1837" t="s">
        <v>353</v>
      </c>
      <c r="I1837" s="4">
        <v>60</v>
      </c>
      <c r="J1837" s="4" t="s">
        <v>1604</v>
      </c>
      <c r="L1837" s="3" t="s">
        <v>252</v>
      </c>
      <c r="M1837" t="s">
        <v>11</v>
      </c>
      <c r="N1837" s="4">
        <f>IF(L1837="","",IF(OR(Registro2[[#This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837" t="str">
        <f t="shared" si="30"/>
        <v>abr/25</v>
      </c>
      <c r="P1837" t="str">
        <f>IF(Registro2[[#This Row],[Data de Pagamento]]&gt;0,TEXT(A1837,"mmm/aa"),"")</f>
        <v>abr/25</v>
      </c>
      <c r="T1837" s="4">
        <f>IF(Registro2[[#This Row],[Data de Pagamento]]="",0,IF(Registro2[[#This Row],[Conta Financeira]]=base!$A$6,0,Registro2[[#This Row],[Valor Unitário]]))</f>
        <v>60</v>
      </c>
      <c r="U18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37" t="str">
        <f>VLOOKUP(Registro2[[#This Row],[Categoria]],'Plano de Contas'!$V$3:W1891,2,0)</f>
        <v>Receitas Serviços</v>
      </c>
      <c r="X183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</row>
    <row r="1838" spans="1:24" hidden="1">
      <c r="A1838" s="1">
        <v>45777</v>
      </c>
      <c r="B1838" s="1">
        <v>45777</v>
      </c>
      <c r="D1838" t="s">
        <v>310</v>
      </c>
      <c r="E1838" t="s">
        <v>149</v>
      </c>
      <c r="F1838" t="s">
        <v>147</v>
      </c>
      <c r="G1838" t="s">
        <v>1046</v>
      </c>
      <c r="I1838" s="4">
        <v>35</v>
      </c>
      <c r="J1838" s="4">
        <v>40</v>
      </c>
      <c r="L1838" s="3" t="s">
        <v>252</v>
      </c>
      <c r="M1838" t="s">
        <v>2679</v>
      </c>
      <c r="N1838" s="4">
        <f>IF(L1838="","",IF(OR(Registro2[[#This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38" t="str">
        <f t="shared" si="30"/>
        <v>abr/25</v>
      </c>
      <c r="P1838" t="str">
        <f>IF(Registro2[[#This Row],[Data de Pagamento]]&gt;0,TEXT(A1838,"mmm/aa"),"")</f>
        <v>abr/25</v>
      </c>
      <c r="T1838" s="4">
        <f>IF(Registro2[[#This Row],[Data de Pagamento]]="",0,IF(Registro2[[#This Row],[Conta Financeira]]=base!$A$6,0,Registro2[[#This Row],[Valor Unitário]]))</f>
        <v>35</v>
      </c>
      <c r="U18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38" t="str">
        <f>VLOOKUP(Registro2[[#This Row],[Categoria]],'Plano de Contas'!$V$3:W1892,2,0)</f>
        <v>Receitas Serviços</v>
      </c>
      <c r="X183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839" spans="1:24" hidden="1">
      <c r="A1839" s="1">
        <v>45777</v>
      </c>
      <c r="B1839" s="1">
        <v>45777</v>
      </c>
      <c r="D1839" t="s">
        <v>1</v>
      </c>
      <c r="E1839" t="s">
        <v>149</v>
      </c>
      <c r="F1839" t="s">
        <v>147</v>
      </c>
      <c r="G1839" t="s">
        <v>163</v>
      </c>
      <c r="I1839" s="4">
        <v>35</v>
      </c>
      <c r="J1839" s="4">
        <v>45</v>
      </c>
      <c r="L1839" s="3" t="s">
        <v>252</v>
      </c>
      <c r="M1839" t="s">
        <v>31</v>
      </c>
      <c r="N1839" s="4">
        <f>IF(L1839="","",IF(OR(Registro2[[#This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39" t="str">
        <f t="shared" si="30"/>
        <v>abr/25</v>
      </c>
      <c r="P1839" t="str">
        <f>IF(Registro2[[#This Row],[Data de Pagamento]]&gt;0,TEXT(A1839,"mmm/aa"),"")</f>
        <v>abr/25</v>
      </c>
      <c r="T1839" s="4">
        <f>IF(Registro2[[#This Row],[Data de Pagamento]]="",0,IF(Registro2[[#This Row],[Conta Financeira]]=base!$A$6,0,Registro2[[#This Row],[Valor Unitário]]))</f>
        <v>35</v>
      </c>
      <c r="U18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39" t="str">
        <f>VLOOKUP(Registro2[[#This Row],[Categoria]],'Plano de Contas'!$V$3:W1893,2,0)</f>
        <v>Receitas Serviços</v>
      </c>
      <c r="X183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40" spans="1:24" hidden="1">
      <c r="A1840" s="1">
        <v>45777</v>
      </c>
      <c r="B1840" s="1">
        <v>45777</v>
      </c>
      <c r="D1840" t="s">
        <v>1</v>
      </c>
      <c r="E1840" t="s">
        <v>149</v>
      </c>
      <c r="F1840" t="s">
        <v>147</v>
      </c>
      <c r="G1840" t="s">
        <v>167</v>
      </c>
      <c r="I1840" s="4">
        <v>10</v>
      </c>
      <c r="J1840" s="4" t="s">
        <v>1604</v>
      </c>
      <c r="L1840" s="3" t="s">
        <v>252</v>
      </c>
      <c r="M1840" t="s">
        <v>31</v>
      </c>
      <c r="N1840" s="4">
        <f>IF(L1840="","",IF(OR(Registro2[[#This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840" t="str">
        <f t="shared" si="30"/>
        <v>abr/25</v>
      </c>
      <c r="P1840" t="str">
        <f>IF(Registro2[[#This Row],[Data de Pagamento]]&gt;0,TEXT(A1840,"mmm/aa"),"")</f>
        <v>abr/25</v>
      </c>
      <c r="T1840" s="4">
        <f>IF(Registro2[[#This Row],[Data de Pagamento]]="",0,IF(Registro2[[#This Row],[Conta Financeira]]=base!$A$6,0,Registro2[[#This Row],[Valor Unitário]]))</f>
        <v>10</v>
      </c>
      <c r="U18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40" t="str">
        <f>VLOOKUP(Registro2[[#This Row],[Categoria]],'Plano de Contas'!$V$3:W1894,2,0)</f>
        <v>Receitas Serviços</v>
      </c>
      <c r="X184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41" spans="1:24" hidden="1">
      <c r="A1841" s="1">
        <v>45777</v>
      </c>
      <c r="B1841" s="1">
        <v>45777</v>
      </c>
      <c r="D1841" t="s">
        <v>310</v>
      </c>
      <c r="E1841" t="s">
        <v>149</v>
      </c>
      <c r="F1841" t="s">
        <v>147</v>
      </c>
      <c r="G1841" t="s">
        <v>163</v>
      </c>
      <c r="I1841" s="4">
        <v>35</v>
      </c>
      <c r="J1841" s="4">
        <v>35</v>
      </c>
      <c r="L1841" t="s">
        <v>253</v>
      </c>
      <c r="M1841" t="s">
        <v>2332</v>
      </c>
      <c r="N1841" s="4">
        <f>IF(L1841="","",IF(OR(Registro2[[#This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41" t="str">
        <f t="shared" si="30"/>
        <v>abr/25</v>
      </c>
      <c r="P1841" t="str">
        <f>IF(Registro2[[#This Row],[Data de Pagamento]]&gt;0,TEXT(A1841,"mmm/aa"),"")</f>
        <v>abr/25</v>
      </c>
      <c r="T1841" s="4">
        <f>IF(Registro2[[#This Row],[Data de Pagamento]]="",0,IF(Registro2[[#This Row],[Conta Financeira]]=base!$A$6,0,Registro2[[#This Row],[Valor Unitário]]))</f>
        <v>35</v>
      </c>
      <c r="U18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41" t="str">
        <f>VLOOKUP(Registro2[[#This Row],[Categoria]],'Plano de Contas'!$V$3:W1895,2,0)</f>
        <v>Receitas Serviços</v>
      </c>
      <c r="X184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842" spans="1:24" hidden="1">
      <c r="A1842" s="1">
        <v>45777</v>
      </c>
      <c r="B1842" s="1">
        <v>45777</v>
      </c>
      <c r="D1842" t="s">
        <v>1</v>
      </c>
      <c r="E1842" t="s">
        <v>149</v>
      </c>
      <c r="F1842" t="s">
        <v>147</v>
      </c>
      <c r="G1842" t="s">
        <v>1046</v>
      </c>
      <c r="I1842" s="4">
        <v>35</v>
      </c>
      <c r="J1842" s="4">
        <v>47</v>
      </c>
      <c r="L1842" t="s">
        <v>264</v>
      </c>
      <c r="M1842" t="s">
        <v>1198</v>
      </c>
      <c r="N1842" s="4">
        <f>IF(L1842="","",IF(OR(Registro2[[#This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42" t="str">
        <f t="shared" si="30"/>
        <v>abr/25</v>
      </c>
      <c r="P1842" t="str">
        <f>IF(Registro2[[#This Row],[Data de Pagamento]]&gt;0,TEXT(A1842,"mmm/aa"),"")</f>
        <v>abr/25</v>
      </c>
      <c r="T1842" s="4">
        <f>IF(Registro2[[#This Row],[Data de Pagamento]]="",0,IF(Registro2[[#This Row],[Conta Financeira]]=base!$A$6,0,Registro2[[#This Row],[Valor Unitário]]))</f>
        <v>35</v>
      </c>
      <c r="U18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42" t="str">
        <f>VLOOKUP(Registro2[[#This Row],[Categoria]],'Plano de Contas'!$V$3:W1896,2,0)</f>
        <v>Receitas Serviços</v>
      </c>
      <c r="X184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43" spans="1:24" hidden="1">
      <c r="A1843" s="1">
        <v>45777</v>
      </c>
      <c r="B1843" s="1">
        <v>45777</v>
      </c>
      <c r="D1843" t="s">
        <v>1</v>
      </c>
      <c r="E1843" t="s">
        <v>149</v>
      </c>
      <c r="F1843" t="s">
        <v>147</v>
      </c>
      <c r="G1843" t="s">
        <v>160</v>
      </c>
      <c r="I1843" s="4">
        <v>12</v>
      </c>
      <c r="J1843" s="4" t="s">
        <v>1604</v>
      </c>
      <c r="L1843" t="s">
        <v>264</v>
      </c>
      <c r="M1843" t="s">
        <v>1198</v>
      </c>
      <c r="N1843" s="4">
        <f>IF(L1843="","",IF(OR(Registro2[[#This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1843" t="str">
        <f t="shared" si="30"/>
        <v>abr/25</v>
      </c>
      <c r="P1843" t="str">
        <f>IF(Registro2[[#This Row],[Data de Pagamento]]&gt;0,TEXT(A1843,"mmm/aa"),"")</f>
        <v>abr/25</v>
      </c>
      <c r="T1843" s="4">
        <f>IF(Registro2[[#This Row],[Data de Pagamento]]="",0,IF(Registro2[[#This Row],[Conta Financeira]]=base!$A$6,0,Registro2[[#This Row],[Valor Unitário]]))</f>
        <v>12</v>
      </c>
      <c r="U18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43" t="str">
        <f>VLOOKUP(Registro2[[#This Row],[Categoria]],'Plano de Contas'!$V$3:W1897,2,0)</f>
        <v>Receitas Serviços</v>
      </c>
      <c r="X184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44" spans="1:24" hidden="1">
      <c r="A1844" s="1">
        <v>45777</v>
      </c>
      <c r="B1844" s="1">
        <v>45777</v>
      </c>
      <c r="D1844" t="s">
        <v>1</v>
      </c>
      <c r="E1844" t="s">
        <v>149</v>
      </c>
      <c r="F1844" t="s">
        <v>147</v>
      </c>
      <c r="G1844" t="s">
        <v>163</v>
      </c>
      <c r="I1844" s="4">
        <v>35</v>
      </c>
      <c r="J1844" s="4">
        <v>35</v>
      </c>
      <c r="L1844" t="s">
        <v>264</v>
      </c>
      <c r="M1844" t="s">
        <v>1083</v>
      </c>
      <c r="N1844" s="4">
        <f>IF(L1844="","",IF(OR(Registro2[[#This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44" t="str">
        <f t="shared" si="30"/>
        <v>abr/25</v>
      </c>
      <c r="P1844" t="str">
        <f>IF(Registro2[[#This Row],[Data de Pagamento]]&gt;0,TEXT(A1844,"mmm/aa"),"")</f>
        <v>abr/25</v>
      </c>
      <c r="T1844" s="4">
        <f>IF(Registro2[[#This Row],[Data de Pagamento]]="",0,IF(Registro2[[#This Row],[Conta Financeira]]=base!$A$6,0,Registro2[[#This Row],[Valor Unitário]]))</f>
        <v>35</v>
      </c>
      <c r="U18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44" t="str">
        <f>VLOOKUP(Registro2[[#This Row],[Categoria]],'Plano de Contas'!$V$3:W1898,2,0)</f>
        <v>Receitas Serviços</v>
      </c>
      <c r="X184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45" spans="1:24" hidden="1">
      <c r="A1845" s="1">
        <v>45777</v>
      </c>
      <c r="B1845" s="1">
        <v>45777</v>
      </c>
      <c r="D1845" t="s">
        <v>1</v>
      </c>
      <c r="E1845" t="s">
        <v>149</v>
      </c>
      <c r="F1845" t="s">
        <v>147</v>
      </c>
      <c r="G1845" t="s">
        <v>163</v>
      </c>
      <c r="I1845" s="4">
        <v>35</v>
      </c>
      <c r="J1845" s="4">
        <v>35</v>
      </c>
      <c r="L1845" t="s">
        <v>253</v>
      </c>
      <c r="M1845" t="s">
        <v>110</v>
      </c>
      <c r="N1845" s="4">
        <f>IF(L1845="","",IF(OR(Registro2[[#This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45" t="str">
        <f t="shared" si="30"/>
        <v>abr/25</v>
      </c>
      <c r="P1845" t="str">
        <f>IF(Registro2[[#This Row],[Data de Pagamento]]&gt;0,TEXT(A1845,"mmm/aa"),"")</f>
        <v>abr/25</v>
      </c>
      <c r="T1845" s="4">
        <f>IF(Registro2[[#This Row],[Data de Pagamento]]="",0,IF(Registro2[[#This Row],[Conta Financeira]]=base!$A$6,0,Registro2[[#This Row],[Valor Unitário]]))</f>
        <v>35</v>
      </c>
      <c r="U18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45" t="str">
        <f>VLOOKUP(Registro2[[#This Row],[Categoria]],'Plano de Contas'!$V$3:W1899,2,0)</f>
        <v>Receitas Serviços</v>
      </c>
      <c r="X18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46" spans="1:24" hidden="1">
      <c r="A1846" s="1">
        <v>45777</v>
      </c>
      <c r="B1846" s="1">
        <v>45777</v>
      </c>
      <c r="D1846" t="s">
        <v>1</v>
      </c>
      <c r="E1846" t="s">
        <v>149</v>
      </c>
      <c r="F1846" t="s">
        <v>147</v>
      </c>
      <c r="G1846" t="s">
        <v>163</v>
      </c>
      <c r="I1846" s="4">
        <v>35</v>
      </c>
      <c r="J1846" s="4">
        <v>40</v>
      </c>
      <c r="L1846" t="s">
        <v>264</v>
      </c>
      <c r="M1846" t="s">
        <v>495</v>
      </c>
      <c r="N1846" s="4">
        <f>IF(L1846="","",IF(OR(Registro2[[#This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46" t="str">
        <f t="shared" si="30"/>
        <v>abr/25</v>
      </c>
      <c r="P1846" t="str">
        <f>IF(Registro2[[#This Row],[Data de Pagamento]]&gt;0,TEXT(A1846,"mmm/aa"),"")</f>
        <v>abr/25</v>
      </c>
      <c r="T1846" s="4">
        <f>IF(Registro2[[#This Row],[Data de Pagamento]]="",0,IF(Registro2[[#This Row],[Conta Financeira]]=base!$A$6,0,Registro2[[#This Row],[Valor Unitário]]))</f>
        <v>35</v>
      </c>
      <c r="U18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46" t="str">
        <f>VLOOKUP(Registro2[[#This Row],[Categoria]],'Plano de Contas'!$V$3:W1900,2,0)</f>
        <v>Receitas Serviços</v>
      </c>
      <c r="X184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47" spans="1:24" hidden="1">
      <c r="A1847" s="1">
        <v>45777</v>
      </c>
      <c r="B1847" s="1">
        <v>45777</v>
      </c>
      <c r="D1847" t="s">
        <v>1</v>
      </c>
      <c r="E1847" t="s">
        <v>149</v>
      </c>
      <c r="F1847" t="s">
        <v>910</v>
      </c>
      <c r="G1847" t="s">
        <v>910</v>
      </c>
      <c r="I1847" s="4">
        <v>5</v>
      </c>
      <c r="J1847" s="4" t="s">
        <v>1604</v>
      </c>
      <c r="L1847" t="s">
        <v>264</v>
      </c>
      <c r="M1847" t="s">
        <v>495</v>
      </c>
      <c r="N1847" s="4" t="str">
        <f>IF(L1847="","",IF(OR(Registro2[[#This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847" t="str">
        <f t="shared" si="30"/>
        <v>abr/25</v>
      </c>
      <c r="P1847" t="str">
        <f>IF(Registro2[[#This Row],[Data de Pagamento]]&gt;0,TEXT(A1847,"mmm/aa"),"")</f>
        <v>abr/25</v>
      </c>
      <c r="T1847" s="4">
        <f>IF(Registro2[[#This Row],[Data de Pagamento]]="",0,IF(Registro2[[#This Row],[Conta Financeira]]=base!$A$6,0,Registro2[[#This Row],[Valor Unitário]]))</f>
        <v>5</v>
      </c>
      <c r="U18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47" t="str">
        <f>VLOOKUP(Registro2[[#This Row],[Categoria]],'Plano de Contas'!$V$3:W1901,2,0)</f>
        <v>Outras Receitas</v>
      </c>
      <c r="X184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48" spans="1:24" hidden="1">
      <c r="A1848" s="1">
        <v>45777</v>
      </c>
      <c r="B1848" s="1">
        <v>45777</v>
      </c>
      <c r="D1848" t="s">
        <v>1</v>
      </c>
      <c r="E1848" t="s">
        <v>149</v>
      </c>
      <c r="F1848" t="s">
        <v>147</v>
      </c>
      <c r="G1848" t="s">
        <v>163</v>
      </c>
      <c r="I1848" s="4">
        <v>35</v>
      </c>
      <c r="J1848" s="4">
        <v>35</v>
      </c>
      <c r="L1848" t="s">
        <v>253</v>
      </c>
      <c r="M1848" t="s">
        <v>500</v>
      </c>
      <c r="N1848" s="4">
        <f>IF(L1848="","",IF(OR(Registro2[[#This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48" t="str">
        <f t="shared" si="30"/>
        <v>abr/25</v>
      </c>
      <c r="P1848" t="str">
        <f>IF(Registro2[[#This Row],[Data de Pagamento]]&gt;0,TEXT(A1848,"mmm/aa"),"")</f>
        <v>abr/25</v>
      </c>
      <c r="T1848" s="4">
        <f>IF(Registro2[[#This Row],[Data de Pagamento]]="",0,IF(Registro2[[#This Row],[Conta Financeira]]=base!$A$6,0,Registro2[[#This Row],[Valor Unitário]]))</f>
        <v>35</v>
      </c>
      <c r="U18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48" t="str">
        <f>VLOOKUP(Registro2[[#This Row],[Categoria]],'Plano de Contas'!$V$3:W1902,2,0)</f>
        <v>Receitas Serviços</v>
      </c>
      <c r="X184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49" spans="1:24" hidden="1">
      <c r="A1849" s="1">
        <v>45777</v>
      </c>
      <c r="B1849" s="1">
        <v>45777</v>
      </c>
      <c r="D1849" t="s">
        <v>310</v>
      </c>
      <c r="E1849" t="s">
        <v>149</v>
      </c>
      <c r="F1849" t="s">
        <v>147</v>
      </c>
      <c r="G1849" t="s">
        <v>163</v>
      </c>
      <c r="I1849" s="4">
        <v>20</v>
      </c>
      <c r="J1849" s="4">
        <v>20</v>
      </c>
      <c r="L1849" t="s">
        <v>253</v>
      </c>
      <c r="M1849" t="s">
        <v>376</v>
      </c>
      <c r="N1849" s="4">
        <f>IF(L1849="","",IF(OR(Registro2[[#This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849" t="str">
        <f t="shared" si="30"/>
        <v>abr/25</v>
      </c>
      <c r="P1849" t="str">
        <f>IF(Registro2[[#This Row],[Data de Pagamento]]&gt;0,TEXT(A1849,"mmm/aa"),"")</f>
        <v>abr/25</v>
      </c>
      <c r="T1849" s="4">
        <f>IF(Registro2[[#This Row],[Data de Pagamento]]="",0,IF(Registro2[[#This Row],[Conta Financeira]]=base!$A$6,0,Registro2[[#This Row],[Valor Unitário]]))</f>
        <v>20</v>
      </c>
      <c r="U18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49" t="str">
        <f>VLOOKUP(Registro2[[#This Row],[Categoria]],'Plano de Contas'!$V$3:W1903,2,0)</f>
        <v>Receitas Serviços</v>
      </c>
      <c r="X184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</row>
    <row r="1850" spans="1:24" hidden="1">
      <c r="A1850" s="1">
        <v>45777</v>
      </c>
      <c r="B1850" s="1">
        <v>45777</v>
      </c>
      <c r="D1850" t="s">
        <v>354</v>
      </c>
      <c r="E1850" t="s">
        <v>149</v>
      </c>
      <c r="F1850" t="s">
        <v>147</v>
      </c>
      <c r="G1850" t="s">
        <v>1046</v>
      </c>
      <c r="I1850" s="4">
        <v>35</v>
      </c>
      <c r="J1850" s="4">
        <v>45</v>
      </c>
      <c r="L1850" s="3" t="s">
        <v>252</v>
      </c>
      <c r="M1850" t="s">
        <v>2695</v>
      </c>
      <c r="N1850" s="4">
        <f>IF(L1850="","",IF(OR(Registro2[[#This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50" t="str">
        <f t="shared" si="30"/>
        <v>abr/25</v>
      </c>
      <c r="P1850" t="str">
        <f>IF(Registro2[[#This Row],[Data de Pagamento]]&gt;0,TEXT(A1850,"mmm/aa"),"")</f>
        <v>abr/25</v>
      </c>
      <c r="T1850" s="4">
        <f>IF(Registro2[[#This Row],[Data de Pagamento]]="",0,IF(Registro2[[#This Row],[Conta Financeira]]=base!$A$6,0,Registro2[[#This Row],[Valor Unitário]]))</f>
        <v>35</v>
      </c>
      <c r="U18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50" t="str">
        <f>VLOOKUP(Registro2[[#This Row],[Categoria]],'Plano de Contas'!$V$3:W1904,2,0)</f>
        <v>Receitas Serviços</v>
      </c>
      <c r="X185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851" spans="1:24" hidden="1">
      <c r="A1851" s="1">
        <v>45777</v>
      </c>
      <c r="B1851" s="1">
        <v>45777</v>
      </c>
      <c r="D1851" t="s">
        <v>354</v>
      </c>
      <c r="E1851" t="s">
        <v>149</v>
      </c>
      <c r="F1851" t="s">
        <v>910</v>
      </c>
      <c r="G1851" t="s">
        <v>910</v>
      </c>
      <c r="I1851" s="4">
        <v>10</v>
      </c>
      <c r="J1851" s="4" t="s">
        <v>1604</v>
      </c>
      <c r="L1851" s="3" t="s">
        <v>252</v>
      </c>
      <c r="M1851" t="s">
        <v>2695</v>
      </c>
      <c r="N1851" s="4" t="str">
        <f>IF(L1851="","",IF(OR(Registro2[[#This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851" t="str">
        <f t="shared" si="30"/>
        <v>abr/25</v>
      </c>
      <c r="P1851" t="str">
        <f>IF(Registro2[[#This Row],[Data de Pagamento]]&gt;0,TEXT(A1851,"mmm/aa"),"")</f>
        <v>abr/25</v>
      </c>
      <c r="T1851" s="4">
        <f>IF(Registro2[[#This Row],[Data de Pagamento]]="",0,IF(Registro2[[#This Row],[Conta Financeira]]=base!$A$6,0,Registro2[[#This Row],[Valor Unitário]]))</f>
        <v>10</v>
      </c>
      <c r="U18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51" t="str">
        <f>VLOOKUP(Registro2[[#This Row],[Categoria]],'Plano de Contas'!$V$3:W1905,2,0)</f>
        <v>Outras Receitas</v>
      </c>
      <c r="X185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</row>
    <row r="1852" spans="1:24" hidden="1">
      <c r="A1852" s="1">
        <v>45777</v>
      </c>
      <c r="B1852" s="1">
        <v>45777</v>
      </c>
      <c r="D1852" t="s">
        <v>947</v>
      </c>
      <c r="E1852" t="s">
        <v>137</v>
      </c>
      <c r="F1852" t="s">
        <v>139</v>
      </c>
      <c r="G1852" t="s">
        <v>337</v>
      </c>
      <c r="H1852" t="s">
        <v>2708</v>
      </c>
      <c r="I1852" s="4">
        <v>150</v>
      </c>
      <c r="J1852" s="4"/>
      <c r="L1852" s="3"/>
      <c r="N1852" s="4" t="str">
        <f>IF(L1852="","",IF(OR(Registro2[[#This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852" t="str">
        <f t="shared" ref="O1852:O1857" si="31">TEXT(B1852,"mmm/aa")</f>
        <v>abr/25</v>
      </c>
      <c r="P1852" t="str">
        <f>IF(Registro2[[#This Row],[Data de Pagamento]]&gt;0,TEXT(A1852,"mmm/aa"),"")</f>
        <v>abr/25</v>
      </c>
      <c r="T1852" s="4">
        <f>IF(Registro2[[#This Row],[Data de Pagamento]]="",0,IF(Registro2[[#This Row],[Conta Financeira]]=base!$A$6,0,Registro2[[#This Row],[Valor Unitário]]))</f>
        <v>150</v>
      </c>
      <c r="U18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52" t="str">
        <f>VLOOKUP(Registro2[[#This Row],[Categoria]],'Plano de Contas'!$V$3:W1906,2,0)</f>
        <v>Despesas Gerias &amp; Vendas</v>
      </c>
      <c r="X185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53" spans="1:24" hidden="1">
      <c r="A1853" s="1">
        <v>45777</v>
      </c>
      <c r="B1853" s="1">
        <v>45777</v>
      </c>
      <c r="D1853" t="s">
        <v>136</v>
      </c>
      <c r="E1853" t="s">
        <v>137</v>
      </c>
      <c r="F1853" t="s">
        <v>138</v>
      </c>
      <c r="G1853" t="s">
        <v>141</v>
      </c>
      <c r="I1853" s="4">
        <v>60</v>
      </c>
      <c r="J1853" s="4"/>
      <c r="L1853" s="3"/>
      <c r="N1853" s="4" t="str">
        <f>IF(L1853="","",IF(OR(Registro2[[#This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853" t="str">
        <f t="shared" si="31"/>
        <v>abr/25</v>
      </c>
      <c r="P1853" t="str">
        <f>IF(Registro2[[#This Row],[Data de Pagamento]]&gt;0,TEXT(A1853,"mmm/aa"),"")</f>
        <v>abr/25</v>
      </c>
      <c r="T1853" s="4">
        <f>IF(Registro2[[#This Row],[Data de Pagamento]]="",0,IF(Registro2[[#This Row],[Conta Financeira]]=base!$A$6,0,Registro2[[#This Row],[Valor Unitário]]))</f>
        <v>60</v>
      </c>
      <c r="U18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53" t="str">
        <f>VLOOKUP(Registro2[[#This Row],[Categoria]],'Plano de Contas'!$V$3:W1907,2,0)</f>
        <v>Custos Operacionais</v>
      </c>
      <c r="X185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54" spans="1:24" hidden="1">
      <c r="A1854" s="1">
        <v>45784</v>
      </c>
      <c r="B1854" s="1">
        <v>45784</v>
      </c>
      <c r="D1854" t="s">
        <v>354</v>
      </c>
      <c r="E1854" t="s">
        <v>149</v>
      </c>
      <c r="F1854" t="s">
        <v>822</v>
      </c>
      <c r="G1854" t="s">
        <v>1604</v>
      </c>
      <c r="I1854" s="4">
        <v>140</v>
      </c>
      <c r="J1854" s="4">
        <v>140</v>
      </c>
      <c r="L1854" t="s">
        <v>1604</v>
      </c>
      <c r="M1854" t="s">
        <v>354</v>
      </c>
      <c r="N1854" s="4" t="str">
        <f>IF(L1854="","",IF(OR(Registro2[[#This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854" t="str">
        <f t="shared" si="31"/>
        <v>mai/25</v>
      </c>
      <c r="P1854" t="str">
        <f>IF(Registro2[[#This Row],[Data de Pagamento]]&gt;0,TEXT(A1854,"mmm/aa"),"")</f>
        <v>mai/25</v>
      </c>
      <c r="T1854" s="4">
        <f>IF(Registro2[[#This Row],[Data de Pagamento]]="",0,IF(Registro2[[#This Row],[Conta Financeira]]=base!$A$6,0,Registro2[[#This Row],[Valor Unitário]]))</f>
        <v>140</v>
      </c>
      <c r="U18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54" t="e">
        <f>VLOOKUP(Registro2[[#This Row],[Categoria]],'Plano de Contas'!$V$3:W1908,2,0)</f>
        <v>#N/A</v>
      </c>
      <c r="X185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4.41</v>
      </c>
    </row>
    <row r="1855" spans="1:24" hidden="1">
      <c r="A1855" s="1">
        <v>45787</v>
      </c>
      <c r="B1855" s="1">
        <v>45787</v>
      </c>
      <c r="D1855" t="s">
        <v>354</v>
      </c>
      <c r="E1855" t="s">
        <v>149</v>
      </c>
      <c r="F1855" t="s">
        <v>822</v>
      </c>
      <c r="G1855" t="s">
        <v>1604</v>
      </c>
      <c r="I1855" s="4">
        <v>0</v>
      </c>
      <c r="J1855" s="4">
        <v>0</v>
      </c>
      <c r="L1855" t="s">
        <v>1604</v>
      </c>
      <c r="M1855" t="s">
        <v>354</v>
      </c>
      <c r="N1855" s="4" t="str">
        <f>IF(L1855="","",IF(OR(Registro2[[#This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855" t="str">
        <f t="shared" si="31"/>
        <v>mai/25</v>
      </c>
      <c r="P1855" t="str">
        <f>IF(Registro2[[#This Row],[Data de Pagamento]]&gt;0,TEXT(A1855,"mmm/aa"),"")</f>
        <v>mai/25</v>
      </c>
      <c r="T1855" s="4">
        <f>IF(Registro2[[#This Row],[Data de Pagamento]]="",0,IF(Registro2[[#This Row],[Conta Financeira]]=base!$A$6,0,Registro2[[#This Row],[Valor Unitário]]))</f>
        <v>0</v>
      </c>
      <c r="U18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55" t="e">
        <f>VLOOKUP(Registro2[[#This Row],[Categoria]],'Plano de Contas'!$V$3:W1909,2,0)</f>
        <v>#N/A</v>
      </c>
      <c r="X185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</v>
      </c>
    </row>
    <row r="1856" spans="1:24" hidden="1">
      <c r="A1856" s="1">
        <v>45787</v>
      </c>
      <c r="B1856" s="1">
        <v>45787</v>
      </c>
      <c r="D1856" t="s">
        <v>354</v>
      </c>
      <c r="E1856" t="s">
        <v>149</v>
      </c>
      <c r="F1856" t="s">
        <v>822</v>
      </c>
      <c r="G1856" t="s">
        <v>1604</v>
      </c>
      <c r="I1856" s="4">
        <v>0</v>
      </c>
      <c r="J1856" s="4">
        <v>0</v>
      </c>
      <c r="L1856" t="s">
        <v>1604</v>
      </c>
      <c r="M1856" t="s">
        <v>354</v>
      </c>
      <c r="N1856" s="4" t="str">
        <f>IF(L1856="","",IF(OR(Registro2[[#This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856" t="str">
        <f t="shared" si="31"/>
        <v>mai/25</v>
      </c>
      <c r="P1856" t="str">
        <f>IF(Registro2[[#This Row],[Data de Pagamento]]&gt;0,TEXT(A1856,"mmm/aa"),"")</f>
        <v>mai/25</v>
      </c>
      <c r="T1856" s="4">
        <f>IF(Registro2[[#This Row],[Data de Pagamento]]="",0,IF(Registro2[[#This Row],[Conta Financeira]]=base!$A$6,0,Registro2[[#This Row],[Valor Unitário]]))</f>
        <v>0</v>
      </c>
      <c r="U18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56" t="e">
        <f>VLOOKUP(Registro2[[#This Row],[Categoria]],'Plano de Contas'!$V$3:W1910,2,0)</f>
        <v>#N/A</v>
      </c>
      <c r="X185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</v>
      </c>
    </row>
    <row r="1857" spans="1:24" hidden="1">
      <c r="A1857" s="1">
        <v>45788</v>
      </c>
      <c r="B1857" s="1">
        <v>45788</v>
      </c>
      <c r="D1857" t="s">
        <v>1</v>
      </c>
      <c r="E1857" t="s">
        <v>149</v>
      </c>
      <c r="F1857" t="s">
        <v>822</v>
      </c>
      <c r="G1857" t="s">
        <v>1604</v>
      </c>
      <c r="I1857" s="4">
        <v>120</v>
      </c>
      <c r="J1857" s="4">
        <v>120</v>
      </c>
      <c r="L1857" t="s">
        <v>1604</v>
      </c>
      <c r="M1857" t="s">
        <v>1</v>
      </c>
      <c r="N1857" s="4" t="str">
        <f>IF(L1857="","",IF(OR(Registro2[[#This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857" t="str">
        <f t="shared" si="31"/>
        <v>mai/25</v>
      </c>
      <c r="P1857" t="str">
        <f>IF(Registro2[[#This Row],[Data de Pagamento]]&gt;0,TEXT(A1857,"mmm/aa"),"")</f>
        <v>mai/25</v>
      </c>
      <c r="T1857" s="4">
        <f>IF(Registro2[[#This Row],[Data de Pagamento]]="",0,IF(Registro2[[#This Row],[Conta Financeira]]=base!$A$6,0,Registro2[[#This Row],[Valor Unitário]]))</f>
        <v>120</v>
      </c>
      <c r="U18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57" t="e">
        <f>VLOOKUP(Registro2[[#This Row],[Categoria]],'Plano de Contas'!$V$3:W1911,2,0)</f>
        <v>#N/A</v>
      </c>
      <c r="X18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58" spans="1:24" hidden="1">
      <c r="A1858" s="1">
        <v>45780.375</v>
      </c>
      <c r="B1858" s="1">
        <v>45780.375</v>
      </c>
      <c r="D1858" t="s">
        <v>1</v>
      </c>
      <c r="E1858" t="s">
        <v>149</v>
      </c>
      <c r="F1858" t="s">
        <v>147</v>
      </c>
      <c r="G1858" t="s">
        <v>163</v>
      </c>
      <c r="I1858" s="4">
        <v>35</v>
      </c>
      <c r="J1858" s="4">
        <v>35</v>
      </c>
      <c r="L1858" t="s">
        <v>253</v>
      </c>
      <c r="M1858" t="s">
        <v>2717</v>
      </c>
      <c r="N1858" s="4">
        <f>IF(L1858="","",IF(OR(Registro2[[#This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58" t="str">
        <f t="shared" ref="O1858:O1921" si="32">TEXT(B1858,"mmm/aa")</f>
        <v>mai/25</v>
      </c>
      <c r="P1858" t="str">
        <f>IF(Registro2[[#This Row],[Data de Pagamento]]&gt;0,TEXT(A1858,"mmm/aa"),"")</f>
        <v>mai/25</v>
      </c>
      <c r="T1858" s="4">
        <f>IF(Registro2[[#This Row],[Data de Pagamento]]="",0,IF(Registro2[[#This Row],[Conta Financeira]]=base!$A$6,0,Registro2[[#This Row],[Valor Unitário]]))</f>
        <v>35</v>
      </c>
      <c r="U18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58" t="str">
        <f>VLOOKUP(Registro2[[#This Row],[Categoria]],'Plano de Contas'!$V$3:W1912,2,0)</f>
        <v>Receitas Serviços</v>
      </c>
      <c r="X18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59" spans="1:24" hidden="1">
      <c r="A1859" s="1">
        <v>45778.416666666664</v>
      </c>
      <c r="B1859" s="1">
        <v>45778.416666666664</v>
      </c>
      <c r="D1859" t="s">
        <v>1</v>
      </c>
      <c r="E1859" t="s">
        <v>149</v>
      </c>
      <c r="F1859" t="s">
        <v>147</v>
      </c>
      <c r="G1859" t="s">
        <v>163</v>
      </c>
      <c r="I1859" s="4">
        <v>35</v>
      </c>
      <c r="J1859" s="4">
        <v>35</v>
      </c>
      <c r="L1859" t="s">
        <v>253</v>
      </c>
      <c r="M1859" t="s">
        <v>119</v>
      </c>
      <c r="N1859" s="4">
        <f>IF(L1859="","",IF(OR(Registro2[[#This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59" t="str">
        <f t="shared" si="32"/>
        <v>mai/25</v>
      </c>
      <c r="P1859" t="str">
        <f>IF(Registro2[[#This Row],[Data de Pagamento]]&gt;0,TEXT(A1859,"mmm/aa"),"")</f>
        <v>mai/25</v>
      </c>
      <c r="T1859" s="4">
        <f>IF(Registro2[[#This Row],[Data de Pagamento]]="",0,IF(Registro2[[#This Row],[Conta Financeira]]=base!$A$6,0,Registro2[[#This Row],[Valor Unitário]]))</f>
        <v>35</v>
      </c>
      <c r="U18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59" t="str">
        <f>VLOOKUP(Registro2[[#This Row],[Categoria]],'Plano de Contas'!$V$3:W1913,2,0)</f>
        <v>Receitas Serviços</v>
      </c>
      <c r="X185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60" spans="1:24" hidden="1">
      <c r="A1860" s="1">
        <v>45779.416666666664</v>
      </c>
      <c r="B1860" s="1">
        <v>45779.416666666664</v>
      </c>
      <c r="D1860" t="s">
        <v>1</v>
      </c>
      <c r="E1860" t="s">
        <v>149</v>
      </c>
      <c r="F1860" t="s">
        <v>147</v>
      </c>
      <c r="G1860" t="s">
        <v>163</v>
      </c>
      <c r="I1860" s="4">
        <v>35</v>
      </c>
      <c r="J1860" s="4">
        <v>35</v>
      </c>
      <c r="L1860" t="s">
        <v>252</v>
      </c>
      <c r="M1860" t="s">
        <v>364</v>
      </c>
      <c r="N1860" s="4">
        <f>IF(L1860="","",IF(OR(Registro2[[#This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60" t="str">
        <f t="shared" si="32"/>
        <v>mai/25</v>
      </c>
      <c r="P1860" t="str">
        <f>IF(Registro2[[#This Row],[Data de Pagamento]]&gt;0,TEXT(A1860,"mmm/aa"),"")</f>
        <v>mai/25</v>
      </c>
      <c r="T1860" s="4">
        <f>IF(Registro2[[#This Row],[Data de Pagamento]]="",0,IF(Registro2[[#This Row],[Conta Financeira]]=base!$A$6,0,Registro2[[#This Row],[Valor Unitário]]))</f>
        <v>35</v>
      </c>
      <c r="U18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60" t="str">
        <f>VLOOKUP(Registro2[[#This Row],[Categoria]],'Plano de Contas'!$V$3:W1914,2,0)</f>
        <v>Receitas Serviços</v>
      </c>
      <c r="X18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61" spans="1:24" hidden="1">
      <c r="A1861" s="1">
        <v>45778.4375</v>
      </c>
      <c r="B1861" s="1">
        <v>45778.4375</v>
      </c>
      <c r="D1861" t="s">
        <v>1</v>
      </c>
      <c r="E1861" t="s">
        <v>149</v>
      </c>
      <c r="F1861" t="s">
        <v>152</v>
      </c>
      <c r="G1861" t="s">
        <v>353</v>
      </c>
      <c r="I1861" s="4">
        <v>50</v>
      </c>
      <c r="J1861" s="4">
        <v>50</v>
      </c>
      <c r="L1861" t="s">
        <v>253</v>
      </c>
      <c r="M1861" t="s">
        <v>28</v>
      </c>
      <c r="N1861" s="4">
        <f>IF(L1861="","",IF(OR(Registro2[[#This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861" t="str">
        <f t="shared" si="32"/>
        <v>mai/25</v>
      </c>
      <c r="P1861" t="str">
        <f>IF(Registro2[[#This Row],[Data de Pagamento]]&gt;0,TEXT(A1861,"mmm/aa"),"")</f>
        <v>mai/25</v>
      </c>
      <c r="T1861" s="4">
        <f>IF(Registro2[[#This Row],[Data de Pagamento]]="",0,IF(Registro2[[#This Row],[Conta Financeira]]=base!$A$6,0,Registro2[[#This Row],[Valor Unitário]]))</f>
        <v>50</v>
      </c>
      <c r="U18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61" t="str">
        <f>VLOOKUP(Registro2[[#This Row],[Categoria]],'Plano de Contas'!$V$3:W1915,2,0)</f>
        <v>Receitas Serviços</v>
      </c>
      <c r="X18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62" spans="1:24" hidden="1">
      <c r="A1862" s="1">
        <v>45779.479166666664</v>
      </c>
      <c r="B1862" s="1">
        <v>45779.479166666664</v>
      </c>
      <c r="D1862" t="s">
        <v>1</v>
      </c>
      <c r="E1862" t="s">
        <v>149</v>
      </c>
      <c r="F1862" t="s">
        <v>147</v>
      </c>
      <c r="G1862" t="s">
        <v>163</v>
      </c>
      <c r="I1862" s="4">
        <v>35</v>
      </c>
      <c r="J1862" s="4">
        <v>35</v>
      </c>
      <c r="L1862" t="s">
        <v>253</v>
      </c>
      <c r="M1862" t="s">
        <v>66</v>
      </c>
      <c r="N1862" s="4">
        <f>IF(L1862="","",IF(OR(Registro2[[#This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62" t="str">
        <f t="shared" si="32"/>
        <v>mai/25</v>
      </c>
      <c r="P1862" t="str">
        <f>IF(Registro2[[#This Row],[Data de Pagamento]]&gt;0,TEXT(A1862,"mmm/aa"),"")</f>
        <v>mai/25</v>
      </c>
      <c r="T1862" s="4">
        <f>IF(Registro2[[#This Row],[Data de Pagamento]]="",0,IF(Registro2[[#This Row],[Conta Financeira]]=base!$A$6,0,Registro2[[#This Row],[Valor Unitário]]))</f>
        <v>35</v>
      </c>
      <c r="U18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62" t="str">
        <f>VLOOKUP(Registro2[[#This Row],[Categoria]],'Plano de Contas'!$V$3:W1916,2,0)</f>
        <v>Receitas Serviços</v>
      </c>
      <c r="X186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63" spans="1:24" hidden="1">
      <c r="A1863" s="1">
        <v>45778.479166666664</v>
      </c>
      <c r="B1863" s="1">
        <v>45778.479166666664</v>
      </c>
      <c r="D1863" t="s">
        <v>1</v>
      </c>
      <c r="E1863" t="s">
        <v>149</v>
      </c>
      <c r="F1863" t="s">
        <v>152</v>
      </c>
      <c r="G1863" t="s">
        <v>353</v>
      </c>
      <c r="I1863" s="4">
        <v>50</v>
      </c>
      <c r="J1863" s="4">
        <v>75</v>
      </c>
      <c r="L1863" t="s">
        <v>253</v>
      </c>
      <c r="M1863" t="s">
        <v>411</v>
      </c>
      <c r="N1863" s="4">
        <f>IF(L1863="","",IF(OR(Registro2[[#This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863" t="str">
        <f t="shared" si="32"/>
        <v>mai/25</v>
      </c>
      <c r="P1863" t="str">
        <f>IF(Registro2[[#This Row],[Data de Pagamento]]&gt;0,TEXT(A1863,"mmm/aa"),"")</f>
        <v>mai/25</v>
      </c>
      <c r="T1863" s="4">
        <f>IF(Registro2[[#This Row],[Data de Pagamento]]="",0,IF(Registro2[[#This Row],[Conta Financeira]]=base!$A$6,0,Registro2[[#This Row],[Valor Unitário]]))</f>
        <v>50</v>
      </c>
      <c r="U18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63" t="str">
        <f>VLOOKUP(Registro2[[#This Row],[Categoria]],'Plano de Contas'!$V$3:W1917,2,0)</f>
        <v>Receitas Serviços</v>
      </c>
      <c r="X186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64" spans="1:24" hidden="1">
      <c r="A1864" s="1">
        <v>45778.479166666664</v>
      </c>
      <c r="B1864" s="1">
        <v>45778.479166666664</v>
      </c>
      <c r="D1864" t="s">
        <v>1</v>
      </c>
      <c r="E1864" t="s">
        <v>149</v>
      </c>
      <c r="F1864" t="s">
        <v>150</v>
      </c>
      <c r="G1864" t="s">
        <v>2477</v>
      </c>
      <c r="I1864" s="4">
        <v>25</v>
      </c>
      <c r="J1864" s="4">
        <v>0</v>
      </c>
      <c r="L1864" t="s">
        <v>253</v>
      </c>
      <c r="M1864" t="s">
        <v>411</v>
      </c>
      <c r="N1864" s="4">
        <f>IF(L1864="","",IF(OR(Registro2[[#This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864" t="str">
        <f t="shared" si="32"/>
        <v>mai/25</v>
      </c>
      <c r="P1864" t="str">
        <f>IF(Registro2[[#This Row],[Data de Pagamento]]&gt;0,TEXT(A1864,"mmm/aa"),"")</f>
        <v>mai/25</v>
      </c>
      <c r="T1864" s="4">
        <f>IF(Registro2[[#This Row],[Data de Pagamento]]="",0,IF(Registro2[[#This Row],[Conta Financeira]]=base!$A$6,0,Registro2[[#This Row],[Valor Unitário]]))</f>
        <v>25</v>
      </c>
      <c r="U18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64" t="e">
        <f>VLOOKUP(Registro2[[#This Row],[Categoria]],'Plano de Contas'!$V$3:W1918,2,0)</f>
        <v>#N/A</v>
      </c>
      <c r="X186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65" spans="1:24" hidden="1">
      <c r="A1865" s="1">
        <v>45778.447916666664</v>
      </c>
      <c r="B1865" s="1">
        <v>45778.447916666664</v>
      </c>
      <c r="D1865" t="s">
        <v>1</v>
      </c>
      <c r="E1865" t="s">
        <v>149</v>
      </c>
      <c r="F1865" t="s">
        <v>147</v>
      </c>
      <c r="G1865" t="s">
        <v>163</v>
      </c>
      <c r="I1865" s="4">
        <v>35</v>
      </c>
      <c r="J1865" s="4">
        <v>55</v>
      </c>
      <c r="L1865" t="s">
        <v>253</v>
      </c>
      <c r="M1865" t="s">
        <v>864</v>
      </c>
      <c r="N1865" s="4">
        <f>IF(L1865="","",IF(OR(Registro2[[#This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65" t="str">
        <f t="shared" si="32"/>
        <v>mai/25</v>
      </c>
      <c r="P1865" t="str">
        <f>IF(Registro2[[#This Row],[Data de Pagamento]]&gt;0,TEXT(A1865,"mmm/aa"),"")</f>
        <v>mai/25</v>
      </c>
      <c r="T1865" s="4">
        <f>IF(Registro2[[#This Row],[Data de Pagamento]]="",0,IF(Registro2[[#This Row],[Conta Financeira]]=base!$A$6,0,Registro2[[#This Row],[Valor Unitário]]))</f>
        <v>35</v>
      </c>
      <c r="U18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65" t="str">
        <f>VLOOKUP(Registro2[[#This Row],[Categoria]],'Plano de Contas'!$V$3:W1919,2,0)</f>
        <v>Receitas Serviços</v>
      </c>
      <c r="X186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66" spans="1:24" hidden="1">
      <c r="A1866" s="1">
        <v>45778.447916666664</v>
      </c>
      <c r="B1866" s="1">
        <v>45778.447916666664</v>
      </c>
      <c r="D1866" t="s">
        <v>1</v>
      </c>
      <c r="E1866" t="s">
        <v>149</v>
      </c>
      <c r="F1866" t="s">
        <v>150</v>
      </c>
      <c r="G1866" t="s">
        <v>2477</v>
      </c>
      <c r="I1866" s="4">
        <v>20</v>
      </c>
      <c r="J1866" s="4">
        <v>0</v>
      </c>
      <c r="L1866" t="s">
        <v>253</v>
      </c>
      <c r="M1866" t="s">
        <v>864</v>
      </c>
      <c r="N1866" s="4">
        <f>IF(L1866="","",IF(OR(Registro2[[#This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8</v>
      </c>
      <c r="O1866" t="str">
        <f t="shared" si="32"/>
        <v>mai/25</v>
      </c>
      <c r="P1866" t="str">
        <f>IF(Registro2[[#This Row],[Data de Pagamento]]&gt;0,TEXT(A1866,"mmm/aa"),"")</f>
        <v>mai/25</v>
      </c>
      <c r="T1866" s="4">
        <f>IF(Registro2[[#This Row],[Data de Pagamento]]="",0,IF(Registro2[[#This Row],[Conta Financeira]]=base!$A$6,0,Registro2[[#This Row],[Valor Unitário]]))</f>
        <v>20</v>
      </c>
      <c r="U18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66" t="e">
        <f>VLOOKUP(Registro2[[#This Row],[Categoria]],'Plano de Contas'!$V$3:W1920,2,0)</f>
        <v>#N/A</v>
      </c>
      <c r="X18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67" spans="1:24" hidden="1">
      <c r="A1867" s="1">
        <v>45778.4375</v>
      </c>
      <c r="B1867" s="1">
        <v>45778.4375</v>
      </c>
      <c r="D1867" t="s">
        <v>1</v>
      </c>
      <c r="E1867" t="s">
        <v>149</v>
      </c>
      <c r="F1867" t="s">
        <v>152</v>
      </c>
      <c r="G1867" t="s">
        <v>353</v>
      </c>
      <c r="I1867" s="4">
        <v>50</v>
      </c>
      <c r="J1867" s="4">
        <v>90</v>
      </c>
      <c r="L1867" t="s">
        <v>253</v>
      </c>
      <c r="M1867" t="s">
        <v>88</v>
      </c>
      <c r="N1867" s="4">
        <f>IF(L1867="","",IF(OR(Registro2[[#This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867" t="str">
        <f t="shared" si="32"/>
        <v>mai/25</v>
      </c>
      <c r="P1867" t="str">
        <f>IF(Registro2[[#This Row],[Data de Pagamento]]&gt;0,TEXT(A1867,"mmm/aa"),"")</f>
        <v>mai/25</v>
      </c>
      <c r="T1867" s="4">
        <f>IF(Registro2[[#This Row],[Data de Pagamento]]="",0,IF(Registro2[[#This Row],[Conta Financeira]]=base!$A$6,0,Registro2[[#This Row],[Valor Unitário]]))</f>
        <v>50</v>
      </c>
      <c r="U18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67" t="str">
        <f>VLOOKUP(Registro2[[#This Row],[Categoria]],'Plano de Contas'!$V$3:W1921,2,0)</f>
        <v>Receitas Serviços</v>
      </c>
      <c r="X186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68" spans="1:24" hidden="1">
      <c r="A1868" s="1">
        <v>45778.4375</v>
      </c>
      <c r="B1868" s="1">
        <v>45778.4375</v>
      </c>
      <c r="D1868" t="s">
        <v>1</v>
      </c>
      <c r="E1868" t="s">
        <v>149</v>
      </c>
      <c r="F1868" t="s">
        <v>150</v>
      </c>
      <c r="G1868" t="s">
        <v>472</v>
      </c>
      <c r="I1868" s="4">
        <v>40</v>
      </c>
      <c r="J1868" s="4">
        <v>0</v>
      </c>
      <c r="L1868" t="s">
        <v>253</v>
      </c>
      <c r="M1868" t="s">
        <v>88</v>
      </c>
      <c r="N1868" s="4">
        <f>IF(L1868="","",IF(OR(Registro2[[#This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1868" t="str">
        <f t="shared" si="32"/>
        <v>mai/25</v>
      </c>
      <c r="P1868" t="str">
        <f>IF(Registro2[[#This Row],[Data de Pagamento]]&gt;0,TEXT(A1868,"mmm/aa"),"")</f>
        <v>mai/25</v>
      </c>
      <c r="T1868" s="4">
        <f>IF(Registro2[[#This Row],[Data de Pagamento]]="",0,IF(Registro2[[#This Row],[Conta Financeira]]=base!$A$6,0,Registro2[[#This Row],[Valor Unitário]]))</f>
        <v>40</v>
      </c>
      <c r="U18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68" t="str">
        <f>VLOOKUP(Registro2[[#This Row],[Categoria]],'Plano de Contas'!$V$3:W1922,2,0)</f>
        <v>Receitas Produtos</v>
      </c>
      <c r="X186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69" spans="1:24" hidden="1">
      <c r="A1869" s="1">
        <v>45778.4375</v>
      </c>
      <c r="B1869" s="1">
        <v>45778.4375</v>
      </c>
      <c r="D1869" t="s">
        <v>1</v>
      </c>
      <c r="E1869" t="s">
        <v>149</v>
      </c>
      <c r="F1869" t="s">
        <v>147</v>
      </c>
      <c r="G1869" t="s">
        <v>163</v>
      </c>
      <c r="I1869" s="4">
        <v>40</v>
      </c>
      <c r="J1869" s="4">
        <v>80</v>
      </c>
      <c r="L1869" t="s">
        <v>253</v>
      </c>
      <c r="M1869" t="s">
        <v>2726</v>
      </c>
      <c r="N1869" s="4">
        <f>IF(L1869="","",IF(OR(Registro2[[#This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1869" t="str">
        <f t="shared" si="32"/>
        <v>mai/25</v>
      </c>
      <c r="P1869" t="str">
        <f>IF(Registro2[[#This Row],[Data de Pagamento]]&gt;0,TEXT(A1869,"mmm/aa"),"")</f>
        <v>mai/25</v>
      </c>
      <c r="T1869" s="4">
        <f>IF(Registro2[[#This Row],[Data de Pagamento]]="",0,IF(Registro2[[#This Row],[Conta Financeira]]=base!$A$6,0,Registro2[[#This Row],[Valor Unitário]]))</f>
        <v>40</v>
      </c>
      <c r="U18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69" t="str">
        <f>VLOOKUP(Registro2[[#This Row],[Categoria]],'Plano de Contas'!$V$3:W1923,2,0)</f>
        <v>Receitas Serviços</v>
      </c>
      <c r="X186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70" spans="1:24" hidden="1">
      <c r="A1870" s="1">
        <v>45778.4375</v>
      </c>
      <c r="B1870" s="1">
        <v>45778.4375</v>
      </c>
      <c r="D1870" t="s">
        <v>1</v>
      </c>
      <c r="E1870" t="s">
        <v>149</v>
      </c>
      <c r="F1870" t="s">
        <v>150</v>
      </c>
      <c r="G1870" t="s">
        <v>472</v>
      </c>
      <c r="I1870" s="4">
        <v>40</v>
      </c>
      <c r="J1870" s="4">
        <v>0</v>
      </c>
      <c r="L1870" t="s">
        <v>253</v>
      </c>
      <c r="M1870" t="s">
        <v>2726</v>
      </c>
      <c r="N1870" s="4">
        <f>IF(L1870="","",IF(OR(Registro2[[#This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1870" t="str">
        <f t="shared" si="32"/>
        <v>mai/25</v>
      </c>
      <c r="P1870" t="str">
        <f>IF(Registro2[[#This Row],[Data de Pagamento]]&gt;0,TEXT(A1870,"mmm/aa"),"")</f>
        <v>mai/25</v>
      </c>
      <c r="T1870" s="4">
        <f>IF(Registro2[[#This Row],[Data de Pagamento]]="",0,IF(Registro2[[#This Row],[Conta Financeira]]=base!$A$6,0,Registro2[[#This Row],[Valor Unitário]]))</f>
        <v>40</v>
      </c>
      <c r="U18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70" t="str">
        <f>VLOOKUP(Registro2[[#This Row],[Categoria]],'Plano de Contas'!$V$3:W1924,2,0)</f>
        <v>Receitas Produtos</v>
      </c>
      <c r="X187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71" spans="1:24" hidden="1">
      <c r="A1871" s="1">
        <v>45778.46875</v>
      </c>
      <c r="B1871" s="1">
        <v>45778.46875</v>
      </c>
      <c r="D1871" t="s">
        <v>1</v>
      </c>
      <c r="E1871" t="s">
        <v>149</v>
      </c>
      <c r="F1871" t="s">
        <v>147</v>
      </c>
      <c r="G1871" t="s">
        <v>163</v>
      </c>
      <c r="I1871" s="4">
        <v>35</v>
      </c>
      <c r="J1871" s="4">
        <v>35</v>
      </c>
      <c r="L1871" t="s">
        <v>253</v>
      </c>
      <c r="M1871" t="s">
        <v>8</v>
      </c>
      <c r="N1871" s="4">
        <f>IF(L1871="","",IF(OR(Registro2[[#This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71" t="str">
        <f t="shared" si="32"/>
        <v>mai/25</v>
      </c>
      <c r="P1871" t="str">
        <f>IF(Registro2[[#This Row],[Data de Pagamento]]&gt;0,TEXT(A1871,"mmm/aa"),"")</f>
        <v>mai/25</v>
      </c>
      <c r="T1871" s="4">
        <f>IF(Registro2[[#This Row],[Data de Pagamento]]="",0,IF(Registro2[[#This Row],[Conta Financeira]]=base!$A$6,0,Registro2[[#This Row],[Valor Unitário]]))</f>
        <v>35</v>
      </c>
      <c r="U18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71" t="str">
        <f>VLOOKUP(Registro2[[#This Row],[Categoria]],'Plano de Contas'!$V$3:W1925,2,0)</f>
        <v>Receitas Serviços</v>
      </c>
      <c r="X187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72" spans="1:24" hidden="1">
      <c r="A1872" s="1">
        <v>45778.46875</v>
      </c>
      <c r="B1872" s="1">
        <v>45778.46875</v>
      </c>
      <c r="D1872" t="s">
        <v>310</v>
      </c>
      <c r="E1872" t="s">
        <v>149</v>
      </c>
      <c r="F1872" t="s">
        <v>147</v>
      </c>
      <c r="G1872" t="s">
        <v>163</v>
      </c>
      <c r="I1872" s="4">
        <v>35</v>
      </c>
      <c r="J1872" s="4">
        <v>55</v>
      </c>
      <c r="L1872" t="s">
        <v>253</v>
      </c>
      <c r="M1872" t="s">
        <v>112</v>
      </c>
      <c r="N1872" s="4">
        <f>IF(L1872="","",IF(OR(Registro2[[#This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72" t="str">
        <f t="shared" si="32"/>
        <v>mai/25</v>
      </c>
      <c r="P1872" t="str">
        <f>IF(Registro2[[#This Row],[Data de Pagamento]]&gt;0,TEXT(A1872,"mmm/aa"),"")</f>
        <v>mai/25</v>
      </c>
      <c r="T1872" s="4">
        <f>IF(Registro2[[#This Row],[Data de Pagamento]]="",0,IF(Registro2[[#This Row],[Conta Financeira]]=base!$A$6,0,Registro2[[#This Row],[Valor Unitário]]))</f>
        <v>35</v>
      </c>
      <c r="U18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72" t="str">
        <f>VLOOKUP(Registro2[[#This Row],[Categoria]],'Plano de Contas'!$V$3:W1926,2,0)</f>
        <v>Receitas Serviços</v>
      </c>
      <c r="X187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873" spans="1:24" hidden="1">
      <c r="A1873" s="1">
        <v>45778.46875</v>
      </c>
      <c r="B1873" s="1">
        <v>45778.46875</v>
      </c>
      <c r="D1873" t="s">
        <v>310</v>
      </c>
      <c r="E1873" t="s">
        <v>149</v>
      </c>
      <c r="F1873" t="s">
        <v>152</v>
      </c>
      <c r="G1873" t="s">
        <v>352</v>
      </c>
      <c r="I1873" s="4">
        <v>20</v>
      </c>
      <c r="J1873" s="4">
        <v>0</v>
      </c>
      <c r="L1873" t="s">
        <v>253</v>
      </c>
      <c r="M1873" t="s">
        <v>112</v>
      </c>
      <c r="N1873" s="4">
        <f>IF(L1873="","",IF(OR(Registro2[[#This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873" t="str">
        <f t="shared" si="32"/>
        <v>mai/25</v>
      </c>
      <c r="P1873" t="str">
        <f>IF(Registro2[[#This Row],[Data de Pagamento]]&gt;0,TEXT(A1873,"mmm/aa"),"")</f>
        <v>mai/25</v>
      </c>
      <c r="T1873" s="4">
        <f>IF(Registro2[[#This Row],[Data de Pagamento]]="",0,IF(Registro2[[#This Row],[Conta Financeira]]=base!$A$6,0,Registro2[[#This Row],[Valor Unitário]]))</f>
        <v>20</v>
      </c>
      <c r="U18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73" t="str">
        <f>VLOOKUP(Registro2[[#This Row],[Categoria]],'Plano de Contas'!$V$3:W1927,2,0)</f>
        <v>Receitas Serviços</v>
      </c>
      <c r="X187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</row>
    <row r="1874" spans="1:24" hidden="1">
      <c r="A1874" s="1">
        <v>45779.4375</v>
      </c>
      <c r="B1874" s="1">
        <v>45779.4375</v>
      </c>
      <c r="D1874" t="s">
        <v>1</v>
      </c>
      <c r="E1874" t="s">
        <v>149</v>
      </c>
      <c r="F1874" t="s">
        <v>147</v>
      </c>
      <c r="G1874" t="s">
        <v>163</v>
      </c>
      <c r="I1874" s="4">
        <v>35</v>
      </c>
      <c r="J1874" s="4">
        <v>35</v>
      </c>
      <c r="L1874" t="s">
        <v>253</v>
      </c>
      <c r="M1874" t="s">
        <v>1457</v>
      </c>
      <c r="N1874" s="4">
        <f>IF(L1874="","",IF(OR(Registro2[[#This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74" t="str">
        <f t="shared" si="32"/>
        <v>mai/25</v>
      </c>
      <c r="P1874" t="str">
        <f>IF(Registro2[[#This Row],[Data de Pagamento]]&gt;0,TEXT(A1874,"mmm/aa"),"")</f>
        <v>mai/25</v>
      </c>
      <c r="T1874" s="4">
        <f>IF(Registro2[[#This Row],[Data de Pagamento]]="",0,IF(Registro2[[#This Row],[Conta Financeira]]=base!$A$6,0,Registro2[[#This Row],[Valor Unitário]]))</f>
        <v>35</v>
      </c>
      <c r="U18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74" t="str">
        <f>VLOOKUP(Registro2[[#This Row],[Categoria]],'Plano de Contas'!$V$3:W1928,2,0)</f>
        <v>Receitas Serviços</v>
      </c>
      <c r="X187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75" spans="1:24" hidden="1">
      <c r="A1875" s="1">
        <v>45780.416666666664</v>
      </c>
      <c r="B1875" s="1">
        <v>45780.416666666664</v>
      </c>
      <c r="D1875" t="s">
        <v>354</v>
      </c>
      <c r="E1875" t="s">
        <v>149</v>
      </c>
      <c r="F1875" t="s">
        <v>147</v>
      </c>
      <c r="G1875" t="s">
        <v>163</v>
      </c>
      <c r="I1875" s="4">
        <v>20</v>
      </c>
      <c r="J1875" s="4">
        <v>80</v>
      </c>
      <c r="L1875" t="s">
        <v>264</v>
      </c>
      <c r="M1875" t="s">
        <v>401</v>
      </c>
      <c r="N1875" s="4">
        <f>IF(L1875="","",IF(OR(Registro2[[#This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875" t="str">
        <f t="shared" si="32"/>
        <v>mai/25</v>
      </c>
      <c r="P1875" t="str">
        <f>IF(Registro2[[#This Row],[Data de Pagamento]]&gt;0,TEXT(A1875,"mmm/aa"),"")</f>
        <v>mai/25</v>
      </c>
      <c r="T1875" s="4">
        <f>IF(Registro2[[#This Row],[Data de Pagamento]]="",0,IF(Registro2[[#This Row],[Conta Financeira]]=base!$A$6,0,Registro2[[#This Row],[Valor Unitário]]))</f>
        <v>20</v>
      </c>
      <c r="U18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75" t="str">
        <f>VLOOKUP(Registro2[[#This Row],[Categoria]],'Plano de Contas'!$V$3:W1929,2,0)</f>
        <v>Receitas Serviços</v>
      </c>
      <c r="X187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0.63</v>
      </c>
    </row>
    <row r="1876" spans="1:24" hidden="1">
      <c r="A1876" s="1">
        <v>45780.416666666664</v>
      </c>
      <c r="B1876" s="1">
        <v>45780.416666666664</v>
      </c>
      <c r="D1876" t="s">
        <v>354</v>
      </c>
      <c r="E1876" t="s">
        <v>149</v>
      </c>
      <c r="F1876" t="s">
        <v>150</v>
      </c>
      <c r="G1876" t="s">
        <v>2731</v>
      </c>
      <c r="I1876" s="4">
        <v>50</v>
      </c>
      <c r="J1876" s="4">
        <v>0</v>
      </c>
      <c r="L1876" t="s">
        <v>264</v>
      </c>
      <c r="M1876" t="s">
        <v>401</v>
      </c>
      <c r="N1876" s="4">
        <f>IF(L1876="","",IF(OR(Registro2[[#This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20</v>
      </c>
      <c r="O1876" t="str">
        <f t="shared" si="32"/>
        <v>mai/25</v>
      </c>
      <c r="P1876" t="str">
        <f>IF(Registro2[[#This Row],[Data de Pagamento]]&gt;0,TEXT(A1876,"mmm/aa"),"")</f>
        <v>mai/25</v>
      </c>
      <c r="T1876" s="4">
        <f>IF(Registro2[[#This Row],[Data de Pagamento]]="",0,IF(Registro2[[#This Row],[Conta Financeira]]=base!$A$6,0,Registro2[[#This Row],[Valor Unitário]]))</f>
        <v>50</v>
      </c>
      <c r="U18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76" t="e">
        <f>VLOOKUP(Registro2[[#This Row],[Categoria]],'Plano de Contas'!$V$3:W1930,2,0)</f>
        <v>#N/A</v>
      </c>
      <c r="X187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1.575</v>
      </c>
    </row>
    <row r="1877" spans="1:24" hidden="1">
      <c r="A1877" s="1">
        <v>45780.416666666664</v>
      </c>
      <c r="B1877" s="1">
        <v>45780.416666666664</v>
      </c>
      <c r="D1877" t="s">
        <v>354</v>
      </c>
      <c r="E1877" t="s">
        <v>149</v>
      </c>
      <c r="F1877" t="s">
        <v>147</v>
      </c>
      <c r="G1877" t="s">
        <v>167</v>
      </c>
      <c r="I1877" s="4">
        <v>10</v>
      </c>
      <c r="J1877" s="4">
        <v>0</v>
      </c>
      <c r="L1877" t="s">
        <v>264</v>
      </c>
      <c r="M1877" t="s">
        <v>401</v>
      </c>
      <c r="N1877" s="4">
        <f>IF(L1877="","",IF(OR(Registro2[[#This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877" t="str">
        <f t="shared" si="32"/>
        <v>mai/25</v>
      </c>
      <c r="P1877" t="str">
        <f>IF(Registro2[[#This Row],[Data de Pagamento]]&gt;0,TEXT(A1877,"mmm/aa"),"")</f>
        <v>mai/25</v>
      </c>
      <c r="T1877" s="4">
        <f>IF(Registro2[[#This Row],[Data de Pagamento]]="",0,IF(Registro2[[#This Row],[Conta Financeira]]=base!$A$6,0,Registro2[[#This Row],[Valor Unitário]]))</f>
        <v>10</v>
      </c>
      <c r="U18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77" t="str">
        <f>VLOOKUP(Registro2[[#This Row],[Categoria]],'Plano de Contas'!$V$3:W1931,2,0)</f>
        <v>Receitas Serviços</v>
      </c>
      <c r="X187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</row>
    <row r="1878" spans="1:24" hidden="1">
      <c r="A1878" s="1">
        <v>45779.4375</v>
      </c>
      <c r="B1878" s="1">
        <v>45779.4375</v>
      </c>
      <c r="D1878" t="s">
        <v>1</v>
      </c>
      <c r="E1878" t="s">
        <v>149</v>
      </c>
      <c r="F1878" t="s">
        <v>147</v>
      </c>
      <c r="G1878" t="s">
        <v>163</v>
      </c>
      <c r="I1878" s="4">
        <v>35</v>
      </c>
      <c r="J1878" s="4">
        <v>35</v>
      </c>
      <c r="L1878" t="s">
        <v>252</v>
      </c>
      <c r="M1878" t="s">
        <v>80</v>
      </c>
      <c r="N1878" s="4">
        <f>IF(L1878="","",IF(OR(Registro2[[#This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78" t="str">
        <f t="shared" si="32"/>
        <v>mai/25</v>
      </c>
      <c r="P1878" t="str">
        <f>IF(Registro2[[#This Row],[Data de Pagamento]]&gt;0,TEXT(A1878,"mmm/aa"),"")</f>
        <v>mai/25</v>
      </c>
      <c r="T1878" s="4">
        <f>IF(Registro2[[#This Row],[Data de Pagamento]]="",0,IF(Registro2[[#This Row],[Conta Financeira]]=base!$A$6,0,Registro2[[#This Row],[Valor Unitário]]))</f>
        <v>35</v>
      </c>
      <c r="U18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78" t="str">
        <f>VLOOKUP(Registro2[[#This Row],[Categoria]],'Plano de Contas'!$V$3:W1932,2,0)</f>
        <v>Receitas Serviços</v>
      </c>
      <c r="X18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79" spans="1:24" hidden="1">
      <c r="A1879" s="1">
        <v>45779.791666666664</v>
      </c>
      <c r="B1879" s="1">
        <v>45779.791666666664</v>
      </c>
      <c r="D1879" t="s">
        <v>310</v>
      </c>
      <c r="E1879" t="s">
        <v>149</v>
      </c>
      <c r="F1879" t="s">
        <v>147</v>
      </c>
      <c r="G1879" t="s">
        <v>163</v>
      </c>
      <c r="I1879" s="4">
        <v>35</v>
      </c>
      <c r="J1879" s="4">
        <v>35</v>
      </c>
      <c r="L1879" t="s">
        <v>253</v>
      </c>
      <c r="M1879" t="s">
        <v>1306</v>
      </c>
      <c r="N1879" s="4">
        <f>IF(L1879="","",IF(OR(Registro2[[#This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79" t="str">
        <f t="shared" si="32"/>
        <v>mai/25</v>
      </c>
      <c r="P1879" t="str">
        <f>IF(Registro2[[#This Row],[Data de Pagamento]]&gt;0,TEXT(A1879,"mmm/aa"),"")</f>
        <v>mai/25</v>
      </c>
      <c r="T1879" s="4">
        <f>IF(Registro2[[#This Row],[Data de Pagamento]]="",0,IF(Registro2[[#This Row],[Conta Financeira]]=base!$A$6,0,Registro2[[#This Row],[Valor Unitário]]))</f>
        <v>35</v>
      </c>
      <c r="U18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79" t="str">
        <f>VLOOKUP(Registro2[[#This Row],[Categoria]],'Plano de Contas'!$V$3:W1933,2,0)</f>
        <v>Receitas Serviços</v>
      </c>
      <c r="X187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880" spans="1:24" hidden="1">
      <c r="A1880" s="1">
        <v>45779.416666666664</v>
      </c>
      <c r="B1880" s="1">
        <v>45779.416666666664</v>
      </c>
      <c r="D1880" t="s">
        <v>354</v>
      </c>
      <c r="E1880" t="s">
        <v>149</v>
      </c>
      <c r="F1880" t="s">
        <v>147</v>
      </c>
      <c r="G1880" t="s">
        <v>163</v>
      </c>
      <c r="I1880" s="4">
        <v>35</v>
      </c>
      <c r="J1880" s="4">
        <v>35</v>
      </c>
      <c r="L1880" t="s">
        <v>264</v>
      </c>
      <c r="M1880" t="s">
        <v>67</v>
      </c>
      <c r="N1880" s="4">
        <f>IF(L1880="","",IF(OR(Registro2[[#This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80" t="str">
        <f t="shared" si="32"/>
        <v>mai/25</v>
      </c>
      <c r="P1880" t="str">
        <f>IF(Registro2[[#This Row],[Data de Pagamento]]&gt;0,TEXT(A1880,"mmm/aa"),"")</f>
        <v>mai/25</v>
      </c>
      <c r="T1880" s="4">
        <f>IF(Registro2[[#This Row],[Data de Pagamento]]="",0,IF(Registro2[[#This Row],[Conta Financeira]]=base!$A$6,0,Registro2[[#This Row],[Valor Unitário]]))</f>
        <v>35</v>
      </c>
      <c r="U18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80" t="str">
        <f>VLOOKUP(Registro2[[#This Row],[Categoria]],'Plano de Contas'!$V$3:W1934,2,0)</f>
        <v>Receitas Serviços</v>
      </c>
      <c r="X188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881" spans="1:24" hidden="1">
      <c r="A1881" s="1">
        <v>45779.458333333336</v>
      </c>
      <c r="B1881" s="1">
        <v>45779.458333333336</v>
      </c>
      <c r="D1881" t="s">
        <v>1</v>
      </c>
      <c r="E1881" t="s">
        <v>149</v>
      </c>
      <c r="F1881" t="s">
        <v>147</v>
      </c>
      <c r="G1881" t="s">
        <v>163</v>
      </c>
      <c r="I1881" s="4">
        <v>35</v>
      </c>
      <c r="J1881" s="4">
        <v>75</v>
      </c>
      <c r="L1881" t="s">
        <v>253</v>
      </c>
      <c r="M1881" t="s">
        <v>1561</v>
      </c>
      <c r="N1881" s="4">
        <f>IF(L1881="","",IF(OR(Registro2[[#This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81" t="str">
        <f t="shared" si="32"/>
        <v>mai/25</v>
      </c>
      <c r="P1881" t="str">
        <f>IF(Registro2[[#This Row],[Data de Pagamento]]&gt;0,TEXT(A1881,"mmm/aa"),"")</f>
        <v>mai/25</v>
      </c>
      <c r="T1881" s="4">
        <f>IF(Registro2[[#This Row],[Data de Pagamento]]="",0,IF(Registro2[[#This Row],[Conta Financeira]]=base!$A$6,0,Registro2[[#This Row],[Valor Unitário]]))</f>
        <v>35</v>
      </c>
      <c r="U18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81" t="str">
        <f>VLOOKUP(Registro2[[#This Row],[Categoria]],'Plano de Contas'!$V$3:W1935,2,0)</f>
        <v>Receitas Serviços</v>
      </c>
      <c r="X188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82" spans="1:24" hidden="1">
      <c r="A1882" s="1">
        <v>45779.458333333336</v>
      </c>
      <c r="B1882" s="1">
        <v>45779.458333333336</v>
      </c>
      <c r="D1882" t="s">
        <v>1</v>
      </c>
      <c r="E1882" t="s">
        <v>149</v>
      </c>
      <c r="F1882" t="s">
        <v>150</v>
      </c>
      <c r="G1882" t="s">
        <v>2731</v>
      </c>
      <c r="I1882" s="4">
        <v>40</v>
      </c>
      <c r="J1882" s="4">
        <v>0</v>
      </c>
      <c r="L1882" t="s">
        <v>253</v>
      </c>
      <c r="M1882" t="s">
        <v>1561</v>
      </c>
      <c r="N1882" s="4">
        <f>IF(L1882="","",IF(OR(Registro2[[#This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1882" t="str">
        <f t="shared" si="32"/>
        <v>mai/25</v>
      </c>
      <c r="P1882" t="str">
        <f>IF(Registro2[[#This Row],[Data de Pagamento]]&gt;0,TEXT(A1882,"mmm/aa"),"")</f>
        <v>mai/25</v>
      </c>
      <c r="T1882" s="4">
        <f>IF(Registro2[[#This Row],[Data de Pagamento]]="",0,IF(Registro2[[#This Row],[Conta Financeira]]=base!$A$6,0,Registro2[[#This Row],[Valor Unitário]]))</f>
        <v>40</v>
      </c>
      <c r="U18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82" t="e">
        <f>VLOOKUP(Registro2[[#This Row],[Categoria]],'Plano de Contas'!$V$3:W1936,2,0)</f>
        <v>#N/A</v>
      </c>
      <c r="X18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83" spans="1:24" hidden="1">
      <c r="A1883" s="1">
        <v>45779.46875</v>
      </c>
      <c r="B1883" s="1">
        <v>45779.46875</v>
      </c>
      <c r="D1883" t="s">
        <v>310</v>
      </c>
      <c r="E1883" t="s">
        <v>149</v>
      </c>
      <c r="F1883" t="s">
        <v>147</v>
      </c>
      <c r="G1883" t="s">
        <v>163</v>
      </c>
      <c r="I1883" s="4">
        <v>35</v>
      </c>
      <c r="J1883" s="4">
        <v>35</v>
      </c>
      <c r="L1883" t="s">
        <v>264</v>
      </c>
      <c r="M1883" t="s">
        <v>1179</v>
      </c>
      <c r="N1883" s="4">
        <f>IF(L1883="","",IF(OR(Registro2[[#This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83" t="str">
        <f t="shared" si="32"/>
        <v>mai/25</v>
      </c>
      <c r="P1883" t="str">
        <f>IF(Registro2[[#This Row],[Data de Pagamento]]&gt;0,TEXT(A1883,"mmm/aa"),"")</f>
        <v>mai/25</v>
      </c>
      <c r="T1883" s="4">
        <f>IF(Registro2[[#This Row],[Data de Pagamento]]="",0,IF(Registro2[[#This Row],[Conta Financeira]]=base!$A$6,0,Registro2[[#This Row],[Valor Unitário]]))</f>
        <v>35</v>
      </c>
      <c r="U18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83" t="str">
        <f>VLOOKUP(Registro2[[#This Row],[Categoria]],'Plano de Contas'!$V$3:W1937,2,0)</f>
        <v>Receitas Serviços</v>
      </c>
      <c r="X188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884" spans="1:24" hidden="1">
      <c r="A1884" s="1">
        <v>45779.510416666664</v>
      </c>
      <c r="B1884" s="1">
        <v>45779.510416666664</v>
      </c>
      <c r="D1884" t="s">
        <v>354</v>
      </c>
      <c r="E1884" t="s">
        <v>149</v>
      </c>
      <c r="F1884" t="s">
        <v>147</v>
      </c>
      <c r="G1884" t="s">
        <v>163</v>
      </c>
      <c r="I1884" s="4">
        <v>35</v>
      </c>
      <c r="J1884" s="4">
        <v>35</v>
      </c>
      <c r="L1884" t="s">
        <v>252</v>
      </c>
      <c r="M1884" t="s">
        <v>484</v>
      </c>
      <c r="N1884" s="4">
        <f>IF(L1884="","",IF(OR(Registro2[[#This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84" t="str">
        <f t="shared" si="32"/>
        <v>mai/25</v>
      </c>
      <c r="P1884" t="str">
        <f>IF(Registro2[[#This Row],[Data de Pagamento]]&gt;0,TEXT(A1884,"mmm/aa"),"")</f>
        <v>mai/25</v>
      </c>
      <c r="T1884" s="4">
        <f>IF(Registro2[[#This Row],[Data de Pagamento]]="",0,IF(Registro2[[#This Row],[Conta Financeira]]=base!$A$6,0,Registro2[[#This Row],[Valor Unitário]]))</f>
        <v>35</v>
      </c>
      <c r="U18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84" t="str">
        <f>VLOOKUP(Registro2[[#This Row],[Categoria]],'Plano de Contas'!$V$3:W1938,2,0)</f>
        <v>Receitas Serviços</v>
      </c>
      <c r="X188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885" spans="1:24" hidden="1">
      <c r="A1885" s="1">
        <v>45779.5</v>
      </c>
      <c r="B1885" s="1">
        <v>45779.5</v>
      </c>
      <c r="D1885" t="s">
        <v>310</v>
      </c>
      <c r="E1885" t="s">
        <v>149</v>
      </c>
      <c r="F1885" t="s">
        <v>147</v>
      </c>
      <c r="G1885" t="s">
        <v>163</v>
      </c>
      <c r="I1885" s="4">
        <v>35</v>
      </c>
      <c r="J1885" s="4">
        <v>55</v>
      </c>
      <c r="L1885" t="s">
        <v>264</v>
      </c>
      <c r="M1885" t="s">
        <v>2739</v>
      </c>
      <c r="N1885" s="4">
        <f>IF(L1885="","",IF(OR(Registro2[[#This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85" t="str">
        <f t="shared" si="32"/>
        <v>mai/25</v>
      </c>
      <c r="P1885" t="str">
        <f>IF(Registro2[[#This Row],[Data de Pagamento]]&gt;0,TEXT(A1885,"mmm/aa"),"")</f>
        <v>mai/25</v>
      </c>
      <c r="T1885" s="4">
        <f>IF(Registro2[[#This Row],[Data de Pagamento]]="",0,IF(Registro2[[#This Row],[Conta Financeira]]=base!$A$6,0,Registro2[[#This Row],[Valor Unitário]]))</f>
        <v>35</v>
      </c>
      <c r="U18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85" t="str">
        <f>VLOOKUP(Registro2[[#This Row],[Categoria]],'Plano de Contas'!$V$3:W1939,2,0)</f>
        <v>Receitas Serviços</v>
      </c>
      <c r="X188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886" spans="1:24" hidden="1">
      <c r="A1886" s="1">
        <v>45779.5</v>
      </c>
      <c r="B1886" s="1">
        <v>45779.5</v>
      </c>
      <c r="D1886" t="s">
        <v>310</v>
      </c>
      <c r="E1886" t="s">
        <v>149</v>
      </c>
      <c r="F1886" t="s">
        <v>152</v>
      </c>
      <c r="G1886" t="s">
        <v>352</v>
      </c>
      <c r="I1886" s="4">
        <v>20</v>
      </c>
      <c r="J1886" s="4">
        <v>0</v>
      </c>
      <c r="L1886" t="s">
        <v>264</v>
      </c>
      <c r="M1886" t="s">
        <v>2739</v>
      </c>
      <c r="N1886" s="4">
        <f>IF(L1886="","",IF(OR(Registro2[[#This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886" t="str">
        <f t="shared" si="32"/>
        <v>mai/25</v>
      </c>
      <c r="P1886" t="str">
        <f>IF(Registro2[[#This Row],[Data de Pagamento]]&gt;0,TEXT(A1886,"mmm/aa"),"")</f>
        <v>mai/25</v>
      </c>
      <c r="T1886" s="4">
        <f>IF(Registro2[[#This Row],[Data de Pagamento]]="",0,IF(Registro2[[#This Row],[Conta Financeira]]=base!$A$6,0,Registro2[[#This Row],[Valor Unitário]]))</f>
        <v>20</v>
      </c>
      <c r="U18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86" t="str">
        <f>VLOOKUP(Registro2[[#This Row],[Categoria]],'Plano de Contas'!$V$3:W1940,2,0)</f>
        <v>Receitas Serviços</v>
      </c>
      <c r="X188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</row>
    <row r="1887" spans="1:24" hidden="1">
      <c r="A1887" s="1">
        <v>45780.4375</v>
      </c>
      <c r="B1887" s="1">
        <v>45780.4375</v>
      </c>
      <c r="D1887" t="s">
        <v>1</v>
      </c>
      <c r="E1887" t="s">
        <v>149</v>
      </c>
      <c r="F1887" t="s">
        <v>147</v>
      </c>
      <c r="G1887" t="s">
        <v>163</v>
      </c>
      <c r="I1887" s="4">
        <v>35</v>
      </c>
      <c r="J1887" s="4">
        <v>50</v>
      </c>
      <c r="L1887" t="s">
        <v>253</v>
      </c>
      <c r="M1887" t="s">
        <v>414</v>
      </c>
      <c r="N1887" s="4">
        <f>IF(L1887="","",IF(OR(Registro2[[#This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87" t="str">
        <f t="shared" si="32"/>
        <v>mai/25</v>
      </c>
      <c r="P1887" t="str">
        <f>IF(Registro2[[#This Row],[Data de Pagamento]]&gt;0,TEXT(A1887,"mmm/aa"),"")</f>
        <v>mai/25</v>
      </c>
      <c r="T1887" s="4">
        <f>IF(Registro2[[#This Row],[Data de Pagamento]]="",0,IF(Registro2[[#This Row],[Conta Financeira]]=base!$A$6,0,Registro2[[#This Row],[Valor Unitário]]))</f>
        <v>35</v>
      </c>
      <c r="U18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87" t="str">
        <f>VLOOKUP(Registro2[[#This Row],[Categoria]],'Plano de Contas'!$V$3:W1941,2,0)</f>
        <v>Receitas Serviços</v>
      </c>
      <c r="X188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88" spans="1:24" hidden="1">
      <c r="A1888" s="1">
        <v>45780.4375</v>
      </c>
      <c r="B1888" s="1">
        <v>45780.4375</v>
      </c>
      <c r="D1888" t="s">
        <v>1</v>
      </c>
      <c r="E1888" t="s">
        <v>149</v>
      </c>
      <c r="F1888" t="s">
        <v>147</v>
      </c>
      <c r="G1888" t="s">
        <v>1046</v>
      </c>
      <c r="I1888" s="4">
        <v>15</v>
      </c>
      <c r="J1888" s="4">
        <v>0</v>
      </c>
      <c r="L1888" t="s">
        <v>253</v>
      </c>
      <c r="M1888" t="s">
        <v>414</v>
      </c>
      <c r="N1888" s="4">
        <f>IF(L1888="","",IF(OR(Registro2[[#This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888" t="str">
        <f t="shared" si="32"/>
        <v>mai/25</v>
      </c>
      <c r="P1888" t="str">
        <f>IF(Registro2[[#This Row],[Data de Pagamento]]&gt;0,TEXT(A1888,"mmm/aa"),"")</f>
        <v>mai/25</v>
      </c>
      <c r="T1888" s="4">
        <f>IF(Registro2[[#This Row],[Data de Pagamento]]="",0,IF(Registro2[[#This Row],[Conta Financeira]]=base!$A$6,0,Registro2[[#This Row],[Valor Unitário]]))</f>
        <v>15</v>
      </c>
      <c r="U18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88" t="str">
        <f>VLOOKUP(Registro2[[#This Row],[Categoria]],'Plano de Contas'!$V$3:W1942,2,0)</f>
        <v>Receitas Serviços</v>
      </c>
      <c r="X188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89" spans="1:24" hidden="1">
      <c r="A1889" s="1">
        <v>45779.614583333336</v>
      </c>
      <c r="B1889" s="1">
        <v>45779.614583333336</v>
      </c>
      <c r="D1889" t="s">
        <v>2</v>
      </c>
      <c r="E1889" t="s">
        <v>149</v>
      </c>
      <c r="F1889" t="s">
        <v>147</v>
      </c>
      <c r="G1889" t="s">
        <v>163</v>
      </c>
      <c r="I1889" s="4">
        <v>35</v>
      </c>
      <c r="J1889" s="4">
        <v>35</v>
      </c>
      <c r="L1889" t="s">
        <v>253</v>
      </c>
      <c r="M1889" t="s">
        <v>485</v>
      </c>
      <c r="N1889" s="4">
        <f>IF(L1889="","",IF(OR(Registro2[[#This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89" t="str">
        <f t="shared" si="32"/>
        <v>mai/25</v>
      </c>
      <c r="P1889" t="str">
        <f>IF(Registro2[[#This Row],[Data de Pagamento]]&gt;0,TEXT(A1889,"mmm/aa"),"")</f>
        <v>mai/25</v>
      </c>
      <c r="T1889" s="4">
        <f>IF(Registro2[[#This Row],[Data de Pagamento]]="",0,IF(Registro2[[#This Row],[Conta Financeira]]=base!$A$6,0,Registro2[[#This Row],[Valor Unitário]]))</f>
        <v>35</v>
      </c>
      <c r="U18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89" t="str">
        <f>VLOOKUP(Registro2[[#This Row],[Categoria]],'Plano de Contas'!$V$3:W1943,2,0)</f>
        <v>Receitas Serviços</v>
      </c>
      <c r="X188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90" spans="1:24" hidden="1">
      <c r="A1890" s="1">
        <v>45780.375</v>
      </c>
      <c r="B1890" s="1">
        <v>45780.375</v>
      </c>
      <c r="D1890" t="s">
        <v>310</v>
      </c>
      <c r="E1890" t="s">
        <v>149</v>
      </c>
      <c r="F1890" t="s">
        <v>152</v>
      </c>
      <c r="G1890" t="s">
        <v>353</v>
      </c>
      <c r="I1890" s="4">
        <v>60</v>
      </c>
      <c r="J1890" s="4">
        <v>60</v>
      </c>
      <c r="L1890" t="s">
        <v>264</v>
      </c>
      <c r="M1890" t="s">
        <v>184</v>
      </c>
      <c r="N1890" s="4">
        <f>IF(L1890="","",IF(OR(Registro2[[#This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890" t="str">
        <f t="shared" si="32"/>
        <v>mai/25</v>
      </c>
      <c r="P1890" t="str">
        <f>IF(Registro2[[#This Row],[Data de Pagamento]]&gt;0,TEXT(A1890,"mmm/aa"),"")</f>
        <v>mai/25</v>
      </c>
      <c r="T1890" s="4">
        <f>IF(Registro2[[#This Row],[Data de Pagamento]]="",0,IF(Registro2[[#This Row],[Conta Financeira]]=base!$A$6,0,Registro2[[#This Row],[Valor Unitário]]))</f>
        <v>60</v>
      </c>
      <c r="U18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90" t="str">
        <f>VLOOKUP(Registro2[[#This Row],[Categoria]],'Plano de Contas'!$V$3:W1944,2,0)</f>
        <v>Receitas Serviços</v>
      </c>
      <c r="X189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</row>
    <row r="1891" spans="1:24" hidden="1">
      <c r="A1891" s="1">
        <v>45779.666666666664</v>
      </c>
      <c r="B1891" s="1">
        <v>45779.666666666664</v>
      </c>
      <c r="D1891" t="s">
        <v>1</v>
      </c>
      <c r="E1891" t="s">
        <v>149</v>
      </c>
      <c r="F1891" t="s">
        <v>147</v>
      </c>
      <c r="G1891" t="s">
        <v>163</v>
      </c>
      <c r="I1891" s="4">
        <v>35</v>
      </c>
      <c r="J1891" s="4">
        <v>35</v>
      </c>
      <c r="L1891" t="s">
        <v>253</v>
      </c>
      <c r="M1891" t="s">
        <v>282</v>
      </c>
      <c r="N1891" s="4">
        <f>IF(L1891="","",IF(OR(Registro2[[#This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91" t="str">
        <f t="shared" si="32"/>
        <v>mai/25</v>
      </c>
      <c r="P1891" t="str">
        <f>IF(Registro2[[#This Row],[Data de Pagamento]]&gt;0,TEXT(A1891,"mmm/aa"),"")</f>
        <v>mai/25</v>
      </c>
      <c r="T1891" s="4">
        <f>IF(Registro2[[#This Row],[Data de Pagamento]]="",0,IF(Registro2[[#This Row],[Conta Financeira]]=base!$A$6,0,Registro2[[#This Row],[Valor Unitário]]))</f>
        <v>35</v>
      </c>
      <c r="U18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91" t="str">
        <f>VLOOKUP(Registro2[[#This Row],[Categoria]],'Plano de Contas'!$V$3:W1945,2,0)</f>
        <v>Receitas Serviços</v>
      </c>
      <c r="X189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92" spans="1:24" hidden="1">
      <c r="A1892" s="1">
        <v>45779.604166666664</v>
      </c>
      <c r="B1892" s="1">
        <v>45779.604166666664</v>
      </c>
      <c r="D1892" t="s">
        <v>1</v>
      </c>
      <c r="E1892" t="s">
        <v>149</v>
      </c>
      <c r="F1892" t="s">
        <v>147</v>
      </c>
      <c r="G1892" t="s">
        <v>163</v>
      </c>
      <c r="I1892" s="4">
        <v>35</v>
      </c>
      <c r="J1892" s="4">
        <v>45</v>
      </c>
      <c r="L1892" t="s">
        <v>264</v>
      </c>
      <c r="M1892" t="s">
        <v>2745</v>
      </c>
      <c r="N1892" s="4">
        <f>IF(L1892="","",IF(OR(Registro2[[#This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92" t="str">
        <f t="shared" si="32"/>
        <v>mai/25</v>
      </c>
      <c r="P1892" t="str">
        <f>IF(Registro2[[#This Row],[Data de Pagamento]]&gt;0,TEXT(A1892,"mmm/aa"),"")</f>
        <v>mai/25</v>
      </c>
      <c r="T1892" s="4">
        <f>IF(Registro2[[#This Row],[Data de Pagamento]]="",0,IF(Registro2[[#This Row],[Conta Financeira]]=base!$A$6,0,Registro2[[#This Row],[Valor Unitário]]))</f>
        <v>35</v>
      </c>
      <c r="U18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92" t="str">
        <f>VLOOKUP(Registro2[[#This Row],[Categoria]],'Plano de Contas'!$V$3:W1946,2,0)</f>
        <v>Receitas Serviços</v>
      </c>
      <c r="X189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93" spans="1:24" hidden="1">
      <c r="A1893" s="1">
        <v>45779.604166666664</v>
      </c>
      <c r="B1893" s="1">
        <v>45779.604166666664</v>
      </c>
      <c r="D1893" t="s">
        <v>1</v>
      </c>
      <c r="E1893" t="s">
        <v>149</v>
      </c>
      <c r="F1893" t="s">
        <v>147</v>
      </c>
      <c r="G1893" t="s">
        <v>167</v>
      </c>
      <c r="I1893" s="4">
        <v>10</v>
      </c>
      <c r="J1893" s="4">
        <v>0</v>
      </c>
      <c r="L1893" t="s">
        <v>264</v>
      </c>
      <c r="M1893" t="s">
        <v>2745</v>
      </c>
      <c r="N1893" s="4">
        <f>IF(L1893="","",IF(OR(Registro2[[#This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893" t="str">
        <f t="shared" si="32"/>
        <v>mai/25</v>
      </c>
      <c r="P1893" t="str">
        <f>IF(Registro2[[#This Row],[Data de Pagamento]]&gt;0,TEXT(A1893,"mmm/aa"),"")</f>
        <v>mai/25</v>
      </c>
      <c r="T1893" s="4">
        <f>IF(Registro2[[#This Row],[Data de Pagamento]]="",0,IF(Registro2[[#This Row],[Conta Financeira]]=base!$A$6,0,Registro2[[#This Row],[Valor Unitário]]))</f>
        <v>10</v>
      </c>
      <c r="U18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93" t="str">
        <f>VLOOKUP(Registro2[[#This Row],[Categoria]],'Plano de Contas'!$V$3:W1947,2,0)</f>
        <v>Receitas Serviços</v>
      </c>
      <c r="X189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94" spans="1:24" hidden="1">
      <c r="A1894" s="1">
        <v>45779.621527777781</v>
      </c>
      <c r="B1894" s="1">
        <v>45779.621527777781</v>
      </c>
      <c r="D1894" t="s">
        <v>1</v>
      </c>
      <c r="E1894" t="s">
        <v>149</v>
      </c>
      <c r="F1894" t="s">
        <v>147</v>
      </c>
      <c r="G1894" t="s">
        <v>163</v>
      </c>
      <c r="I1894" s="4">
        <v>35</v>
      </c>
      <c r="J1894" s="4">
        <v>45</v>
      </c>
      <c r="L1894" t="s">
        <v>253</v>
      </c>
      <c r="M1894" t="s">
        <v>2747</v>
      </c>
      <c r="N1894" s="4">
        <f>IF(L1894="","",IF(OR(Registro2[[#This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94" t="str">
        <f t="shared" si="32"/>
        <v>mai/25</v>
      </c>
      <c r="P1894" t="str">
        <f>IF(Registro2[[#This Row],[Data de Pagamento]]&gt;0,TEXT(A1894,"mmm/aa"),"")</f>
        <v>mai/25</v>
      </c>
      <c r="T1894" s="4">
        <f>IF(Registro2[[#This Row],[Data de Pagamento]]="",0,IF(Registro2[[#This Row],[Conta Financeira]]=base!$A$6,0,Registro2[[#This Row],[Valor Unitário]]))</f>
        <v>35</v>
      </c>
      <c r="U18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94" t="str">
        <f>VLOOKUP(Registro2[[#This Row],[Categoria]],'Plano de Contas'!$V$3:W1948,2,0)</f>
        <v>Receitas Serviços</v>
      </c>
      <c r="X189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95" spans="1:24" hidden="1">
      <c r="A1895" s="1">
        <v>45779.621527777781</v>
      </c>
      <c r="B1895" s="1">
        <v>45779.621527777781</v>
      </c>
      <c r="D1895" t="s">
        <v>1</v>
      </c>
      <c r="E1895" t="s">
        <v>149</v>
      </c>
      <c r="F1895" t="s">
        <v>147</v>
      </c>
      <c r="G1895" t="s">
        <v>167</v>
      </c>
      <c r="I1895" s="4">
        <v>10</v>
      </c>
      <c r="J1895" s="4">
        <v>0</v>
      </c>
      <c r="L1895" t="s">
        <v>253</v>
      </c>
      <c r="M1895" t="s">
        <v>2747</v>
      </c>
      <c r="N1895" s="4">
        <f>IF(L1895="","",IF(OR(Registro2[[#This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895" t="str">
        <f t="shared" si="32"/>
        <v>mai/25</v>
      </c>
      <c r="P1895" t="str">
        <f>IF(Registro2[[#This Row],[Data de Pagamento]]&gt;0,TEXT(A1895,"mmm/aa"),"")</f>
        <v>mai/25</v>
      </c>
      <c r="T1895" s="4">
        <f>IF(Registro2[[#This Row],[Data de Pagamento]]="",0,IF(Registro2[[#This Row],[Conta Financeira]]=base!$A$6,0,Registro2[[#This Row],[Valor Unitário]]))</f>
        <v>10</v>
      </c>
      <c r="U18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95" t="str">
        <f>VLOOKUP(Registro2[[#This Row],[Categoria]],'Plano de Contas'!$V$3:W1949,2,0)</f>
        <v>Receitas Serviços</v>
      </c>
      <c r="X189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896" spans="1:24" hidden="1">
      <c r="A1896" s="1">
        <v>45779.708333333336</v>
      </c>
      <c r="B1896" s="1">
        <v>45779.708333333336</v>
      </c>
      <c r="D1896" t="s">
        <v>310</v>
      </c>
      <c r="E1896" t="s">
        <v>149</v>
      </c>
      <c r="F1896" t="s">
        <v>152</v>
      </c>
      <c r="G1896" t="s">
        <v>353</v>
      </c>
      <c r="I1896" s="4">
        <v>60</v>
      </c>
      <c r="J1896" s="4">
        <v>100</v>
      </c>
      <c r="L1896" t="s">
        <v>253</v>
      </c>
      <c r="M1896" t="s">
        <v>1950</v>
      </c>
      <c r="N1896" s="4">
        <f>IF(L1896="","",IF(OR(Registro2[[#This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896" t="str">
        <f t="shared" si="32"/>
        <v>mai/25</v>
      </c>
      <c r="P1896" t="str">
        <f>IF(Registro2[[#This Row],[Data de Pagamento]]&gt;0,TEXT(A1896,"mmm/aa"),"")</f>
        <v>mai/25</v>
      </c>
      <c r="T1896" s="4">
        <f>IF(Registro2[[#This Row],[Data de Pagamento]]="",0,IF(Registro2[[#This Row],[Conta Financeira]]=base!$A$6,0,Registro2[[#This Row],[Valor Unitário]]))</f>
        <v>60</v>
      </c>
      <c r="U18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96" t="str">
        <f>VLOOKUP(Registro2[[#This Row],[Categoria]],'Plano de Contas'!$V$3:W1950,2,0)</f>
        <v>Receitas Serviços</v>
      </c>
      <c r="X189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</row>
    <row r="1897" spans="1:24" hidden="1">
      <c r="A1897" s="1">
        <v>45779.708333333336</v>
      </c>
      <c r="B1897" s="1">
        <v>45779.708333333336</v>
      </c>
      <c r="D1897" t="s">
        <v>310</v>
      </c>
      <c r="E1897" t="s">
        <v>149</v>
      </c>
      <c r="F1897" t="s">
        <v>150</v>
      </c>
      <c r="G1897" t="s">
        <v>2536</v>
      </c>
      <c r="I1897" s="4">
        <v>40</v>
      </c>
      <c r="J1897" s="4">
        <v>0</v>
      </c>
      <c r="L1897" t="s">
        <v>253</v>
      </c>
      <c r="M1897" t="s">
        <v>1950</v>
      </c>
      <c r="N1897" s="4">
        <f>IF(L1897="","",IF(OR(Registro2[[#This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1897" t="str">
        <f t="shared" si="32"/>
        <v>mai/25</v>
      </c>
      <c r="P1897" t="str">
        <f>IF(Registro2[[#This Row],[Data de Pagamento]]&gt;0,TEXT(A1897,"mmm/aa"),"")</f>
        <v>mai/25</v>
      </c>
      <c r="T1897" s="4">
        <f>IF(Registro2[[#This Row],[Data de Pagamento]]="",0,IF(Registro2[[#This Row],[Conta Financeira]]=base!$A$6,0,Registro2[[#This Row],[Valor Unitário]]))</f>
        <v>40</v>
      </c>
      <c r="U18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97" t="e">
        <f>VLOOKUP(Registro2[[#This Row],[Categoria]],'Plano de Contas'!$V$3:W1951,2,0)</f>
        <v>#N/A</v>
      </c>
      <c r="X189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0.35599999999999998</v>
      </c>
    </row>
    <row r="1898" spans="1:24" hidden="1">
      <c r="A1898" s="1">
        <v>45779.6875</v>
      </c>
      <c r="B1898" s="1">
        <v>45779.6875</v>
      </c>
      <c r="D1898" t="s">
        <v>310</v>
      </c>
      <c r="E1898" t="s">
        <v>149</v>
      </c>
      <c r="F1898" t="s">
        <v>147</v>
      </c>
      <c r="G1898" t="s">
        <v>163</v>
      </c>
      <c r="I1898" s="4">
        <v>35</v>
      </c>
      <c r="J1898" s="4">
        <v>35</v>
      </c>
      <c r="L1898" t="s">
        <v>252</v>
      </c>
      <c r="M1898" t="s">
        <v>499</v>
      </c>
      <c r="N1898" s="4">
        <f>IF(L1898="","",IF(OR(Registro2[[#This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98" t="str">
        <f t="shared" si="32"/>
        <v>mai/25</v>
      </c>
      <c r="P1898" t="str">
        <f>IF(Registro2[[#This Row],[Data de Pagamento]]&gt;0,TEXT(A1898,"mmm/aa"),"")</f>
        <v>mai/25</v>
      </c>
      <c r="T1898" s="4">
        <f>IF(Registro2[[#This Row],[Data de Pagamento]]="",0,IF(Registro2[[#This Row],[Conta Financeira]]=base!$A$6,0,Registro2[[#This Row],[Valor Unitário]]))</f>
        <v>35</v>
      </c>
      <c r="U18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98" t="str">
        <f>VLOOKUP(Registro2[[#This Row],[Categoria]],'Plano de Contas'!$V$3:W1952,2,0)</f>
        <v>Receitas Serviços</v>
      </c>
      <c r="X189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899" spans="1:24" hidden="1">
      <c r="A1899" s="1">
        <v>45779.6875</v>
      </c>
      <c r="B1899" s="1">
        <v>45779.6875</v>
      </c>
      <c r="D1899" t="s">
        <v>310</v>
      </c>
      <c r="E1899" t="s">
        <v>149</v>
      </c>
      <c r="F1899" t="s">
        <v>147</v>
      </c>
      <c r="G1899" t="s">
        <v>163</v>
      </c>
      <c r="I1899" s="4">
        <v>35</v>
      </c>
      <c r="J1899" s="4">
        <v>35</v>
      </c>
      <c r="L1899" t="s">
        <v>253</v>
      </c>
      <c r="M1899" t="s">
        <v>2751</v>
      </c>
      <c r="N1899" s="4">
        <f>IF(L1899="","",IF(OR(Registro2[[#This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899" t="str">
        <f t="shared" si="32"/>
        <v>mai/25</v>
      </c>
      <c r="P1899" t="str">
        <f>IF(Registro2[[#This Row],[Data de Pagamento]]&gt;0,TEXT(A1899,"mmm/aa"),"")</f>
        <v>mai/25</v>
      </c>
      <c r="T1899" s="4">
        <f>IF(Registro2[[#This Row],[Data de Pagamento]]="",0,IF(Registro2[[#This Row],[Conta Financeira]]=base!$A$6,0,Registro2[[#This Row],[Valor Unitário]]))</f>
        <v>35</v>
      </c>
      <c r="U18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899" t="str">
        <f>VLOOKUP(Registro2[[#This Row],[Categoria]],'Plano de Contas'!$V$3:W1953,2,0)</f>
        <v>Receitas Serviços</v>
      </c>
      <c r="X189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900" spans="1:24" hidden="1">
      <c r="A1900" s="1">
        <v>45779.708333333336</v>
      </c>
      <c r="B1900" s="1">
        <v>45779.708333333336</v>
      </c>
      <c r="D1900" t="s">
        <v>2</v>
      </c>
      <c r="E1900" t="s">
        <v>149</v>
      </c>
      <c r="F1900" t="s">
        <v>147</v>
      </c>
      <c r="G1900" t="s">
        <v>163</v>
      </c>
      <c r="I1900" s="4">
        <v>35</v>
      </c>
      <c r="J1900" s="4">
        <v>60</v>
      </c>
      <c r="L1900" t="s">
        <v>252</v>
      </c>
      <c r="M1900" t="s">
        <v>1089</v>
      </c>
      <c r="N1900" s="4">
        <f>IF(L1900="","",IF(OR(Registro2[[#This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00" t="str">
        <f t="shared" si="32"/>
        <v>mai/25</v>
      </c>
      <c r="P1900" t="str">
        <f>IF(Registro2[[#This Row],[Data de Pagamento]]&gt;0,TEXT(A1900,"mmm/aa"),"")</f>
        <v>mai/25</v>
      </c>
      <c r="T1900" s="4">
        <f>IF(Registro2[[#This Row],[Data de Pagamento]]="",0,IF(Registro2[[#This Row],[Conta Financeira]]=base!$A$6,0,Registro2[[#This Row],[Valor Unitário]]))</f>
        <v>35</v>
      </c>
      <c r="U19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00" t="str">
        <f>VLOOKUP(Registro2[[#This Row],[Categoria]],'Plano de Contas'!$V$3:W1954,2,0)</f>
        <v>Receitas Serviços</v>
      </c>
      <c r="X190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01" spans="1:24" hidden="1">
      <c r="A1901" s="1">
        <v>45779.708333333336</v>
      </c>
      <c r="B1901" s="1">
        <v>45779.708333333336</v>
      </c>
      <c r="D1901" t="s">
        <v>2</v>
      </c>
      <c r="E1901" t="s">
        <v>149</v>
      </c>
      <c r="F1901" t="s">
        <v>150</v>
      </c>
      <c r="G1901" t="s">
        <v>2477</v>
      </c>
      <c r="I1901" s="4">
        <v>25</v>
      </c>
      <c r="J1901" s="4">
        <v>0</v>
      </c>
      <c r="L1901" t="s">
        <v>252</v>
      </c>
      <c r="M1901" t="s">
        <v>1089</v>
      </c>
      <c r="N1901" s="4">
        <f>IF(L1901="","",IF(OR(Registro2[[#This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901" t="str">
        <f t="shared" si="32"/>
        <v>mai/25</v>
      </c>
      <c r="P1901" t="str">
        <f>IF(Registro2[[#This Row],[Data de Pagamento]]&gt;0,TEXT(A1901,"mmm/aa"),"")</f>
        <v>mai/25</v>
      </c>
      <c r="T1901" s="4">
        <f>IF(Registro2[[#This Row],[Data de Pagamento]]="",0,IF(Registro2[[#This Row],[Conta Financeira]]=base!$A$6,0,Registro2[[#This Row],[Valor Unitário]]))</f>
        <v>25</v>
      </c>
      <c r="U19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01" t="e">
        <f>VLOOKUP(Registro2[[#This Row],[Categoria]],'Plano de Contas'!$V$3:W1955,2,0)</f>
        <v>#N/A</v>
      </c>
      <c r="X190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02" spans="1:24" hidden="1">
      <c r="A1902" s="1">
        <v>45779.6875</v>
      </c>
      <c r="B1902" s="1">
        <v>45779.6875</v>
      </c>
      <c r="D1902" t="s">
        <v>2</v>
      </c>
      <c r="E1902" t="s">
        <v>149</v>
      </c>
      <c r="F1902" t="s">
        <v>147</v>
      </c>
      <c r="G1902" t="s">
        <v>163</v>
      </c>
      <c r="I1902" s="4">
        <v>20</v>
      </c>
      <c r="J1902" s="4">
        <v>20</v>
      </c>
      <c r="L1902" t="s">
        <v>253</v>
      </c>
      <c r="M1902" t="s">
        <v>491</v>
      </c>
      <c r="N1902" s="4">
        <f>IF(L1902="","",IF(OR(Registro2[[#This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902" t="str">
        <f t="shared" si="32"/>
        <v>mai/25</v>
      </c>
      <c r="P1902" t="str">
        <f>IF(Registro2[[#This Row],[Data de Pagamento]]&gt;0,TEXT(A1902,"mmm/aa"),"")</f>
        <v>mai/25</v>
      </c>
      <c r="T1902" s="4">
        <f>IF(Registro2[[#This Row],[Data de Pagamento]]="",0,IF(Registro2[[#This Row],[Conta Financeira]]=base!$A$6,0,Registro2[[#This Row],[Valor Unitário]]))</f>
        <v>20</v>
      </c>
      <c r="U19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02" t="str">
        <f>VLOOKUP(Registro2[[#This Row],[Categoria]],'Plano de Contas'!$V$3:W1956,2,0)</f>
        <v>Receitas Serviços</v>
      </c>
      <c r="X190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03" spans="1:24" hidden="1">
      <c r="A1903" s="1">
        <v>45779.739583333336</v>
      </c>
      <c r="B1903" s="1">
        <v>45779.739583333336</v>
      </c>
      <c r="D1903" t="s">
        <v>1</v>
      </c>
      <c r="E1903" t="s">
        <v>149</v>
      </c>
      <c r="F1903" t="s">
        <v>147</v>
      </c>
      <c r="G1903" t="s">
        <v>163</v>
      </c>
      <c r="I1903" s="4">
        <v>35</v>
      </c>
      <c r="J1903" s="4">
        <v>35</v>
      </c>
      <c r="L1903" t="s">
        <v>252</v>
      </c>
      <c r="M1903" t="s">
        <v>469</v>
      </c>
      <c r="N1903" s="4">
        <f>IF(L1903="","",IF(OR(Registro2[[#This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03" t="str">
        <f t="shared" si="32"/>
        <v>mai/25</v>
      </c>
      <c r="P1903" t="str">
        <f>IF(Registro2[[#This Row],[Data de Pagamento]]&gt;0,TEXT(A1903,"mmm/aa"),"")</f>
        <v>mai/25</v>
      </c>
      <c r="T1903" s="4">
        <f>IF(Registro2[[#This Row],[Data de Pagamento]]="",0,IF(Registro2[[#This Row],[Conta Financeira]]=base!$A$6,0,Registro2[[#This Row],[Valor Unitário]]))</f>
        <v>35</v>
      </c>
      <c r="U19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03" t="str">
        <f>VLOOKUP(Registro2[[#This Row],[Categoria]],'Plano de Contas'!$V$3:W1957,2,0)</f>
        <v>Receitas Serviços</v>
      </c>
      <c r="X19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04" spans="1:24" hidden="1">
      <c r="A1904" s="1">
        <v>45779.767361111109</v>
      </c>
      <c r="B1904" s="1">
        <v>45779.767361111109</v>
      </c>
      <c r="D1904" t="s">
        <v>2</v>
      </c>
      <c r="E1904" t="s">
        <v>149</v>
      </c>
      <c r="F1904" t="s">
        <v>152</v>
      </c>
      <c r="G1904" t="s">
        <v>353</v>
      </c>
      <c r="I1904" s="4">
        <v>60</v>
      </c>
      <c r="J1904" s="4">
        <v>81</v>
      </c>
      <c r="L1904" t="s">
        <v>264</v>
      </c>
      <c r="M1904" t="s">
        <v>213</v>
      </c>
      <c r="N1904" s="4">
        <f>IF(L1904="","",IF(OR(Registro2[[#This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904" t="str">
        <f t="shared" si="32"/>
        <v>mai/25</v>
      </c>
      <c r="P1904" t="str">
        <f>IF(Registro2[[#This Row],[Data de Pagamento]]&gt;0,TEXT(A1904,"mmm/aa"),"")</f>
        <v>mai/25</v>
      </c>
      <c r="T1904" s="4">
        <f>IF(Registro2[[#This Row],[Data de Pagamento]]="",0,IF(Registro2[[#This Row],[Conta Financeira]]=base!$A$6,0,Registro2[[#This Row],[Valor Unitário]]))</f>
        <v>60</v>
      </c>
      <c r="U19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04" t="str">
        <f>VLOOKUP(Registro2[[#This Row],[Categoria]],'Plano de Contas'!$V$3:W1958,2,0)</f>
        <v>Receitas Serviços</v>
      </c>
      <c r="X19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05" spans="1:24" hidden="1">
      <c r="A1905" s="1">
        <v>45779.767361111109</v>
      </c>
      <c r="B1905" s="1">
        <v>45779.767361111109</v>
      </c>
      <c r="D1905" t="s">
        <v>2</v>
      </c>
      <c r="E1905" t="s">
        <v>149</v>
      </c>
      <c r="F1905" t="s">
        <v>152</v>
      </c>
      <c r="G1905" t="s">
        <v>352</v>
      </c>
      <c r="I1905" s="4">
        <v>20</v>
      </c>
      <c r="J1905" s="4">
        <v>0</v>
      </c>
      <c r="L1905" t="s">
        <v>264</v>
      </c>
      <c r="M1905" t="s">
        <v>213</v>
      </c>
      <c r="N1905" s="4">
        <f>IF(L1905="","",IF(OR(Registro2[[#This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905" t="str">
        <f t="shared" si="32"/>
        <v>mai/25</v>
      </c>
      <c r="P1905" t="str">
        <f>IF(Registro2[[#This Row],[Data de Pagamento]]&gt;0,TEXT(A1905,"mmm/aa"),"")</f>
        <v>mai/25</v>
      </c>
      <c r="T1905" s="4">
        <f>IF(Registro2[[#This Row],[Data de Pagamento]]="",0,IF(Registro2[[#This Row],[Conta Financeira]]=base!$A$6,0,Registro2[[#This Row],[Valor Unitário]]))</f>
        <v>20</v>
      </c>
      <c r="U19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05" t="str">
        <f>VLOOKUP(Registro2[[#This Row],[Categoria]],'Plano de Contas'!$V$3:W1959,2,0)</f>
        <v>Receitas Serviços</v>
      </c>
      <c r="X19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06" spans="1:24">
      <c r="A1906" s="1">
        <v>45779.767361111109</v>
      </c>
      <c r="B1906" s="1">
        <v>45779.767361111109</v>
      </c>
      <c r="D1906" t="s">
        <v>2</v>
      </c>
      <c r="E1906" t="s">
        <v>149</v>
      </c>
      <c r="F1906" t="s">
        <v>910</v>
      </c>
      <c r="G1906" t="s">
        <v>910</v>
      </c>
      <c r="I1906" s="4">
        <v>1</v>
      </c>
      <c r="J1906" s="4">
        <v>0</v>
      </c>
      <c r="L1906" t="s">
        <v>264</v>
      </c>
      <c r="M1906" t="s">
        <v>213</v>
      </c>
      <c r="N1906" s="4" t="str">
        <f>IF(L1906="","",IF(OR(Registro2[[#This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906" t="str">
        <f t="shared" si="32"/>
        <v>mai/25</v>
      </c>
      <c r="P1906" t="str">
        <f>IF(Registro2[[#This Row],[Data de Pagamento]]&gt;0,TEXT(A1906,"mmm/aa"),"")</f>
        <v>mai/25</v>
      </c>
      <c r="T1906" s="4">
        <f>IF(Registro2[[#This Row],[Data de Pagamento]]="",0,IF(Registro2[[#This Row],[Conta Financeira]]=base!$A$6,0,Registro2[[#This Row],[Valor Unitário]]))</f>
        <v>1</v>
      </c>
      <c r="U19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06" t="str">
        <f>VLOOKUP(Registro2[[#This Row],[Categoria]],'Plano de Contas'!$V$3:W1960,2,0)</f>
        <v>Outras Receitas</v>
      </c>
      <c r="X190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07" spans="1:24" hidden="1">
      <c r="A1907" s="1">
        <v>45779.791666666664</v>
      </c>
      <c r="B1907" s="1">
        <v>45779.791666666664</v>
      </c>
      <c r="D1907" t="s">
        <v>354</v>
      </c>
      <c r="E1907" t="s">
        <v>149</v>
      </c>
      <c r="F1907" t="s">
        <v>147</v>
      </c>
      <c r="G1907" t="s">
        <v>163</v>
      </c>
      <c r="I1907" s="4">
        <v>35</v>
      </c>
      <c r="J1907" s="4">
        <v>35</v>
      </c>
      <c r="L1907" t="s">
        <v>252</v>
      </c>
      <c r="M1907" t="s">
        <v>1008</v>
      </c>
      <c r="N1907" s="4">
        <f>IF(L1907="","",IF(OR(Registro2[[#This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07" t="str">
        <f t="shared" si="32"/>
        <v>mai/25</v>
      </c>
      <c r="P1907" t="str">
        <f>IF(Registro2[[#This Row],[Data de Pagamento]]&gt;0,TEXT(A1907,"mmm/aa"),"")</f>
        <v>mai/25</v>
      </c>
      <c r="T1907" s="4">
        <f>IF(Registro2[[#This Row],[Data de Pagamento]]="",0,IF(Registro2[[#This Row],[Conta Financeira]]=base!$A$6,0,Registro2[[#This Row],[Valor Unitário]]))</f>
        <v>35</v>
      </c>
      <c r="U19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07" t="str">
        <f>VLOOKUP(Registro2[[#This Row],[Categoria]],'Plano de Contas'!$V$3:W1961,2,0)</f>
        <v>Receitas Serviços</v>
      </c>
      <c r="X190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908" spans="1:24" hidden="1">
      <c r="A1908" s="1">
        <v>45779.822916666664</v>
      </c>
      <c r="B1908" s="1">
        <v>45779.822916666664</v>
      </c>
      <c r="D1908" t="s">
        <v>354</v>
      </c>
      <c r="E1908" t="s">
        <v>149</v>
      </c>
      <c r="F1908" t="s">
        <v>147</v>
      </c>
      <c r="G1908" t="s">
        <v>163</v>
      </c>
      <c r="I1908" s="4">
        <v>35</v>
      </c>
      <c r="J1908" s="4">
        <v>35</v>
      </c>
      <c r="L1908" t="s">
        <v>253</v>
      </c>
      <c r="M1908" t="s">
        <v>1574</v>
      </c>
      <c r="N1908" s="4">
        <f>IF(L1908="","",IF(OR(Registro2[[#This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08" t="str">
        <f t="shared" si="32"/>
        <v>mai/25</v>
      </c>
      <c r="P1908" t="str">
        <f>IF(Registro2[[#This Row],[Data de Pagamento]]&gt;0,TEXT(A1908,"mmm/aa"),"")</f>
        <v>mai/25</v>
      </c>
      <c r="T1908" s="4">
        <f>IF(Registro2[[#This Row],[Data de Pagamento]]="",0,IF(Registro2[[#This Row],[Conta Financeira]]=base!$A$6,0,Registro2[[#This Row],[Valor Unitário]]))</f>
        <v>35</v>
      </c>
      <c r="U19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08" t="str">
        <f>VLOOKUP(Registro2[[#This Row],[Categoria]],'Plano de Contas'!$V$3:W1962,2,0)</f>
        <v>Receitas Serviços</v>
      </c>
      <c r="X190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909" spans="1:24" hidden="1">
      <c r="A1909" s="1">
        <v>45779.836805555555</v>
      </c>
      <c r="B1909" s="1">
        <v>45779.836805555555</v>
      </c>
      <c r="D1909" t="s">
        <v>2</v>
      </c>
      <c r="E1909" t="s">
        <v>149</v>
      </c>
      <c r="F1909" t="s">
        <v>147</v>
      </c>
      <c r="G1909" t="s">
        <v>1046</v>
      </c>
      <c r="I1909" s="4">
        <v>35</v>
      </c>
      <c r="J1909" s="4">
        <v>35</v>
      </c>
      <c r="L1909" t="s">
        <v>264</v>
      </c>
      <c r="M1909" t="s">
        <v>1191</v>
      </c>
      <c r="N1909" s="4">
        <f>IF(L1909="","",IF(OR(Registro2[[#This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09" t="str">
        <f t="shared" si="32"/>
        <v>mai/25</v>
      </c>
      <c r="P1909" t="str">
        <f>IF(Registro2[[#This Row],[Data de Pagamento]]&gt;0,TEXT(A1909,"mmm/aa"),"")</f>
        <v>mai/25</v>
      </c>
      <c r="T1909" s="4">
        <f>IF(Registro2[[#This Row],[Data de Pagamento]]="",0,IF(Registro2[[#This Row],[Conta Financeira]]=base!$A$6,0,Registro2[[#This Row],[Valor Unitário]]))</f>
        <v>35</v>
      </c>
      <c r="U19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09" t="str">
        <f>VLOOKUP(Registro2[[#This Row],[Categoria]],'Plano de Contas'!$V$3:W1963,2,0)</f>
        <v>Receitas Serviços</v>
      </c>
      <c r="X190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10" spans="1:24" hidden="1">
      <c r="A1910" s="1">
        <v>45779.836805555555</v>
      </c>
      <c r="B1910" s="1">
        <v>45779.836805555555</v>
      </c>
      <c r="D1910" t="s">
        <v>1</v>
      </c>
      <c r="E1910" t="s">
        <v>149</v>
      </c>
      <c r="F1910" t="s">
        <v>147</v>
      </c>
      <c r="G1910" t="s">
        <v>163</v>
      </c>
      <c r="I1910" s="4">
        <v>20</v>
      </c>
      <c r="J1910" s="4">
        <v>75</v>
      </c>
      <c r="L1910" t="s">
        <v>264</v>
      </c>
      <c r="M1910" t="s">
        <v>271</v>
      </c>
      <c r="N1910" s="4">
        <f>IF(L1910="","",IF(OR(Registro2[[#This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910" t="str">
        <f t="shared" si="32"/>
        <v>mai/25</v>
      </c>
      <c r="P1910" t="str">
        <f>IF(Registro2[[#This Row],[Data de Pagamento]]&gt;0,TEXT(A1910,"mmm/aa"),"")</f>
        <v>mai/25</v>
      </c>
      <c r="T1910" s="4">
        <f>IF(Registro2[[#This Row],[Data de Pagamento]]="",0,IF(Registro2[[#This Row],[Conta Financeira]]=base!$A$6,0,Registro2[[#This Row],[Valor Unitário]]))</f>
        <v>20</v>
      </c>
      <c r="U19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10" t="str">
        <f>VLOOKUP(Registro2[[#This Row],[Categoria]],'Plano de Contas'!$V$3:W1964,2,0)</f>
        <v>Receitas Serviços</v>
      </c>
      <c r="X191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11" spans="1:24" hidden="1">
      <c r="A1911" s="1">
        <v>45779.836805555555</v>
      </c>
      <c r="B1911" s="1">
        <v>45779.836805555555</v>
      </c>
      <c r="D1911" t="s">
        <v>1</v>
      </c>
      <c r="E1911" t="s">
        <v>149</v>
      </c>
      <c r="F1911" t="s">
        <v>147</v>
      </c>
      <c r="G1911" t="s">
        <v>167</v>
      </c>
      <c r="I1911" s="4">
        <v>10</v>
      </c>
      <c r="J1911" s="4">
        <v>0</v>
      </c>
      <c r="L1911" t="s">
        <v>264</v>
      </c>
      <c r="M1911" t="s">
        <v>271</v>
      </c>
      <c r="N1911" s="4">
        <f>IF(L1911="","",IF(OR(Registro2[[#This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911" t="str">
        <f t="shared" si="32"/>
        <v>mai/25</v>
      </c>
      <c r="P1911" t="str">
        <f>IF(Registro2[[#This Row],[Data de Pagamento]]&gt;0,TEXT(A1911,"mmm/aa"),"")</f>
        <v>mai/25</v>
      </c>
      <c r="T1911" s="4">
        <f>IF(Registro2[[#This Row],[Data de Pagamento]]="",0,IF(Registro2[[#This Row],[Conta Financeira]]=base!$A$6,0,Registro2[[#This Row],[Valor Unitário]]))</f>
        <v>10</v>
      </c>
      <c r="U19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11" t="str">
        <f>VLOOKUP(Registro2[[#This Row],[Categoria]],'Plano de Contas'!$V$3:W1965,2,0)</f>
        <v>Receitas Serviços</v>
      </c>
      <c r="X19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12" spans="1:24" hidden="1">
      <c r="A1912" s="1">
        <v>45779.836805555555</v>
      </c>
      <c r="B1912" s="1">
        <v>45779.836805555555</v>
      </c>
      <c r="D1912" t="s">
        <v>1</v>
      </c>
      <c r="E1912" t="s">
        <v>149</v>
      </c>
      <c r="F1912" t="s">
        <v>147</v>
      </c>
      <c r="G1912" t="s">
        <v>1187</v>
      </c>
      <c r="I1912" s="4">
        <v>15</v>
      </c>
      <c r="J1912" s="4">
        <v>0</v>
      </c>
      <c r="L1912" t="s">
        <v>264</v>
      </c>
      <c r="M1912" t="s">
        <v>271</v>
      </c>
      <c r="N1912" s="4">
        <f>IF(L1912="","",IF(OR(Registro2[[#This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912" t="str">
        <f t="shared" si="32"/>
        <v>mai/25</v>
      </c>
      <c r="P1912" t="str">
        <f>IF(Registro2[[#This Row],[Data de Pagamento]]&gt;0,TEXT(A1912,"mmm/aa"),"")</f>
        <v>mai/25</v>
      </c>
      <c r="T1912" s="4">
        <f>IF(Registro2[[#This Row],[Data de Pagamento]]="",0,IF(Registro2[[#This Row],[Conta Financeira]]=base!$A$6,0,Registro2[[#This Row],[Valor Unitário]]))</f>
        <v>15</v>
      </c>
      <c r="U19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12" t="str">
        <f>VLOOKUP(Registro2[[#This Row],[Categoria]],'Plano de Contas'!$V$3:W1966,2,0)</f>
        <v>Receitas Serviços</v>
      </c>
      <c r="X191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13" spans="1:24" hidden="1">
      <c r="A1913" s="1">
        <v>45779.836805555555</v>
      </c>
      <c r="B1913" s="1">
        <v>45779.836805555555</v>
      </c>
      <c r="D1913" t="s">
        <v>1</v>
      </c>
      <c r="E1913" t="s">
        <v>149</v>
      </c>
      <c r="F1913" t="s">
        <v>150</v>
      </c>
      <c r="G1913" t="s">
        <v>2526</v>
      </c>
      <c r="I1913" s="4">
        <v>20</v>
      </c>
      <c r="J1913" s="4">
        <v>0</v>
      </c>
      <c r="L1913" t="s">
        <v>264</v>
      </c>
      <c r="M1913" t="s">
        <v>271</v>
      </c>
      <c r="N1913" s="4">
        <f>IF(L1913="","",IF(OR(Registro2[[#This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8</v>
      </c>
      <c r="O1913" t="str">
        <f t="shared" si="32"/>
        <v>mai/25</v>
      </c>
      <c r="P1913" t="str">
        <f>IF(Registro2[[#This Row],[Data de Pagamento]]&gt;0,TEXT(A1913,"mmm/aa"),"")</f>
        <v>mai/25</v>
      </c>
      <c r="T1913" s="4">
        <f>IF(Registro2[[#This Row],[Data de Pagamento]]="",0,IF(Registro2[[#This Row],[Conta Financeira]]=base!$A$6,0,Registro2[[#This Row],[Valor Unitário]]))</f>
        <v>20</v>
      </c>
      <c r="U19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13" t="e">
        <f>VLOOKUP(Registro2[[#This Row],[Categoria]],'Plano de Contas'!$V$3:W1967,2,0)</f>
        <v>#N/A</v>
      </c>
      <c r="X191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14" spans="1:24">
      <c r="A1914" s="1">
        <v>45779.836805555555</v>
      </c>
      <c r="B1914" s="1">
        <v>45779.836805555555</v>
      </c>
      <c r="D1914" t="s">
        <v>1</v>
      </c>
      <c r="E1914" t="s">
        <v>149</v>
      </c>
      <c r="F1914" t="s">
        <v>910</v>
      </c>
      <c r="G1914" t="s">
        <v>910</v>
      </c>
      <c r="I1914" s="4">
        <v>10</v>
      </c>
      <c r="J1914" s="4">
        <v>0</v>
      </c>
      <c r="L1914" t="s">
        <v>264</v>
      </c>
      <c r="M1914" t="s">
        <v>271</v>
      </c>
      <c r="N1914" s="4" t="str">
        <f>IF(L1914="","",IF(OR(Registro2[[#This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914" t="str">
        <f t="shared" si="32"/>
        <v>mai/25</v>
      </c>
      <c r="P1914" t="str">
        <f>IF(Registro2[[#This Row],[Data de Pagamento]]&gt;0,TEXT(A1914,"mmm/aa"),"")</f>
        <v>mai/25</v>
      </c>
      <c r="T1914" s="4">
        <f>IF(Registro2[[#This Row],[Data de Pagamento]]="",0,IF(Registro2[[#This Row],[Conta Financeira]]=base!$A$6,0,Registro2[[#This Row],[Valor Unitário]]))</f>
        <v>10</v>
      </c>
      <c r="U19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14" t="str">
        <f>VLOOKUP(Registro2[[#This Row],[Categoria]],'Plano de Contas'!$V$3:W1968,2,0)</f>
        <v>Outras Receitas</v>
      </c>
      <c r="X191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15" spans="1:24" hidden="1">
      <c r="A1915" s="1">
        <v>45779.850694444445</v>
      </c>
      <c r="B1915" s="1">
        <v>45779.850694444445</v>
      </c>
      <c r="D1915" t="s">
        <v>1</v>
      </c>
      <c r="E1915" t="s">
        <v>149</v>
      </c>
      <c r="F1915" t="s">
        <v>147</v>
      </c>
      <c r="G1915" t="s">
        <v>163</v>
      </c>
      <c r="I1915" s="4">
        <v>35</v>
      </c>
      <c r="J1915" s="4">
        <v>35</v>
      </c>
      <c r="L1915" t="s">
        <v>252</v>
      </c>
      <c r="M1915" t="s">
        <v>2761</v>
      </c>
      <c r="N1915" s="4">
        <f>IF(L1915="","",IF(OR(Registro2[[#This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15" t="str">
        <f t="shared" si="32"/>
        <v>mai/25</v>
      </c>
      <c r="P1915" t="str">
        <f>IF(Registro2[[#This Row],[Data de Pagamento]]&gt;0,TEXT(A1915,"mmm/aa"),"")</f>
        <v>mai/25</v>
      </c>
      <c r="T1915" s="4">
        <f>IF(Registro2[[#This Row],[Data de Pagamento]]="",0,IF(Registro2[[#This Row],[Conta Financeira]]=base!$A$6,0,Registro2[[#This Row],[Valor Unitário]]))</f>
        <v>35</v>
      </c>
      <c r="U19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15" t="str">
        <f>VLOOKUP(Registro2[[#This Row],[Categoria]],'Plano de Contas'!$V$3:W1969,2,0)</f>
        <v>Receitas Serviços</v>
      </c>
      <c r="X191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16" spans="1:24" hidden="1">
      <c r="A1916" s="1">
        <v>45780.635416666664</v>
      </c>
      <c r="B1916" s="1">
        <v>45780.635416666664</v>
      </c>
      <c r="D1916" t="s">
        <v>1</v>
      </c>
      <c r="E1916" t="s">
        <v>149</v>
      </c>
      <c r="F1916" t="s">
        <v>147</v>
      </c>
      <c r="G1916" t="s">
        <v>163</v>
      </c>
      <c r="I1916" s="4">
        <v>35</v>
      </c>
      <c r="J1916" s="4">
        <v>35</v>
      </c>
      <c r="L1916" t="s">
        <v>252</v>
      </c>
      <c r="M1916" t="s">
        <v>302</v>
      </c>
      <c r="N1916" s="4">
        <f>IF(L1916="","",IF(OR(Registro2[[#This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16" t="str">
        <f t="shared" si="32"/>
        <v>mai/25</v>
      </c>
      <c r="P1916" t="str">
        <f>IF(Registro2[[#This Row],[Data de Pagamento]]&gt;0,TEXT(A1916,"mmm/aa"),"")</f>
        <v>mai/25</v>
      </c>
      <c r="T1916" s="4">
        <f>IF(Registro2[[#This Row],[Data de Pagamento]]="",0,IF(Registro2[[#This Row],[Conta Financeira]]=base!$A$6,0,Registro2[[#This Row],[Valor Unitário]]))</f>
        <v>35</v>
      </c>
      <c r="U19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16" t="str">
        <f>VLOOKUP(Registro2[[#This Row],[Categoria]],'Plano de Contas'!$V$3:W1970,2,0)</f>
        <v>Receitas Serviços</v>
      </c>
      <c r="X191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17" spans="1:24" hidden="1">
      <c r="A1917" s="1">
        <v>45780.420138888891</v>
      </c>
      <c r="B1917" s="1">
        <v>45780.420138888891</v>
      </c>
      <c r="D1917" t="s">
        <v>1</v>
      </c>
      <c r="E1917" t="s">
        <v>149</v>
      </c>
      <c r="F1917" t="s">
        <v>147</v>
      </c>
      <c r="G1917" t="s">
        <v>163</v>
      </c>
      <c r="I1917" s="4">
        <v>35</v>
      </c>
      <c r="J1917" s="4">
        <v>35</v>
      </c>
      <c r="L1917" t="s">
        <v>253</v>
      </c>
      <c r="M1917" t="s">
        <v>59</v>
      </c>
      <c r="N1917" s="4">
        <f>IF(L1917="","",IF(OR(Registro2[[#This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17" t="str">
        <f t="shared" si="32"/>
        <v>mai/25</v>
      </c>
      <c r="P1917" t="str">
        <f>IF(Registro2[[#This Row],[Data de Pagamento]]&gt;0,TEXT(A1917,"mmm/aa"),"")</f>
        <v>mai/25</v>
      </c>
      <c r="T1917" s="4">
        <f>IF(Registro2[[#This Row],[Data de Pagamento]]="",0,IF(Registro2[[#This Row],[Conta Financeira]]=base!$A$6,0,Registro2[[#This Row],[Valor Unitário]]))</f>
        <v>35</v>
      </c>
      <c r="U19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17" t="str">
        <f>VLOOKUP(Registro2[[#This Row],[Categoria]],'Plano de Contas'!$V$3:W1971,2,0)</f>
        <v>Receitas Serviços</v>
      </c>
      <c r="X191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18" spans="1:24" hidden="1">
      <c r="A1918" s="1">
        <v>45780.4375</v>
      </c>
      <c r="B1918" s="1">
        <v>45780.4375</v>
      </c>
      <c r="D1918" t="s">
        <v>2</v>
      </c>
      <c r="E1918" t="s">
        <v>149</v>
      </c>
      <c r="F1918" t="s">
        <v>147</v>
      </c>
      <c r="G1918" t="s">
        <v>163</v>
      </c>
      <c r="I1918" s="4">
        <v>35</v>
      </c>
      <c r="J1918" s="4">
        <v>35</v>
      </c>
      <c r="L1918" t="s">
        <v>252</v>
      </c>
      <c r="M1918" t="s">
        <v>417</v>
      </c>
      <c r="N1918" s="4">
        <f>IF(L1918="","",IF(OR(Registro2[[#This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18" t="str">
        <f t="shared" si="32"/>
        <v>mai/25</v>
      </c>
      <c r="P1918" t="str">
        <f>IF(Registro2[[#This Row],[Data de Pagamento]]&gt;0,TEXT(A1918,"mmm/aa"),"")</f>
        <v>mai/25</v>
      </c>
      <c r="T1918" s="4">
        <f>IF(Registro2[[#This Row],[Data de Pagamento]]="",0,IF(Registro2[[#This Row],[Conta Financeira]]=base!$A$6,0,Registro2[[#This Row],[Valor Unitário]]))</f>
        <v>35</v>
      </c>
      <c r="U19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18" t="str">
        <f>VLOOKUP(Registro2[[#This Row],[Categoria]],'Plano de Contas'!$V$3:W1972,2,0)</f>
        <v>Receitas Serviços</v>
      </c>
      <c r="X19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19" spans="1:24" hidden="1">
      <c r="A1919" s="1">
        <v>45780.454861111109</v>
      </c>
      <c r="B1919" s="1">
        <v>45780.454861111109</v>
      </c>
      <c r="D1919" t="s">
        <v>1</v>
      </c>
      <c r="E1919" t="s">
        <v>149</v>
      </c>
      <c r="F1919" t="s">
        <v>147</v>
      </c>
      <c r="G1919" t="s">
        <v>163</v>
      </c>
      <c r="I1919" s="4">
        <v>40</v>
      </c>
      <c r="J1919" s="4">
        <v>40</v>
      </c>
      <c r="L1919" t="s">
        <v>253</v>
      </c>
      <c r="M1919" t="s">
        <v>1019</v>
      </c>
      <c r="N1919" s="4">
        <f>IF(L1919="","",IF(OR(Registro2[[#This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1919" t="str">
        <f t="shared" si="32"/>
        <v>mai/25</v>
      </c>
      <c r="P1919" t="str">
        <f>IF(Registro2[[#This Row],[Data de Pagamento]]&gt;0,TEXT(A1919,"mmm/aa"),"")</f>
        <v>mai/25</v>
      </c>
      <c r="T1919" s="4">
        <f>IF(Registro2[[#This Row],[Data de Pagamento]]="",0,IF(Registro2[[#This Row],[Conta Financeira]]=base!$A$6,0,Registro2[[#This Row],[Valor Unitário]]))</f>
        <v>40</v>
      </c>
      <c r="U19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19" t="str">
        <f>VLOOKUP(Registro2[[#This Row],[Categoria]],'Plano de Contas'!$V$3:W1973,2,0)</f>
        <v>Receitas Serviços</v>
      </c>
      <c r="X191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20" spans="1:24" hidden="1">
      <c r="A1920" s="1">
        <v>45780.458333333336</v>
      </c>
      <c r="B1920" s="1">
        <v>45780.458333333336</v>
      </c>
      <c r="D1920" t="s">
        <v>1</v>
      </c>
      <c r="E1920" t="s">
        <v>149</v>
      </c>
      <c r="F1920" t="s">
        <v>147</v>
      </c>
      <c r="G1920" t="s">
        <v>163</v>
      </c>
      <c r="I1920" s="4">
        <v>35</v>
      </c>
      <c r="J1920" s="4">
        <v>60</v>
      </c>
      <c r="L1920" t="s">
        <v>264</v>
      </c>
      <c r="M1920" t="s">
        <v>1981</v>
      </c>
      <c r="N1920" s="4">
        <f>IF(L1920="","",IF(OR(Registro2[[#This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20" t="str">
        <f t="shared" si="32"/>
        <v>mai/25</v>
      </c>
      <c r="P1920" t="str">
        <f>IF(Registro2[[#This Row],[Data de Pagamento]]&gt;0,TEXT(A1920,"mmm/aa"),"")</f>
        <v>mai/25</v>
      </c>
      <c r="T1920" s="4">
        <f>IF(Registro2[[#This Row],[Data de Pagamento]]="",0,IF(Registro2[[#This Row],[Conta Financeira]]=base!$A$6,0,Registro2[[#This Row],[Valor Unitário]]))</f>
        <v>35</v>
      </c>
      <c r="U19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20" t="str">
        <f>VLOOKUP(Registro2[[#This Row],[Categoria]],'Plano de Contas'!$V$3:W1974,2,0)</f>
        <v>Receitas Serviços</v>
      </c>
      <c r="X192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21" spans="1:24" hidden="1">
      <c r="A1921" s="1">
        <v>45780.458333333336</v>
      </c>
      <c r="B1921" s="1">
        <v>45780.458333333336</v>
      </c>
      <c r="D1921" t="s">
        <v>1</v>
      </c>
      <c r="E1921" t="s">
        <v>149</v>
      </c>
      <c r="F1921" t="s">
        <v>150</v>
      </c>
      <c r="G1921" t="s">
        <v>2526</v>
      </c>
      <c r="I1921" s="4">
        <v>25</v>
      </c>
      <c r="J1921" s="4">
        <v>0</v>
      </c>
      <c r="L1921" t="s">
        <v>264</v>
      </c>
      <c r="M1921" t="s">
        <v>1981</v>
      </c>
      <c r="N1921" s="4">
        <f>IF(L1921="","",IF(OR(Registro2[[#This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921" t="str">
        <f t="shared" si="32"/>
        <v>mai/25</v>
      </c>
      <c r="P1921" t="str">
        <f>IF(Registro2[[#This Row],[Data de Pagamento]]&gt;0,TEXT(A1921,"mmm/aa"),"")</f>
        <v>mai/25</v>
      </c>
      <c r="T1921" s="4">
        <f>IF(Registro2[[#This Row],[Data de Pagamento]]="",0,IF(Registro2[[#This Row],[Conta Financeira]]=base!$A$6,0,Registro2[[#This Row],[Valor Unitário]]))</f>
        <v>25</v>
      </c>
      <c r="U19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21" t="e">
        <f>VLOOKUP(Registro2[[#This Row],[Categoria]],'Plano de Contas'!$V$3:W1975,2,0)</f>
        <v>#N/A</v>
      </c>
      <c r="X192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22" spans="1:24" hidden="1">
      <c r="A1922" s="1">
        <v>45780.583333333336</v>
      </c>
      <c r="B1922" s="1">
        <v>45780.583333333336</v>
      </c>
      <c r="D1922" t="s">
        <v>310</v>
      </c>
      <c r="E1922" t="s">
        <v>149</v>
      </c>
      <c r="F1922" t="s">
        <v>147</v>
      </c>
      <c r="G1922" t="s">
        <v>166</v>
      </c>
      <c r="I1922" s="4">
        <v>20</v>
      </c>
      <c r="J1922" s="4">
        <v>75</v>
      </c>
      <c r="L1922" t="s">
        <v>253</v>
      </c>
      <c r="M1922" t="s">
        <v>281</v>
      </c>
      <c r="N1922" s="4">
        <f>IF(L1922="","",IF(OR(Registro2[[#This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922" t="str">
        <f t="shared" ref="O1922:O1985" si="33">TEXT(B1922,"mmm/aa")</f>
        <v>mai/25</v>
      </c>
      <c r="P1922" t="str">
        <f>IF(Registro2[[#This Row],[Data de Pagamento]]&gt;0,TEXT(A1922,"mmm/aa"),"")</f>
        <v>mai/25</v>
      </c>
      <c r="T1922" s="4">
        <f>IF(Registro2[[#This Row],[Data de Pagamento]]="",0,IF(Registro2[[#This Row],[Conta Financeira]]=base!$A$6,0,Registro2[[#This Row],[Valor Unitário]]))</f>
        <v>20</v>
      </c>
      <c r="U19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22" t="str">
        <f>VLOOKUP(Registro2[[#This Row],[Categoria]],'Plano de Contas'!$V$3:W1976,2,0)</f>
        <v>Receitas Serviços</v>
      </c>
      <c r="X192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</row>
    <row r="1923" spans="1:24" hidden="1">
      <c r="A1923" s="1">
        <v>45780.583333333336</v>
      </c>
      <c r="B1923" s="1">
        <v>45780.583333333336</v>
      </c>
      <c r="D1923" t="s">
        <v>310</v>
      </c>
      <c r="E1923" t="s">
        <v>149</v>
      </c>
      <c r="F1923" t="s">
        <v>147</v>
      </c>
      <c r="G1923" t="s">
        <v>163</v>
      </c>
      <c r="I1923" s="4">
        <v>35</v>
      </c>
      <c r="J1923" s="4">
        <v>0</v>
      </c>
      <c r="L1923" t="s">
        <v>252</v>
      </c>
      <c r="M1923" t="s">
        <v>281</v>
      </c>
      <c r="N1923" s="4">
        <f>IF(L1923="","",IF(OR(Registro2[[#This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23" t="str">
        <f t="shared" si="33"/>
        <v>mai/25</v>
      </c>
      <c r="P1923" t="str">
        <f>IF(Registro2[[#This Row],[Data de Pagamento]]&gt;0,TEXT(A1923,"mmm/aa"),"")</f>
        <v>mai/25</v>
      </c>
      <c r="T1923" s="4">
        <f>IF(Registro2[[#This Row],[Data de Pagamento]]="",0,IF(Registro2[[#This Row],[Conta Financeira]]=base!$A$6,0,Registro2[[#This Row],[Valor Unitário]]))</f>
        <v>35</v>
      </c>
      <c r="U19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23" t="str">
        <f>VLOOKUP(Registro2[[#This Row],[Categoria]],'Plano de Contas'!$V$3:W1977,2,0)</f>
        <v>Receitas Serviços</v>
      </c>
      <c r="X192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924" spans="1:24" hidden="1">
      <c r="A1924" s="1">
        <v>45780.583333333336</v>
      </c>
      <c r="B1924" s="1">
        <v>45780.583333333336</v>
      </c>
      <c r="D1924" t="s">
        <v>310</v>
      </c>
      <c r="E1924" t="s">
        <v>149</v>
      </c>
      <c r="F1924" t="s">
        <v>147</v>
      </c>
      <c r="G1924" t="s">
        <v>166</v>
      </c>
      <c r="I1924" s="4">
        <v>20</v>
      </c>
      <c r="J1924" s="4">
        <v>0</v>
      </c>
      <c r="L1924" t="s">
        <v>252</v>
      </c>
      <c r="M1924" t="s">
        <v>281</v>
      </c>
      <c r="N1924" s="4">
        <f>IF(L1924="","",IF(OR(Registro2[[#This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924" t="str">
        <f t="shared" si="33"/>
        <v>mai/25</v>
      </c>
      <c r="P1924" t="str">
        <f>IF(Registro2[[#This Row],[Data de Pagamento]]&gt;0,TEXT(A1924,"mmm/aa"),"")</f>
        <v>mai/25</v>
      </c>
      <c r="T1924" s="4">
        <f>IF(Registro2[[#This Row],[Data de Pagamento]]="",0,IF(Registro2[[#This Row],[Conta Financeira]]=base!$A$6,0,Registro2[[#This Row],[Valor Unitário]]))</f>
        <v>20</v>
      </c>
      <c r="U19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24" t="str">
        <f>VLOOKUP(Registro2[[#This Row],[Categoria]],'Plano de Contas'!$V$3:W1978,2,0)</f>
        <v>Receitas Serviços</v>
      </c>
      <c r="X192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</row>
    <row r="1925" spans="1:24" hidden="1">
      <c r="A1925" s="1">
        <v>45780.489583333336</v>
      </c>
      <c r="B1925" s="1">
        <v>45780.489583333336</v>
      </c>
      <c r="D1925" t="s">
        <v>310</v>
      </c>
      <c r="E1925" t="s">
        <v>149</v>
      </c>
      <c r="F1925" t="s">
        <v>152</v>
      </c>
      <c r="G1925" t="s">
        <v>353</v>
      </c>
      <c r="I1925" s="4">
        <v>55</v>
      </c>
      <c r="J1925" s="4">
        <v>55</v>
      </c>
      <c r="L1925" t="s">
        <v>264</v>
      </c>
      <c r="M1925" t="s">
        <v>1317</v>
      </c>
      <c r="N1925" s="4">
        <f>IF(L1925="","",IF(OR(Registro2[[#This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1925" t="str">
        <f t="shared" si="33"/>
        <v>mai/25</v>
      </c>
      <c r="P1925" t="str">
        <f>IF(Registro2[[#This Row],[Data de Pagamento]]&gt;0,TEXT(A1925,"mmm/aa"),"")</f>
        <v>mai/25</v>
      </c>
      <c r="T1925" s="4">
        <f>IF(Registro2[[#This Row],[Data de Pagamento]]="",0,IF(Registro2[[#This Row],[Conta Financeira]]=base!$A$6,0,Registro2[[#This Row],[Valor Unitário]]))</f>
        <v>55</v>
      </c>
      <c r="U19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25" t="str">
        <f>VLOOKUP(Registro2[[#This Row],[Categoria]],'Plano de Contas'!$V$3:W1979,2,0)</f>
        <v>Receitas Serviços</v>
      </c>
      <c r="X192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0.48949999999999999</v>
      </c>
    </row>
    <row r="1926" spans="1:24" hidden="1">
      <c r="A1926" s="1">
        <v>45780.59375</v>
      </c>
      <c r="B1926" s="1">
        <v>45780.59375</v>
      </c>
      <c r="D1926" t="s">
        <v>310</v>
      </c>
      <c r="E1926" t="s">
        <v>149</v>
      </c>
      <c r="F1926" t="s">
        <v>147</v>
      </c>
      <c r="G1926" t="s">
        <v>163</v>
      </c>
      <c r="I1926" s="4">
        <v>35</v>
      </c>
      <c r="J1926" s="4">
        <v>35</v>
      </c>
      <c r="L1926" t="s">
        <v>253</v>
      </c>
      <c r="M1926" t="s">
        <v>377</v>
      </c>
      <c r="N1926" s="4">
        <f>IF(L1926="","",IF(OR(Registro2[[#This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26" t="str">
        <f t="shared" si="33"/>
        <v>mai/25</v>
      </c>
      <c r="P1926" t="str">
        <f>IF(Registro2[[#This Row],[Data de Pagamento]]&gt;0,TEXT(A1926,"mmm/aa"),"")</f>
        <v>mai/25</v>
      </c>
      <c r="T1926" s="4">
        <f>IF(Registro2[[#This Row],[Data de Pagamento]]="",0,IF(Registro2[[#This Row],[Conta Financeira]]=base!$A$6,0,Registro2[[#This Row],[Valor Unitário]]))</f>
        <v>35</v>
      </c>
      <c r="U19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26" t="str">
        <f>VLOOKUP(Registro2[[#This Row],[Categoria]],'Plano de Contas'!$V$3:W1980,2,0)</f>
        <v>Receitas Serviços</v>
      </c>
      <c r="X192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927" spans="1:24" hidden="1">
      <c r="A1927" s="1">
        <v>45780.53125</v>
      </c>
      <c r="B1927" s="1">
        <v>45780.53125</v>
      </c>
      <c r="D1927" t="s">
        <v>354</v>
      </c>
      <c r="E1927" t="s">
        <v>149</v>
      </c>
      <c r="F1927" t="s">
        <v>147</v>
      </c>
      <c r="G1927" t="s">
        <v>163</v>
      </c>
      <c r="I1927" s="4">
        <v>35</v>
      </c>
      <c r="J1927" s="4">
        <v>35</v>
      </c>
      <c r="L1927" t="s">
        <v>253</v>
      </c>
      <c r="M1927" t="s">
        <v>2771</v>
      </c>
      <c r="N1927" s="4">
        <f>IF(L1927="","",IF(OR(Registro2[[#This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27" t="str">
        <f t="shared" si="33"/>
        <v>mai/25</v>
      </c>
      <c r="P1927" t="str">
        <f>IF(Registro2[[#This Row],[Data de Pagamento]]&gt;0,TEXT(A1927,"mmm/aa"),"")</f>
        <v>mai/25</v>
      </c>
      <c r="T1927" s="4">
        <f>IF(Registro2[[#This Row],[Data de Pagamento]]="",0,IF(Registro2[[#This Row],[Conta Financeira]]=base!$A$6,0,Registro2[[#This Row],[Valor Unitário]]))</f>
        <v>35</v>
      </c>
      <c r="U19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27" t="str">
        <f>VLOOKUP(Registro2[[#This Row],[Categoria]],'Plano de Contas'!$V$3:W1981,2,0)</f>
        <v>Receitas Serviços</v>
      </c>
      <c r="X192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928" spans="1:24" hidden="1">
      <c r="A1928" s="1">
        <v>45780.541666666664</v>
      </c>
      <c r="B1928" s="1">
        <v>45780.541666666664</v>
      </c>
      <c r="D1928" t="s">
        <v>1</v>
      </c>
      <c r="E1928" t="s">
        <v>149</v>
      </c>
      <c r="F1928" t="s">
        <v>152</v>
      </c>
      <c r="G1928" t="s">
        <v>353</v>
      </c>
      <c r="I1928" s="4">
        <v>60</v>
      </c>
      <c r="J1928" s="4">
        <v>100</v>
      </c>
      <c r="L1928" t="s">
        <v>252</v>
      </c>
      <c r="M1928" t="s">
        <v>1823</v>
      </c>
      <c r="N1928" s="4">
        <f>IF(L1928="","",IF(OR(Registro2[[#This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928" t="str">
        <f t="shared" si="33"/>
        <v>mai/25</v>
      </c>
      <c r="P1928" t="str">
        <f>IF(Registro2[[#This Row],[Data de Pagamento]]&gt;0,TEXT(A1928,"mmm/aa"),"")</f>
        <v>mai/25</v>
      </c>
      <c r="T1928" s="4">
        <f>IF(Registro2[[#This Row],[Data de Pagamento]]="",0,IF(Registro2[[#This Row],[Conta Financeira]]=base!$A$6,0,Registro2[[#This Row],[Valor Unitário]]))</f>
        <v>60</v>
      </c>
      <c r="U19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28" t="str">
        <f>VLOOKUP(Registro2[[#This Row],[Categoria]],'Plano de Contas'!$V$3:W1982,2,0)</f>
        <v>Receitas Serviços</v>
      </c>
      <c r="X192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29" spans="1:24" hidden="1">
      <c r="A1929" s="1">
        <v>45780.541666666664</v>
      </c>
      <c r="B1929" s="1">
        <v>45780.541666666664</v>
      </c>
      <c r="D1929" t="s">
        <v>1</v>
      </c>
      <c r="E1929" t="s">
        <v>149</v>
      </c>
      <c r="F1929" t="s">
        <v>150</v>
      </c>
      <c r="G1929" t="s">
        <v>2477</v>
      </c>
      <c r="I1929" s="4">
        <v>25</v>
      </c>
      <c r="J1929" s="4">
        <v>0</v>
      </c>
      <c r="L1929" t="s">
        <v>252</v>
      </c>
      <c r="M1929" t="s">
        <v>1823</v>
      </c>
      <c r="N1929" s="4">
        <f>IF(L1929="","",IF(OR(Registro2[[#This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929" t="str">
        <f t="shared" si="33"/>
        <v>mai/25</v>
      </c>
      <c r="P1929" t="str">
        <f>IF(Registro2[[#This Row],[Data de Pagamento]]&gt;0,TEXT(A1929,"mmm/aa"),"")</f>
        <v>mai/25</v>
      </c>
      <c r="T1929" s="4">
        <f>IF(Registro2[[#This Row],[Data de Pagamento]]="",0,IF(Registro2[[#This Row],[Conta Financeira]]=base!$A$6,0,Registro2[[#This Row],[Valor Unitário]]))</f>
        <v>25</v>
      </c>
      <c r="U19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29" t="e">
        <f>VLOOKUP(Registro2[[#This Row],[Categoria]],'Plano de Contas'!$V$3:W1983,2,0)</f>
        <v>#N/A</v>
      </c>
      <c r="X19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30" spans="1:24">
      <c r="A1930" s="1">
        <v>45780.541666666664</v>
      </c>
      <c r="B1930" s="1">
        <v>45780.541666666664</v>
      </c>
      <c r="D1930" t="s">
        <v>1</v>
      </c>
      <c r="E1930" t="s">
        <v>149</v>
      </c>
      <c r="F1930" t="s">
        <v>910</v>
      </c>
      <c r="G1930" t="s">
        <v>910</v>
      </c>
      <c r="I1930" s="4">
        <v>15</v>
      </c>
      <c r="J1930" s="4">
        <v>0</v>
      </c>
      <c r="L1930" t="s">
        <v>252</v>
      </c>
      <c r="M1930" t="s">
        <v>1823</v>
      </c>
      <c r="N1930" s="4" t="str">
        <f>IF(L1930="","",IF(OR(Registro2[[#This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930" t="str">
        <f t="shared" si="33"/>
        <v>mai/25</v>
      </c>
      <c r="P1930" t="str">
        <f>IF(Registro2[[#This Row],[Data de Pagamento]]&gt;0,TEXT(A1930,"mmm/aa"),"")</f>
        <v>mai/25</v>
      </c>
      <c r="T1930" s="4">
        <f>IF(Registro2[[#This Row],[Data de Pagamento]]="",0,IF(Registro2[[#This Row],[Conta Financeira]]=base!$A$6,0,Registro2[[#This Row],[Valor Unitário]]))</f>
        <v>15</v>
      </c>
      <c r="U19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30" t="str">
        <f>VLOOKUP(Registro2[[#This Row],[Categoria]],'Plano de Contas'!$V$3:W1984,2,0)</f>
        <v>Outras Receitas</v>
      </c>
      <c r="X193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31" spans="1:24" hidden="1">
      <c r="A1931" s="1">
        <v>45780.770833333336</v>
      </c>
      <c r="B1931" s="1">
        <v>45780.770833333336</v>
      </c>
      <c r="D1931" t="s">
        <v>1</v>
      </c>
      <c r="E1931" t="s">
        <v>149</v>
      </c>
      <c r="F1931" t="s">
        <v>152</v>
      </c>
      <c r="G1931" t="s">
        <v>353</v>
      </c>
      <c r="I1931" s="4">
        <v>60</v>
      </c>
      <c r="J1931" s="4">
        <v>60</v>
      </c>
      <c r="L1931" t="s">
        <v>252</v>
      </c>
      <c r="M1931" t="s">
        <v>1049</v>
      </c>
      <c r="N1931" s="4">
        <f>IF(L1931="","",IF(OR(Registro2[[#This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931" t="str">
        <f t="shared" si="33"/>
        <v>mai/25</v>
      </c>
      <c r="P1931" t="str">
        <f>IF(Registro2[[#This Row],[Data de Pagamento]]&gt;0,TEXT(A1931,"mmm/aa"),"")</f>
        <v>mai/25</v>
      </c>
      <c r="T1931" s="4">
        <f>IF(Registro2[[#This Row],[Data de Pagamento]]="",0,IF(Registro2[[#This Row],[Conta Financeira]]=base!$A$6,0,Registro2[[#This Row],[Valor Unitário]]))</f>
        <v>60</v>
      </c>
      <c r="U19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31" t="str">
        <f>VLOOKUP(Registro2[[#This Row],[Categoria]],'Plano de Contas'!$V$3:W1985,2,0)</f>
        <v>Receitas Serviços</v>
      </c>
      <c r="X193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32" spans="1:24" hidden="1">
      <c r="A1932" s="1">
        <v>45780.604166666664</v>
      </c>
      <c r="B1932" s="1">
        <v>45780.604166666664</v>
      </c>
      <c r="D1932" t="s">
        <v>2</v>
      </c>
      <c r="E1932" t="s">
        <v>149</v>
      </c>
      <c r="F1932" t="s">
        <v>147</v>
      </c>
      <c r="G1932" t="s">
        <v>163</v>
      </c>
      <c r="I1932" s="4">
        <v>35</v>
      </c>
      <c r="J1932" s="4">
        <v>35</v>
      </c>
      <c r="L1932" t="s">
        <v>253</v>
      </c>
      <c r="M1932" t="s">
        <v>2775</v>
      </c>
      <c r="N1932" s="4">
        <f>IF(L1932="","",IF(OR(Registro2[[#This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32" t="str">
        <f t="shared" si="33"/>
        <v>mai/25</v>
      </c>
      <c r="P1932" t="str">
        <f>IF(Registro2[[#This Row],[Data de Pagamento]]&gt;0,TEXT(A1932,"mmm/aa"),"")</f>
        <v>mai/25</v>
      </c>
      <c r="T1932" s="4">
        <f>IF(Registro2[[#This Row],[Data de Pagamento]]="",0,IF(Registro2[[#This Row],[Conta Financeira]]=base!$A$6,0,Registro2[[#This Row],[Valor Unitário]]))</f>
        <v>35</v>
      </c>
      <c r="U19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32" t="str">
        <f>VLOOKUP(Registro2[[#This Row],[Categoria]],'Plano de Contas'!$V$3:W1986,2,0)</f>
        <v>Receitas Serviços</v>
      </c>
      <c r="X193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33" spans="1:24" hidden="1">
      <c r="A1933" s="1">
        <v>45780.625</v>
      </c>
      <c r="B1933" s="1">
        <v>45780.625</v>
      </c>
      <c r="D1933" t="s">
        <v>1</v>
      </c>
      <c r="E1933" t="s">
        <v>149</v>
      </c>
      <c r="F1933" t="s">
        <v>152</v>
      </c>
      <c r="G1933" t="s">
        <v>353</v>
      </c>
      <c r="I1933" s="4">
        <v>55</v>
      </c>
      <c r="J1933" s="4">
        <v>80</v>
      </c>
      <c r="L1933" t="s">
        <v>264</v>
      </c>
      <c r="M1933" t="s">
        <v>502</v>
      </c>
      <c r="N1933" s="4">
        <f>IF(L1933="","",IF(OR(Registro2[[#This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1933" t="str">
        <f t="shared" si="33"/>
        <v>mai/25</v>
      </c>
      <c r="P1933" t="str">
        <f>IF(Registro2[[#This Row],[Data de Pagamento]]&gt;0,TEXT(A1933,"mmm/aa"),"")</f>
        <v>mai/25</v>
      </c>
      <c r="T1933" s="4">
        <f>IF(Registro2[[#This Row],[Data de Pagamento]]="",0,IF(Registro2[[#This Row],[Conta Financeira]]=base!$A$6,0,Registro2[[#This Row],[Valor Unitário]]))</f>
        <v>55</v>
      </c>
      <c r="U19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33" t="str">
        <f>VLOOKUP(Registro2[[#This Row],[Categoria]],'Plano de Contas'!$V$3:W1987,2,0)</f>
        <v>Receitas Serviços</v>
      </c>
      <c r="X193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34" spans="1:24">
      <c r="A1934" s="1">
        <v>45780.625</v>
      </c>
      <c r="B1934" s="1">
        <v>45780.625</v>
      </c>
      <c r="D1934" t="s">
        <v>1</v>
      </c>
      <c r="E1934" t="s">
        <v>149</v>
      </c>
      <c r="F1934" t="s">
        <v>910</v>
      </c>
      <c r="G1934" t="s">
        <v>910</v>
      </c>
      <c r="I1934" s="4">
        <v>25</v>
      </c>
      <c r="J1934" s="4">
        <v>0</v>
      </c>
      <c r="L1934" t="s">
        <v>264</v>
      </c>
      <c r="M1934" t="s">
        <v>502</v>
      </c>
      <c r="N1934" s="4" t="str">
        <f>IF(L1934="","",IF(OR(Registro2[[#This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934" t="str">
        <f t="shared" si="33"/>
        <v>mai/25</v>
      </c>
      <c r="P1934" t="str">
        <f>IF(Registro2[[#This Row],[Data de Pagamento]]&gt;0,TEXT(A1934,"mmm/aa"),"")</f>
        <v>mai/25</v>
      </c>
      <c r="T1934" s="4">
        <f>IF(Registro2[[#This Row],[Data de Pagamento]]="",0,IF(Registro2[[#This Row],[Conta Financeira]]=base!$A$6,0,Registro2[[#This Row],[Valor Unitário]]))</f>
        <v>25</v>
      </c>
      <c r="U19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34" t="str">
        <f>VLOOKUP(Registro2[[#This Row],[Categoria]],'Plano de Contas'!$V$3:W1988,2,0)</f>
        <v>Outras Receitas</v>
      </c>
      <c r="X193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35" spans="1:24" hidden="1">
      <c r="A1935" s="1">
        <v>45780.708333333336</v>
      </c>
      <c r="B1935" s="1">
        <v>45780.708333333336</v>
      </c>
      <c r="D1935" t="s">
        <v>2</v>
      </c>
      <c r="E1935" t="s">
        <v>149</v>
      </c>
      <c r="F1935" t="s">
        <v>147</v>
      </c>
      <c r="G1935" t="s">
        <v>160</v>
      </c>
      <c r="I1935" s="4">
        <v>12</v>
      </c>
      <c r="J1935" s="4">
        <v>12</v>
      </c>
      <c r="L1935" t="s">
        <v>253</v>
      </c>
      <c r="M1935" t="s">
        <v>115</v>
      </c>
      <c r="N1935" s="4">
        <f>IF(L1935="","",IF(OR(Registro2[[#This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1935" t="str">
        <f t="shared" si="33"/>
        <v>mai/25</v>
      </c>
      <c r="P1935" t="str">
        <f>IF(Registro2[[#This Row],[Data de Pagamento]]&gt;0,TEXT(A1935,"mmm/aa"),"")</f>
        <v>mai/25</v>
      </c>
      <c r="T1935" s="4">
        <f>IF(Registro2[[#This Row],[Data de Pagamento]]="",0,IF(Registro2[[#This Row],[Conta Financeira]]=base!$A$6,0,Registro2[[#This Row],[Valor Unitário]]))</f>
        <v>12</v>
      </c>
      <c r="U19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35" t="str">
        <f>VLOOKUP(Registro2[[#This Row],[Categoria]],'Plano de Contas'!$V$3:W1989,2,0)</f>
        <v>Receitas Serviços</v>
      </c>
      <c r="X193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36" spans="1:24" hidden="1">
      <c r="A1936" s="1">
        <v>45780.6875</v>
      </c>
      <c r="B1936" s="1">
        <v>45780.6875</v>
      </c>
      <c r="D1936" t="s">
        <v>2</v>
      </c>
      <c r="E1936" t="s">
        <v>149</v>
      </c>
      <c r="F1936" t="s">
        <v>147</v>
      </c>
      <c r="G1936" t="s">
        <v>163</v>
      </c>
      <c r="I1936" s="4">
        <v>35</v>
      </c>
      <c r="J1936" s="4">
        <v>40</v>
      </c>
      <c r="L1936" t="s">
        <v>264</v>
      </c>
      <c r="M1936" t="s">
        <v>382</v>
      </c>
      <c r="N1936" s="4">
        <f>IF(L1936="","",IF(OR(Registro2[[#This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36" t="str">
        <f t="shared" si="33"/>
        <v>mai/25</v>
      </c>
      <c r="P1936" t="str">
        <f>IF(Registro2[[#This Row],[Data de Pagamento]]&gt;0,TEXT(A1936,"mmm/aa"),"")</f>
        <v>mai/25</v>
      </c>
      <c r="T1936" s="4">
        <f>IF(Registro2[[#This Row],[Data de Pagamento]]="",0,IF(Registro2[[#This Row],[Conta Financeira]]=base!$A$6,0,Registro2[[#This Row],[Valor Unitário]]))</f>
        <v>35</v>
      </c>
      <c r="U19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36" t="str">
        <f>VLOOKUP(Registro2[[#This Row],[Categoria]],'Plano de Contas'!$V$3:W1990,2,0)</f>
        <v>Receitas Serviços</v>
      </c>
      <c r="X193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37" spans="1:24">
      <c r="A1937" s="1">
        <v>45780.6875</v>
      </c>
      <c r="B1937" s="1">
        <v>45780.6875</v>
      </c>
      <c r="D1937" t="s">
        <v>2</v>
      </c>
      <c r="E1937" t="s">
        <v>149</v>
      </c>
      <c r="F1937" t="s">
        <v>910</v>
      </c>
      <c r="G1937" t="s">
        <v>910</v>
      </c>
      <c r="I1937" s="4">
        <v>5</v>
      </c>
      <c r="J1937" s="4">
        <v>0</v>
      </c>
      <c r="L1937" t="s">
        <v>264</v>
      </c>
      <c r="M1937" t="s">
        <v>382</v>
      </c>
      <c r="N1937" s="4" t="str">
        <f>IF(L1937="","",IF(OR(Registro2[[#This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937" t="str">
        <f t="shared" si="33"/>
        <v>mai/25</v>
      </c>
      <c r="P1937" t="str">
        <f>IF(Registro2[[#This Row],[Data de Pagamento]]&gt;0,TEXT(A1937,"mmm/aa"),"")</f>
        <v>mai/25</v>
      </c>
      <c r="T1937" s="4">
        <f>IF(Registro2[[#This Row],[Data de Pagamento]]="",0,IF(Registro2[[#This Row],[Conta Financeira]]=base!$A$6,0,Registro2[[#This Row],[Valor Unitário]]))</f>
        <v>5</v>
      </c>
      <c r="U19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37" t="str">
        <f>VLOOKUP(Registro2[[#This Row],[Categoria]],'Plano de Contas'!$V$3:W1991,2,0)</f>
        <v>Outras Receitas</v>
      </c>
      <c r="X193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38" spans="1:24" hidden="1">
      <c r="A1938" s="1">
        <v>45780.673611111109</v>
      </c>
      <c r="B1938" s="1">
        <v>45780.673611111109</v>
      </c>
      <c r="D1938" t="s">
        <v>310</v>
      </c>
      <c r="E1938" t="s">
        <v>149</v>
      </c>
      <c r="F1938" t="s">
        <v>147</v>
      </c>
      <c r="G1938" t="s">
        <v>163</v>
      </c>
      <c r="I1938" s="4">
        <v>35</v>
      </c>
      <c r="J1938" s="4">
        <v>110</v>
      </c>
      <c r="L1938" t="s">
        <v>253</v>
      </c>
      <c r="M1938" t="s">
        <v>2780</v>
      </c>
      <c r="N1938" s="4">
        <f>IF(L1938="","",IF(OR(Registro2[[#This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38" t="str">
        <f t="shared" si="33"/>
        <v>mai/25</v>
      </c>
      <c r="P1938" t="str">
        <f>IF(Registro2[[#This Row],[Data de Pagamento]]&gt;0,TEXT(A1938,"mmm/aa"),"")</f>
        <v>mai/25</v>
      </c>
      <c r="T1938" s="4">
        <f>IF(Registro2[[#This Row],[Data de Pagamento]]="",0,IF(Registro2[[#This Row],[Conta Financeira]]=base!$A$6,0,Registro2[[#This Row],[Valor Unitário]]))</f>
        <v>35</v>
      </c>
      <c r="U19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38" t="str">
        <f>VLOOKUP(Registro2[[#This Row],[Categoria]],'Plano de Contas'!$V$3:W1992,2,0)</f>
        <v>Receitas Serviços</v>
      </c>
      <c r="X193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939" spans="1:24" hidden="1">
      <c r="A1939" s="1">
        <v>45780.673611111109</v>
      </c>
      <c r="B1939" s="1">
        <v>45780.673611111109</v>
      </c>
      <c r="D1939" t="s">
        <v>310</v>
      </c>
      <c r="E1939" t="s">
        <v>149</v>
      </c>
      <c r="F1939" t="s">
        <v>147</v>
      </c>
      <c r="G1939" t="s">
        <v>163</v>
      </c>
      <c r="I1939" s="4">
        <v>35</v>
      </c>
      <c r="J1939" s="4">
        <v>0</v>
      </c>
      <c r="L1939" t="s">
        <v>253</v>
      </c>
      <c r="M1939" t="s">
        <v>2780</v>
      </c>
      <c r="N1939" s="4">
        <f>IF(L1939="","",IF(OR(Registro2[[#This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39" t="str">
        <f t="shared" si="33"/>
        <v>mai/25</v>
      </c>
      <c r="P1939" t="str">
        <f>IF(Registro2[[#This Row],[Data de Pagamento]]&gt;0,TEXT(A1939,"mmm/aa"),"")</f>
        <v>mai/25</v>
      </c>
      <c r="T1939" s="4">
        <f>IF(Registro2[[#This Row],[Data de Pagamento]]="",0,IF(Registro2[[#This Row],[Conta Financeira]]=base!$A$6,0,Registro2[[#This Row],[Valor Unitário]]))</f>
        <v>35</v>
      </c>
      <c r="U19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39" t="str">
        <f>VLOOKUP(Registro2[[#This Row],[Categoria]],'Plano de Contas'!$V$3:W1993,2,0)</f>
        <v>Receitas Serviços</v>
      </c>
      <c r="X193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1940" spans="1:24" hidden="1">
      <c r="A1940" s="1">
        <v>45780.673611111109</v>
      </c>
      <c r="B1940" s="1">
        <v>45780.673611111109</v>
      </c>
      <c r="D1940" t="s">
        <v>310</v>
      </c>
      <c r="E1940" t="s">
        <v>149</v>
      </c>
      <c r="F1940" t="s">
        <v>147</v>
      </c>
      <c r="G1940" t="s">
        <v>1446</v>
      </c>
      <c r="I1940" s="4">
        <v>15</v>
      </c>
      <c r="J1940" s="4">
        <v>0</v>
      </c>
      <c r="L1940" t="s">
        <v>253</v>
      </c>
      <c r="M1940" t="s">
        <v>2780</v>
      </c>
      <c r="N1940" s="4">
        <f>IF(L1940="","",IF(OR(Registro2[[#This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940" t="str">
        <f t="shared" si="33"/>
        <v>mai/25</v>
      </c>
      <c r="P1940" t="str">
        <f>IF(Registro2[[#This Row],[Data de Pagamento]]&gt;0,TEXT(A1940,"mmm/aa"),"")</f>
        <v>mai/25</v>
      </c>
      <c r="T1940" s="4">
        <f>IF(Registro2[[#This Row],[Data de Pagamento]]="",0,IF(Registro2[[#This Row],[Conta Financeira]]=base!$A$6,0,Registro2[[#This Row],[Valor Unitário]]))</f>
        <v>15</v>
      </c>
      <c r="U19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40" t="e">
        <f>VLOOKUP(Registro2[[#This Row],[Categoria]],'Plano de Contas'!$V$3:W1994,2,0)</f>
        <v>#N/A</v>
      </c>
      <c r="X194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</row>
    <row r="1941" spans="1:24" hidden="1">
      <c r="A1941" s="1">
        <v>45780.673611111109</v>
      </c>
      <c r="B1941" s="1">
        <v>45780.673611111109</v>
      </c>
      <c r="D1941" t="s">
        <v>310</v>
      </c>
      <c r="E1941" t="s">
        <v>149</v>
      </c>
      <c r="F1941" t="s">
        <v>150</v>
      </c>
      <c r="G1941" t="s">
        <v>2526</v>
      </c>
      <c r="I1941" s="4">
        <v>25</v>
      </c>
      <c r="J1941" s="4">
        <v>0</v>
      </c>
      <c r="L1941" t="s">
        <v>253</v>
      </c>
      <c r="M1941" t="s">
        <v>2780</v>
      </c>
      <c r="N1941" s="4">
        <f>IF(L1941="","",IF(OR(Registro2[[#This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941" t="str">
        <f t="shared" si="33"/>
        <v>mai/25</v>
      </c>
      <c r="P1941" t="str">
        <f>IF(Registro2[[#This Row],[Data de Pagamento]]&gt;0,TEXT(A1941,"mmm/aa"),"")</f>
        <v>mai/25</v>
      </c>
      <c r="T1941" s="4">
        <f>IF(Registro2[[#This Row],[Data de Pagamento]]="",0,IF(Registro2[[#This Row],[Conta Financeira]]=base!$A$6,0,Registro2[[#This Row],[Valor Unitário]]))</f>
        <v>25</v>
      </c>
      <c r="U19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41" t="e">
        <f>VLOOKUP(Registro2[[#This Row],[Categoria]],'Plano de Contas'!$V$3:W1995,2,0)</f>
        <v>#N/A</v>
      </c>
      <c r="X194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0.2225</v>
      </c>
    </row>
    <row r="1942" spans="1:24" hidden="1">
      <c r="A1942" s="1">
        <v>45780.75</v>
      </c>
      <c r="B1942" s="1">
        <v>45780.75</v>
      </c>
      <c r="D1942" t="s">
        <v>1</v>
      </c>
      <c r="E1942" t="s">
        <v>149</v>
      </c>
      <c r="F1942" t="s">
        <v>147</v>
      </c>
      <c r="G1942" t="s">
        <v>163</v>
      </c>
      <c r="I1942" s="4">
        <v>35</v>
      </c>
      <c r="J1942" s="4">
        <v>45</v>
      </c>
      <c r="L1942" t="s">
        <v>253</v>
      </c>
      <c r="M1942" t="s">
        <v>393</v>
      </c>
      <c r="N1942" s="4">
        <f>IF(L1942="","",IF(OR(Registro2[[#This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42" t="str">
        <f t="shared" si="33"/>
        <v>mai/25</v>
      </c>
      <c r="P1942" t="str">
        <f>IF(Registro2[[#This Row],[Data de Pagamento]]&gt;0,TEXT(A1942,"mmm/aa"),"")</f>
        <v>mai/25</v>
      </c>
      <c r="T1942" s="4">
        <f>IF(Registro2[[#This Row],[Data de Pagamento]]="",0,IF(Registro2[[#This Row],[Conta Financeira]]=base!$A$6,0,Registro2[[#This Row],[Valor Unitário]]))</f>
        <v>35</v>
      </c>
      <c r="U19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42" t="str">
        <f>VLOOKUP(Registro2[[#This Row],[Categoria]],'Plano de Contas'!$V$3:W1996,2,0)</f>
        <v>Receitas Serviços</v>
      </c>
      <c r="X194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43" spans="1:24" hidden="1">
      <c r="A1943" s="1">
        <v>45780.75</v>
      </c>
      <c r="B1943" s="1">
        <v>45780.75</v>
      </c>
      <c r="D1943" t="s">
        <v>1</v>
      </c>
      <c r="E1943" t="s">
        <v>149</v>
      </c>
      <c r="F1943" t="s">
        <v>147</v>
      </c>
      <c r="G1943" t="s">
        <v>167</v>
      </c>
      <c r="I1943" s="4">
        <v>10</v>
      </c>
      <c r="J1943" s="4">
        <v>0</v>
      </c>
      <c r="L1943" t="s">
        <v>253</v>
      </c>
      <c r="M1943" t="s">
        <v>393</v>
      </c>
      <c r="N1943" s="4">
        <f>IF(L1943="","",IF(OR(Registro2[[#This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943" t="str">
        <f t="shared" si="33"/>
        <v>mai/25</v>
      </c>
      <c r="P1943" t="str">
        <f>IF(Registro2[[#This Row],[Data de Pagamento]]&gt;0,TEXT(A1943,"mmm/aa"),"")</f>
        <v>mai/25</v>
      </c>
      <c r="T1943" s="4">
        <f>IF(Registro2[[#This Row],[Data de Pagamento]]="",0,IF(Registro2[[#This Row],[Conta Financeira]]=base!$A$6,0,Registro2[[#This Row],[Valor Unitário]]))</f>
        <v>10</v>
      </c>
      <c r="U19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43" t="str">
        <f>VLOOKUP(Registro2[[#This Row],[Categoria]],'Plano de Contas'!$V$3:W1997,2,0)</f>
        <v>Receitas Serviços</v>
      </c>
      <c r="X194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44" spans="1:24" hidden="1">
      <c r="A1944" s="1">
        <v>45780.704861111109</v>
      </c>
      <c r="B1944" s="1">
        <v>45780.704861111109</v>
      </c>
      <c r="D1944" t="s">
        <v>354</v>
      </c>
      <c r="E1944" t="s">
        <v>149</v>
      </c>
      <c r="F1944" t="s">
        <v>152</v>
      </c>
      <c r="G1944" t="s">
        <v>353</v>
      </c>
      <c r="I1944" s="4">
        <v>60</v>
      </c>
      <c r="J1944" s="4">
        <v>60</v>
      </c>
      <c r="L1944" t="s">
        <v>264</v>
      </c>
      <c r="M1944" t="s">
        <v>2783</v>
      </c>
      <c r="N1944" s="4">
        <f>IF(L1944="","",IF(OR(Registro2[[#This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944" t="str">
        <f t="shared" si="33"/>
        <v>mai/25</v>
      </c>
      <c r="P1944" t="str">
        <f>IF(Registro2[[#This Row],[Data de Pagamento]]&gt;0,TEXT(A1944,"mmm/aa"),"")</f>
        <v>mai/25</v>
      </c>
      <c r="T1944" s="4">
        <f>IF(Registro2[[#This Row],[Data de Pagamento]]="",0,IF(Registro2[[#This Row],[Conta Financeira]]=base!$A$6,0,Registro2[[#This Row],[Valor Unitário]]))</f>
        <v>60</v>
      </c>
      <c r="U19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44" t="str">
        <f>VLOOKUP(Registro2[[#This Row],[Categoria]],'Plano de Contas'!$V$3:W1998,2,0)</f>
        <v>Receitas Serviços</v>
      </c>
      <c r="X194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</row>
    <row r="1945" spans="1:24" hidden="1">
      <c r="A1945" s="1">
        <v>45780.6875</v>
      </c>
      <c r="B1945" s="1">
        <v>45780.6875</v>
      </c>
      <c r="D1945" t="s">
        <v>2</v>
      </c>
      <c r="E1945" t="s">
        <v>149</v>
      </c>
      <c r="F1945" t="s">
        <v>147</v>
      </c>
      <c r="G1945" t="s">
        <v>163</v>
      </c>
      <c r="I1945" s="4">
        <v>35</v>
      </c>
      <c r="J1945" s="4">
        <v>45</v>
      </c>
      <c r="L1945" t="s">
        <v>253</v>
      </c>
      <c r="M1945" t="s">
        <v>2785</v>
      </c>
      <c r="N1945" s="4">
        <f>IF(L1945="","",IF(OR(Registro2[[#This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45" t="str">
        <f t="shared" si="33"/>
        <v>mai/25</v>
      </c>
      <c r="P1945" t="str">
        <f>IF(Registro2[[#This Row],[Data de Pagamento]]&gt;0,TEXT(A1945,"mmm/aa"),"")</f>
        <v>mai/25</v>
      </c>
      <c r="T1945" s="4">
        <f>IF(Registro2[[#This Row],[Data de Pagamento]]="",0,IF(Registro2[[#This Row],[Conta Financeira]]=base!$A$6,0,Registro2[[#This Row],[Valor Unitário]]))</f>
        <v>35</v>
      </c>
      <c r="U19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45" t="str">
        <f>VLOOKUP(Registro2[[#This Row],[Categoria]],'Plano de Contas'!$V$3:W1999,2,0)</f>
        <v>Receitas Serviços</v>
      </c>
      <c r="X19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46" spans="1:24" hidden="1">
      <c r="A1946" s="1">
        <v>45780.6875</v>
      </c>
      <c r="B1946" s="1">
        <v>45780.6875</v>
      </c>
      <c r="D1946" t="s">
        <v>2</v>
      </c>
      <c r="E1946" t="s">
        <v>149</v>
      </c>
      <c r="F1946" t="s">
        <v>147</v>
      </c>
      <c r="G1946" t="s">
        <v>167</v>
      </c>
      <c r="I1946" s="4">
        <v>10</v>
      </c>
      <c r="J1946" s="4">
        <v>0</v>
      </c>
      <c r="L1946" t="s">
        <v>253</v>
      </c>
      <c r="M1946" t="s">
        <v>2785</v>
      </c>
      <c r="N1946" s="4">
        <f>IF(L1946="","",IF(OR(Registro2[[#This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946" t="str">
        <f t="shared" si="33"/>
        <v>mai/25</v>
      </c>
      <c r="P1946" t="str">
        <f>IF(Registro2[[#This Row],[Data de Pagamento]]&gt;0,TEXT(A1946,"mmm/aa"),"")</f>
        <v>mai/25</v>
      </c>
      <c r="T1946" s="4">
        <f>IF(Registro2[[#This Row],[Data de Pagamento]]="",0,IF(Registro2[[#This Row],[Conta Financeira]]=base!$A$6,0,Registro2[[#This Row],[Valor Unitário]]))</f>
        <v>10</v>
      </c>
      <c r="U19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46" t="str">
        <f>VLOOKUP(Registro2[[#This Row],[Categoria]],'Plano de Contas'!$V$3:W2000,2,0)</f>
        <v>Receitas Serviços</v>
      </c>
      <c r="X194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47" spans="1:24" hidden="1">
      <c r="A1947" s="1">
        <v>45780.71875</v>
      </c>
      <c r="B1947" s="1">
        <v>45780.71875</v>
      </c>
      <c r="D1947" t="s">
        <v>1</v>
      </c>
      <c r="E1947" t="s">
        <v>149</v>
      </c>
      <c r="F1947" t="s">
        <v>147</v>
      </c>
      <c r="G1947" t="s">
        <v>163</v>
      </c>
      <c r="I1947" s="4">
        <v>35</v>
      </c>
      <c r="J1947" s="4">
        <v>40</v>
      </c>
      <c r="L1947" t="s">
        <v>252</v>
      </c>
      <c r="M1947" t="s">
        <v>2787</v>
      </c>
      <c r="N1947" s="4">
        <f>IF(L1947="","",IF(OR(Registro2[[#This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47" t="str">
        <f t="shared" si="33"/>
        <v>mai/25</v>
      </c>
      <c r="P1947" t="str">
        <f>IF(Registro2[[#This Row],[Data de Pagamento]]&gt;0,TEXT(A1947,"mmm/aa"),"")</f>
        <v>mai/25</v>
      </c>
      <c r="T1947" s="4">
        <f>IF(Registro2[[#This Row],[Data de Pagamento]]="",0,IF(Registro2[[#This Row],[Conta Financeira]]=base!$A$6,0,Registro2[[#This Row],[Valor Unitário]]))</f>
        <v>35</v>
      </c>
      <c r="U19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47" t="str">
        <f>VLOOKUP(Registro2[[#This Row],[Categoria]],'Plano de Contas'!$V$3:W2001,2,0)</f>
        <v>Receitas Serviços</v>
      </c>
      <c r="X194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48" spans="1:24">
      <c r="A1948" s="1">
        <v>45780.71875</v>
      </c>
      <c r="B1948" s="1">
        <v>45780.71875</v>
      </c>
      <c r="D1948" t="s">
        <v>1</v>
      </c>
      <c r="E1948" t="s">
        <v>149</v>
      </c>
      <c r="F1948" t="s">
        <v>910</v>
      </c>
      <c r="G1948" t="s">
        <v>910</v>
      </c>
      <c r="I1948" s="4">
        <v>5</v>
      </c>
      <c r="J1948" s="4">
        <v>0</v>
      </c>
      <c r="L1948" t="s">
        <v>252</v>
      </c>
      <c r="M1948" t="s">
        <v>2787</v>
      </c>
      <c r="N1948" s="4" t="str">
        <f>IF(L1948="","",IF(OR(Registro2[[#This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948" t="str">
        <f t="shared" si="33"/>
        <v>mai/25</v>
      </c>
      <c r="P1948" t="str">
        <f>IF(Registro2[[#This Row],[Data de Pagamento]]&gt;0,TEXT(A1948,"mmm/aa"),"")</f>
        <v>mai/25</v>
      </c>
      <c r="T1948" s="4">
        <f>IF(Registro2[[#This Row],[Data de Pagamento]]="",0,IF(Registro2[[#This Row],[Conta Financeira]]=base!$A$6,0,Registro2[[#This Row],[Valor Unitário]]))</f>
        <v>5</v>
      </c>
      <c r="U19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48" t="str">
        <f>VLOOKUP(Registro2[[#This Row],[Categoria]],'Plano de Contas'!$V$3:W2002,2,0)</f>
        <v>Outras Receitas</v>
      </c>
      <c r="X194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49" spans="1:24" hidden="1">
      <c r="A1949" s="1">
        <v>45780.71875</v>
      </c>
      <c r="B1949" s="1">
        <v>45780.71875</v>
      </c>
      <c r="D1949" t="s">
        <v>1</v>
      </c>
      <c r="E1949" t="s">
        <v>149</v>
      </c>
      <c r="F1949" t="s">
        <v>152</v>
      </c>
      <c r="G1949" t="s">
        <v>353</v>
      </c>
      <c r="I1949" s="4">
        <v>55</v>
      </c>
      <c r="J1949" s="4">
        <v>70</v>
      </c>
      <c r="L1949" t="s">
        <v>252</v>
      </c>
      <c r="M1949" t="s">
        <v>105</v>
      </c>
      <c r="N1949" s="4">
        <f>IF(L1949="","",IF(OR(Registro2[[#This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1949" t="str">
        <f t="shared" si="33"/>
        <v>mai/25</v>
      </c>
      <c r="P1949" t="str">
        <f>IF(Registro2[[#This Row],[Data de Pagamento]]&gt;0,TEXT(A1949,"mmm/aa"),"")</f>
        <v>mai/25</v>
      </c>
      <c r="T1949" s="4">
        <f>IF(Registro2[[#This Row],[Data de Pagamento]]="",0,IF(Registro2[[#This Row],[Conta Financeira]]=base!$A$6,0,Registro2[[#This Row],[Valor Unitário]]))</f>
        <v>55</v>
      </c>
      <c r="U19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49" t="str">
        <f>VLOOKUP(Registro2[[#This Row],[Categoria]],'Plano de Contas'!$V$3:W2003,2,0)</f>
        <v>Receitas Serviços</v>
      </c>
      <c r="X194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50" spans="1:24" hidden="1">
      <c r="A1950" s="1">
        <v>45780.71875</v>
      </c>
      <c r="B1950" s="1">
        <v>45780.71875</v>
      </c>
      <c r="D1950" t="s">
        <v>1</v>
      </c>
      <c r="E1950" t="s">
        <v>149</v>
      </c>
      <c r="F1950" t="s">
        <v>147</v>
      </c>
      <c r="G1950" t="s">
        <v>1446</v>
      </c>
      <c r="I1950" s="4">
        <v>15</v>
      </c>
      <c r="J1950" s="4">
        <v>0</v>
      </c>
      <c r="L1950" t="s">
        <v>252</v>
      </c>
      <c r="M1950" t="s">
        <v>105</v>
      </c>
      <c r="N1950" s="4">
        <f>IF(L1950="","",IF(OR(Registro2[[#This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950" t="str">
        <f t="shared" si="33"/>
        <v>mai/25</v>
      </c>
      <c r="P1950" t="str">
        <f>IF(Registro2[[#This Row],[Data de Pagamento]]&gt;0,TEXT(A1950,"mmm/aa"),"")</f>
        <v>mai/25</v>
      </c>
      <c r="T1950" s="4">
        <f>IF(Registro2[[#This Row],[Data de Pagamento]]="",0,IF(Registro2[[#This Row],[Conta Financeira]]=base!$A$6,0,Registro2[[#This Row],[Valor Unitário]]))</f>
        <v>15</v>
      </c>
      <c r="U19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50" t="e">
        <f>VLOOKUP(Registro2[[#This Row],[Categoria]],'Plano de Contas'!$V$3:W2004,2,0)</f>
        <v>#N/A</v>
      </c>
      <c r="X195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51" spans="1:24" hidden="1">
      <c r="A1951" s="1">
        <v>45780.75</v>
      </c>
      <c r="B1951" s="1">
        <v>45780.75</v>
      </c>
      <c r="D1951" t="s">
        <v>354</v>
      </c>
      <c r="E1951" t="s">
        <v>149</v>
      </c>
      <c r="F1951" t="s">
        <v>147</v>
      </c>
      <c r="G1951" t="s">
        <v>163</v>
      </c>
      <c r="I1951" s="4">
        <v>35</v>
      </c>
      <c r="J1951" s="4">
        <v>70</v>
      </c>
      <c r="L1951" t="s">
        <v>264</v>
      </c>
      <c r="M1951" t="s">
        <v>895</v>
      </c>
      <c r="N1951" s="4">
        <f>IF(L1951="","",IF(OR(Registro2[[#This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51" t="str">
        <f t="shared" si="33"/>
        <v>mai/25</v>
      </c>
      <c r="P1951" t="str">
        <f>IF(Registro2[[#This Row],[Data de Pagamento]]&gt;0,TEXT(A1951,"mmm/aa"),"")</f>
        <v>mai/25</v>
      </c>
      <c r="T1951" s="4">
        <f>IF(Registro2[[#This Row],[Data de Pagamento]]="",0,IF(Registro2[[#This Row],[Conta Financeira]]=base!$A$6,0,Registro2[[#This Row],[Valor Unitário]]))</f>
        <v>35</v>
      </c>
      <c r="U19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51" t="str">
        <f>VLOOKUP(Registro2[[#This Row],[Categoria]],'Plano de Contas'!$V$3:W2005,2,0)</f>
        <v>Receitas Serviços</v>
      </c>
      <c r="X195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952" spans="1:24" hidden="1">
      <c r="A1952" s="1">
        <v>45780.75</v>
      </c>
      <c r="B1952" s="1">
        <v>45780.75</v>
      </c>
      <c r="D1952" t="s">
        <v>354</v>
      </c>
      <c r="E1952" t="s">
        <v>149</v>
      </c>
      <c r="F1952" t="s">
        <v>147</v>
      </c>
      <c r="G1952" t="s">
        <v>163</v>
      </c>
      <c r="I1952" s="4">
        <v>35</v>
      </c>
      <c r="J1952" s="4">
        <v>0</v>
      </c>
      <c r="L1952" t="s">
        <v>252</v>
      </c>
      <c r="M1952" t="s">
        <v>895</v>
      </c>
      <c r="N1952" s="4">
        <f>IF(L1952="","",IF(OR(Registro2[[#This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52" t="str">
        <f t="shared" si="33"/>
        <v>mai/25</v>
      </c>
      <c r="P1952" t="str">
        <f>IF(Registro2[[#This Row],[Data de Pagamento]]&gt;0,TEXT(A1952,"mmm/aa"),"")</f>
        <v>mai/25</v>
      </c>
      <c r="T1952" s="4">
        <f>IF(Registro2[[#This Row],[Data de Pagamento]]="",0,IF(Registro2[[#This Row],[Conta Financeira]]=base!$A$6,0,Registro2[[#This Row],[Valor Unitário]]))</f>
        <v>35</v>
      </c>
      <c r="U19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52" t="str">
        <f>VLOOKUP(Registro2[[#This Row],[Categoria]],'Plano de Contas'!$V$3:W2006,2,0)</f>
        <v>Receitas Serviços</v>
      </c>
      <c r="X195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953" spans="1:24" hidden="1">
      <c r="A1953" s="1">
        <v>45780.791666666664</v>
      </c>
      <c r="B1953" s="1">
        <v>45780.791666666664</v>
      </c>
      <c r="D1953" t="s">
        <v>2</v>
      </c>
      <c r="E1953" t="s">
        <v>149</v>
      </c>
      <c r="F1953" t="s">
        <v>152</v>
      </c>
      <c r="G1953" t="s">
        <v>353</v>
      </c>
      <c r="I1953" s="4">
        <v>40</v>
      </c>
      <c r="J1953" s="4">
        <v>40</v>
      </c>
      <c r="L1953" t="s">
        <v>264</v>
      </c>
      <c r="M1953" t="s">
        <v>2791</v>
      </c>
      <c r="N1953" s="4">
        <f>IF(L1953="","",IF(OR(Registro2[[#This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1953" t="str">
        <f t="shared" si="33"/>
        <v>mai/25</v>
      </c>
      <c r="P1953" t="str">
        <f>IF(Registro2[[#This Row],[Data de Pagamento]]&gt;0,TEXT(A1953,"mmm/aa"),"")</f>
        <v>mai/25</v>
      </c>
      <c r="T1953" s="4">
        <f>IF(Registro2[[#This Row],[Data de Pagamento]]="",0,IF(Registro2[[#This Row],[Conta Financeira]]=base!$A$6,0,Registro2[[#This Row],[Valor Unitário]]))</f>
        <v>40</v>
      </c>
      <c r="U19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53" t="str">
        <f>VLOOKUP(Registro2[[#This Row],[Categoria]],'Plano de Contas'!$V$3:W2007,2,0)</f>
        <v>Receitas Serviços</v>
      </c>
      <c r="X195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54" spans="1:24" hidden="1">
      <c r="A1954" s="1">
        <v>45780.819444444445</v>
      </c>
      <c r="B1954" s="1">
        <v>45780.819444444445</v>
      </c>
      <c r="D1954" t="s">
        <v>310</v>
      </c>
      <c r="E1954" t="s">
        <v>149</v>
      </c>
      <c r="F1954" t="s">
        <v>147</v>
      </c>
      <c r="G1954" t="s">
        <v>1446</v>
      </c>
      <c r="I1954" s="4">
        <v>15</v>
      </c>
      <c r="J1954" s="4">
        <v>15</v>
      </c>
      <c r="L1954" t="s">
        <v>264</v>
      </c>
      <c r="M1954" t="s">
        <v>464</v>
      </c>
      <c r="N1954" s="4">
        <f>IF(L1954="","",IF(OR(Registro2[[#This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954" t="str">
        <f t="shared" si="33"/>
        <v>mai/25</v>
      </c>
      <c r="P1954" t="str">
        <f>IF(Registro2[[#This Row],[Data de Pagamento]]&gt;0,TEXT(A1954,"mmm/aa"),"")</f>
        <v>mai/25</v>
      </c>
      <c r="T1954" s="4">
        <f>IF(Registro2[[#This Row],[Data de Pagamento]]="",0,IF(Registro2[[#This Row],[Conta Financeira]]=base!$A$6,0,Registro2[[#This Row],[Valor Unitário]]))</f>
        <v>15</v>
      </c>
      <c r="U19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54" t="e">
        <f>VLOOKUP(Registro2[[#This Row],[Categoria]],'Plano de Contas'!$V$3:W2008,2,0)</f>
        <v>#N/A</v>
      </c>
      <c r="X195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</row>
    <row r="1955" spans="1:24" hidden="1">
      <c r="A1955" s="1">
        <v>45780.833333333336</v>
      </c>
      <c r="B1955" s="1">
        <v>45780.833333333336</v>
      </c>
      <c r="D1955" t="s">
        <v>1</v>
      </c>
      <c r="E1955" t="s">
        <v>149</v>
      </c>
      <c r="F1955" t="s">
        <v>147</v>
      </c>
      <c r="G1955" t="s">
        <v>163</v>
      </c>
      <c r="I1955" s="4">
        <v>20</v>
      </c>
      <c r="J1955" s="4">
        <v>40</v>
      </c>
      <c r="L1955" t="s">
        <v>264</v>
      </c>
      <c r="M1955" t="s">
        <v>796</v>
      </c>
      <c r="N1955" s="4">
        <f>IF(L1955="","",IF(OR(Registro2[[#This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955" t="str">
        <f t="shared" si="33"/>
        <v>mai/25</v>
      </c>
      <c r="P1955" t="str">
        <f>IF(Registro2[[#This Row],[Data de Pagamento]]&gt;0,TEXT(A1955,"mmm/aa"),"")</f>
        <v>mai/25</v>
      </c>
      <c r="T1955" s="4">
        <f>IF(Registro2[[#This Row],[Data de Pagamento]]="",0,IF(Registro2[[#This Row],[Conta Financeira]]=base!$A$6,0,Registro2[[#This Row],[Valor Unitário]]))</f>
        <v>20</v>
      </c>
      <c r="U19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55" t="str">
        <f>VLOOKUP(Registro2[[#This Row],[Categoria]],'Plano de Contas'!$V$3:W2009,2,0)</f>
        <v>Receitas Serviços</v>
      </c>
      <c r="X19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56" spans="1:24">
      <c r="A1956" s="1">
        <v>45780.833333333336</v>
      </c>
      <c r="B1956" s="1">
        <v>45780.833333333336</v>
      </c>
      <c r="D1956" t="s">
        <v>1</v>
      </c>
      <c r="E1956" t="s">
        <v>149</v>
      </c>
      <c r="F1956" t="s">
        <v>910</v>
      </c>
      <c r="G1956" t="s">
        <v>910</v>
      </c>
      <c r="I1956" s="4">
        <v>20</v>
      </c>
      <c r="J1956" s="4">
        <v>0</v>
      </c>
      <c r="L1956" t="s">
        <v>264</v>
      </c>
      <c r="M1956" t="s">
        <v>796</v>
      </c>
      <c r="N1956" s="4" t="str">
        <f>IF(L1956="","",IF(OR(Registro2[[#This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956" t="str">
        <f t="shared" si="33"/>
        <v>mai/25</v>
      </c>
      <c r="P1956" t="str">
        <f>IF(Registro2[[#This Row],[Data de Pagamento]]&gt;0,TEXT(A1956,"mmm/aa"),"")</f>
        <v>mai/25</v>
      </c>
      <c r="T1956" s="4">
        <f>IF(Registro2[[#This Row],[Data de Pagamento]]="",0,IF(Registro2[[#This Row],[Conta Financeira]]=base!$A$6,0,Registro2[[#This Row],[Valor Unitário]]))</f>
        <v>20</v>
      </c>
      <c r="U19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56" t="str">
        <f>VLOOKUP(Registro2[[#This Row],[Categoria]],'Plano de Contas'!$V$3:W2010,2,0)</f>
        <v>Outras Receitas</v>
      </c>
      <c r="X195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57" spans="1:24" hidden="1">
      <c r="A1957" s="1">
        <v>45782.645833333336</v>
      </c>
      <c r="B1957" s="1">
        <v>45782.645833333336</v>
      </c>
      <c r="D1957" t="s">
        <v>1</v>
      </c>
      <c r="E1957" t="s">
        <v>149</v>
      </c>
      <c r="F1957" t="s">
        <v>147</v>
      </c>
      <c r="G1957" t="s">
        <v>163</v>
      </c>
      <c r="I1957" s="4">
        <v>35</v>
      </c>
      <c r="J1957" s="4">
        <v>50</v>
      </c>
      <c r="L1957" t="s">
        <v>252</v>
      </c>
      <c r="M1957" t="s">
        <v>372</v>
      </c>
      <c r="N1957" s="4">
        <f>IF(L1957="","",IF(OR(Registro2[[#This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57" t="str">
        <f t="shared" si="33"/>
        <v>mai/25</v>
      </c>
      <c r="P1957" t="str">
        <f>IF(Registro2[[#This Row],[Data de Pagamento]]&gt;0,TEXT(A1957,"mmm/aa"),"")</f>
        <v>mai/25</v>
      </c>
      <c r="T1957" s="4">
        <f>IF(Registro2[[#This Row],[Data de Pagamento]]="",0,IF(Registro2[[#This Row],[Conta Financeira]]=base!$A$6,0,Registro2[[#This Row],[Valor Unitário]]))</f>
        <v>35</v>
      </c>
      <c r="U19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57" t="str">
        <f>VLOOKUP(Registro2[[#This Row],[Categoria]],'Plano de Contas'!$V$3:W2011,2,0)</f>
        <v>Receitas Serviços</v>
      </c>
      <c r="X19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58" spans="1:24">
      <c r="A1958" s="1">
        <v>45782.645833333336</v>
      </c>
      <c r="B1958" s="1">
        <v>45782.645833333336</v>
      </c>
      <c r="D1958" t="s">
        <v>1</v>
      </c>
      <c r="E1958" t="s">
        <v>149</v>
      </c>
      <c r="F1958" t="s">
        <v>910</v>
      </c>
      <c r="G1958" t="s">
        <v>910</v>
      </c>
      <c r="I1958" s="4">
        <v>5</v>
      </c>
      <c r="J1958" s="4">
        <v>0</v>
      </c>
      <c r="L1958" t="s">
        <v>252</v>
      </c>
      <c r="M1958" t="s">
        <v>372</v>
      </c>
      <c r="N1958" s="4" t="str">
        <f>IF(L1958="","",IF(OR(Registro2[[#This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958" t="str">
        <f t="shared" si="33"/>
        <v>mai/25</v>
      </c>
      <c r="P1958" t="str">
        <f>IF(Registro2[[#This Row],[Data de Pagamento]]&gt;0,TEXT(A1958,"mmm/aa"),"")</f>
        <v>mai/25</v>
      </c>
      <c r="T1958" s="4">
        <f>IF(Registro2[[#This Row],[Data de Pagamento]]="",0,IF(Registro2[[#This Row],[Conta Financeira]]=base!$A$6,0,Registro2[[#This Row],[Valor Unitário]]))</f>
        <v>5</v>
      </c>
      <c r="U19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58" t="str">
        <f>VLOOKUP(Registro2[[#This Row],[Categoria]],'Plano de Contas'!$V$3:W2012,2,0)</f>
        <v>Outras Receitas</v>
      </c>
      <c r="X19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59" spans="1:24" hidden="1">
      <c r="A1959" s="1">
        <v>45782.645833333336</v>
      </c>
      <c r="B1959" s="1">
        <v>45782.645833333336</v>
      </c>
      <c r="D1959" t="s">
        <v>1</v>
      </c>
      <c r="E1959" t="s">
        <v>149</v>
      </c>
      <c r="F1959" t="s">
        <v>147</v>
      </c>
      <c r="G1959" t="s">
        <v>167</v>
      </c>
      <c r="I1959" s="4">
        <v>10</v>
      </c>
      <c r="J1959" s="4">
        <v>0</v>
      </c>
      <c r="L1959" t="s">
        <v>252</v>
      </c>
      <c r="M1959" t="s">
        <v>372</v>
      </c>
      <c r="N1959" s="4">
        <f>IF(L1959="","",IF(OR(Registro2[[#This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959" t="str">
        <f t="shared" si="33"/>
        <v>mai/25</v>
      </c>
      <c r="P1959" t="str">
        <f>IF(Registro2[[#This Row],[Data de Pagamento]]&gt;0,TEXT(A1959,"mmm/aa"),"")</f>
        <v>mai/25</v>
      </c>
      <c r="T1959" s="4">
        <f>IF(Registro2[[#This Row],[Data de Pagamento]]="",0,IF(Registro2[[#This Row],[Conta Financeira]]=base!$A$6,0,Registro2[[#This Row],[Valor Unitário]]))</f>
        <v>10</v>
      </c>
      <c r="U19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59" t="str">
        <f>VLOOKUP(Registro2[[#This Row],[Categoria]],'Plano de Contas'!$V$3:W2013,2,0)</f>
        <v>Receitas Serviços</v>
      </c>
      <c r="X195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60" spans="1:24" hidden="1">
      <c r="A1960" s="1">
        <v>45782.520833333336</v>
      </c>
      <c r="B1960" s="1">
        <v>45782.520833333336</v>
      </c>
      <c r="D1960" t="s">
        <v>2</v>
      </c>
      <c r="E1960" t="s">
        <v>149</v>
      </c>
      <c r="F1960" t="s">
        <v>147</v>
      </c>
      <c r="G1960" t="s">
        <v>163</v>
      </c>
      <c r="I1960" s="4">
        <v>20</v>
      </c>
      <c r="J1960" s="4">
        <v>20</v>
      </c>
      <c r="L1960" t="s">
        <v>253</v>
      </c>
      <c r="M1960" t="s">
        <v>1368</v>
      </c>
      <c r="N1960" s="4">
        <f>IF(L1960="","",IF(OR(Registro2[[#This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960" t="str">
        <f t="shared" si="33"/>
        <v>mai/25</v>
      </c>
      <c r="P1960" t="str">
        <f>IF(Registro2[[#This Row],[Data de Pagamento]]&gt;0,TEXT(A1960,"mmm/aa"),"")</f>
        <v>mai/25</v>
      </c>
      <c r="T1960" s="4">
        <f>IF(Registro2[[#This Row],[Data de Pagamento]]="",0,IF(Registro2[[#This Row],[Conta Financeira]]=base!$A$6,0,Registro2[[#This Row],[Valor Unitário]]))</f>
        <v>20</v>
      </c>
      <c r="U19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60" t="str">
        <f>VLOOKUP(Registro2[[#This Row],[Categoria]],'Plano de Contas'!$V$3:W2014,2,0)</f>
        <v>Receitas Serviços</v>
      </c>
      <c r="X19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61" spans="1:24" hidden="1">
      <c r="A1961" s="1">
        <v>45782.569444444445</v>
      </c>
      <c r="B1961" s="1">
        <v>45782.569444444445</v>
      </c>
      <c r="D1961" t="s">
        <v>1</v>
      </c>
      <c r="E1961" t="s">
        <v>149</v>
      </c>
      <c r="F1961" t="s">
        <v>147</v>
      </c>
      <c r="G1961" t="s">
        <v>163</v>
      </c>
      <c r="I1961" s="4">
        <v>35</v>
      </c>
      <c r="J1961" s="4">
        <v>35</v>
      </c>
      <c r="L1961" t="s">
        <v>252</v>
      </c>
      <c r="M1961" t="s">
        <v>58</v>
      </c>
      <c r="N1961" s="4">
        <f>IF(L1961="","",IF(OR(Registro2[[#This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61" t="str">
        <f t="shared" si="33"/>
        <v>mai/25</v>
      </c>
      <c r="P1961" t="str">
        <f>IF(Registro2[[#This Row],[Data de Pagamento]]&gt;0,TEXT(A1961,"mmm/aa"),"")</f>
        <v>mai/25</v>
      </c>
      <c r="T1961" s="4">
        <f>IF(Registro2[[#This Row],[Data de Pagamento]]="",0,IF(Registro2[[#This Row],[Conta Financeira]]=base!$A$6,0,Registro2[[#This Row],[Valor Unitário]]))</f>
        <v>35</v>
      </c>
      <c r="U19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61" t="str">
        <f>VLOOKUP(Registro2[[#This Row],[Categoria]],'Plano de Contas'!$V$3:W2015,2,0)</f>
        <v>Receitas Serviços</v>
      </c>
      <c r="X19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62" spans="1:24" hidden="1">
      <c r="A1962" s="1">
        <v>45782.586805555555</v>
      </c>
      <c r="B1962" s="1">
        <v>45782.586805555555</v>
      </c>
      <c r="D1962" t="s">
        <v>1</v>
      </c>
      <c r="E1962" t="s">
        <v>149</v>
      </c>
      <c r="F1962" t="s">
        <v>152</v>
      </c>
      <c r="G1962" t="s">
        <v>353</v>
      </c>
      <c r="I1962" s="4">
        <v>60</v>
      </c>
      <c r="J1962" s="4">
        <v>115</v>
      </c>
      <c r="L1962" t="s">
        <v>253</v>
      </c>
      <c r="M1962" t="s">
        <v>2162</v>
      </c>
      <c r="N1962" s="4">
        <f>IF(L1962="","",IF(OR(Registro2[[#This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962" t="str">
        <f t="shared" si="33"/>
        <v>mai/25</v>
      </c>
      <c r="P1962" t="str">
        <f>IF(Registro2[[#This Row],[Data de Pagamento]]&gt;0,TEXT(A1962,"mmm/aa"),"")</f>
        <v>mai/25</v>
      </c>
      <c r="T1962" s="4">
        <f>IF(Registro2[[#This Row],[Data de Pagamento]]="",0,IF(Registro2[[#This Row],[Conta Financeira]]=base!$A$6,0,Registro2[[#This Row],[Valor Unitário]]))</f>
        <v>60</v>
      </c>
      <c r="U19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62" t="str">
        <f>VLOOKUP(Registro2[[#This Row],[Categoria]],'Plano de Contas'!$V$3:W2016,2,0)</f>
        <v>Receitas Serviços</v>
      </c>
      <c r="X196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63" spans="1:24" hidden="1">
      <c r="A1963" s="1">
        <v>45782.586805555555</v>
      </c>
      <c r="B1963" s="1">
        <v>45782.586805555555</v>
      </c>
      <c r="D1963" t="s">
        <v>1</v>
      </c>
      <c r="E1963" t="s">
        <v>149</v>
      </c>
      <c r="F1963" t="s">
        <v>150</v>
      </c>
      <c r="G1963" t="s">
        <v>2536</v>
      </c>
      <c r="I1963" s="4">
        <v>35</v>
      </c>
      <c r="J1963" s="4">
        <v>0</v>
      </c>
      <c r="L1963" t="s">
        <v>253</v>
      </c>
      <c r="M1963" t="s">
        <v>2162</v>
      </c>
      <c r="N1963" s="4">
        <f>IF(L1963="","",IF(OR(Registro2[[#This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14</v>
      </c>
      <c r="O1963" t="str">
        <f t="shared" si="33"/>
        <v>mai/25</v>
      </c>
      <c r="P1963" t="str">
        <f>IF(Registro2[[#This Row],[Data de Pagamento]]&gt;0,TEXT(A1963,"mmm/aa"),"")</f>
        <v>mai/25</v>
      </c>
      <c r="T1963" s="4">
        <f>IF(Registro2[[#This Row],[Data de Pagamento]]="",0,IF(Registro2[[#This Row],[Conta Financeira]]=base!$A$6,0,Registro2[[#This Row],[Valor Unitário]]))</f>
        <v>35</v>
      </c>
      <c r="U19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63" t="e">
        <f>VLOOKUP(Registro2[[#This Row],[Categoria]],'Plano de Contas'!$V$3:W2017,2,0)</f>
        <v>#N/A</v>
      </c>
      <c r="X196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64" spans="1:24" hidden="1">
      <c r="A1964" s="1">
        <v>45782.586805555555</v>
      </c>
      <c r="B1964" s="1">
        <v>45782.586805555555</v>
      </c>
      <c r="D1964" t="s">
        <v>1</v>
      </c>
      <c r="E1964" t="s">
        <v>149</v>
      </c>
      <c r="F1964" t="s">
        <v>152</v>
      </c>
      <c r="G1964" t="s">
        <v>352</v>
      </c>
      <c r="I1964" s="4">
        <v>20</v>
      </c>
      <c r="J1964" s="4">
        <v>0</v>
      </c>
      <c r="L1964" t="s">
        <v>253</v>
      </c>
      <c r="M1964" t="s">
        <v>2162</v>
      </c>
      <c r="N1964" s="4">
        <f>IF(L1964="","",IF(OR(Registro2[[#This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1964" t="str">
        <f t="shared" si="33"/>
        <v>mai/25</v>
      </c>
      <c r="P1964" t="str">
        <f>IF(Registro2[[#This Row],[Data de Pagamento]]&gt;0,TEXT(A1964,"mmm/aa"),"")</f>
        <v>mai/25</v>
      </c>
      <c r="T1964" s="4">
        <f>IF(Registro2[[#This Row],[Data de Pagamento]]="",0,IF(Registro2[[#This Row],[Conta Financeira]]=base!$A$6,0,Registro2[[#This Row],[Valor Unitário]]))</f>
        <v>20</v>
      </c>
      <c r="U19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64" t="str">
        <f>VLOOKUP(Registro2[[#This Row],[Categoria]],'Plano de Contas'!$V$3:W2018,2,0)</f>
        <v>Receitas Serviços</v>
      </c>
      <c r="X196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65" spans="1:24" hidden="1">
      <c r="A1965" s="1">
        <v>45782.625</v>
      </c>
      <c r="B1965" s="1">
        <v>45782.625</v>
      </c>
      <c r="D1965" t="s">
        <v>354</v>
      </c>
      <c r="E1965" t="s">
        <v>149</v>
      </c>
      <c r="F1965" t="s">
        <v>147</v>
      </c>
      <c r="G1965" t="s">
        <v>163</v>
      </c>
      <c r="I1965" s="4">
        <v>35</v>
      </c>
      <c r="J1965" s="4">
        <v>35</v>
      </c>
      <c r="L1965" t="s">
        <v>252</v>
      </c>
      <c r="M1965" t="s">
        <v>2799</v>
      </c>
      <c r="N1965" s="4">
        <f>IF(L1965="","",IF(OR(Registro2[[#This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65" t="str">
        <f t="shared" si="33"/>
        <v>mai/25</v>
      </c>
      <c r="P1965" t="str">
        <f>IF(Registro2[[#This Row],[Data de Pagamento]]&gt;0,TEXT(A1965,"mmm/aa"),"")</f>
        <v>mai/25</v>
      </c>
      <c r="T1965" s="4">
        <f>IF(Registro2[[#This Row],[Data de Pagamento]]="",0,IF(Registro2[[#This Row],[Conta Financeira]]=base!$A$6,0,Registro2[[#This Row],[Valor Unitário]]))</f>
        <v>35</v>
      </c>
      <c r="U19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65" t="str">
        <f>VLOOKUP(Registro2[[#This Row],[Categoria]],'Plano de Contas'!$V$3:W2019,2,0)</f>
        <v>Receitas Serviços</v>
      </c>
      <c r="X196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966" spans="1:24" hidden="1">
      <c r="A1966" s="1">
        <v>45782.607638888891</v>
      </c>
      <c r="B1966" s="1">
        <v>45782.607638888891</v>
      </c>
      <c r="D1966" t="s">
        <v>1</v>
      </c>
      <c r="E1966" t="s">
        <v>149</v>
      </c>
      <c r="F1966" t="s">
        <v>147</v>
      </c>
      <c r="G1966" t="s">
        <v>163</v>
      </c>
      <c r="I1966" s="4">
        <v>35</v>
      </c>
      <c r="J1966" s="4">
        <v>45</v>
      </c>
      <c r="L1966" t="s">
        <v>253</v>
      </c>
      <c r="M1966" t="s">
        <v>35</v>
      </c>
      <c r="N1966" s="4">
        <f>IF(L1966="","",IF(OR(Registro2[[#This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66" t="str">
        <f t="shared" si="33"/>
        <v>mai/25</v>
      </c>
      <c r="P1966" t="str">
        <f>IF(Registro2[[#This Row],[Data de Pagamento]]&gt;0,TEXT(A1966,"mmm/aa"),"")</f>
        <v>mai/25</v>
      </c>
      <c r="T1966" s="4">
        <f>IF(Registro2[[#This Row],[Data de Pagamento]]="",0,IF(Registro2[[#This Row],[Conta Financeira]]=base!$A$6,0,Registro2[[#This Row],[Valor Unitário]]))</f>
        <v>35</v>
      </c>
      <c r="U19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66" t="str">
        <f>VLOOKUP(Registro2[[#This Row],[Categoria]],'Plano de Contas'!$V$3:W2020,2,0)</f>
        <v>Receitas Serviços</v>
      </c>
      <c r="X19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67" spans="1:24" hidden="1">
      <c r="A1967" s="1">
        <v>45782.607638888891</v>
      </c>
      <c r="B1967" s="1">
        <v>45782.607638888891</v>
      </c>
      <c r="D1967" t="s">
        <v>1</v>
      </c>
      <c r="E1967" t="s">
        <v>149</v>
      </c>
      <c r="F1967" t="s">
        <v>147</v>
      </c>
      <c r="G1967" t="s">
        <v>167</v>
      </c>
      <c r="I1967" s="4">
        <v>10</v>
      </c>
      <c r="J1967" s="4">
        <v>0</v>
      </c>
      <c r="L1967" t="s">
        <v>253</v>
      </c>
      <c r="M1967" t="s">
        <v>35</v>
      </c>
      <c r="N1967" s="4">
        <f>IF(L1967="","",IF(OR(Registro2[[#This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967" t="str">
        <f t="shared" si="33"/>
        <v>mai/25</v>
      </c>
      <c r="P1967" t="str">
        <f>IF(Registro2[[#This Row],[Data de Pagamento]]&gt;0,TEXT(A1967,"mmm/aa"),"")</f>
        <v>mai/25</v>
      </c>
      <c r="T1967" s="4">
        <f>IF(Registro2[[#This Row],[Data de Pagamento]]="",0,IF(Registro2[[#This Row],[Conta Financeira]]=base!$A$6,0,Registro2[[#This Row],[Valor Unitário]]))</f>
        <v>10</v>
      </c>
      <c r="U19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67" t="str">
        <f>VLOOKUP(Registro2[[#This Row],[Categoria]],'Plano de Contas'!$V$3:W2021,2,0)</f>
        <v>Receitas Serviços</v>
      </c>
      <c r="X196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68" spans="1:24" hidden="1">
      <c r="A1968" s="1">
        <v>45782.614583333336</v>
      </c>
      <c r="B1968" s="1">
        <v>45782.614583333336</v>
      </c>
      <c r="D1968" t="s">
        <v>310</v>
      </c>
      <c r="E1968" t="s">
        <v>149</v>
      </c>
      <c r="F1968" t="s">
        <v>147</v>
      </c>
      <c r="G1968" t="s">
        <v>1446</v>
      </c>
      <c r="I1968" s="4">
        <v>15</v>
      </c>
      <c r="J1968" s="4">
        <v>35</v>
      </c>
      <c r="L1968" t="s">
        <v>252</v>
      </c>
      <c r="M1968" t="s">
        <v>2802</v>
      </c>
      <c r="N1968" s="4">
        <f>IF(L1968="","",IF(OR(Registro2[[#This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968" t="str">
        <f t="shared" si="33"/>
        <v>mai/25</v>
      </c>
      <c r="P1968" t="str">
        <f>IF(Registro2[[#This Row],[Data de Pagamento]]&gt;0,TEXT(A1968,"mmm/aa"),"")</f>
        <v>mai/25</v>
      </c>
      <c r="T1968" s="4">
        <f>IF(Registro2[[#This Row],[Data de Pagamento]]="",0,IF(Registro2[[#This Row],[Conta Financeira]]=base!$A$6,0,Registro2[[#This Row],[Valor Unitário]]))</f>
        <v>15</v>
      </c>
      <c r="U19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68" t="e">
        <f>VLOOKUP(Registro2[[#This Row],[Categoria]],'Plano de Contas'!$V$3:W2022,2,0)</f>
        <v>#N/A</v>
      </c>
      <c r="X196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</row>
    <row r="1969" spans="1:24">
      <c r="A1969" s="1">
        <v>45782.614583333336</v>
      </c>
      <c r="B1969" s="1">
        <v>45782.614583333336</v>
      </c>
      <c r="D1969" t="s">
        <v>310</v>
      </c>
      <c r="E1969" t="s">
        <v>149</v>
      </c>
      <c r="F1969" t="s">
        <v>910</v>
      </c>
      <c r="G1969" t="s">
        <v>910</v>
      </c>
      <c r="I1969" s="4">
        <v>20</v>
      </c>
      <c r="J1969" s="4">
        <v>0</v>
      </c>
      <c r="L1969" t="s">
        <v>252</v>
      </c>
      <c r="M1969" t="s">
        <v>2802</v>
      </c>
      <c r="N1969" s="4" t="str">
        <f>IF(L1969="","",IF(OR(Registro2[[#This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969" t="str">
        <f t="shared" si="33"/>
        <v>mai/25</v>
      </c>
      <c r="P1969" t="str">
        <f>IF(Registro2[[#This Row],[Data de Pagamento]]&gt;0,TEXT(A1969,"mmm/aa"),"")</f>
        <v>mai/25</v>
      </c>
      <c r="T1969" s="4">
        <f>IF(Registro2[[#This Row],[Data de Pagamento]]="",0,IF(Registro2[[#This Row],[Conta Financeira]]=base!$A$6,0,Registro2[[#This Row],[Valor Unitário]]))</f>
        <v>20</v>
      </c>
      <c r="U19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69" t="str">
        <f>VLOOKUP(Registro2[[#This Row],[Categoria]],'Plano de Contas'!$V$3:W2023,2,0)</f>
        <v>Outras Receitas</v>
      </c>
      <c r="X196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</row>
    <row r="1970" spans="1:24" hidden="1">
      <c r="A1970" s="1">
        <v>45782.5</v>
      </c>
      <c r="B1970" s="1">
        <v>45782.5</v>
      </c>
      <c r="D1970" t="s">
        <v>354</v>
      </c>
      <c r="E1970" t="s">
        <v>149</v>
      </c>
      <c r="F1970" t="s">
        <v>152</v>
      </c>
      <c r="G1970" t="s">
        <v>353</v>
      </c>
      <c r="I1970" s="4">
        <v>60</v>
      </c>
      <c r="J1970" s="4">
        <v>60</v>
      </c>
      <c r="L1970" t="s">
        <v>252</v>
      </c>
      <c r="M1970" t="s">
        <v>2613</v>
      </c>
      <c r="N1970" s="4">
        <f>IF(L1970="","",IF(OR(Registro2[[#This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970" t="str">
        <f t="shared" si="33"/>
        <v>mai/25</v>
      </c>
      <c r="P1970" t="str">
        <f>IF(Registro2[[#This Row],[Data de Pagamento]]&gt;0,TEXT(A1970,"mmm/aa"),"")</f>
        <v>mai/25</v>
      </c>
      <c r="T1970" s="4">
        <f>IF(Registro2[[#This Row],[Data de Pagamento]]="",0,IF(Registro2[[#This Row],[Conta Financeira]]=base!$A$6,0,Registro2[[#This Row],[Valor Unitário]]))</f>
        <v>60</v>
      </c>
      <c r="U19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70" t="str">
        <f>VLOOKUP(Registro2[[#This Row],[Categoria]],'Plano de Contas'!$V$3:W2024,2,0)</f>
        <v>Receitas Serviços</v>
      </c>
      <c r="X197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</row>
    <row r="1971" spans="1:24" hidden="1">
      <c r="A1971" s="1">
        <v>45782.6875</v>
      </c>
      <c r="B1971" s="1">
        <v>45782.6875</v>
      </c>
      <c r="D1971" t="s">
        <v>354</v>
      </c>
      <c r="E1971" t="s">
        <v>149</v>
      </c>
      <c r="F1971" t="s">
        <v>147</v>
      </c>
      <c r="G1971" t="s">
        <v>163</v>
      </c>
      <c r="I1971" s="4">
        <v>35</v>
      </c>
      <c r="J1971" s="4">
        <v>35</v>
      </c>
      <c r="L1971" t="s">
        <v>253</v>
      </c>
      <c r="M1971" t="s">
        <v>1874</v>
      </c>
      <c r="N1971" s="4">
        <f>IF(L1971="","",IF(OR(Registro2[[#This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71" t="str">
        <f t="shared" si="33"/>
        <v>mai/25</v>
      </c>
      <c r="P1971" t="str">
        <f>IF(Registro2[[#This Row],[Data de Pagamento]]&gt;0,TEXT(A1971,"mmm/aa"),"")</f>
        <v>mai/25</v>
      </c>
      <c r="T1971" s="4">
        <f>IF(Registro2[[#This Row],[Data de Pagamento]]="",0,IF(Registro2[[#This Row],[Conta Financeira]]=base!$A$6,0,Registro2[[#This Row],[Valor Unitário]]))</f>
        <v>35</v>
      </c>
      <c r="U19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71" t="str">
        <f>VLOOKUP(Registro2[[#This Row],[Categoria]],'Plano de Contas'!$V$3:W2025,2,0)</f>
        <v>Receitas Serviços</v>
      </c>
      <c r="X197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1972" spans="1:24" hidden="1">
      <c r="A1972" s="1">
        <v>45786.416666666664</v>
      </c>
      <c r="B1972" s="1">
        <v>45786.416666666664</v>
      </c>
      <c r="D1972" t="s">
        <v>1</v>
      </c>
      <c r="E1972" t="s">
        <v>149</v>
      </c>
      <c r="F1972" t="s">
        <v>152</v>
      </c>
      <c r="G1972" t="s">
        <v>353</v>
      </c>
      <c r="I1972" s="4">
        <v>60</v>
      </c>
      <c r="J1972" s="4">
        <v>150</v>
      </c>
      <c r="L1972" t="s">
        <v>252</v>
      </c>
      <c r="M1972" t="s">
        <v>2806</v>
      </c>
      <c r="N1972" s="4">
        <f>IF(L1972="","",IF(OR(Registro2[[#This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972" t="str">
        <f t="shared" si="33"/>
        <v>mai/25</v>
      </c>
      <c r="P1972" t="str">
        <f>IF(Registro2[[#This Row],[Data de Pagamento]]&gt;0,TEXT(A1972,"mmm/aa"),"")</f>
        <v>mai/25</v>
      </c>
      <c r="T1972" s="4">
        <f>IF(Registro2[[#This Row],[Data de Pagamento]]="",0,IF(Registro2[[#This Row],[Conta Financeira]]=base!$A$6,0,Registro2[[#This Row],[Valor Unitário]]))</f>
        <v>60</v>
      </c>
      <c r="U19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72" t="str">
        <f>VLOOKUP(Registro2[[#This Row],[Categoria]],'Plano de Contas'!$V$3:W2026,2,0)</f>
        <v>Receitas Serviços</v>
      </c>
      <c r="X197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73" spans="1:24" hidden="1">
      <c r="A1973" s="1">
        <v>45786.416666666664</v>
      </c>
      <c r="B1973" s="1">
        <v>45786.416666666664</v>
      </c>
      <c r="D1973" t="s">
        <v>1</v>
      </c>
      <c r="E1973" t="s">
        <v>149</v>
      </c>
      <c r="F1973" t="s">
        <v>150</v>
      </c>
      <c r="G1973" t="s">
        <v>2536</v>
      </c>
      <c r="I1973" s="4">
        <v>40</v>
      </c>
      <c r="J1973" s="4">
        <v>0</v>
      </c>
      <c r="L1973" t="s">
        <v>252</v>
      </c>
      <c r="M1973" t="s">
        <v>2806</v>
      </c>
      <c r="N1973" s="4">
        <f>IF(L1973="","",IF(OR(Registro2[[#This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1973" t="str">
        <f t="shared" si="33"/>
        <v>mai/25</v>
      </c>
      <c r="P1973" t="str">
        <f>IF(Registro2[[#This Row],[Data de Pagamento]]&gt;0,TEXT(A1973,"mmm/aa"),"")</f>
        <v>mai/25</v>
      </c>
      <c r="T1973" s="4">
        <f>IF(Registro2[[#This Row],[Data de Pagamento]]="",0,IF(Registro2[[#This Row],[Conta Financeira]]=base!$A$6,0,Registro2[[#This Row],[Valor Unitário]]))</f>
        <v>40</v>
      </c>
      <c r="U19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73" t="e">
        <f>VLOOKUP(Registro2[[#This Row],[Categoria]],'Plano de Contas'!$V$3:W2027,2,0)</f>
        <v>#N/A</v>
      </c>
      <c r="X197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74" spans="1:24" hidden="1">
      <c r="A1974" s="1">
        <v>45786.416666666664</v>
      </c>
      <c r="B1974" s="1">
        <v>45786.416666666664</v>
      </c>
      <c r="D1974" t="s">
        <v>1</v>
      </c>
      <c r="E1974" t="s">
        <v>149</v>
      </c>
      <c r="F1974" t="s">
        <v>150</v>
      </c>
      <c r="G1974" t="s">
        <v>2526</v>
      </c>
      <c r="I1974" s="4">
        <v>25</v>
      </c>
      <c r="J1974" s="4">
        <v>0</v>
      </c>
      <c r="L1974" t="s">
        <v>252</v>
      </c>
      <c r="M1974" t="s">
        <v>2806</v>
      </c>
      <c r="N1974" s="4">
        <f>IF(L1974="","",IF(OR(Registro2[[#This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1974" t="str">
        <f t="shared" si="33"/>
        <v>mai/25</v>
      </c>
      <c r="P1974" t="str">
        <f>IF(Registro2[[#This Row],[Data de Pagamento]]&gt;0,TEXT(A1974,"mmm/aa"),"")</f>
        <v>mai/25</v>
      </c>
      <c r="T1974" s="4">
        <f>IF(Registro2[[#This Row],[Data de Pagamento]]="",0,IF(Registro2[[#This Row],[Conta Financeira]]=base!$A$6,0,Registro2[[#This Row],[Valor Unitário]]))</f>
        <v>25</v>
      </c>
      <c r="U19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74" t="e">
        <f>VLOOKUP(Registro2[[#This Row],[Categoria]],'Plano de Contas'!$V$3:W2028,2,0)</f>
        <v>#N/A</v>
      </c>
      <c r="X197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75" spans="1:24" hidden="1">
      <c r="A1975" s="1">
        <v>45786.416666666664</v>
      </c>
      <c r="B1975" s="1">
        <v>45786.416666666664</v>
      </c>
      <c r="D1975" t="s">
        <v>1</v>
      </c>
      <c r="E1975" t="s">
        <v>149</v>
      </c>
      <c r="F1975" t="s">
        <v>147</v>
      </c>
      <c r="G1975" t="s">
        <v>1187</v>
      </c>
      <c r="I1975" s="4">
        <v>15</v>
      </c>
      <c r="J1975" s="4">
        <v>0</v>
      </c>
      <c r="L1975" t="s">
        <v>252</v>
      </c>
      <c r="M1975" t="s">
        <v>2806</v>
      </c>
      <c r="N1975" s="4">
        <f>IF(L1975="","",IF(OR(Registro2[[#This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975" t="str">
        <f t="shared" si="33"/>
        <v>mai/25</v>
      </c>
      <c r="P1975" t="str">
        <f>IF(Registro2[[#This Row],[Data de Pagamento]]&gt;0,TEXT(A1975,"mmm/aa"),"")</f>
        <v>mai/25</v>
      </c>
      <c r="T1975" s="4">
        <f>IF(Registro2[[#This Row],[Data de Pagamento]]="",0,IF(Registro2[[#This Row],[Conta Financeira]]=base!$A$6,0,Registro2[[#This Row],[Valor Unitário]]))</f>
        <v>15</v>
      </c>
      <c r="U19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75" t="str">
        <f>VLOOKUP(Registro2[[#This Row],[Categoria]],'Plano de Contas'!$V$3:W2029,2,0)</f>
        <v>Receitas Serviços</v>
      </c>
      <c r="X197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76" spans="1:24">
      <c r="A1976" s="1">
        <v>45786.416666666664</v>
      </c>
      <c r="B1976" s="1">
        <v>45786.416666666664</v>
      </c>
      <c r="D1976" t="s">
        <v>1</v>
      </c>
      <c r="E1976" t="s">
        <v>149</v>
      </c>
      <c r="F1976" t="s">
        <v>910</v>
      </c>
      <c r="G1976" t="s">
        <v>910</v>
      </c>
      <c r="I1976" s="4">
        <v>10</v>
      </c>
      <c r="J1976" s="4">
        <v>0</v>
      </c>
      <c r="L1976" t="s">
        <v>252</v>
      </c>
      <c r="M1976" t="s">
        <v>2806</v>
      </c>
      <c r="N1976" s="4" t="str">
        <f>IF(L1976="","",IF(OR(Registro2[[#This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1976" t="str">
        <f t="shared" si="33"/>
        <v>mai/25</v>
      </c>
      <c r="P1976" t="str">
        <f>IF(Registro2[[#This Row],[Data de Pagamento]]&gt;0,TEXT(A1976,"mmm/aa"),"")</f>
        <v>mai/25</v>
      </c>
      <c r="T1976" s="4">
        <f>IF(Registro2[[#This Row],[Data de Pagamento]]="",0,IF(Registro2[[#This Row],[Conta Financeira]]=base!$A$6,0,Registro2[[#This Row],[Valor Unitário]]))</f>
        <v>10</v>
      </c>
      <c r="U19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76" t="str">
        <f>VLOOKUP(Registro2[[#This Row],[Categoria]],'Plano de Contas'!$V$3:W2030,2,0)</f>
        <v>Outras Receitas</v>
      </c>
      <c r="X197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77" spans="1:24" hidden="1">
      <c r="A1977" s="1">
        <v>45783.541666666664</v>
      </c>
      <c r="B1977" s="1">
        <v>45783.541666666664</v>
      </c>
      <c r="D1977" t="s">
        <v>1</v>
      </c>
      <c r="E1977" t="s">
        <v>149</v>
      </c>
      <c r="F1977" t="s">
        <v>147</v>
      </c>
      <c r="G1977" t="s">
        <v>163</v>
      </c>
      <c r="I1977" s="4">
        <v>35</v>
      </c>
      <c r="J1977" s="4">
        <v>20</v>
      </c>
      <c r="L1977" t="s">
        <v>252</v>
      </c>
      <c r="M1977" t="s">
        <v>2808</v>
      </c>
      <c r="N1977" s="4">
        <f>IF(L1977="","",IF(OR(Registro2[[#This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77" t="str">
        <f t="shared" si="33"/>
        <v>mai/25</v>
      </c>
      <c r="P1977" t="str">
        <f>IF(Registro2[[#This Row],[Data de Pagamento]]&gt;0,TEXT(A1977,"mmm/aa"),"")</f>
        <v>mai/25</v>
      </c>
      <c r="T1977" s="4">
        <f>IF(Registro2[[#This Row],[Data de Pagamento]]="",0,IF(Registro2[[#This Row],[Conta Financeira]]=base!$A$6,0,Registro2[[#This Row],[Valor Unitário]]))</f>
        <v>35</v>
      </c>
      <c r="U19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77" t="str">
        <f>VLOOKUP(Registro2[[#This Row],[Categoria]],'Plano de Contas'!$V$3:W2031,2,0)</f>
        <v>Receitas Serviços</v>
      </c>
      <c r="X197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78" spans="1:24" hidden="1">
      <c r="A1978" s="1">
        <v>45785.416666666664</v>
      </c>
      <c r="B1978" s="1">
        <v>45785.416666666664</v>
      </c>
      <c r="D1978" t="s">
        <v>1</v>
      </c>
      <c r="E1978" t="s">
        <v>149</v>
      </c>
      <c r="F1978" t="s">
        <v>147</v>
      </c>
      <c r="G1978" t="s">
        <v>163</v>
      </c>
      <c r="I1978" s="4">
        <v>35</v>
      </c>
      <c r="J1978" s="4">
        <v>45</v>
      </c>
      <c r="L1978" t="s">
        <v>252</v>
      </c>
      <c r="M1978" t="s">
        <v>364</v>
      </c>
      <c r="N1978" s="4">
        <f>IF(L1978="","",IF(OR(Registro2[[#This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78" t="str">
        <f t="shared" si="33"/>
        <v>mai/25</v>
      </c>
      <c r="P1978" t="str">
        <f>IF(Registro2[[#This Row],[Data de Pagamento]]&gt;0,TEXT(A1978,"mmm/aa"),"")</f>
        <v>mai/25</v>
      </c>
      <c r="T1978" s="4">
        <f>IF(Registro2[[#This Row],[Data de Pagamento]]="",0,IF(Registro2[[#This Row],[Conta Financeira]]=base!$A$6,0,Registro2[[#This Row],[Valor Unitário]]))</f>
        <v>35</v>
      </c>
      <c r="U19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78" t="str">
        <f>VLOOKUP(Registro2[[#This Row],[Categoria]],'Plano de Contas'!$V$3:W2032,2,0)</f>
        <v>Receitas Serviços</v>
      </c>
      <c r="X19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79" spans="1:24" hidden="1">
      <c r="A1979" s="1">
        <v>45785.416666666664</v>
      </c>
      <c r="B1979" s="1">
        <v>45785.416666666664</v>
      </c>
      <c r="D1979" t="s">
        <v>1</v>
      </c>
      <c r="E1979" t="s">
        <v>149</v>
      </c>
      <c r="F1979" t="s">
        <v>147</v>
      </c>
      <c r="G1979" t="s">
        <v>167</v>
      </c>
      <c r="I1979" s="4">
        <v>10</v>
      </c>
      <c r="J1979" s="4">
        <v>0</v>
      </c>
      <c r="L1979" t="s">
        <v>252</v>
      </c>
      <c r="M1979" t="s">
        <v>364</v>
      </c>
      <c r="N1979" s="4">
        <f>IF(L1979="","",IF(OR(Registro2[[#This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1979" t="str">
        <f t="shared" si="33"/>
        <v>mai/25</v>
      </c>
      <c r="P1979" t="str">
        <f>IF(Registro2[[#This Row],[Data de Pagamento]]&gt;0,TEXT(A1979,"mmm/aa"),"")</f>
        <v>mai/25</v>
      </c>
      <c r="T1979" s="4">
        <f>IF(Registro2[[#This Row],[Data de Pagamento]]="",0,IF(Registro2[[#This Row],[Conta Financeira]]=base!$A$6,0,Registro2[[#This Row],[Valor Unitário]]))</f>
        <v>10</v>
      </c>
      <c r="U19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79" t="str">
        <f>VLOOKUP(Registro2[[#This Row],[Categoria]],'Plano de Contas'!$V$3:W2033,2,0)</f>
        <v>Receitas Serviços</v>
      </c>
      <c r="X197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80" spans="1:24" hidden="1">
      <c r="A1980" s="1">
        <v>45783.614583333336</v>
      </c>
      <c r="B1980" s="1">
        <v>45783.614583333336</v>
      </c>
      <c r="D1980" t="s">
        <v>2</v>
      </c>
      <c r="E1980" t="s">
        <v>149</v>
      </c>
      <c r="F1980" t="s">
        <v>147</v>
      </c>
      <c r="G1980" t="s">
        <v>163</v>
      </c>
      <c r="I1980" s="4">
        <v>35</v>
      </c>
      <c r="J1980" s="4">
        <v>35</v>
      </c>
      <c r="L1980" t="s">
        <v>264</v>
      </c>
      <c r="M1980" t="s">
        <v>2811</v>
      </c>
      <c r="N1980" s="4">
        <f>IF(L1980="","",IF(OR(Registro2[[#This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80" t="str">
        <f t="shared" si="33"/>
        <v>mai/25</v>
      </c>
      <c r="P1980" t="str">
        <f>IF(Registro2[[#This Row],[Data de Pagamento]]&gt;0,TEXT(A1980,"mmm/aa"),"")</f>
        <v>mai/25</v>
      </c>
      <c r="T1980" s="4">
        <f>IF(Registro2[[#This Row],[Data de Pagamento]]="",0,IF(Registro2[[#This Row],[Conta Financeira]]=base!$A$6,0,Registro2[[#This Row],[Valor Unitário]]))</f>
        <v>35</v>
      </c>
      <c r="U19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80" t="str">
        <f>VLOOKUP(Registro2[[#This Row],[Categoria]],'Plano de Contas'!$V$3:W2034,2,0)</f>
        <v>Receitas Serviços</v>
      </c>
      <c r="X198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81" spans="1:24" hidden="1">
      <c r="A1981" s="1">
        <v>45783.621527777781</v>
      </c>
      <c r="B1981" s="1">
        <v>45783.621527777781</v>
      </c>
      <c r="D1981" t="s">
        <v>2</v>
      </c>
      <c r="E1981" t="s">
        <v>149</v>
      </c>
      <c r="F1981" t="s">
        <v>152</v>
      </c>
      <c r="G1981" t="s">
        <v>353</v>
      </c>
      <c r="I1981" s="4">
        <v>50</v>
      </c>
      <c r="J1981" s="4">
        <v>50</v>
      </c>
      <c r="L1981" t="s">
        <v>253</v>
      </c>
      <c r="M1981" t="s">
        <v>383</v>
      </c>
      <c r="N1981" s="4">
        <f>IF(L1981="","",IF(OR(Registro2[[#This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1981" t="str">
        <f t="shared" si="33"/>
        <v>mai/25</v>
      </c>
      <c r="P1981" t="str">
        <f>IF(Registro2[[#This Row],[Data de Pagamento]]&gt;0,TEXT(A1981,"mmm/aa"),"")</f>
        <v>mai/25</v>
      </c>
      <c r="T1981" s="4">
        <f>IF(Registro2[[#This Row],[Data de Pagamento]]="",0,IF(Registro2[[#This Row],[Conta Financeira]]=base!$A$6,0,Registro2[[#This Row],[Valor Unitário]]))</f>
        <v>50</v>
      </c>
      <c r="U19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81" t="str">
        <f>VLOOKUP(Registro2[[#This Row],[Categoria]],'Plano de Contas'!$V$3:W2035,2,0)</f>
        <v>Receitas Serviços</v>
      </c>
      <c r="X198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82" spans="1:24" hidden="1">
      <c r="A1982" s="1">
        <v>45783.71875</v>
      </c>
      <c r="B1982" s="1">
        <v>45783.71875</v>
      </c>
      <c r="D1982" t="s">
        <v>1</v>
      </c>
      <c r="E1982" t="s">
        <v>149</v>
      </c>
      <c r="F1982" t="s">
        <v>147</v>
      </c>
      <c r="G1982" t="s">
        <v>163</v>
      </c>
      <c r="I1982" s="4">
        <v>35</v>
      </c>
      <c r="J1982" s="4">
        <v>35</v>
      </c>
      <c r="L1982" t="s">
        <v>252</v>
      </c>
      <c r="M1982" t="s">
        <v>1968</v>
      </c>
      <c r="N1982" s="4">
        <f>IF(L1982="","",IF(OR(Registro2[[#This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82" t="str">
        <f t="shared" si="33"/>
        <v>mai/25</v>
      </c>
      <c r="P1982" t="str">
        <f>IF(Registro2[[#This Row],[Data de Pagamento]]&gt;0,TEXT(A1982,"mmm/aa"),"")</f>
        <v>mai/25</v>
      </c>
      <c r="T1982" s="4">
        <f>IF(Registro2[[#This Row],[Data de Pagamento]]="",0,IF(Registro2[[#This Row],[Conta Financeira]]=base!$A$6,0,Registro2[[#This Row],[Valor Unitário]]))</f>
        <v>35</v>
      </c>
      <c r="U19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82" t="str">
        <f>VLOOKUP(Registro2[[#This Row],[Categoria]],'Plano de Contas'!$V$3:W2036,2,0)</f>
        <v>Receitas Serviços</v>
      </c>
      <c r="X19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83" spans="1:24" hidden="1">
      <c r="A1983" s="1">
        <v>45783.71875</v>
      </c>
      <c r="B1983" s="1">
        <v>45783.71875</v>
      </c>
      <c r="D1983" t="s">
        <v>1</v>
      </c>
      <c r="E1983" t="s">
        <v>149</v>
      </c>
      <c r="F1983" t="s">
        <v>147</v>
      </c>
      <c r="G1983" t="s">
        <v>163</v>
      </c>
      <c r="I1983" s="4">
        <v>35</v>
      </c>
      <c r="J1983" s="4">
        <v>0</v>
      </c>
      <c r="L1983" t="s">
        <v>253</v>
      </c>
      <c r="M1983" t="s">
        <v>378</v>
      </c>
      <c r="N1983" s="4">
        <f>IF(L1983="","",IF(OR(Registro2[[#This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83" t="str">
        <f t="shared" si="33"/>
        <v>mai/25</v>
      </c>
      <c r="P1983" t="str">
        <f>IF(Registro2[[#This Row],[Data de Pagamento]]&gt;0,TEXT(A1983,"mmm/aa"),"")</f>
        <v>mai/25</v>
      </c>
      <c r="T1983" s="4">
        <f>IF(Registro2[[#This Row],[Data de Pagamento]]="",0,IF(Registro2[[#This Row],[Conta Financeira]]=base!$A$6,0,Registro2[[#This Row],[Valor Unitário]]))</f>
        <v>35</v>
      </c>
      <c r="U19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83" t="str">
        <f>VLOOKUP(Registro2[[#This Row],[Categoria]],'Plano de Contas'!$V$3:W2037,2,0)</f>
        <v>Receitas Serviços</v>
      </c>
      <c r="X19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84" spans="1:24" hidden="1">
      <c r="A1984" s="1">
        <v>45783.739583333336</v>
      </c>
      <c r="B1984" s="1">
        <v>45783.739583333336</v>
      </c>
      <c r="D1984" t="s">
        <v>1</v>
      </c>
      <c r="E1984" t="s">
        <v>149</v>
      </c>
      <c r="F1984" t="s">
        <v>147</v>
      </c>
      <c r="G1984" t="s">
        <v>163</v>
      </c>
      <c r="I1984" s="4">
        <v>35</v>
      </c>
      <c r="J1984" s="4">
        <v>35</v>
      </c>
      <c r="L1984" t="s">
        <v>253</v>
      </c>
      <c r="M1984" t="s">
        <v>869</v>
      </c>
      <c r="N1984" s="4">
        <f>IF(L1984="","",IF(OR(Registro2[[#This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84" t="str">
        <f t="shared" si="33"/>
        <v>mai/25</v>
      </c>
      <c r="P1984" t="str">
        <f>IF(Registro2[[#This Row],[Data de Pagamento]]&gt;0,TEXT(A1984,"mmm/aa"),"")</f>
        <v>mai/25</v>
      </c>
      <c r="T1984" s="4">
        <f>IF(Registro2[[#This Row],[Data de Pagamento]]="",0,IF(Registro2[[#This Row],[Conta Financeira]]=base!$A$6,0,Registro2[[#This Row],[Valor Unitário]]))</f>
        <v>35</v>
      </c>
      <c r="U19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84" t="str">
        <f>VLOOKUP(Registro2[[#This Row],[Categoria]],'Plano de Contas'!$V$3:W2038,2,0)</f>
        <v>Receitas Serviços</v>
      </c>
      <c r="X198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85" spans="1:24" hidden="1">
      <c r="A1985" s="1">
        <v>45783.78125</v>
      </c>
      <c r="B1985" s="1">
        <v>45783.78125</v>
      </c>
      <c r="D1985" t="s">
        <v>1</v>
      </c>
      <c r="E1985" t="s">
        <v>149</v>
      </c>
      <c r="F1985" t="s">
        <v>147</v>
      </c>
      <c r="G1985" t="s">
        <v>163</v>
      </c>
      <c r="I1985" s="4">
        <v>35</v>
      </c>
      <c r="J1985" s="4">
        <v>35</v>
      </c>
      <c r="L1985" t="s">
        <v>252</v>
      </c>
      <c r="M1985" t="s">
        <v>2817</v>
      </c>
      <c r="N1985" s="4">
        <f>IF(L1985="","",IF(OR(Registro2[[#This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85" t="str">
        <f t="shared" si="33"/>
        <v>mai/25</v>
      </c>
      <c r="P1985" t="str">
        <f>IF(Registro2[[#This Row],[Data de Pagamento]]&gt;0,TEXT(A1985,"mmm/aa"),"")</f>
        <v>mai/25</v>
      </c>
      <c r="T1985" s="4">
        <f>IF(Registro2[[#This Row],[Data de Pagamento]]="",0,IF(Registro2[[#This Row],[Conta Financeira]]=base!$A$6,0,Registro2[[#This Row],[Valor Unitário]]))</f>
        <v>35</v>
      </c>
      <c r="U19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85" t="str">
        <f>VLOOKUP(Registro2[[#This Row],[Categoria]],'Plano de Contas'!$V$3:W2039,2,0)</f>
        <v>Receitas Serviços</v>
      </c>
      <c r="X198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86" spans="1:24" hidden="1">
      <c r="A1986" s="1">
        <v>45783.770833333336</v>
      </c>
      <c r="B1986" s="1">
        <v>45783.770833333336</v>
      </c>
      <c r="D1986" t="s">
        <v>1</v>
      </c>
      <c r="E1986" t="s">
        <v>149</v>
      </c>
      <c r="F1986" t="s">
        <v>147</v>
      </c>
      <c r="G1986" t="s">
        <v>163</v>
      </c>
      <c r="I1986" s="4">
        <v>35</v>
      </c>
      <c r="J1986" s="4">
        <v>35</v>
      </c>
      <c r="L1986" t="s">
        <v>253</v>
      </c>
      <c r="M1986" t="s">
        <v>1216</v>
      </c>
      <c r="N1986" s="4">
        <f>IF(L1986="","",IF(OR(Registro2[[#This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86" t="str">
        <f t="shared" ref="O1986:O2049" si="34">TEXT(B1986,"mmm/aa")</f>
        <v>mai/25</v>
      </c>
      <c r="P1986" t="str">
        <f>IF(Registro2[[#This Row],[Data de Pagamento]]&gt;0,TEXT(A1986,"mmm/aa"),"")</f>
        <v>mai/25</v>
      </c>
      <c r="T1986" s="4">
        <f>IF(Registro2[[#This Row],[Data de Pagamento]]="",0,IF(Registro2[[#This Row],[Conta Financeira]]=base!$A$6,0,Registro2[[#This Row],[Valor Unitário]]))</f>
        <v>35</v>
      </c>
      <c r="U19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86" t="str">
        <f>VLOOKUP(Registro2[[#This Row],[Categoria]],'Plano de Contas'!$V$3:W2040,2,0)</f>
        <v>Receitas Serviços</v>
      </c>
      <c r="X198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87" spans="1:24" hidden="1">
      <c r="A1987" s="1">
        <v>45784.479166666664</v>
      </c>
      <c r="B1987" s="1">
        <v>45784.479166666664</v>
      </c>
      <c r="D1987" t="s">
        <v>1</v>
      </c>
      <c r="E1987" t="s">
        <v>149</v>
      </c>
      <c r="F1987" t="s">
        <v>147</v>
      </c>
      <c r="G1987" t="s">
        <v>163</v>
      </c>
      <c r="I1987" s="4">
        <v>35</v>
      </c>
      <c r="J1987" s="4">
        <v>70</v>
      </c>
      <c r="L1987" t="s">
        <v>253</v>
      </c>
      <c r="M1987" t="s">
        <v>63</v>
      </c>
      <c r="N1987" s="4">
        <f>IF(L1987="","",IF(OR(Registro2[[#This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87" t="str">
        <f t="shared" si="34"/>
        <v>mai/25</v>
      </c>
      <c r="P1987" t="str">
        <f>IF(Registro2[[#This Row],[Data de Pagamento]]&gt;0,TEXT(A1987,"mmm/aa"),"")</f>
        <v>mai/25</v>
      </c>
      <c r="T1987" s="4">
        <f>IF(Registro2[[#This Row],[Data de Pagamento]]="",0,IF(Registro2[[#This Row],[Conta Financeira]]=base!$A$6,0,Registro2[[#This Row],[Valor Unitário]]))</f>
        <v>35</v>
      </c>
      <c r="U19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87" t="str">
        <f>VLOOKUP(Registro2[[#This Row],[Categoria]],'Plano de Contas'!$V$3:W2041,2,0)</f>
        <v>Receitas Serviços</v>
      </c>
      <c r="X198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88" spans="1:24" hidden="1">
      <c r="A1988" s="1">
        <v>45784.479166666664</v>
      </c>
      <c r="B1988" s="1">
        <v>45784.479166666664</v>
      </c>
      <c r="D1988" t="s">
        <v>1</v>
      </c>
      <c r="E1988" t="s">
        <v>149</v>
      </c>
      <c r="F1988" t="s">
        <v>147</v>
      </c>
      <c r="G1988" t="s">
        <v>163</v>
      </c>
      <c r="I1988" s="4">
        <v>35</v>
      </c>
      <c r="J1988" s="4">
        <v>0</v>
      </c>
      <c r="L1988" t="s">
        <v>253</v>
      </c>
      <c r="M1988" t="s">
        <v>63</v>
      </c>
      <c r="N1988" s="4">
        <f>IF(L1988="","",IF(OR(Registro2[[#This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88" t="str">
        <f t="shared" si="34"/>
        <v>mai/25</v>
      </c>
      <c r="P1988" t="str">
        <f>IF(Registro2[[#This Row],[Data de Pagamento]]&gt;0,TEXT(A1988,"mmm/aa"),"")</f>
        <v>mai/25</v>
      </c>
      <c r="T1988" s="4">
        <f>IF(Registro2[[#This Row],[Data de Pagamento]]="",0,IF(Registro2[[#This Row],[Conta Financeira]]=base!$A$6,0,Registro2[[#This Row],[Valor Unitário]]))</f>
        <v>35</v>
      </c>
      <c r="U19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88" t="str">
        <f>VLOOKUP(Registro2[[#This Row],[Categoria]],'Plano de Contas'!$V$3:W2042,2,0)</f>
        <v>Receitas Serviços</v>
      </c>
      <c r="X198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89" spans="1:24" hidden="1">
      <c r="A1989" s="1">
        <v>45786.677083333336</v>
      </c>
      <c r="B1989" s="1">
        <v>45786.677083333336</v>
      </c>
      <c r="D1989" t="s">
        <v>1</v>
      </c>
      <c r="E1989" t="s">
        <v>149</v>
      </c>
      <c r="F1989" t="s">
        <v>147</v>
      </c>
      <c r="G1989" t="s">
        <v>163</v>
      </c>
      <c r="I1989" s="4">
        <v>35</v>
      </c>
      <c r="J1989" s="4">
        <v>58</v>
      </c>
      <c r="L1989" t="s">
        <v>253</v>
      </c>
      <c r="M1989" t="s">
        <v>486</v>
      </c>
      <c r="N1989" s="4">
        <f>IF(L1989="","",IF(OR(Registro2[[#This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89" t="str">
        <f t="shared" si="34"/>
        <v>mai/25</v>
      </c>
      <c r="P1989" t="str">
        <f>IF(Registro2[[#This Row],[Data de Pagamento]]&gt;0,TEXT(A1989,"mmm/aa"),"")</f>
        <v>mai/25</v>
      </c>
      <c r="T1989" s="4">
        <f>IF(Registro2[[#This Row],[Data de Pagamento]]="",0,IF(Registro2[[#This Row],[Conta Financeira]]=base!$A$6,0,Registro2[[#This Row],[Valor Unitário]]))</f>
        <v>35</v>
      </c>
      <c r="U19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89" t="str">
        <f>VLOOKUP(Registro2[[#This Row],[Categoria]],'Plano de Contas'!$V$3:W2043,2,0)</f>
        <v>Receitas Serviços</v>
      </c>
      <c r="X198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90" spans="1:24" hidden="1">
      <c r="A1990" s="1">
        <v>45786.677083333336</v>
      </c>
      <c r="B1990" s="1">
        <v>45786.677083333336</v>
      </c>
      <c r="D1990" t="s">
        <v>1</v>
      </c>
      <c r="E1990" t="s">
        <v>149</v>
      </c>
      <c r="F1990" t="s">
        <v>150</v>
      </c>
      <c r="G1990" t="s">
        <v>2526</v>
      </c>
      <c r="I1990" s="4">
        <v>23</v>
      </c>
      <c r="J1990" s="4">
        <v>0</v>
      </c>
      <c r="L1990" t="s">
        <v>253</v>
      </c>
      <c r="M1990" t="s">
        <v>486</v>
      </c>
      <c r="N1990" s="4">
        <f>IF(L1990="","",IF(OR(Registro2[[#This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9.2000000000000011</v>
      </c>
      <c r="O1990" t="str">
        <f t="shared" si="34"/>
        <v>mai/25</v>
      </c>
      <c r="P1990" t="str">
        <f>IF(Registro2[[#This Row],[Data de Pagamento]]&gt;0,TEXT(A1990,"mmm/aa"),"")</f>
        <v>mai/25</v>
      </c>
      <c r="T1990" s="4">
        <f>IF(Registro2[[#This Row],[Data de Pagamento]]="",0,IF(Registro2[[#This Row],[Conta Financeira]]=base!$A$6,0,Registro2[[#This Row],[Valor Unitário]]))</f>
        <v>23</v>
      </c>
      <c r="U19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90" t="e">
        <f>VLOOKUP(Registro2[[#This Row],[Categoria]],'Plano de Contas'!$V$3:W2044,2,0)</f>
        <v>#N/A</v>
      </c>
      <c r="X199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91" spans="1:24" hidden="1">
      <c r="A1991" s="1">
        <v>45783.847222222219</v>
      </c>
      <c r="B1991" s="1">
        <v>45783.847222222219</v>
      </c>
      <c r="D1991" t="s">
        <v>2</v>
      </c>
      <c r="E1991" t="s">
        <v>149</v>
      </c>
      <c r="F1991" t="s">
        <v>152</v>
      </c>
      <c r="G1991" t="s">
        <v>353</v>
      </c>
      <c r="I1991" s="4">
        <v>60</v>
      </c>
      <c r="J1991" s="4">
        <v>60</v>
      </c>
      <c r="L1991" t="s">
        <v>264</v>
      </c>
      <c r="M1991" t="s">
        <v>1184</v>
      </c>
      <c r="N1991" s="4">
        <f>IF(L1991="","",IF(OR(Registro2[[#This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991" t="str">
        <f t="shared" si="34"/>
        <v>mai/25</v>
      </c>
      <c r="P1991" t="str">
        <f>IF(Registro2[[#This Row],[Data de Pagamento]]&gt;0,TEXT(A1991,"mmm/aa"),"")</f>
        <v>mai/25</v>
      </c>
      <c r="T1991" s="4">
        <f>IF(Registro2[[#This Row],[Data de Pagamento]]="",0,IF(Registro2[[#This Row],[Conta Financeira]]=base!$A$6,0,Registro2[[#This Row],[Valor Unitário]]))</f>
        <v>60</v>
      </c>
      <c r="U19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91" t="str">
        <f>VLOOKUP(Registro2[[#This Row],[Categoria]],'Plano de Contas'!$V$3:W2045,2,0)</f>
        <v>Receitas Serviços</v>
      </c>
      <c r="X199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92" spans="1:24" hidden="1">
      <c r="A1992" s="1">
        <v>45783.847222222219</v>
      </c>
      <c r="B1992" s="1">
        <v>45783.847222222219</v>
      </c>
      <c r="D1992" t="s">
        <v>1</v>
      </c>
      <c r="E1992" t="s">
        <v>149</v>
      </c>
      <c r="F1992" t="s">
        <v>147</v>
      </c>
      <c r="G1992" t="s">
        <v>163</v>
      </c>
      <c r="I1992" s="4">
        <v>35</v>
      </c>
      <c r="J1992" s="4">
        <v>35</v>
      </c>
      <c r="L1992" t="s">
        <v>264</v>
      </c>
      <c r="M1992" t="s">
        <v>382</v>
      </c>
      <c r="N1992" s="4">
        <f>IF(L1992="","",IF(OR(Registro2[[#This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92" t="str">
        <f t="shared" si="34"/>
        <v>mai/25</v>
      </c>
      <c r="P1992" t="str">
        <f>IF(Registro2[[#This Row],[Data de Pagamento]]&gt;0,TEXT(A1992,"mmm/aa"),"")</f>
        <v>mai/25</v>
      </c>
      <c r="T1992" s="4">
        <f>IF(Registro2[[#This Row],[Data de Pagamento]]="",0,IF(Registro2[[#This Row],[Conta Financeira]]=base!$A$6,0,Registro2[[#This Row],[Valor Unitário]]))</f>
        <v>35</v>
      </c>
      <c r="U19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92" t="str">
        <f>VLOOKUP(Registro2[[#This Row],[Categoria]],'Plano de Contas'!$V$3:W2046,2,0)</f>
        <v>Receitas Serviços</v>
      </c>
      <c r="X199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93" spans="1:24" hidden="1">
      <c r="A1993" s="1">
        <v>45784.416666666664</v>
      </c>
      <c r="B1993" s="1">
        <v>45784.416666666664</v>
      </c>
      <c r="D1993" t="s">
        <v>1</v>
      </c>
      <c r="E1993" t="s">
        <v>149</v>
      </c>
      <c r="F1993" t="s">
        <v>147</v>
      </c>
      <c r="G1993" t="s">
        <v>163</v>
      </c>
      <c r="I1993" s="4">
        <v>35</v>
      </c>
      <c r="J1993" s="4">
        <v>35</v>
      </c>
      <c r="L1993" t="s">
        <v>264</v>
      </c>
      <c r="M1993" t="s">
        <v>1209</v>
      </c>
      <c r="N1993" s="4">
        <f>IF(L1993="","",IF(OR(Registro2[[#This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93" t="str">
        <f t="shared" si="34"/>
        <v>mai/25</v>
      </c>
      <c r="P1993" t="str">
        <f>IF(Registro2[[#This Row],[Data de Pagamento]]&gt;0,TEXT(A1993,"mmm/aa"),"")</f>
        <v>mai/25</v>
      </c>
      <c r="T1993" s="4">
        <f>IF(Registro2[[#This Row],[Data de Pagamento]]="",0,IF(Registro2[[#This Row],[Conta Financeira]]=base!$A$6,0,Registro2[[#This Row],[Valor Unitário]]))</f>
        <v>35</v>
      </c>
      <c r="U19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93" t="str">
        <f>VLOOKUP(Registro2[[#This Row],[Categoria]],'Plano de Contas'!$V$3:W2047,2,0)</f>
        <v>Receitas Serviços</v>
      </c>
      <c r="X199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94" spans="1:24" hidden="1">
      <c r="A1994" s="1">
        <v>45787.375</v>
      </c>
      <c r="B1994" s="1">
        <v>45787.375</v>
      </c>
      <c r="D1994" t="s">
        <v>1</v>
      </c>
      <c r="E1994" t="s">
        <v>149</v>
      </c>
      <c r="F1994" t="s">
        <v>147</v>
      </c>
      <c r="G1994" t="s">
        <v>1046</v>
      </c>
      <c r="I1994" s="4">
        <v>35</v>
      </c>
      <c r="J1994" s="4">
        <v>85</v>
      </c>
      <c r="L1994" t="s">
        <v>253</v>
      </c>
      <c r="M1994" t="s">
        <v>66</v>
      </c>
      <c r="N1994" s="4">
        <f>IF(L1994="","",IF(OR(Registro2[[#This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94" t="str">
        <f t="shared" si="34"/>
        <v>mai/25</v>
      </c>
      <c r="P1994" t="str">
        <f>IF(Registro2[[#This Row],[Data de Pagamento]]&gt;0,TEXT(A1994,"mmm/aa"),"")</f>
        <v>mai/25</v>
      </c>
      <c r="T1994" s="4">
        <f>IF(Registro2[[#This Row],[Data de Pagamento]]="",0,IF(Registro2[[#This Row],[Conta Financeira]]=base!$A$6,0,Registro2[[#This Row],[Valor Unitário]]))</f>
        <v>35</v>
      </c>
      <c r="U19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94" t="str">
        <f>VLOOKUP(Registro2[[#This Row],[Categoria]],'Plano de Contas'!$V$3:W2048,2,0)</f>
        <v>Receitas Serviços</v>
      </c>
      <c r="X199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95" spans="1:24" hidden="1">
      <c r="A1995" s="1">
        <v>45787.375</v>
      </c>
      <c r="B1995" s="1">
        <v>45787.375</v>
      </c>
      <c r="D1995" t="s">
        <v>1</v>
      </c>
      <c r="E1995" t="s">
        <v>149</v>
      </c>
      <c r="F1995" t="s">
        <v>147</v>
      </c>
      <c r="G1995" t="s">
        <v>2825</v>
      </c>
      <c r="I1995" s="4">
        <v>15</v>
      </c>
      <c r="J1995" s="4">
        <v>0</v>
      </c>
      <c r="L1995" t="s">
        <v>253</v>
      </c>
      <c r="M1995" t="s">
        <v>66</v>
      </c>
      <c r="N1995" s="4">
        <f>IF(L1995="","",IF(OR(Registro2[[#This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1995" t="str">
        <f t="shared" si="34"/>
        <v>mai/25</v>
      </c>
      <c r="P1995" t="str">
        <f>IF(Registro2[[#This Row],[Data de Pagamento]]&gt;0,TEXT(A1995,"mmm/aa"),"")</f>
        <v>mai/25</v>
      </c>
      <c r="T1995" s="4">
        <f>IF(Registro2[[#This Row],[Data de Pagamento]]="",0,IF(Registro2[[#This Row],[Conta Financeira]]=base!$A$6,0,Registro2[[#This Row],[Valor Unitário]]))</f>
        <v>15</v>
      </c>
      <c r="U19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95" t="e">
        <f>VLOOKUP(Registro2[[#This Row],[Categoria]],'Plano de Contas'!$V$3:W2049,2,0)</f>
        <v>#N/A</v>
      </c>
      <c r="X199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96" spans="1:24" hidden="1">
      <c r="A1996" s="1">
        <v>45787.375</v>
      </c>
      <c r="B1996" s="1">
        <v>45787.375</v>
      </c>
      <c r="D1996" t="s">
        <v>1</v>
      </c>
      <c r="E1996" t="s">
        <v>149</v>
      </c>
      <c r="F1996" t="s">
        <v>150</v>
      </c>
      <c r="G1996" t="s">
        <v>2536</v>
      </c>
      <c r="I1996" s="4">
        <v>35</v>
      </c>
      <c r="J1996" s="4">
        <v>0</v>
      </c>
      <c r="L1996" t="s">
        <v>253</v>
      </c>
      <c r="M1996" t="s">
        <v>66</v>
      </c>
      <c r="N1996" s="4">
        <f>IF(L1996="","",IF(OR(Registro2[[#This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14</v>
      </c>
      <c r="O1996" t="str">
        <f t="shared" si="34"/>
        <v>mai/25</v>
      </c>
      <c r="P1996" t="str">
        <f>IF(Registro2[[#This Row],[Data de Pagamento]]&gt;0,TEXT(A1996,"mmm/aa"),"")</f>
        <v>mai/25</v>
      </c>
      <c r="T1996" s="4">
        <f>IF(Registro2[[#This Row],[Data de Pagamento]]="",0,IF(Registro2[[#This Row],[Conta Financeira]]=base!$A$6,0,Registro2[[#This Row],[Valor Unitário]]))</f>
        <v>35</v>
      </c>
      <c r="U19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96" t="e">
        <f>VLOOKUP(Registro2[[#This Row],[Categoria]],'Plano de Contas'!$V$3:W2050,2,0)</f>
        <v>#N/A</v>
      </c>
      <c r="X199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97" spans="1:24" hidden="1">
      <c r="A1997" s="1">
        <v>45784.430555555555</v>
      </c>
      <c r="B1997" s="1">
        <v>45784.430555555555</v>
      </c>
      <c r="D1997" t="s">
        <v>1</v>
      </c>
      <c r="E1997" t="s">
        <v>149</v>
      </c>
      <c r="F1997" t="s">
        <v>147</v>
      </c>
      <c r="G1997" t="s">
        <v>163</v>
      </c>
      <c r="I1997" s="4">
        <v>35</v>
      </c>
      <c r="J1997" s="4">
        <v>35</v>
      </c>
      <c r="L1997" t="s">
        <v>264</v>
      </c>
      <c r="M1997" t="s">
        <v>2827</v>
      </c>
      <c r="N1997" s="4">
        <f>IF(L1997="","",IF(OR(Registro2[[#This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97" t="str">
        <f t="shared" si="34"/>
        <v>mai/25</v>
      </c>
      <c r="P1997" t="str">
        <f>IF(Registro2[[#This Row],[Data de Pagamento]]&gt;0,TEXT(A1997,"mmm/aa"),"")</f>
        <v>mai/25</v>
      </c>
      <c r="T1997" s="4">
        <f>IF(Registro2[[#This Row],[Data de Pagamento]]="",0,IF(Registro2[[#This Row],[Conta Financeira]]=base!$A$6,0,Registro2[[#This Row],[Valor Unitário]]))</f>
        <v>35</v>
      </c>
      <c r="U19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97" t="str">
        <f>VLOOKUP(Registro2[[#This Row],[Categoria]],'Plano de Contas'!$V$3:W2051,2,0)</f>
        <v>Receitas Serviços</v>
      </c>
      <c r="X199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98" spans="1:24" hidden="1">
      <c r="A1998" s="1">
        <v>45784.5625</v>
      </c>
      <c r="B1998" s="1">
        <v>45784.5625</v>
      </c>
      <c r="D1998" t="s">
        <v>1</v>
      </c>
      <c r="E1998" t="s">
        <v>149</v>
      </c>
      <c r="F1998" t="s">
        <v>147</v>
      </c>
      <c r="G1998" t="s">
        <v>163</v>
      </c>
      <c r="I1998" s="4">
        <v>35</v>
      </c>
      <c r="J1998" s="4">
        <v>0</v>
      </c>
      <c r="L1998" t="s">
        <v>253</v>
      </c>
      <c r="M1998" t="s">
        <v>122</v>
      </c>
      <c r="N1998" s="4">
        <f>IF(L1998="","",IF(OR(Registro2[[#This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1998" t="str">
        <f t="shared" si="34"/>
        <v>mai/25</v>
      </c>
      <c r="P1998" t="str">
        <f>IF(Registro2[[#This Row],[Data de Pagamento]]&gt;0,TEXT(A1998,"mmm/aa"),"")</f>
        <v>mai/25</v>
      </c>
      <c r="T1998" s="4">
        <f>IF(Registro2[[#This Row],[Data de Pagamento]]="",0,IF(Registro2[[#This Row],[Conta Financeira]]=base!$A$6,0,Registro2[[#This Row],[Valor Unitário]]))</f>
        <v>35</v>
      </c>
      <c r="U19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98" t="str">
        <f>VLOOKUP(Registro2[[#This Row],[Categoria]],'Plano de Contas'!$V$3:W2052,2,0)</f>
        <v>Receitas Serviços</v>
      </c>
      <c r="X199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1999" spans="1:24" hidden="1">
      <c r="A1999" s="1">
        <v>45784.479166666664</v>
      </c>
      <c r="B1999" s="1">
        <v>45784.479166666664</v>
      </c>
      <c r="D1999" t="s">
        <v>1</v>
      </c>
      <c r="E1999" t="s">
        <v>149</v>
      </c>
      <c r="F1999" t="s">
        <v>152</v>
      </c>
      <c r="G1999" t="s">
        <v>353</v>
      </c>
      <c r="I1999" s="4">
        <v>60</v>
      </c>
      <c r="J1999" s="4">
        <v>85</v>
      </c>
      <c r="L1999" t="s">
        <v>264</v>
      </c>
      <c r="M1999" t="s">
        <v>465</v>
      </c>
      <c r="N1999" s="4">
        <f>IF(L1999="","",IF(OR(Registro2[[#This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1999" t="str">
        <f t="shared" si="34"/>
        <v>mai/25</v>
      </c>
      <c r="P1999" t="str">
        <f>IF(Registro2[[#This Row],[Data de Pagamento]]&gt;0,TEXT(A1999,"mmm/aa"),"")</f>
        <v>mai/25</v>
      </c>
      <c r="T1999" s="4">
        <f>IF(Registro2[[#This Row],[Data de Pagamento]]="",0,IF(Registro2[[#This Row],[Conta Financeira]]=base!$A$6,0,Registro2[[#This Row],[Valor Unitário]]))</f>
        <v>60</v>
      </c>
      <c r="U19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1999" t="str">
        <f>VLOOKUP(Registro2[[#This Row],[Categoria]],'Plano de Contas'!$V$3:W2053,2,0)</f>
        <v>Receitas Serviços</v>
      </c>
      <c r="X199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00" spans="1:24" hidden="1">
      <c r="A2000" s="1">
        <v>45784.479166666664</v>
      </c>
      <c r="B2000" s="1">
        <v>45784.479166666664</v>
      </c>
      <c r="D2000" t="s">
        <v>1</v>
      </c>
      <c r="E2000" t="s">
        <v>149</v>
      </c>
      <c r="F2000" t="s">
        <v>147</v>
      </c>
      <c r="G2000" t="s">
        <v>2830</v>
      </c>
      <c r="I2000" s="4">
        <v>25</v>
      </c>
      <c r="J2000" s="4">
        <v>0</v>
      </c>
      <c r="L2000" t="s">
        <v>264</v>
      </c>
      <c r="M2000" t="s">
        <v>465</v>
      </c>
      <c r="N2000" s="4">
        <f>IF(L2000="","",IF(OR(Registro2[[#This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2000" t="str">
        <f t="shared" si="34"/>
        <v>mai/25</v>
      </c>
      <c r="P2000" t="str">
        <f>IF(Registro2[[#This Row],[Data de Pagamento]]&gt;0,TEXT(A2000,"mmm/aa"),"")</f>
        <v>mai/25</v>
      </c>
      <c r="T2000" s="4">
        <f>IF(Registro2[[#This Row],[Data de Pagamento]]="",0,IF(Registro2[[#This Row],[Conta Financeira]]=base!$A$6,0,Registro2[[#This Row],[Valor Unitário]]))</f>
        <v>25</v>
      </c>
      <c r="U20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00" t="e">
        <f>VLOOKUP(Registro2[[#This Row],[Categoria]],'Plano de Contas'!$V$3:W2054,2,0)</f>
        <v>#N/A</v>
      </c>
      <c r="X200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01" spans="1:24" hidden="1">
      <c r="A2001" s="1">
        <v>45784.604166666664</v>
      </c>
      <c r="B2001" s="1">
        <v>45784.604166666664</v>
      </c>
      <c r="D2001" t="s">
        <v>1</v>
      </c>
      <c r="E2001" t="s">
        <v>149</v>
      </c>
      <c r="F2001" t="s">
        <v>147</v>
      </c>
      <c r="G2001" t="s">
        <v>163</v>
      </c>
      <c r="I2001" s="4">
        <v>35</v>
      </c>
      <c r="J2001" s="4">
        <v>35</v>
      </c>
      <c r="L2001" t="s">
        <v>264</v>
      </c>
      <c r="M2001" t="s">
        <v>1712</v>
      </c>
      <c r="N2001" s="4">
        <f>IF(L2001="","",IF(OR(Registro2[[#This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01" t="str">
        <f t="shared" si="34"/>
        <v>mai/25</v>
      </c>
      <c r="P2001" t="str">
        <f>IF(Registro2[[#This Row],[Data de Pagamento]]&gt;0,TEXT(A2001,"mmm/aa"),"")</f>
        <v>mai/25</v>
      </c>
      <c r="T2001" s="4">
        <f>IF(Registro2[[#This Row],[Data de Pagamento]]="",0,IF(Registro2[[#This Row],[Conta Financeira]]=base!$A$6,0,Registro2[[#This Row],[Valor Unitário]]))</f>
        <v>35</v>
      </c>
      <c r="U20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01" t="str">
        <f>VLOOKUP(Registro2[[#This Row],[Categoria]],'Plano de Contas'!$V$3:W2055,2,0)</f>
        <v>Receitas Serviços</v>
      </c>
      <c r="X200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02" spans="1:24" hidden="1">
      <c r="A2002" s="1">
        <v>45785.6875</v>
      </c>
      <c r="B2002" s="1">
        <v>45785.6875</v>
      </c>
      <c r="D2002" t="s">
        <v>354</v>
      </c>
      <c r="E2002" t="s">
        <v>149</v>
      </c>
      <c r="F2002" t="s">
        <v>147</v>
      </c>
      <c r="G2002" t="s">
        <v>163</v>
      </c>
      <c r="I2002" s="4">
        <v>35</v>
      </c>
      <c r="J2002" s="4">
        <v>35</v>
      </c>
      <c r="L2002" t="s">
        <v>252</v>
      </c>
      <c r="M2002" t="s">
        <v>96</v>
      </c>
      <c r="N2002" s="4">
        <f>IF(L2002="","",IF(OR(Registro2[[#This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02" t="str">
        <f t="shared" si="34"/>
        <v>mai/25</v>
      </c>
      <c r="P2002" t="str">
        <f>IF(Registro2[[#This Row],[Data de Pagamento]]&gt;0,TEXT(A2002,"mmm/aa"),"")</f>
        <v>mai/25</v>
      </c>
      <c r="T2002" s="4">
        <f>IF(Registro2[[#This Row],[Data de Pagamento]]="",0,IF(Registro2[[#This Row],[Conta Financeira]]=base!$A$6,0,Registro2[[#This Row],[Valor Unitário]]))</f>
        <v>35</v>
      </c>
      <c r="U20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02" t="str">
        <f>VLOOKUP(Registro2[[#This Row],[Categoria]],'Plano de Contas'!$V$3:W2056,2,0)</f>
        <v>Receitas Serviços</v>
      </c>
      <c r="X200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003" spans="1:24" hidden="1">
      <c r="A2003" s="1">
        <v>45784.645833333336</v>
      </c>
      <c r="B2003" s="1">
        <v>45784.645833333336</v>
      </c>
      <c r="D2003" t="s">
        <v>310</v>
      </c>
      <c r="E2003" t="s">
        <v>149</v>
      </c>
      <c r="F2003" t="s">
        <v>147</v>
      </c>
      <c r="G2003" t="s">
        <v>163</v>
      </c>
      <c r="I2003" s="4">
        <v>35</v>
      </c>
      <c r="J2003" s="4">
        <v>60</v>
      </c>
      <c r="L2003" t="s">
        <v>253</v>
      </c>
      <c r="M2003" t="s">
        <v>190</v>
      </c>
      <c r="N2003" s="4">
        <f>IF(L2003="","",IF(OR(Registro2[[#This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03" t="str">
        <f t="shared" si="34"/>
        <v>mai/25</v>
      </c>
      <c r="P2003" t="str">
        <f>IF(Registro2[[#This Row],[Data de Pagamento]]&gt;0,TEXT(A2003,"mmm/aa"),"")</f>
        <v>mai/25</v>
      </c>
      <c r="T2003" s="4">
        <f>IF(Registro2[[#This Row],[Data de Pagamento]]="",0,IF(Registro2[[#This Row],[Conta Financeira]]=base!$A$6,0,Registro2[[#This Row],[Valor Unitário]]))</f>
        <v>35</v>
      </c>
      <c r="U20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03" t="str">
        <f>VLOOKUP(Registro2[[#This Row],[Categoria]],'Plano de Contas'!$V$3:W2057,2,0)</f>
        <v>Receitas Serviços</v>
      </c>
      <c r="X200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004" spans="1:24" hidden="1">
      <c r="A2004" s="1">
        <v>45784.645833333336</v>
      </c>
      <c r="B2004" s="1">
        <v>45784.645833333336</v>
      </c>
      <c r="D2004" t="s">
        <v>310</v>
      </c>
      <c r="E2004" t="s">
        <v>149</v>
      </c>
      <c r="F2004" t="s">
        <v>147</v>
      </c>
      <c r="G2004" t="s">
        <v>1046</v>
      </c>
      <c r="I2004" s="4">
        <v>25</v>
      </c>
      <c r="J2004" s="4">
        <v>0</v>
      </c>
      <c r="L2004" t="s">
        <v>253</v>
      </c>
      <c r="M2004" t="s">
        <v>190</v>
      </c>
      <c r="N2004" s="4">
        <f>IF(L2004="","",IF(OR(Registro2[[#This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2004" t="str">
        <f t="shared" si="34"/>
        <v>mai/25</v>
      </c>
      <c r="P2004" t="str">
        <f>IF(Registro2[[#This Row],[Data de Pagamento]]&gt;0,TEXT(A2004,"mmm/aa"),"")</f>
        <v>mai/25</v>
      </c>
      <c r="T2004" s="4">
        <f>IF(Registro2[[#This Row],[Data de Pagamento]]="",0,IF(Registro2[[#This Row],[Conta Financeira]]=base!$A$6,0,Registro2[[#This Row],[Valor Unitário]]))</f>
        <v>25</v>
      </c>
      <c r="U20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04" t="str">
        <f>VLOOKUP(Registro2[[#This Row],[Categoria]],'Plano de Contas'!$V$3:W2058,2,0)</f>
        <v>Receitas Serviços</v>
      </c>
      <c r="X200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0.2225</v>
      </c>
    </row>
    <row r="2005" spans="1:24" hidden="1">
      <c r="A2005" s="1">
        <v>45784.576388888891</v>
      </c>
      <c r="B2005" s="1">
        <v>45784.576388888891</v>
      </c>
      <c r="D2005" t="s">
        <v>1</v>
      </c>
      <c r="E2005" t="s">
        <v>149</v>
      </c>
      <c r="F2005" t="s">
        <v>147</v>
      </c>
      <c r="G2005" t="s">
        <v>163</v>
      </c>
      <c r="I2005" s="4">
        <v>35</v>
      </c>
      <c r="J2005" s="4">
        <v>35</v>
      </c>
      <c r="L2005" t="s">
        <v>253</v>
      </c>
      <c r="M2005" t="s">
        <v>2835</v>
      </c>
      <c r="N2005" s="4">
        <f>IF(L2005="","",IF(OR(Registro2[[#This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05" t="str">
        <f t="shared" si="34"/>
        <v>mai/25</v>
      </c>
      <c r="P2005" t="str">
        <f>IF(Registro2[[#This Row],[Data de Pagamento]]&gt;0,TEXT(A2005,"mmm/aa"),"")</f>
        <v>mai/25</v>
      </c>
      <c r="T2005" s="4">
        <f>IF(Registro2[[#This Row],[Data de Pagamento]]="",0,IF(Registro2[[#This Row],[Conta Financeira]]=base!$A$6,0,Registro2[[#This Row],[Valor Unitário]]))</f>
        <v>35</v>
      </c>
      <c r="U20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05" t="str">
        <f>VLOOKUP(Registro2[[#This Row],[Categoria]],'Plano de Contas'!$V$3:W2059,2,0)</f>
        <v>Receitas Serviços</v>
      </c>
      <c r="X20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06" spans="1:24" hidden="1">
      <c r="A2006" s="1">
        <v>45784.604166666664</v>
      </c>
      <c r="B2006" s="1">
        <v>45784.604166666664</v>
      </c>
      <c r="D2006" t="s">
        <v>354</v>
      </c>
      <c r="E2006" t="s">
        <v>149</v>
      </c>
      <c r="F2006" t="s">
        <v>147</v>
      </c>
      <c r="G2006" t="s">
        <v>163</v>
      </c>
      <c r="I2006" s="4">
        <v>35</v>
      </c>
      <c r="J2006" s="4">
        <v>60</v>
      </c>
      <c r="L2006" t="s">
        <v>264</v>
      </c>
      <c r="M2006" t="s">
        <v>1593</v>
      </c>
      <c r="N2006" s="4">
        <f>IF(L2006="","",IF(OR(Registro2[[#This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06" t="str">
        <f t="shared" si="34"/>
        <v>mai/25</v>
      </c>
      <c r="P2006" t="str">
        <f>IF(Registro2[[#This Row],[Data de Pagamento]]&gt;0,TEXT(A2006,"mmm/aa"),"")</f>
        <v>mai/25</v>
      </c>
      <c r="T2006" s="4">
        <f>IF(Registro2[[#This Row],[Data de Pagamento]]="",0,IF(Registro2[[#This Row],[Conta Financeira]]=base!$A$6,0,Registro2[[#This Row],[Valor Unitário]]))</f>
        <v>35</v>
      </c>
      <c r="U20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06" t="str">
        <f>VLOOKUP(Registro2[[#This Row],[Categoria]],'Plano de Contas'!$V$3:W2060,2,0)</f>
        <v>Receitas Serviços</v>
      </c>
      <c r="X200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007" spans="1:24" hidden="1">
      <c r="A2007" s="1">
        <v>45784.604166666664</v>
      </c>
      <c r="B2007" s="1">
        <v>45784.604166666664</v>
      </c>
      <c r="D2007" t="s">
        <v>354</v>
      </c>
      <c r="E2007" t="s">
        <v>149</v>
      </c>
      <c r="F2007" t="s">
        <v>150</v>
      </c>
      <c r="G2007" t="s">
        <v>2526</v>
      </c>
      <c r="I2007" s="4">
        <v>25</v>
      </c>
      <c r="J2007" s="4">
        <v>0</v>
      </c>
      <c r="L2007" t="s">
        <v>264</v>
      </c>
      <c r="M2007" t="s">
        <v>1593</v>
      </c>
      <c r="N2007" s="4">
        <f>IF(L2007="","",IF(OR(Registro2[[#This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2007" t="str">
        <f t="shared" si="34"/>
        <v>mai/25</v>
      </c>
      <c r="P2007" t="str">
        <f>IF(Registro2[[#This Row],[Data de Pagamento]]&gt;0,TEXT(A2007,"mmm/aa"),"")</f>
        <v>mai/25</v>
      </c>
      <c r="T2007" s="4">
        <f>IF(Registro2[[#This Row],[Data de Pagamento]]="",0,IF(Registro2[[#This Row],[Conta Financeira]]=base!$A$6,0,Registro2[[#This Row],[Valor Unitário]]))</f>
        <v>25</v>
      </c>
      <c r="U20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07" t="e">
        <f>VLOOKUP(Registro2[[#This Row],[Categoria]],'Plano de Contas'!$V$3:W2061,2,0)</f>
        <v>#N/A</v>
      </c>
      <c r="X200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0.78749999999999998</v>
      </c>
    </row>
    <row r="2008" spans="1:24" hidden="1">
      <c r="A2008" s="1">
        <v>45784.677083333336</v>
      </c>
      <c r="B2008" s="1">
        <v>45784.677083333336</v>
      </c>
      <c r="D2008" t="s">
        <v>2838</v>
      </c>
      <c r="E2008" t="s">
        <v>149</v>
      </c>
      <c r="F2008" t="s">
        <v>147</v>
      </c>
      <c r="G2008" t="s">
        <v>163</v>
      </c>
      <c r="I2008" s="4">
        <v>35</v>
      </c>
      <c r="J2008" s="4">
        <v>133</v>
      </c>
      <c r="L2008" t="s">
        <v>253</v>
      </c>
      <c r="M2008" t="s">
        <v>2839</v>
      </c>
      <c r="N2008" s="4">
        <f>IF(L2008="","",IF(OR(Registro2[[#This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08" t="str">
        <f t="shared" si="34"/>
        <v>mai/25</v>
      </c>
      <c r="P2008" t="str">
        <f>IF(Registro2[[#This Row],[Data de Pagamento]]&gt;0,TEXT(A2008,"mmm/aa"),"")</f>
        <v>mai/25</v>
      </c>
      <c r="T2008" s="4">
        <f>IF(Registro2[[#This Row],[Data de Pagamento]]="",0,IF(Registro2[[#This Row],[Conta Financeira]]=base!$A$6,0,Registro2[[#This Row],[Valor Unitário]]))</f>
        <v>35</v>
      </c>
      <c r="U20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08" t="str">
        <f>VLOOKUP(Registro2[[#This Row],[Categoria]],'Plano de Contas'!$V$3:W2062,2,0)</f>
        <v>Receitas Serviços</v>
      </c>
      <c r="X200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09" spans="1:24" hidden="1">
      <c r="A2009" s="1">
        <v>45784.677083333336</v>
      </c>
      <c r="B2009" s="1">
        <v>45784.677083333336</v>
      </c>
      <c r="D2009" t="s">
        <v>2838</v>
      </c>
      <c r="E2009" t="s">
        <v>149</v>
      </c>
      <c r="F2009" t="s">
        <v>147</v>
      </c>
      <c r="G2009" t="s">
        <v>163</v>
      </c>
      <c r="I2009" s="4">
        <v>35</v>
      </c>
      <c r="J2009" s="4">
        <v>0</v>
      </c>
      <c r="L2009" t="s">
        <v>264</v>
      </c>
      <c r="M2009" t="s">
        <v>2839</v>
      </c>
      <c r="N2009" s="4">
        <f>IF(L2009="","",IF(OR(Registro2[[#This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09" t="str">
        <f t="shared" si="34"/>
        <v>mai/25</v>
      </c>
      <c r="P2009" t="str">
        <f>IF(Registro2[[#This Row],[Data de Pagamento]]&gt;0,TEXT(A2009,"mmm/aa"),"")</f>
        <v>mai/25</v>
      </c>
      <c r="T2009" s="4">
        <f>IF(Registro2[[#This Row],[Data de Pagamento]]="",0,IF(Registro2[[#This Row],[Conta Financeira]]=base!$A$6,0,Registro2[[#This Row],[Valor Unitário]]))</f>
        <v>35</v>
      </c>
      <c r="U20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09" t="str">
        <f>VLOOKUP(Registro2[[#This Row],[Categoria]],'Plano de Contas'!$V$3:W2063,2,0)</f>
        <v>Receitas Serviços</v>
      </c>
      <c r="X200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10" spans="1:24" hidden="1">
      <c r="A2010" s="1">
        <v>45784.677083333336</v>
      </c>
      <c r="B2010" s="1">
        <v>45784.677083333336</v>
      </c>
      <c r="D2010" t="s">
        <v>2838</v>
      </c>
      <c r="E2010" t="s">
        <v>149</v>
      </c>
      <c r="F2010" t="s">
        <v>147</v>
      </c>
      <c r="G2010" t="s">
        <v>163</v>
      </c>
      <c r="I2010" s="4">
        <v>35</v>
      </c>
      <c r="J2010" s="4">
        <v>0</v>
      </c>
      <c r="L2010" t="s">
        <v>253</v>
      </c>
      <c r="M2010" t="s">
        <v>2839</v>
      </c>
      <c r="N2010" s="4">
        <f>IF(L2010="","",IF(OR(Registro2[[#This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10" t="str">
        <f t="shared" si="34"/>
        <v>mai/25</v>
      </c>
      <c r="P2010" t="str">
        <f>IF(Registro2[[#This Row],[Data de Pagamento]]&gt;0,TEXT(A2010,"mmm/aa"),"")</f>
        <v>mai/25</v>
      </c>
      <c r="T2010" s="4">
        <f>IF(Registro2[[#This Row],[Data de Pagamento]]="",0,IF(Registro2[[#This Row],[Conta Financeira]]=base!$A$6,0,Registro2[[#This Row],[Valor Unitário]]))</f>
        <v>35</v>
      </c>
      <c r="U20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10" t="str">
        <f>VLOOKUP(Registro2[[#This Row],[Categoria]],'Plano de Contas'!$V$3:W2064,2,0)</f>
        <v>Receitas Serviços</v>
      </c>
      <c r="X201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11" spans="1:24" hidden="1">
      <c r="A2011" s="1">
        <v>45784.677083333336</v>
      </c>
      <c r="B2011" s="1">
        <v>45784.677083333336</v>
      </c>
      <c r="D2011" t="s">
        <v>2838</v>
      </c>
      <c r="E2011" t="s">
        <v>149</v>
      </c>
      <c r="F2011" t="s">
        <v>150</v>
      </c>
      <c r="G2011" t="s">
        <v>507</v>
      </c>
      <c r="I2011" s="4">
        <v>13</v>
      </c>
      <c r="J2011" s="4">
        <v>0</v>
      </c>
      <c r="L2011" t="s">
        <v>253</v>
      </c>
      <c r="M2011" t="s">
        <v>2839</v>
      </c>
      <c r="N2011" s="4">
        <f>IF(L2011="","",IF(OR(Registro2[[#This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5.2</v>
      </c>
      <c r="O2011" t="str">
        <f t="shared" si="34"/>
        <v>mai/25</v>
      </c>
      <c r="P2011" t="str">
        <f>IF(Registro2[[#This Row],[Data de Pagamento]]&gt;0,TEXT(A2011,"mmm/aa"),"")</f>
        <v>mai/25</v>
      </c>
      <c r="T2011" s="4">
        <f>IF(Registro2[[#This Row],[Data de Pagamento]]="",0,IF(Registro2[[#This Row],[Conta Financeira]]=base!$A$6,0,Registro2[[#This Row],[Valor Unitário]]))</f>
        <v>13</v>
      </c>
      <c r="U20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11" t="str">
        <f>VLOOKUP(Registro2[[#This Row],[Categoria]],'Plano de Contas'!$V$3:W2065,2,0)</f>
        <v>Receitas Produtos</v>
      </c>
      <c r="X20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12" spans="1:24" hidden="1">
      <c r="A2012" s="1">
        <v>45784.677083333336</v>
      </c>
      <c r="B2012" s="1">
        <v>45784.677083333336</v>
      </c>
      <c r="D2012" t="s">
        <v>2838</v>
      </c>
      <c r="E2012" t="s">
        <v>149</v>
      </c>
      <c r="F2012" t="s">
        <v>147</v>
      </c>
      <c r="G2012" t="s">
        <v>1046</v>
      </c>
      <c r="I2012" s="4">
        <v>15</v>
      </c>
      <c r="J2012" s="4">
        <v>0</v>
      </c>
      <c r="L2012" t="s">
        <v>253</v>
      </c>
      <c r="M2012" t="s">
        <v>2839</v>
      </c>
      <c r="N2012" s="4">
        <f>IF(L2012="","",IF(OR(Registro2[[#This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012" t="str">
        <f t="shared" si="34"/>
        <v>mai/25</v>
      </c>
      <c r="P2012" t="str">
        <f>IF(Registro2[[#This Row],[Data de Pagamento]]&gt;0,TEXT(A2012,"mmm/aa"),"")</f>
        <v>mai/25</v>
      </c>
      <c r="T2012" s="4">
        <f>IF(Registro2[[#This Row],[Data de Pagamento]]="",0,IF(Registro2[[#This Row],[Conta Financeira]]=base!$A$6,0,Registro2[[#This Row],[Valor Unitário]]))</f>
        <v>15</v>
      </c>
      <c r="U20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12" t="str">
        <f>VLOOKUP(Registro2[[#This Row],[Categoria]],'Plano de Contas'!$V$3:W2066,2,0)</f>
        <v>Receitas Serviços</v>
      </c>
      <c r="X201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13" spans="1:24" hidden="1">
      <c r="A2013" s="1">
        <v>45784.708333333336</v>
      </c>
      <c r="B2013" s="1">
        <v>45784.708333333336</v>
      </c>
      <c r="D2013" t="s">
        <v>310</v>
      </c>
      <c r="E2013" t="s">
        <v>149</v>
      </c>
      <c r="F2013" t="s">
        <v>147</v>
      </c>
      <c r="G2013" t="s">
        <v>163</v>
      </c>
      <c r="I2013" s="4">
        <v>35</v>
      </c>
      <c r="J2013" s="4">
        <v>35</v>
      </c>
      <c r="L2013" t="s">
        <v>264</v>
      </c>
      <c r="M2013" t="s">
        <v>2841</v>
      </c>
      <c r="N2013" s="4">
        <f>IF(L2013="","",IF(OR(Registro2[[#This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13" t="str">
        <f t="shared" si="34"/>
        <v>mai/25</v>
      </c>
      <c r="P2013" t="str">
        <f>IF(Registro2[[#This Row],[Data de Pagamento]]&gt;0,TEXT(A2013,"mmm/aa"),"")</f>
        <v>mai/25</v>
      </c>
      <c r="T2013" s="4">
        <f>IF(Registro2[[#This Row],[Data de Pagamento]]="",0,IF(Registro2[[#This Row],[Conta Financeira]]=base!$A$6,0,Registro2[[#This Row],[Valor Unitário]]))</f>
        <v>35</v>
      </c>
      <c r="U20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13" t="str">
        <f>VLOOKUP(Registro2[[#This Row],[Categoria]],'Plano de Contas'!$V$3:W2067,2,0)</f>
        <v>Receitas Serviços</v>
      </c>
      <c r="X201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014" spans="1:24" hidden="1">
      <c r="A2014" s="1">
        <v>45784.770833333336</v>
      </c>
      <c r="B2014" s="1">
        <v>45784.770833333336</v>
      </c>
      <c r="D2014" t="s">
        <v>1</v>
      </c>
      <c r="E2014" t="s">
        <v>149</v>
      </c>
      <c r="F2014" t="s">
        <v>147</v>
      </c>
      <c r="G2014" t="s">
        <v>163</v>
      </c>
      <c r="I2014" s="4">
        <v>35</v>
      </c>
      <c r="J2014" s="4">
        <v>35</v>
      </c>
      <c r="L2014" t="s">
        <v>253</v>
      </c>
      <c r="M2014" t="s">
        <v>1233</v>
      </c>
      <c r="N2014" s="4">
        <f>IF(L2014="","",IF(OR(Registro2[[#This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14" t="str">
        <f t="shared" si="34"/>
        <v>mai/25</v>
      </c>
      <c r="P2014" t="str">
        <f>IF(Registro2[[#This Row],[Data de Pagamento]]&gt;0,TEXT(A2014,"mmm/aa"),"")</f>
        <v>mai/25</v>
      </c>
      <c r="T2014" s="4">
        <f>IF(Registro2[[#This Row],[Data de Pagamento]]="",0,IF(Registro2[[#This Row],[Conta Financeira]]=base!$A$6,0,Registro2[[#This Row],[Valor Unitário]]))</f>
        <v>35</v>
      </c>
      <c r="U20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14" t="str">
        <f>VLOOKUP(Registro2[[#This Row],[Categoria]],'Plano de Contas'!$V$3:W2068,2,0)</f>
        <v>Receitas Serviços</v>
      </c>
      <c r="X201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15" spans="1:24" hidden="1">
      <c r="A2015" s="1">
        <v>45784.791666666664</v>
      </c>
      <c r="B2015" s="1">
        <v>45784.791666666664</v>
      </c>
      <c r="D2015" t="s">
        <v>1</v>
      </c>
      <c r="E2015" t="s">
        <v>149</v>
      </c>
      <c r="F2015" t="s">
        <v>147</v>
      </c>
      <c r="G2015" t="s">
        <v>163</v>
      </c>
      <c r="I2015" s="4">
        <v>35</v>
      </c>
      <c r="J2015" s="4">
        <v>35</v>
      </c>
      <c r="L2015" t="s">
        <v>253</v>
      </c>
      <c r="M2015" t="s">
        <v>185</v>
      </c>
      <c r="N2015" s="4">
        <f>IF(L2015="","",IF(OR(Registro2[[#This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15" t="str">
        <f t="shared" si="34"/>
        <v>mai/25</v>
      </c>
      <c r="P2015" t="str">
        <f>IF(Registro2[[#This Row],[Data de Pagamento]]&gt;0,TEXT(A2015,"mmm/aa"),"")</f>
        <v>mai/25</v>
      </c>
      <c r="T2015" s="4">
        <f>IF(Registro2[[#This Row],[Data de Pagamento]]="",0,IF(Registro2[[#This Row],[Conta Financeira]]=base!$A$6,0,Registro2[[#This Row],[Valor Unitário]]))</f>
        <v>35</v>
      </c>
      <c r="U20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15" t="str">
        <f>VLOOKUP(Registro2[[#This Row],[Categoria]],'Plano de Contas'!$V$3:W2069,2,0)</f>
        <v>Receitas Serviços</v>
      </c>
      <c r="X201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16" spans="1:24" hidden="1">
      <c r="A2016" s="1">
        <v>45784.847222222219</v>
      </c>
      <c r="B2016" s="1">
        <v>45784.847222222219</v>
      </c>
      <c r="D2016" t="s">
        <v>1</v>
      </c>
      <c r="E2016" t="s">
        <v>149</v>
      </c>
      <c r="F2016" t="s">
        <v>147</v>
      </c>
      <c r="G2016" t="s">
        <v>163</v>
      </c>
      <c r="I2016" s="4">
        <v>35</v>
      </c>
      <c r="J2016" s="4">
        <v>95</v>
      </c>
      <c r="L2016" t="s">
        <v>253</v>
      </c>
      <c r="M2016" t="s">
        <v>2845</v>
      </c>
      <c r="N2016" s="4">
        <f>IF(L2016="","",IF(OR(Registro2[[#This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16" t="str">
        <f t="shared" si="34"/>
        <v>mai/25</v>
      </c>
      <c r="P2016" t="str">
        <f>IF(Registro2[[#This Row],[Data de Pagamento]]&gt;0,TEXT(A2016,"mmm/aa"),"")</f>
        <v>mai/25</v>
      </c>
      <c r="T2016" s="4">
        <f>IF(Registro2[[#This Row],[Data de Pagamento]]="",0,IF(Registro2[[#This Row],[Conta Financeira]]=base!$A$6,0,Registro2[[#This Row],[Valor Unitário]]))</f>
        <v>35</v>
      </c>
      <c r="U20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16" t="str">
        <f>VLOOKUP(Registro2[[#This Row],[Categoria]],'Plano de Contas'!$V$3:W2070,2,0)</f>
        <v>Receitas Serviços</v>
      </c>
      <c r="X201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17" spans="1:24" hidden="1">
      <c r="A2017" s="1">
        <v>45784.847222222219</v>
      </c>
      <c r="B2017" s="1">
        <v>45784.847222222219</v>
      </c>
      <c r="D2017" t="s">
        <v>1</v>
      </c>
      <c r="E2017" t="s">
        <v>149</v>
      </c>
      <c r="F2017" t="s">
        <v>147</v>
      </c>
      <c r="G2017" t="s">
        <v>163</v>
      </c>
      <c r="I2017" s="4">
        <v>35</v>
      </c>
      <c r="J2017" s="4">
        <v>0</v>
      </c>
      <c r="L2017" t="s">
        <v>264</v>
      </c>
      <c r="M2017" t="s">
        <v>2845</v>
      </c>
      <c r="N2017" s="4">
        <f>IF(L2017="","",IF(OR(Registro2[[#This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17" t="str">
        <f t="shared" si="34"/>
        <v>mai/25</v>
      </c>
      <c r="P2017" t="str">
        <f>IF(Registro2[[#This Row],[Data de Pagamento]]&gt;0,TEXT(A2017,"mmm/aa"),"")</f>
        <v>mai/25</v>
      </c>
      <c r="T2017" s="4">
        <f>IF(Registro2[[#This Row],[Data de Pagamento]]="",0,IF(Registro2[[#This Row],[Conta Financeira]]=base!$A$6,0,Registro2[[#This Row],[Valor Unitário]]))</f>
        <v>35</v>
      </c>
      <c r="U20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17" t="str">
        <f>VLOOKUP(Registro2[[#This Row],[Categoria]],'Plano de Contas'!$V$3:W2071,2,0)</f>
        <v>Receitas Serviços</v>
      </c>
      <c r="X201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18" spans="1:24" hidden="1">
      <c r="A2018" s="1">
        <v>45784.847222222219</v>
      </c>
      <c r="B2018" s="1">
        <v>45784.847222222219</v>
      </c>
      <c r="D2018" t="s">
        <v>1</v>
      </c>
      <c r="E2018" t="s">
        <v>149</v>
      </c>
      <c r="F2018" t="s">
        <v>150</v>
      </c>
      <c r="G2018" t="s">
        <v>2526</v>
      </c>
      <c r="I2018" s="4">
        <v>25</v>
      </c>
      <c r="J2018" s="4">
        <v>0</v>
      </c>
      <c r="L2018" t="s">
        <v>253</v>
      </c>
      <c r="M2018" t="s">
        <v>2845</v>
      </c>
      <c r="N2018" s="4">
        <f>IF(L2018="","",IF(OR(Registro2[[#This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2018" t="str">
        <f t="shared" si="34"/>
        <v>mai/25</v>
      </c>
      <c r="P2018" t="str">
        <f>IF(Registro2[[#This Row],[Data de Pagamento]]&gt;0,TEXT(A2018,"mmm/aa"),"")</f>
        <v>mai/25</v>
      </c>
      <c r="T2018" s="4">
        <f>IF(Registro2[[#This Row],[Data de Pagamento]]="",0,IF(Registro2[[#This Row],[Conta Financeira]]=base!$A$6,0,Registro2[[#This Row],[Valor Unitário]]))</f>
        <v>25</v>
      </c>
      <c r="U20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18" t="e">
        <f>VLOOKUP(Registro2[[#This Row],[Categoria]],'Plano de Contas'!$V$3:W2072,2,0)</f>
        <v>#N/A</v>
      </c>
      <c r="X20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19" spans="1:24" hidden="1">
      <c r="A2019" s="1">
        <v>45787.385416666664</v>
      </c>
      <c r="B2019" s="1">
        <v>45787.385416666664</v>
      </c>
      <c r="D2019" t="s">
        <v>1</v>
      </c>
      <c r="E2019" t="s">
        <v>149</v>
      </c>
      <c r="F2019" t="s">
        <v>147</v>
      </c>
      <c r="G2019" t="s">
        <v>163</v>
      </c>
      <c r="I2019" s="4">
        <v>35</v>
      </c>
      <c r="J2019" s="4">
        <v>70</v>
      </c>
      <c r="L2019" t="s">
        <v>253</v>
      </c>
      <c r="M2019" t="s">
        <v>16</v>
      </c>
      <c r="N2019" s="4">
        <f>IF(L2019="","",IF(OR(Registro2[[#This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19" t="str">
        <f t="shared" si="34"/>
        <v>mai/25</v>
      </c>
      <c r="P2019" t="str">
        <f>IF(Registro2[[#This Row],[Data de Pagamento]]&gt;0,TEXT(A2019,"mmm/aa"),"")</f>
        <v>mai/25</v>
      </c>
      <c r="T2019" s="4">
        <f>IF(Registro2[[#This Row],[Data de Pagamento]]="",0,IF(Registro2[[#This Row],[Conta Financeira]]=base!$A$6,0,Registro2[[#This Row],[Valor Unitário]]))</f>
        <v>35</v>
      </c>
      <c r="U20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19" t="str">
        <f>VLOOKUP(Registro2[[#This Row],[Categoria]],'Plano de Contas'!$V$3:W2073,2,0)</f>
        <v>Receitas Serviços</v>
      </c>
      <c r="X201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20" spans="1:24" hidden="1">
      <c r="A2020" s="1">
        <v>45787.385416666664</v>
      </c>
      <c r="B2020" s="1">
        <v>45787.385416666664</v>
      </c>
      <c r="D2020" t="s">
        <v>1</v>
      </c>
      <c r="E2020" t="s">
        <v>149</v>
      </c>
      <c r="F2020" t="s">
        <v>147</v>
      </c>
      <c r="G2020" t="s">
        <v>163</v>
      </c>
      <c r="I2020" s="4">
        <v>35</v>
      </c>
      <c r="J2020" s="4">
        <v>0</v>
      </c>
      <c r="L2020" t="s">
        <v>252</v>
      </c>
      <c r="M2020" t="s">
        <v>16</v>
      </c>
      <c r="N2020" s="4">
        <f>IF(L2020="","",IF(OR(Registro2[[#This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20" t="str">
        <f t="shared" si="34"/>
        <v>mai/25</v>
      </c>
      <c r="P2020" t="str">
        <f>IF(Registro2[[#This Row],[Data de Pagamento]]&gt;0,TEXT(A2020,"mmm/aa"),"")</f>
        <v>mai/25</v>
      </c>
      <c r="T2020" s="4">
        <f>IF(Registro2[[#This Row],[Data de Pagamento]]="",0,IF(Registro2[[#This Row],[Conta Financeira]]=base!$A$6,0,Registro2[[#This Row],[Valor Unitário]]))</f>
        <v>35</v>
      </c>
      <c r="U20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20" t="str">
        <f>VLOOKUP(Registro2[[#This Row],[Categoria]],'Plano de Contas'!$V$3:W2074,2,0)</f>
        <v>Receitas Serviços</v>
      </c>
      <c r="X202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21" spans="1:24" hidden="1">
      <c r="A2021" s="1">
        <v>45785.625</v>
      </c>
      <c r="B2021" s="1">
        <v>45785.625</v>
      </c>
      <c r="D2021" t="s">
        <v>310</v>
      </c>
      <c r="E2021" t="s">
        <v>149</v>
      </c>
      <c r="F2021" t="s">
        <v>147</v>
      </c>
      <c r="G2021" t="s">
        <v>163</v>
      </c>
      <c r="I2021" s="4">
        <v>35</v>
      </c>
      <c r="J2021" s="4">
        <v>35</v>
      </c>
      <c r="L2021" t="s">
        <v>253</v>
      </c>
      <c r="M2021" t="s">
        <v>1056</v>
      </c>
      <c r="N2021" s="4">
        <f>IF(L2021="","",IF(OR(Registro2[[#This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21" t="str">
        <f t="shared" si="34"/>
        <v>mai/25</v>
      </c>
      <c r="P2021" t="str">
        <f>IF(Registro2[[#This Row],[Data de Pagamento]]&gt;0,TEXT(A2021,"mmm/aa"),"")</f>
        <v>mai/25</v>
      </c>
      <c r="T2021" s="4">
        <f>IF(Registro2[[#This Row],[Data de Pagamento]]="",0,IF(Registro2[[#This Row],[Conta Financeira]]=base!$A$6,0,Registro2[[#This Row],[Valor Unitário]]))</f>
        <v>35</v>
      </c>
      <c r="U20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21" t="str">
        <f>VLOOKUP(Registro2[[#This Row],[Categoria]],'Plano de Contas'!$V$3:W2075,2,0)</f>
        <v>Receitas Serviços</v>
      </c>
      <c r="X202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022" spans="1:24" hidden="1">
      <c r="A2022" s="1">
        <v>45785.479166666664</v>
      </c>
      <c r="B2022" s="1">
        <v>45785.479166666664</v>
      </c>
      <c r="D2022" t="s">
        <v>1</v>
      </c>
      <c r="E2022" t="s">
        <v>149</v>
      </c>
      <c r="F2022" t="s">
        <v>147</v>
      </c>
      <c r="G2022" t="s">
        <v>163</v>
      </c>
      <c r="I2022" s="4">
        <v>35</v>
      </c>
      <c r="J2022" s="4">
        <v>70</v>
      </c>
      <c r="L2022" t="s">
        <v>253</v>
      </c>
      <c r="M2022" t="s">
        <v>1058</v>
      </c>
      <c r="N2022" s="4">
        <f>IF(L2022="","",IF(OR(Registro2[[#This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22" t="str">
        <f t="shared" si="34"/>
        <v>mai/25</v>
      </c>
      <c r="P2022" t="str">
        <f>IF(Registro2[[#This Row],[Data de Pagamento]]&gt;0,TEXT(A2022,"mmm/aa"),"")</f>
        <v>mai/25</v>
      </c>
      <c r="T2022" s="4">
        <f>IF(Registro2[[#This Row],[Data de Pagamento]]="",0,IF(Registro2[[#This Row],[Conta Financeira]]=base!$A$6,0,Registro2[[#This Row],[Valor Unitário]]))</f>
        <v>35</v>
      </c>
      <c r="U20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22" t="str">
        <f>VLOOKUP(Registro2[[#This Row],[Categoria]],'Plano de Contas'!$V$3:W2076,2,0)</f>
        <v>Receitas Serviços</v>
      </c>
      <c r="X202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23" spans="1:24" hidden="1">
      <c r="A2023" s="1">
        <v>45785.479166666664</v>
      </c>
      <c r="B2023" s="1">
        <v>45785.479166666664</v>
      </c>
      <c r="D2023" t="s">
        <v>1</v>
      </c>
      <c r="E2023" t="s">
        <v>149</v>
      </c>
      <c r="F2023" t="s">
        <v>150</v>
      </c>
      <c r="G2023" t="s">
        <v>472</v>
      </c>
      <c r="I2023" s="4">
        <v>35</v>
      </c>
      <c r="J2023" s="4">
        <v>0</v>
      </c>
      <c r="L2023" t="s">
        <v>253</v>
      </c>
      <c r="M2023" t="s">
        <v>1058</v>
      </c>
      <c r="N2023" s="4">
        <f>IF(L2023="","",IF(OR(Registro2[[#This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14</v>
      </c>
      <c r="O2023" t="str">
        <f t="shared" si="34"/>
        <v>mai/25</v>
      </c>
      <c r="P2023" t="str">
        <f>IF(Registro2[[#This Row],[Data de Pagamento]]&gt;0,TEXT(A2023,"mmm/aa"),"")</f>
        <v>mai/25</v>
      </c>
      <c r="T2023" s="4">
        <f>IF(Registro2[[#This Row],[Data de Pagamento]]="",0,IF(Registro2[[#This Row],[Conta Financeira]]=base!$A$6,0,Registro2[[#This Row],[Valor Unitário]]))</f>
        <v>35</v>
      </c>
      <c r="U20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23" t="str">
        <f>VLOOKUP(Registro2[[#This Row],[Categoria]],'Plano de Contas'!$V$3:W2077,2,0)</f>
        <v>Receitas Produtos</v>
      </c>
      <c r="X202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24" spans="1:24" hidden="1">
      <c r="A2024" s="1">
        <v>45785.458333333336</v>
      </c>
      <c r="B2024" s="1">
        <v>45785.458333333336</v>
      </c>
      <c r="D2024" t="s">
        <v>1</v>
      </c>
      <c r="E2024" t="s">
        <v>149</v>
      </c>
      <c r="F2024" t="s">
        <v>147</v>
      </c>
      <c r="G2024" t="s">
        <v>163</v>
      </c>
      <c r="I2024" s="4">
        <v>35</v>
      </c>
      <c r="J2024" s="4">
        <v>60</v>
      </c>
      <c r="L2024" t="s">
        <v>264</v>
      </c>
      <c r="M2024" t="s">
        <v>2850</v>
      </c>
      <c r="N2024" s="4">
        <f>IF(L2024="","",IF(OR(Registro2[[#This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24" t="str">
        <f t="shared" si="34"/>
        <v>mai/25</v>
      </c>
      <c r="P2024" t="str">
        <f>IF(Registro2[[#This Row],[Data de Pagamento]]&gt;0,TEXT(A2024,"mmm/aa"),"")</f>
        <v>mai/25</v>
      </c>
      <c r="T2024" s="4">
        <f>IF(Registro2[[#This Row],[Data de Pagamento]]="",0,IF(Registro2[[#This Row],[Conta Financeira]]=base!$A$6,0,Registro2[[#This Row],[Valor Unitário]]))</f>
        <v>35</v>
      </c>
      <c r="U20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24" t="str">
        <f>VLOOKUP(Registro2[[#This Row],[Categoria]],'Plano de Contas'!$V$3:W2078,2,0)</f>
        <v>Receitas Serviços</v>
      </c>
      <c r="X202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25" spans="1:24" hidden="1">
      <c r="A2025" s="1">
        <v>45785.458333333336</v>
      </c>
      <c r="B2025" s="1">
        <v>45785.458333333336</v>
      </c>
      <c r="D2025" t="s">
        <v>1</v>
      </c>
      <c r="E2025" t="s">
        <v>149</v>
      </c>
      <c r="F2025" t="s">
        <v>150</v>
      </c>
      <c r="G2025" t="s">
        <v>2526</v>
      </c>
      <c r="I2025" s="4">
        <v>25</v>
      </c>
      <c r="J2025" s="4">
        <v>0</v>
      </c>
      <c r="L2025" t="s">
        <v>264</v>
      </c>
      <c r="M2025" t="s">
        <v>2850</v>
      </c>
      <c r="N2025" s="4">
        <f>IF(L2025="","",IF(OR(Registro2[[#This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2025" t="str">
        <f t="shared" si="34"/>
        <v>mai/25</v>
      </c>
      <c r="P2025" t="str">
        <f>IF(Registro2[[#This Row],[Data de Pagamento]]&gt;0,TEXT(A2025,"mmm/aa"),"")</f>
        <v>mai/25</v>
      </c>
      <c r="T2025" s="4">
        <f>IF(Registro2[[#This Row],[Data de Pagamento]]="",0,IF(Registro2[[#This Row],[Conta Financeira]]=base!$A$6,0,Registro2[[#This Row],[Valor Unitário]]))</f>
        <v>25</v>
      </c>
      <c r="U20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25" t="e">
        <f>VLOOKUP(Registro2[[#This Row],[Categoria]],'Plano de Contas'!$V$3:W2079,2,0)</f>
        <v>#N/A</v>
      </c>
      <c r="X202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26" spans="1:24" hidden="1">
      <c r="A2026" s="1">
        <v>45785.510416666664</v>
      </c>
      <c r="B2026" s="1">
        <v>45785.510416666664</v>
      </c>
      <c r="D2026" t="s">
        <v>310</v>
      </c>
      <c r="E2026" t="s">
        <v>149</v>
      </c>
      <c r="F2026" t="s">
        <v>147</v>
      </c>
      <c r="G2026" t="s">
        <v>163</v>
      </c>
      <c r="I2026" s="4">
        <v>35</v>
      </c>
      <c r="J2026" s="4">
        <v>35</v>
      </c>
      <c r="L2026" t="s">
        <v>264</v>
      </c>
      <c r="M2026" t="s">
        <v>118</v>
      </c>
      <c r="N2026" s="4">
        <f>IF(L2026="","",IF(OR(Registro2[[#This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26" t="str">
        <f t="shared" si="34"/>
        <v>mai/25</v>
      </c>
      <c r="P2026" t="str">
        <f>IF(Registro2[[#This Row],[Data de Pagamento]]&gt;0,TEXT(A2026,"mmm/aa"),"")</f>
        <v>mai/25</v>
      </c>
      <c r="T2026" s="4">
        <f>IF(Registro2[[#This Row],[Data de Pagamento]]="",0,IF(Registro2[[#This Row],[Conta Financeira]]=base!$A$6,0,Registro2[[#This Row],[Valor Unitário]]))</f>
        <v>35</v>
      </c>
      <c r="U20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26" t="str">
        <f>VLOOKUP(Registro2[[#This Row],[Categoria]],'Plano de Contas'!$V$3:W2080,2,0)</f>
        <v>Receitas Serviços</v>
      </c>
      <c r="X202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027" spans="1:24" hidden="1">
      <c r="A2027" s="1">
        <v>45785.541666666664</v>
      </c>
      <c r="B2027" s="1">
        <v>45785.541666666664</v>
      </c>
      <c r="D2027" t="s">
        <v>1</v>
      </c>
      <c r="E2027" t="s">
        <v>149</v>
      </c>
      <c r="F2027" t="s">
        <v>147</v>
      </c>
      <c r="G2027" t="s">
        <v>163</v>
      </c>
      <c r="I2027" s="4">
        <v>35</v>
      </c>
      <c r="J2027" s="4">
        <v>35</v>
      </c>
      <c r="L2027" t="s">
        <v>252</v>
      </c>
      <c r="M2027" t="s">
        <v>83</v>
      </c>
      <c r="N2027" s="4">
        <f>IF(L2027="","",IF(OR(Registro2[[#This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27" t="str">
        <f t="shared" si="34"/>
        <v>mai/25</v>
      </c>
      <c r="P2027" t="str">
        <f>IF(Registro2[[#This Row],[Data de Pagamento]]&gt;0,TEXT(A2027,"mmm/aa"),"")</f>
        <v>mai/25</v>
      </c>
      <c r="T2027" s="4">
        <f>IF(Registro2[[#This Row],[Data de Pagamento]]="",0,IF(Registro2[[#This Row],[Conta Financeira]]=base!$A$6,0,Registro2[[#This Row],[Valor Unitário]]))</f>
        <v>35</v>
      </c>
      <c r="U20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27" t="str">
        <f>VLOOKUP(Registro2[[#This Row],[Categoria]],'Plano de Contas'!$V$3:W2081,2,0)</f>
        <v>Receitas Serviços</v>
      </c>
      <c r="X20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28" spans="1:24" hidden="1">
      <c r="A2028" s="1">
        <v>45785.75</v>
      </c>
      <c r="B2028" s="1">
        <v>45785.75</v>
      </c>
      <c r="D2028" t="s">
        <v>310</v>
      </c>
      <c r="E2028" t="s">
        <v>149</v>
      </c>
      <c r="F2028" t="s">
        <v>152</v>
      </c>
      <c r="G2028" t="s">
        <v>353</v>
      </c>
      <c r="I2028" s="4">
        <v>60</v>
      </c>
      <c r="J2028" s="4">
        <v>60</v>
      </c>
      <c r="L2028" t="s">
        <v>252</v>
      </c>
      <c r="M2028" t="s">
        <v>11</v>
      </c>
      <c r="N2028" s="4">
        <f>IF(L2028="","",IF(OR(Registro2[[#This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028" t="str">
        <f t="shared" si="34"/>
        <v>mai/25</v>
      </c>
      <c r="P2028" t="str">
        <f>IF(Registro2[[#This Row],[Data de Pagamento]]&gt;0,TEXT(A2028,"mmm/aa"),"")</f>
        <v>mai/25</v>
      </c>
      <c r="T2028" s="4">
        <f>IF(Registro2[[#This Row],[Data de Pagamento]]="",0,IF(Registro2[[#This Row],[Conta Financeira]]=base!$A$6,0,Registro2[[#This Row],[Valor Unitário]]))</f>
        <v>60</v>
      </c>
      <c r="U20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28" t="str">
        <f>VLOOKUP(Registro2[[#This Row],[Categoria]],'Plano de Contas'!$V$3:W2082,2,0)</f>
        <v>Receitas Serviços</v>
      </c>
      <c r="X202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</row>
    <row r="2029" spans="1:24" hidden="1">
      <c r="A2029" s="1">
        <v>45785.583333333336</v>
      </c>
      <c r="B2029" s="1">
        <v>45785.583333333336</v>
      </c>
      <c r="D2029" t="s">
        <v>354</v>
      </c>
      <c r="E2029" t="s">
        <v>149</v>
      </c>
      <c r="F2029" t="s">
        <v>152</v>
      </c>
      <c r="G2029" t="s">
        <v>353</v>
      </c>
      <c r="I2029" s="4">
        <v>60</v>
      </c>
      <c r="J2029" s="4">
        <v>60</v>
      </c>
      <c r="L2029" t="s">
        <v>264</v>
      </c>
      <c r="M2029" t="s">
        <v>1026</v>
      </c>
      <c r="N2029" s="4">
        <f>IF(L2029="","",IF(OR(Registro2[[#This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029" t="str">
        <f t="shared" si="34"/>
        <v>mai/25</v>
      </c>
      <c r="P2029" t="str">
        <f>IF(Registro2[[#This Row],[Data de Pagamento]]&gt;0,TEXT(A2029,"mmm/aa"),"")</f>
        <v>mai/25</v>
      </c>
      <c r="T2029" s="4">
        <f>IF(Registro2[[#This Row],[Data de Pagamento]]="",0,IF(Registro2[[#This Row],[Conta Financeira]]=base!$A$6,0,Registro2[[#This Row],[Valor Unitário]]))</f>
        <v>60</v>
      </c>
      <c r="U20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29" t="str">
        <f>VLOOKUP(Registro2[[#This Row],[Categoria]],'Plano de Contas'!$V$3:W2083,2,0)</f>
        <v>Receitas Serviços</v>
      </c>
      <c r="X202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</row>
    <row r="2030" spans="1:24" hidden="1">
      <c r="A2030" s="1">
        <v>45785.625</v>
      </c>
      <c r="B2030" s="1">
        <v>45785.625</v>
      </c>
      <c r="D2030" t="s">
        <v>1</v>
      </c>
      <c r="E2030" t="s">
        <v>149</v>
      </c>
      <c r="F2030" t="s">
        <v>147</v>
      </c>
      <c r="G2030" t="s">
        <v>163</v>
      </c>
      <c r="I2030" s="4">
        <v>35</v>
      </c>
      <c r="J2030" s="4">
        <v>35</v>
      </c>
      <c r="L2030" t="s">
        <v>264</v>
      </c>
      <c r="M2030" t="s">
        <v>471</v>
      </c>
      <c r="N2030" s="4">
        <f>IF(L2030="","",IF(OR(Registro2[[#This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30" t="str">
        <f t="shared" si="34"/>
        <v>mai/25</v>
      </c>
      <c r="P2030" t="str">
        <f>IF(Registro2[[#This Row],[Data de Pagamento]]&gt;0,TEXT(A2030,"mmm/aa"),"")</f>
        <v>mai/25</v>
      </c>
      <c r="T2030" s="4">
        <f>IF(Registro2[[#This Row],[Data de Pagamento]]="",0,IF(Registro2[[#This Row],[Conta Financeira]]=base!$A$6,0,Registro2[[#This Row],[Valor Unitário]]))</f>
        <v>35</v>
      </c>
      <c r="U20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30" t="str">
        <f>VLOOKUP(Registro2[[#This Row],[Categoria]],'Plano de Contas'!$V$3:W2084,2,0)</f>
        <v>Receitas Serviços</v>
      </c>
      <c r="X203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31" spans="1:24" hidden="1">
      <c r="A2031" s="1">
        <v>45785.666666666664</v>
      </c>
      <c r="B2031" s="1">
        <v>45785.666666666664</v>
      </c>
      <c r="D2031" t="s">
        <v>354</v>
      </c>
      <c r="E2031" t="s">
        <v>149</v>
      </c>
      <c r="F2031" t="s">
        <v>147</v>
      </c>
      <c r="G2031" t="s">
        <v>163</v>
      </c>
      <c r="I2031" s="4">
        <v>35</v>
      </c>
      <c r="J2031" s="4">
        <v>35</v>
      </c>
      <c r="L2031" t="s">
        <v>252</v>
      </c>
      <c r="M2031" t="s">
        <v>1903</v>
      </c>
      <c r="N2031" s="4">
        <f>IF(L2031="","",IF(OR(Registro2[[#This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31" t="str">
        <f t="shared" si="34"/>
        <v>mai/25</v>
      </c>
      <c r="P2031" t="str">
        <f>IF(Registro2[[#This Row],[Data de Pagamento]]&gt;0,TEXT(A2031,"mmm/aa"),"")</f>
        <v>mai/25</v>
      </c>
      <c r="T2031" s="4">
        <f>IF(Registro2[[#This Row],[Data de Pagamento]]="",0,IF(Registro2[[#This Row],[Conta Financeira]]=base!$A$6,0,Registro2[[#This Row],[Valor Unitário]]))</f>
        <v>35</v>
      </c>
      <c r="U20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31" t="str">
        <f>VLOOKUP(Registro2[[#This Row],[Categoria]],'Plano de Contas'!$V$3:W2085,2,0)</f>
        <v>Receitas Serviços</v>
      </c>
      <c r="X203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032" spans="1:24" hidden="1">
      <c r="A2032" s="1">
        <v>45785.604166666664</v>
      </c>
      <c r="B2032" s="1">
        <v>45785.604166666664</v>
      </c>
      <c r="D2032" t="s">
        <v>354</v>
      </c>
      <c r="E2032" t="s">
        <v>149</v>
      </c>
      <c r="F2032" t="s">
        <v>147</v>
      </c>
      <c r="G2032" t="s">
        <v>163</v>
      </c>
      <c r="I2032" s="4">
        <v>35</v>
      </c>
      <c r="J2032" s="4">
        <v>45</v>
      </c>
      <c r="L2032" t="s">
        <v>253</v>
      </c>
      <c r="M2032" t="s">
        <v>1564</v>
      </c>
      <c r="N2032" s="4">
        <f>IF(L2032="","",IF(OR(Registro2[[#This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32" t="str">
        <f t="shared" si="34"/>
        <v>mai/25</v>
      </c>
      <c r="P2032" t="str">
        <f>IF(Registro2[[#This Row],[Data de Pagamento]]&gt;0,TEXT(A2032,"mmm/aa"),"")</f>
        <v>mai/25</v>
      </c>
      <c r="T2032" s="4">
        <f>IF(Registro2[[#This Row],[Data de Pagamento]]="",0,IF(Registro2[[#This Row],[Conta Financeira]]=base!$A$6,0,Registro2[[#This Row],[Valor Unitário]]))</f>
        <v>35</v>
      </c>
      <c r="U20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32" t="str">
        <f>VLOOKUP(Registro2[[#This Row],[Categoria]],'Plano de Contas'!$V$3:W2086,2,0)</f>
        <v>Receitas Serviços</v>
      </c>
      <c r="X203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033" spans="1:24" hidden="1">
      <c r="A2033" s="1">
        <v>45785.604166666664</v>
      </c>
      <c r="B2033" s="1">
        <v>45785.604166666664</v>
      </c>
      <c r="D2033" t="s">
        <v>354</v>
      </c>
      <c r="E2033" t="s">
        <v>149</v>
      </c>
      <c r="F2033" t="s">
        <v>147</v>
      </c>
      <c r="G2033" t="s">
        <v>167</v>
      </c>
      <c r="I2033" s="4">
        <v>10</v>
      </c>
      <c r="J2033" s="4">
        <v>0</v>
      </c>
      <c r="L2033" t="s">
        <v>253</v>
      </c>
      <c r="M2033" t="s">
        <v>1564</v>
      </c>
      <c r="N2033" s="4">
        <f>IF(L2033="","",IF(OR(Registro2[[#This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033" t="str">
        <f t="shared" si="34"/>
        <v>mai/25</v>
      </c>
      <c r="P2033" t="str">
        <f>IF(Registro2[[#This Row],[Data de Pagamento]]&gt;0,TEXT(A2033,"mmm/aa"),"")</f>
        <v>mai/25</v>
      </c>
      <c r="T2033" s="4">
        <f>IF(Registro2[[#This Row],[Data de Pagamento]]="",0,IF(Registro2[[#This Row],[Conta Financeira]]=base!$A$6,0,Registro2[[#This Row],[Valor Unitário]]))</f>
        <v>10</v>
      </c>
      <c r="U20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33" t="str">
        <f>VLOOKUP(Registro2[[#This Row],[Categoria]],'Plano de Contas'!$V$3:W2087,2,0)</f>
        <v>Receitas Serviços</v>
      </c>
      <c r="X203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</row>
    <row r="2034" spans="1:24" hidden="1">
      <c r="A2034" s="1">
        <v>45785.78125</v>
      </c>
      <c r="B2034" s="1">
        <v>45785.78125</v>
      </c>
      <c r="D2034" t="s">
        <v>1</v>
      </c>
      <c r="E2034" t="s">
        <v>149</v>
      </c>
      <c r="F2034" t="s">
        <v>147</v>
      </c>
      <c r="G2034" t="s">
        <v>163</v>
      </c>
      <c r="I2034" s="4">
        <v>35</v>
      </c>
      <c r="J2034" s="4">
        <v>45</v>
      </c>
      <c r="L2034" t="s">
        <v>252</v>
      </c>
      <c r="M2034" t="s">
        <v>20</v>
      </c>
      <c r="N2034" s="4">
        <f>IF(L2034="","",IF(OR(Registro2[[#This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34" t="str">
        <f t="shared" si="34"/>
        <v>mai/25</v>
      </c>
      <c r="P2034" t="str">
        <f>IF(Registro2[[#This Row],[Data de Pagamento]]&gt;0,TEXT(A2034,"mmm/aa"),"")</f>
        <v>mai/25</v>
      </c>
      <c r="T2034" s="4">
        <f>IF(Registro2[[#This Row],[Data de Pagamento]]="",0,IF(Registro2[[#This Row],[Conta Financeira]]=base!$A$6,0,Registro2[[#This Row],[Valor Unitário]]))</f>
        <v>35</v>
      </c>
      <c r="U20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34" t="str">
        <f>VLOOKUP(Registro2[[#This Row],[Categoria]],'Plano de Contas'!$V$3:W2088,2,0)</f>
        <v>Receitas Serviços</v>
      </c>
      <c r="X203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35" spans="1:24" hidden="1">
      <c r="A2035" s="1">
        <v>45785.78125</v>
      </c>
      <c r="B2035" s="1">
        <v>45785.78125</v>
      </c>
      <c r="D2035" t="s">
        <v>1</v>
      </c>
      <c r="E2035" t="s">
        <v>149</v>
      </c>
      <c r="F2035" t="s">
        <v>147</v>
      </c>
      <c r="G2035" t="s">
        <v>167</v>
      </c>
      <c r="I2035" s="4">
        <v>10</v>
      </c>
      <c r="J2035" s="4">
        <v>0</v>
      </c>
      <c r="L2035" t="s">
        <v>252</v>
      </c>
      <c r="M2035" t="s">
        <v>20</v>
      </c>
      <c r="N2035" s="4">
        <f>IF(L2035="","",IF(OR(Registro2[[#This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035" t="str">
        <f t="shared" si="34"/>
        <v>mai/25</v>
      </c>
      <c r="P2035" t="str">
        <f>IF(Registro2[[#This Row],[Data de Pagamento]]&gt;0,TEXT(A2035,"mmm/aa"),"")</f>
        <v>mai/25</v>
      </c>
      <c r="T2035" s="4">
        <f>IF(Registro2[[#This Row],[Data de Pagamento]]="",0,IF(Registro2[[#This Row],[Conta Financeira]]=base!$A$6,0,Registro2[[#This Row],[Valor Unitário]]))</f>
        <v>10</v>
      </c>
      <c r="U20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35" t="str">
        <f>VLOOKUP(Registro2[[#This Row],[Categoria]],'Plano de Contas'!$V$3:W2089,2,0)</f>
        <v>Receitas Serviços</v>
      </c>
      <c r="X203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36" spans="1:24" hidden="1">
      <c r="A2036" s="1">
        <v>45785.677083333336</v>
      </c>
      <c r="B2036" s="1">
        <v>45785.677083333336</v>
      </c>
      <c r="D2036" t="s">
        <v>1</v>
      </c>
      <c r="E2036" t="s">
        <v>149</v>
      </c>
      <c r="F2036" t="s">
        <v>147</v>
      </c>
      <c r="G2036" t="s">
        <v>163</v>
      </c>
      <c r="I2036" s="4">
        <v>35</v>
      </c>
      <c r="J2036" s="4">
        <v>35</v>
      </c>
      <c r="L2036" t="s">
        <v>264</v>
      </c>
      <c r="M2036" t="s">
        <v>280</v>
      </c>
      <c r="N2036" s="4">
        <f>IF(L2036="","",IF(OR(Registro2[[#This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36" t="str">
        <f t="shared" si="34"/>
        <v>mai/25</v>
      </c>
      <c r="P2036" t="str">
        <f>IF(Registro2[[#This Row],[Data de Pagamento]]&gt;0,TEXT(A2036,"mmm/aa"),"")</f>
        <v>mai/25</v>
      </c>
      <c r="T2036" s="4">
        <f>IF(Registro2[[#This Row],[Data de Pagamento]]="",0,IF(Registro2[[#This Row],[Conta Financeira]]=base!$A$6,0,Registro2[[#This Row],[Valor Unitário]]))</f>
        <v>35</v>
      </c>
      <c r="U20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36" t="str">
        <f>VLOOKUP(Registro2[[#This Row],[Categoria]],'Plano de Contas'!$V$3:W2090,2,0)</f>
        <v>Receitas Serviços</v>
      </c>
      <c r="X203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37" spans="1:24" hidden="1">
      <c r="A2037" s="1">
        <v>45785.802083333336</v>
      </c>
      <c r="B2037" s="1">
        <v>45785.802083333336</v>
      </c>
      <c r="D2037" t="s">
        <v>310</v>
      </c>
      <c r="E2037" t="s">
        <v>149</v>
      </c>
      <c r="F2037" t="s">
        <v>147</v>
      </c>
      <c r="G2037" t="s">
        <v>163</v>
      </c>
      <c r="I2037" s="4">
        <v>35</v>
      </c>
      <c r="J2037" s="4">
        <v>35</v>
      </c>
      <c r="L2037" t="s">
        <v>252</v>
      </c>
      <c r="M2037" t="s">
        <v>1602</v>
      </c>
      <c r="N2037" s="4">
        <f>IF(L2037="","",IF(OR(Registro2[[#This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37" t="str">
        <f t="shared" si="34"/>
        <v>mai/25</v>
      </c>
      <c r="P2037" t="str">
        <f>IF(Registro2[[#This Row],[Data de Pagamento]]&gt;0,TEXT(A2037,"mmm/aa"),"")</f>
        <v>mai/25</v>
      </c>
      <c r="T2037" s="4">
        <f>IF(Registro2[[#This Row],[Data de Pagamento]]="",0,IF(Registro2[[#This Row],[Conta Financeira]]=base!$A$6,0,Registro2[[#This Row],[Valor Unitário]]))</f>
        <v>35</v>
      </c>
      <c r="U20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37" t="str">
        <f>VLOOKUP(Registro2[[#This Row],[Categoria]],'Plano de Contas'!$V$3:W2091,2,0)</f>
        <v>Receitas Serviços</v>
      </c>
      <c r="X203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038" spans="1:24" hidden="1">
      <c r="A2038" s="1">
        <v>45786.4375</v>
      </c>
      <c r="B2038" s="1">
        <v>45786.4375</v>
      </c>
      <c r="D2038" t="s">
        <v>1</v>
      </c>
      <c r="E2038" t="s">
        <v>149</v>
      </c>
      <c r="F2038" t="s">
        <v>147</v>
      </c>
      <c r="G2038" t="s">
        <v>163</v>
      </c>
      <c r="I2038" s="4">
        <v>35</v>
      </c>
      <c r="J2038" s="4">
        <v>50</v>
      </c>
      <c r="L2038" t="s">
        <v>253</v>
      </c>
      <c r="M2038" t="s">
        <v>12</v>
      </c>
      <c r="N2038" s="4">
        <f>IF(L2038="","",IF(OR(Registro2[[#This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38" t="str">
        <f t="shared" si="34"/>
        <v>mai/25</v>
      </c>
      <c r="P2038" t="str">
        <f>IF(Registro2[[#This Row],[Data de Pagamento]]&gt;0,TEXT(A2038,"mmm/aa"),"")</f>
        <v>mai/25</v>
      </c>
      <c r="T2038" s="4">
        <f>IF(Registro2[[#This Row],[Data de Pagamento]]="",0,IF(Registro2[[#This Row],[Conta Financeira]]=base!$A$6,0,Registro2[[#This Row],[Valor Unitário]]))</f>
        <v>35</v>
      </c>
      <c r="U20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38" t="str">
        <f>VLOOKUP(Registro2[[#This Row],[Categoria]],'Plano de Contas'!$V$3:W2092,2,0)</f>
        <v>Receitas Serviços</v>
      </c>
      <c r="X203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39" spans="1:24" hidden="1">
      <c r="A2039" s="1">
        <v>45786.4375</v>
      </c>
      <c r="B2039" s="1">
        <v>45786.4375</v>
      </c>
      <c r="D2039" t="s">
        <v>1</v>
      </c>
      <c r="E2039" t="s">
        <v>149</v>
      </c>
      <c r="F2039" t="s">
        <v>147</v>
      </c>
      <c r="G2039" t="s">
        <v>167</v>
      </c>
      <c r="I2039" s="4">
        <v>15</v>
      </c>
      <c r="J2039" s="4">
        <v>0</v>
      </c>
      <c r="L2039" t="s">
        <v>253</v>
      </c>
      <c r="M2039" t="s">
        <v>12</v>
      </c>
      <c r="N2039" s="4">
        <f>IF(L2039="","",IF(OR(Registro2[[#This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039" t="str">
        <f t="shared" si="34"/>
        <v>mai/25</v>
      </c>
      <c r="P2039" t="str">
        <f>IF(Registro2[[#This Row],[Data de Pagamento]]&gt;0,TEXT(A2039,"mmm/aa"),"")</f>
        <v>mai/25</v>
      </c>
      <c r="T2039" s="4">
        <f>IF(Registro2[[#This Row],[Data de Pagamento]]="",0,IF(Registro2[[#This Row],[Conta Financeira]]=base!$A$6,0,Registro2[[#This Row],[Valor Unitário]]))</f>
        <v>15</v>
      </c>
      <c r="U20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39" t="str">
        <f>VLOOKUP(Registro2[[#This Row],[Categoria]],'Plano de Contas'!$V$3:W2093,2,0)</f>
        <v>Receitas Serviços</v>
      </c>
      <c r="X203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40" spans="1:24" hidden="1">
      <c r="A2040" s="1">
        <v>45785.760416666664</v>
      </c>
      <c r="B2040" s="1">
        <v>45785.760416666664</v>
      </c>
      <c r="D2040" t="s">
        <v>1</v>
      </c>
      <c r="E2040" t="s">
        <v>149</v>
      </c>
      <c r="F2040" t="s">
        <v>147</v>
      </c>
      <c r="G2040" t="s">
        <v>163</v>
      </c>
      <c r="I2040" s="4">
        <v>35</v>
      </c>
      <c r="J2040" s="4">
        <v>35</v>
      </c>
      <c r="L2040" t="s">
        <v>264</v>
      </c>
      <c r="M2040" t="s">
        <v>2148</v>
      </c>
      <c r="N2040" s="4">
        <f>IF(L2040="","",IF(OR(Registro2[[#This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40" t="str">
        <f t="shared" si="34"/>
        <v>mai/25</v>
      </c>
      <c r="P2040" t="str">
        <f>IF(Registro2[[#This Row],[Data de Pagamento]]&gt;0,TEXT(A2040,"mmm/aa"),"")</f>
        <v>mai/25</v>
      </c>
      <c r="T2040" s="4">
        <f>IF(Registro2[[#This Row],[Data de Pagamento]]="",0,IF(Registro2[[#This Row],[Conta Financeira]]=base!$A$6,0,Registro2[[#This Row],[Valor Unitário]]))</f>
        <v>35</v>
      </c>
      <c r="U20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40" t="str">
        <f>VLOOKUP(Registro2[[#This Row],[Categoria]],'Plano de Contas'!$V$3:W2094,2,0)</f>
        <v>Receitas Serviços</v>
      </c>
      <c r="X204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41" spans="1:24" hidden="1">
      <c r="A2041" s="1">
        <v>45785.78125</v>
      </c>
      <c r="B2041" s="1">
        <v>45785.78125</v>
      </c>
      <c r="D2041" t="s">
        <v>1</v>
      </c>
      <c r="E2041" t="s">
        <v>149</v>
      </c>
      <c r="F2041" t="s">
        <v>147</v>
      </c>
      <c r="G2041" t="s">
        <v>163</v>
      </c>
      <c r="I2041" s="4">
        <v>35</v>
      </c>
      <c r="J2041" s="4">
        <v>35</v>
      </c>
      <c r="L2041" t="s">
        <v>264</v>
      </c>
      <c r="M2041" t="s">
        <v>2864</v>
      </c>
      <c r="N2041" s="4">
        <f>IF(L2041="","",IF(OR(Registro2[[#This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41" t="str">
        <f t="shared" si="34"/>
        <v>mai/25</v>
      </c>
      <c r="P2041" t="str">
        <f>IF(Registro2[[#This Row],[Data de Pagamento]]&gt;0,TEXT(A2041,"mmm/aa"),"")</f>
        <v>mai/25</v>
      </c>
      <c r="T2041" s="4">
        <f>IF(Registro2[[#This Row],[Data de Pagamento]]="",0,IF(Registro2[[#This Row],[Conta Financeira]]=base!$A$6,0,Registro2[[#This Row],[Valor Unitário]]))</f>
        <v>35</v>
      </c>
      <c r="U20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41" t="str">
        <f>VLOOKUP(Registro2[[#This Row],[Categoria]],'Plano de Contas'!$V$3:W2095,2,0)</f>
        <v>Receitas Serviços</v>
      </c>
      <c r="X204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42" spans="1:24" hidden="1">
      <c r="A2042" s="1">
        <v>45785.864583333336</v>
      </c>
      <c r="B2042" s="1">
        <v>45785.864583333336</v>
      </c>
      <c r="D2042" t="s">
        <v>1</v>
      </c>
      <c r="E2042" t="s">
        <v>149</v>
      </c>
      <c r="F2042" t="s">
        <v>147</v>
      </c>
      <c r="G2042" t="s">
        <v>163</v>
      </c>
      <c r="I2042" s="4">
        <v>35</v>
      </c>
      <c r="J2042" s="4">
        <v>75</v>
      </c>
      <c r="L2042" t="s">
        <v>264</v>
      </c>
      <c r="M2042" t="s">
        <v>2866</v>
      </c>
      <c r="N2042" s="4">
        <f>IF(L2042="","",IF(OR(Registro2[[#This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42" t="str">
        <f t="shared" si="34"/>
        <v>mai/25</v>
      </c>
      <c r="P2042" t="str">
        <f>IF(Registro2[[#This Row],[Data de Pagamento]]&gt;0,TEXT(A2042,"mmm/aa"),"")</f>
        <v>mai/25</v>
      </c>
      <c r="T2042" s="4">
        <f>IF(Registro2[[#This Row],[Data de Pagamento]]="",0,IF(Registro2[[#This Row],[Conta Financeira]]=base!$A$6,0,Registro2[[#This Row],[Valor Unitário]]))</f>
        <v>35</v>
      </c>
      <c r="U20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42" t="str">
        <f>VLOOKUP(Registro2[[#This Row],[Categoria]],'Plano de Contas'!$V$3:W2096,2,0)</f>
        <v>Receitas Serviços</v>
      </c>
      <c r="X204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43" spans="1:24" hidden="1">
      <c r="A2043" s="1">
        <v>45785.864583333336</v>
      </c>
      <c r="B2043" s="1">
        <v>45785.864583333336</v>
      </c>
      <c r="D2043" t="s">
        <v>1</v>
      </c>
      <c r="E2043" t="s">
        <v>149</v>
      </c>
      <c r="F2043" t="s">
        <v>150</v>
      </c>
      <c r="G2043" t="s">
        <v>472</v>
      </c>
      <c r="I2043" s="4">
        <v>40</v>
      </c>
      <c r="J2043" s="4">
        <v>0</v>
      </c>
      <c r="L2043" t="s">
        <v>264</v>
      </c>
      <c r="M2043" t="s">
        <v>2866</v>
      </c>
      <c r="N2043" s="4">
        <f>IF(L2043="","",IF(OR(Registro2[[#This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2043" t="str">
        <f t="shared" si="34"/>
        <v>mai/25</v>
      </c>
      <c r="P2043" t="str">
        <f>IF(Registro2[[#This Row],[Data de Pagamento]]&gt;0,TEXT(A2043,"mmm/aa"),"")</f>
        <v>mai/25</v>
      </c>
      <c r="T2043" s="4">
        <f>IF(Registro2[[#This Row],[Data de Pagamento]]="",0,IF(Registro2[[#This Row],[Conta Financeira]]=base!$A$6,0,Registro2[[#This Row],[Valor Unitário]]))</f>
        <v>40</v>
      </c>
      <c r="U20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43" t="str">
        <f>VLOOKUP(Registro2[[#This Row],[Categoria]],'Plano de Contas'!$V$3:W2097,2,0)</f>
        <v>Receitas Produtos</v>
      </c>
      <c r="X204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44" spans="1:24" hidden="1">
      <c r="A2044" s="1">
        <v>45785.878472222219</v>
      </c>
      <c r="B2044" s="1">
        <v>45785.878472222219</v>
      </c>
      <c r="D2044" t="s">
        <v>1</v>
      </c>
      <c r="E2044" t="s">
        <v>149</v>
      </c>
      <c r="F2044" t="s">
        <v>147</v>
      </c>
      <c r="G2044" t="s">
        <v>163</v>
      </c>
      <c r="I2044" s="4">
        <v>35</v>
      </c>
      <c r="J2044" s="4">
        <v>50</v>
      </c>
      <c r="L2044" t="s">
        <v>252</v>
      </c>
      <c r="M2044" t="s">
        <v>794</v>
      </c>
      <c r="N2044" s="4">
        <f>IF(L2044="","",IF(OR(Registro2[[#This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44" t="str">
        <f t="shared" si="34"/>
        <v>mai/25</v>
      </c>
      <c r="P2044" t="str">
        <f>IF(Registro2[[#This Row],[Data de Pagamento]]&gt;0,TEXT(A2044,"mmm/aa"),"")</f>
        <v>mai/25</v>
      </c>
      <c r="T2044" s="4">
        <f>IF(Registro2[[#This Row],[Data de Pagamento]]="",0,IF(Registro2[[#This Row],[Conta Financeira]]=base!$A$6,0,Registro2[[#This Row],[Valor Unitário]]))</f>
        <v>35</v>
      </c>
      <c r="U20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44" t="str">
        <f>VLOOKUP(Registro2[[#This Row],[Categoria]],'Plano de Contas'!$V$3:W2098,2,0)</f>
        <v>Receitas Serviços</v>
      </c>
      <c r="X204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45" spans="1:24" hidden="1">
      <c r="A2045" s="1">
        <v>45785.878472222219</v>
      </c>
      <c r="B2045" s="1">
        <v>45785.878472222219</v>
      </c>
      <c r="D2045" t="s">
        <v>1</v>
      </c>
      <c r="E2045" t="s">
        <v>149</v>
      </c>
      <c r="F2045" t="s">
        <v>147</v>
      </c>
      <c r="G2045" t="s">
        <v>167</v>
      </c>
      <c r="I2045" s="4">
        <v>10</v>
      </c>
      <c r="J2045" s="4">
        <v>0</v>
      </c>
      <c r="L2045" t="s">
        <v>252</v>
      </c>
      <c r="M2045" t="s">
        <v>794</v>
      </c>
      <c r="N2045" s="4">
        <f>IF(L2045="","",IF(OR(Registro2[[#This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045" t="str">
        <f t="shared" si="34"/>
        <v>mai/25</v>
      </c>
      <c r="P2045" t="str">
        <f>IF(Registro2[[#This Row],[Data de Pagamento]]&gt;0,TEXT(A2045,"mmm/aa"),"")</f>
        <v>mai/25</v>
      </c>
      <c r="T2045" s="4">
        <f>IF(Registro2[[#This Row],[Data de Pagamento]]="",0,IF(Registro2[[#This Row],[Conta Financeira]]=base!$A$6,0,Registro2[[#This Row],[Valor Unitário]]))</f>
        <v>10</v>
      </c>
      <c r="U20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45" t="str">
        <f>VLOOKUP(Registro2[[#This Row],[Categoria]],'Plano de Contas'!$V$3:W2099,2,0)</f>
        <v>Receitas Serviços</v>
      </c>
      <c r="X20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46" spans="1:24" hidden="1">
      <c r="A2046" s="1">
        <v>45786.479166666664</v>
      </c>
      <c r="B2046" s="1">
        <v>45786.479166666664</v>
      </c>
      <c r="D2046" t="s">
        <v>2</v>
      </c>
      <c r="E2046" t="s">
        <v>149</v>
      </c>
      <c r="F2046" t="s">
        <v>147</v>
      </c>
      <c r="G2046" t="s">
        <v>163</v>
      </c>
      <c r="I2046" s="4">
        <v>35</v>
      </c>
      <c r="J2046" s="4">
        <v>50</v>
      </c>
      <c r="L2046" t="s">
        <v>264</v>
      </c>
      <c r="M2046" t="s">
        <v>1023</v>
      </c>
      <c r="N2046" s="4">
        <f>IF(L2046="","",IF(OR(Registro2[[#This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46" t="str">
        <f t="shared" si="34"/>
        <v>mai/25</v>
      </c>
      <c r="P2046" t="str">
        <f>IF(Registro2[[#This Row],[Data de Pagamento]]&gt;0,TEXT(A2046,"mmm/aa"),"")</f>
        <v>mai/25</v>
      </c>
      <c r="T2046" s="4">
        <f>IF(Registro2[[#This Row],[Data de Pagamento]]="",0,IF(Registro2[[#This Row],[Conta Financeira]]=base!$A$6,0,Registro2[[#This Row],[Valor Unitário]]))</f>
        <v>35</v>
      </c>
      <c r="U20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46" t="str">
        <f>VLOOKUP(Registro2[[#This Row],[Categoria]],'Plano de Contas'!$V$3:W2100,2,0)</f>
        <v>Receitas Serviços</v>
      </c>
      <c r="X204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47" spans="1:24" hidden="1">
      <c r="A2047" s="1">
        <v>45786.479166666664</v>
      </c>
      <c r="B2047" s="1">
        <v>45786.479166666664</v>
      </c>
      <c r="D2047" t="s">
        <v>2</v>
      </c>
      <c r="E2047" t="s">
        <v>149</v>
      </c>
      <c r="F2047" t="s">
        <v>147</v>
      </c>
      <c r="G2047" t="s">
        <v>167</v>
      </c>
      <c r="I2047" s="4">
        <v>10</v>
      </c>
      <c r="J2047" s="4">
        <v>0</v>
      </c>
      <c r="L2047" t="s">
        <v>264</v>
      </c>
      <c r="M2047" t="s">
        <v>1023</v>
      </c>
      <c r="N2047" s="4">
        <f>IF(L2047="","",IF(OR(Registro2[[#This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047" t="str">
        <f t="shared" si="34"/>
        <v>mai/25</v>
      </c>
      <c r="P2047" t="str">
        <f>IF(Registro2[[#This Row],[Data de Pagamento]]&gt;0,TEXT(A2047,"mmm/aa"),"")</f>
        <v>mai/25</v>
      </c>
      <c r="T2047" s="4">
        <f>IF(Registro2[[#This Row],[Data de Pagamento]]="",0,IF(Registro2[[#This Row],[Conta Financeira]]=base!$A$6,0,Registro2[[#This Row],[Valor Unitário]]))</f>
        <v>10</v>
      </c>
      <c r="U20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47" t="str">
        <f>VLOOKUP(Registro2[[#This Row],[Categoria]],'Plano de Contas'!$V$3:W2101,2,0)</f>
        <v>Receitas Serviços</v>
      </c>
      <c r="X204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48" spans="1:24">
      <c r="A2048" s="1">
        <v>45786.479166666664</v>
      </c>
      <c r="B2048" s="1">
        <v>45786.479166666664</v>
      </c>
      <c r="D2048" t="s">
        <v>2</v>
      </c>
      <c r="E2048" t="s">
        <v>149</v>
      </c>
      <c r="F2048" t="s">
        <v>910</v>
      </c>
      <c r="G2048" t="s">
        <v>910</v>
      </c>
      <c r="I2048" s="4">
        <v>5</v>
      </c>
      <c r="J2048" s="4">
        <v>0</v>
      </c>
      <c r="L2048" t="s">
        <v>264</v>
      </c>
      <c r="M2048" t="s">
        <v>1023</v>
      </c>
      <c r="N2048" s="4" t="str">
        <f>IF(L2048="","",IF(OR(Registro2[[#This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048" t="str">
        <f t="shared" si="34"/>
        <v>mai/25</v>
      </c>
      <c r="P2048" t="str">
        <f>IF(Registro2[[#This Row],[Data de Pagamento]]&gt;0,TEXT(A2048,"mmm/aa"),"")</f>
        <v>mai/25</v>
      </c>
      <c r="T2048" s="4">
        <f>IF(Registro2[[#This Row],[Data de Pagamento]]="",0,IF(Registro2[[#This Row],[Conta Financeira]]=base!$A$6,0,Registro2[[#This Row],[Valor Unitário]]))</f>
        <v>5</v>
      </c>
      <c r="U20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48" t="str">
        <f>VLOOKUP(Registro2[[#This Row],[Categoria]],'Plano de Contas'!$V$3:W2102,2,0)</f>
        <v>Outras Receitas</v>
      </c>
      <c r="X204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49" spans="1:24" hidden="1">
      <c r="A2049" s="1">
        <v>45785.881944444445</v>
      </c>
      <c r="B2049" s="1">
        <v>45785.881944444445</v>
      </c>
      <c r="D2049" t="s">
        <v>1</v>
      </c>
      <c r="E2049" t="s">
        <v>149</v>
      </c>
      <c r="F2049" t="s">
        <v>147</v>
      </c>
      <c r="G2049" t="s">
        <v>1046</v>
      </c>
      <c r="I2049" s="4">
        <v>20</v>
      </c>
      <c r="J2049" s="4">
        <v>20</v>
      </c>
      <c r="L2049" t="s">
        <v>264</v>
      </c>
      <c r="M2049" t="s">
        <v>126</v>
      </c>
      <c r="N2049" s="4">
        <f>IF(L2049="","",IF(OR(Registro2[[#This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049" t="str">
        <f t="shared" si="34"/>
        <v>mai/25</v>
      </c>
      <c r="P2049" t="str">
        <f>IF(Registro2[[#This Row],[Data de Pagamento]]&gt;0,TEXT(A2049,"mmm/aa"),"")</f>
        <v>mai/25</v>
      </c>
      <c r="T2049" s="4">
        <f>IF(Registro2[[#This Row],[Data de Pagamento]]="",0,IF(Registro2[[#This Row],[Conta Financeira]]=base!$A$6,0,Registro2[[#This Row],[Valor Unitário]]))</f>
        <v>20</v>
      </c>
      <c r="U20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49" t="str">
        <f>VLOOKUP(Registro2[[#This Row],[Categoria]],'Plano de Contas'!$V$3:W2103,2,0)</f>
        <v>Receitas Serviços</v>
      </c>
      <c r="X204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50" spans="1:24" hidden="1">
      <c r="A2050" s="1">
        <v>45786.65625</v>
      </c>
      <c r="B2050" s="1">
        <v>45786.65625</v>
      </c>
      <c r="D2050" t="s">
        <v>2</v>
      </c>
      <c r="E2050" t="s">
        <v>149</v>
      </c>
      <c r="F2050" t="s">
        <v>147</v>
      </c>
      <c r="G2050" t="s">
        <v>167</v>
      </c>
      <c r="I2050" s="4">
        <v>15</v>
      </c>
      <c r="J2050" s="4">
        <v>15</v>
      </c>
      <c r="L2050" t="s">
        <v>253</v>
      </c>
      <c r="M2050" t="s">
        <v>14</v>
      </c>
      <c r="N2050" s="4">
        <f>IF(L2050="","",IF(OR(Registro2[[#This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050" t="str">
        <f t="shared" ref="O2050:O2113" si="35">TEXT(B2050,"mmm/aa")</f>
        <v>mai/25</v>
      </c>
      <c r="P2050" t="str">
        <f>IF(Registro2[[#This Row],[Data de Pagamento]]&gt;0,TEXT(A2050,"mmm/aa"),"")</f>
        <v>mai/25</v>
      </c>
      <c r="T2050" s="4">
        <f>IF(Registro2[[#This Row],[Data de Pagamento]]="",0,IF(Registro2[[#This Row],[Conta Financeira]]=base!$A$6,0,Registro2[[#This Row],[Valor Unitário]]))</f>
        <v>15</v>
      </c>
      <c r="U20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50" t="str">
        <f>VLOOKUP(Registro2[[#This Row],[Categoria]],'Plano de Contas'!$V$3:W2104,2,0)</f>
        <v>Receitas Serviços</v>
      </c>
      <c r="X205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51" spans="1:24" hidden="1">
      <c r="A2051" s="1">
        <v>45786.739583333336</v>
      </c>
      <c r="B2051" s="1">
        <v>45786.739583333336</v>
      </c>
      <c r="D2051" t="s">
        <v>1</v>
      </c>
      <c r="E2051" t="s">
        <v>149</v>
      </c>
      <c r="F2051" t="s">
        <v>147</v>
      </c>
      <c r="G2051" t="s">
        <v>163</v>
      </c>
      <c r="I2051" s="4">
        <v>35</v>
      </c>
      <c r="J2051" s="4">
        <v>35</v>
      </c>
      <c r="L2051" t="s">
        <v>253</v>
      </c>
      <c r="M2051" t="s">
        <v>37</v>
      </c>
      <c r="N2051" s="4">
        <f>IF(L2051="","",IF(OR(Registro2[[#This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51" t="str">
        <f t="shared" si="35"/>
        <v>mai/25</v>
      </c>
      <c r="P2051" t="str">
        <f>IF(Registro2[[#This Row],[Data de Pagamento]]&gt;0,TEXT(A2051,"mmm/aa"),"")</f>
        <v>mai/25</v>
      </c>
      <c r="T2051" s="4">
        <f>IF(Registro2[[#This Row],[Data de Pagamento]]="",0,IF(Registro2[[#This Row],[Conta Financeira]]=base!$A$6,0,Registro2[[#This Row],[Valor Unitário]]))</f>
        <v>35</v>
      </c>
      <c r="U20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51" t="str">
        <f>VLOOKUP(Registro2[[#This Row],[Categoria]],'Plano de Contas'!$V$3:W2105,2,0)</f>
        <v>Receitas Serviços</v>
      </c>
      <c r="X205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52" spans="1:24" hidden="1">
      <c r="A2052" s="1">
        <v>45786.4375</v>
      </c>
      <c r="B2052" s="1">
        <v>45786.4375</v>
      </c>
      <c r="D2052" t="s">
        <v>310</v>
      </c>
      <c r="E2052" t="s">
        <v>149</v>
      </c>
      <c r="F2052" t="s">
        <v>147</v>
      </c>
      <c r="G2052" t="s">
        <v>163</v>
      </c>
      <c r="I2052" s="4">
        <v>35</v>
      </c>
      <c r="J2052" s="4">
        <v>35</v>
      </c>
      <c r="L2052" t="s">
        <v>253</v>
      </c>
      <c r="M2052" t="s">
        <v>276</v>
      </c>
      <c r="N2052" s="4">
        <f>IF(L2052="","",IF(OR(Registro2[[#This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52" t="str">
        <f t="shared" si="35"/>
        <v>mai/25</v>
      </c>
      <c r="P2052" t="str">
        <f>IF(Registro2[[#This Row],[Data de Pagamento]]&gt;0,TEXT(A2052,"mmm/aa"),"")</f>
        <v>mai/25</v>
      </c>
      <c r="T2052" s="4">
        <f>IF(Registro2[[#This Row],[Data de Pagamento]]="",0,IF(Registro2[[#This Row],[Conta Financeira]]=base!$A$6,0,Registro2[[#This Row],[Valor Unitário]]))</f>
        <v>35</v>
      </c>
      <c r="U20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52" t="str">
        <f>VLOOKUP(Registro2[[#This Row],[Categoria]],'Plano de Contas'!$V$3:W2106,2,0)</f>
        <v>Receitas Serviços</v>
      </c>
      <c r="X205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053" spans="1:24" hidden="1">
      <c r="A2053" s="1">
        <v>45786.625</v>
      </c>
      <c r="B2053" s="1">
        <v>45786.625</v>
      </c>
      <c r="D2053" t="s">
        <v>310</v>
      </c>
      <c r="E2053" t="s">
        <v>149</v>
      </c>
      <c r="F2053" t="s">
        <v>147</v>
      </c>
      <c r="G2053" t="s">
        <v>163</v>
      </c>
      <c r="I2053" s="4">
        <v>35</v>
      </c>
      <c r="J2053" s="4">
        <v>35</v>
      </c>
      <c r="L2053" t="s">
        <v>253</v>
      </c>
      <c r="M2053" t="s">
        <v>415</v>
      </c>
      <c r="N2053" s="4">
        <f>IF(L2053="","",IF(OR(Registro2[[#This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53" t="str">
        <f t="shared" si="35"/>
        <v>mai/25</v>
      </c>
      <c r="P2053" t="str">
        <f>IF(Registro2[[#This Row],[Data de Pagamento]]&gt;0,TEXT(A2053,"mmm/aa"),"")</f>
        <v>mai/25</v>
      </c>
      <c r="T2053" s="4">
        <f>IF(Registro2[[#This Row],[Data de Pagamento]]="",0,IF(Registro2[[#This Row],[Conta Financeira]]=base!$A$6,0,Registro2[[#This Row],[Valor Unitário]]))</f>
        <v>35</v>
      </c>
      <c r="U20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53" t="str">
        <f>VLOOKUP(Registro2[[#This Row],[Categoria]],'Plano de Contas'!$V$3:W2107,2,0)</f>
        <v>Receitas Serviços</v>
      </c>
      <c r="X205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054" spans="1:24" hidden="1">
      <c r="A2054" s="1">
        <v>45786.479166666664</v>
      </c>
      <c r="B2054" s="1">
        <v>45786.479166666664</v>
      </c>
      <c r="D2054" t="s">
        <v>1</v>
      </c>
      <c r="E2054" t="s">
        <v>149</v>
      </c>
      <c r="F2054" t="s">
        <v>152</v>
      </c>
      <c r="G2054" t="s">
        <v>353</v>
      </c>
      <c r="I2054" s="4">
        <v>60</v>
      </c>
      <c r="J2054" s="4">
        <v>55</v>
      </c>
      <c r="L2054" t="s">
        <v>252</v>
      </c>
      <c r="M2054" t="s">
        <v>367</v>
      </c>
      <c r="N2054" s="4">
        <f>IF(L2054="","",IF(OR(Registro2[[#This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054" t="str">
        <f t="shared" si="35"/>
        <v>mai/25</v>
      </c>
      <c r="P2054" t="str">
        <f>IF(Registro2[[#This Row],[Data de Pagamento]]&gt;0,TEXT(A2054,"mmm/aa"),"")</f>
        <v>mai/25</v>
      </c>
      <c r="T2054" s="4">
        <f>IF(Registro2[[#This Row],[Data de Pagamento]]="",0,IF(Registro2[[#This Row],[Conta Financeira]]=base!$A$6,0,Registro2[[#This Row],[Valor Unitário]]))</f>
        <v>60</v>
      </c>
      <c r="U20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54" t="str">
        <f>VLOOKUP(Registro2[[#This Row],[Categoria]],'Plano de Contas'!$V$3:W2108,2,0)</f>
        <v>Receitas Serviços</v>
      </c>
      <c r="X205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55" spans="1:24" hidden="1">
      <c r="A2055" s="1">
        <v>45786.454861111109</v>
      </c>
      <c r="B2055" s="1">
        <v>45786.454861111109</v>
      </c>
      <c r="D2055" t="s">
        <v>1</v>
      </c>
      <c r="E2055" t="s">
        <v>149</v>
      </c>
      <c r="F2055" t="s">
        <v>147</v>
      </c>
      <c r="G2055" t="s">
        <v>163</v>
      </c>
      <c r="I2055" s="4">
        <v>35</v>
      </c>
      <c r="J2055" s="4">
        <v>35</v>
      </c>
      <c r="L2055" t="s">
        <v>253</v>
      </c>
      <c r="M2055" t="s">
        <v>2876</v>
      </c>
      <c r="N2055" s="4">
        <f>IF(L2055="","",IF(OR(Registro2[[#This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55" t="str">
        <f t="shared" si="35"/>
        <v>mai/25</v>
      </c>
      <c r="P2055" t="str">
        <f>IF(Registro2[[#This Row],[Data de Pagamento]]&gt;0,TEXT(A2055,"mmm/aa"),"")</f>
        <v>mai/25</v>
      </c>
      <c r="T2055" s="4">
        <f>IF(Registro2[[#This Row],[Data de Pagamento]]="",0,IF(Registro2[[#This Row],[Conta Financeira]]=base!$A$6,0,Registro2[[#This Row],[Valor Unitário]]))</f>
        <v>35</v>
      </c>
      <c r="U20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55" t="str">
        <f>VLOOKUP(Registro2[[#This Row],[Categoria]],'Plano de Contas'!$V$3:W2109,2,0)</f>
        <v>Receitas Serviços</v>
      </c>
      <c r="X20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56" spans="1:24" hidden="1">
      <c r="A2056" s="1">
        <v>45786.520833333336</v>
      </c>
      <c r="B2056" s="1">
        <v>45786.520833333336</v>
      </c>
      <c r="D2056" t="s">
        <v>310</v>
      </c>
      <c r="E2056" t="s">
        <v>149</v>
      </c>
      <c r="F2056" t="s">
        <v>147</v>
      </c>
      <c r="G2056" t="s">
        <v>163</v>
      </c>
      <c r="I2056" s="4">
        <v>35</v>
      </c>
      <c r="J2056" s="4">
        <v>35</v>
      </c>
      <c r="L2056" t="s">
        <v>264</v>
      </c>
      <c r="M2056" t="s">
        <v>38</v>
      </c>
      <c r="N2056" s="4">
        <f>IF(L2056="","",IF(OR(Registro2[[#This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56" t="str">
        <f t="shared" si="35"/>
        <v>mai/25</v>
      </c>
      <c r="P2056" t="str">
        <f>IF(Registro2[[#This Row],[Data de Pagamento]]&gt;0,TEXT(A2056,"mmm/aa"),"")</f>
        <v>mai/25</v>
      </c>
      <c r="T2056" s="4">
        <f>IF(Registro2[[#This Row],[Data de Pagamento]]="",0,IF(Registro2[[#This Row],[Conta Financeira]]=base!$A$6,0,Registro2[[#This Row],[Valor Unitário]]))</f>
        <v>35</v>
      </c>
      <c r="U20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56" t="str">
        <f>VLOOKUP(Registro2[[#This Row],[Categoria]],'Plano de Contas'!$V$3:W2110,2,0)</f>
        <v>Receitas Serviços</v>
      </c>
      <c r="X205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057" spans="1:24" hidden="1">
      <c r="A2057" s="1">
        <v>45786.447916666664</v>
      </c>
      <c r="B2057" s="1">
        <v>45786.447916666664</v>
      </c>
      <c r="D2057" t="s">
        <v>310</v>
      </c>
      <c r="E2057" t="s">
        <v>149</v>
      </c>
      <c r="F2057" t="s">
        <v>147</v>
      </c>
      <c r="G2057" t="s">
        <v>163</v>
      </c>
      <c r="I2057" s="4">
        <v>35</v>
      </c>
      <c r="J2057" s="4">
        <v>35</v>
      </c>
      <c r="L2057" t="s">
        <v>264</v>
      </c>
      <c r="M2057" t="s">
        <v>95</v>
      </c>
      <c r="N2057" s="4">
        <f>IF(L2057="","",IF(OR(Registro2[[#This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57" t="str">
        <f t="shared" si="35"/>
        <v>mai/25</v>
      </c>
      <c r="P2057" t="str">
        <f>IF(Registro2[[#This Row],[Data de Pagamento]]&gt;0,TEXT(A2057,"mmm/aa"),"")</f>
        <v>mai/25</v>
      </c>
      <c r="T2057" s="4">
        <f>IF(Registro2[[#This Row],[Data de Pagamento]]="",0,IF(Registro2[[#This Row],[Conta Financeira]]=base!$A$6,0,Registro2[[#This Row],[Valor Unitário]]))</f>
        <v>35</v>
      </c>
      <c r="U20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57" t="str">
        <f>VLOOKUP(Registro2[[#This Row],[Categoria]],'Plano de Contas'!$V$3:W2111,2,0)</f>
        <v>Receitas Serviços</v>
      </c>
      <c r="X205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058" spans="1:24" hidden="1">
      <c r="A2058" s="1">
        <v>45787.427083333336</v>
      </c>
      <c r="B2058" s="1">
        <v>45787.427083333336</v>
      </c>
      <c r="D2058" t="s">
        <v>1</v>
      </c>
      <c r="E2058" t="s">
        <v>149</v>
      </c>
      <c r="F2058" t="s">
        <v>147</v>
      </c>
      <c r="G2058" t="s">
        <v>163</v>
      </c>
      <c r="I2058" s="4">
        <v>35</v>
      </c>
      <c r="J2058" s="4">
        <v>35</v>
      </c>
      <c r="L2058" t="s">
        <v>252</v>
      </c>
      <c r="M2058" t="s">
        <v>22</v>
      </c>
      <c r="N2058" s="4">
        <f>IF(L2058="","",IF(OR(Registro2[[#This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58" t="str">
        <f t="shared" si="35"/>
        <v>mai/25</v>
      </c>
      <c r="P2058" t="str">
        <f>IF(Registro2[[#This Row],[Data de Pagamento]]&gt;0,TEXT(A2058,"mmm/aa"),"")</f>
        <v>mai/25</v>
      </c>
      <c r="T2058" s="4">
        <f>IF(Registro2[[#This Row],[Data de Pagamento]]="",0,IF(Registro2[[#This Row],[Conta Financeira]]=base!$A$6,0,Registro2[[#This Row],[Valor Unitário]]))</f>
        <v>35</v>
      </c>
      <c r="U20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58" t="str">
        <f>VLOOKUP(Registro2[[#This Row],[Categoria]],'Plano de Contas'!$V$3:W2112,2,0)</f>
        <v>Receitas Serviços</v>
      </c>
      <c r="X20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59" spans="1:24" hidden="1">
      <c r="A2059" s="1">
        <v>45786.625</v>
      </c>
      <c r="B2059" s="1">
        <v>45786.625</v>
      </c>
      <c r="D2059" t="s">
        <v>1</v>
      </c>
      <c r="E2059" t="s">
        <v>149</v>
      </c>
      <c r="F2059" t="s">
        <v>147</v>
      </c>
      <c r="G2059" t="s">
        <v>163</v>
      </c>
      <c r="I2059" s="4">
        <v>35</v>
      </c>
      <c r="J2059" s="4">
        <v>55</v>
      </c>
      <c r="L2059" t="s">
        <v>252</v>
      </c>
      <c r="M2059" t="s">
        <v>1546</v>
      </c>
      <c r="N2059" s="4">
        <f>IF(L2059="","",IF(OR(Registro2[[#This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59" t="str">
        <f t="shared" si="35"/>
        <v>mai/25</v>
      </c>
      <c r="P2059" t="str">
        <f>IF(Registro2[[#This Row],[Data de Pagamento]]&gt;0,TEXT(A2059,"mmm/aa"),"")</f>
        <v>mai/25</v>
      </c>
      <c r="T2059" s="4">
        <f>IF(Registro2[[#This Row],[Data de Pagamento]]="",0,IF(Registro2[[#This Row],[Conta Financeira]]=base!$A$6,0,Registro2[[#This Row],[Valor Unitário]]))</f>
        <v>35</v>
      </c>
      <c r="U20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59" t="str">
        <f>VLOOKUP(Registro2[[#This Row],[Categoria]],'Plano de Contas'!$V$3:W2113,2,0)</f>
        <v>Receitas Serviços</v>
      </c>
      <c r="X205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60" spans="1:24" hidden="1">
      <c r="A2060" s="1">
        <v>45786.625</v>
      </c>
      <c r="B2060" s="1">
        <v>45786.625</v>
      </c>
      <c r="D2060" t="s">
        <v>1</v>
      </c>
      <c r="E2060" t="s">
        <v>149</v>
      </c>
      <c r="F2060" t="s">
        <v>147</v>
      </c>
      <c r="G2060" t="s">
        <v>166</v>
      </c>
      <c r="I2060" s="4">
        <v>20</v>
      </c>
      <c r="J2060" s="4">
        <v>0</v>
      </c>
      <c r="L2060" t="s">
        <v>252</v>
      </c>
      <c r="M2060" t="s">
        <v>1546</v>
      </c>
      <c r="N2060" s="4">
        <f>IF(L2060="","",IF(OR(Registro2[[#This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060" t="str">
        <f t="shared" si="35"/>
        <v>mai/25</v>
      </c>
      <c r="P2060" t="str">
        <f>IF(Registro2[[#This Row],[Data de Pagamento]]&gt;0,TEXT(A2060,"mmm/aa"),"")</f>
        <v>mai/25</v>
      </c>
      <c r="T2060" s="4">
        <f>IF(Registro2[[#This Row],[Data de Pagamento]]="",0,IF(Registro2[[#This Row],[Conta Financeira]]=base!$A$6,0,Registro2[[#This Row],[Valor Unitário]]))</f>
        <v>20</v>
      </c>
      <c r="U20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60" t="str">
        <f>VLOOKUP(Registro2[[#This Row],[Categoria]],'Plano de Contas'!$V$3:W2114,2,0)</f>
        <v>Receitas Serviços</v>
      </c>
      <c r="X20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61" spans="1:24" hidden="1">
      <c r="A2061" s="1">
        <v>45786.541666666664</v>
      </c>
      <c r="B2061" s="1">
        <v>45786.541666666664</v>
      </c>
      <c r="D2061" t="s">
        <v>1</v>
      </c>
      <c r="E2061" t="s">
        <v>149</v>
      </c>
      <c r="F2061" t="s">
        <v>147</v>
      </c>
      <c r="G2061" t="s">
        <v>163</v>
      </c>
      <c r="I2061" s="4">
        <v>35</v>
      </c>
      <c r="J2061" s="4">
        <v>35</v>
      </c>
      <c r="L2061" t="s">
        <v>252</v>
      </c>
      <c r="M2061" t="s">
        <v>1409</v>
      </c>
      <c r="N2061" s="4">
        <f>IF(L2061="","",IF(OR(Registro2[[#This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61" t="str">
        <f t="shared" si="35"/>
        <v>mai/25</v>
      </c>
      <c r="P2061" t="str">
        <f>IF(Registro2[[#This Row],[Data de Pagamento]]&gt;0,TEXT(A2061,"mmm/aa"),"")</f>
        <v>mai/25</v>
      </c>
      <c r="T2061" s="4">
        <f>IF(Registro2[[#This Row],[Data de Pagamento]]="",0,IF(Registro2[[#This Row],[Conta Financeira]]=base!$A$6,0,Registro2[[#This Row],[Valor Unitário]]))</f>
        <v>35</v>
      </c>
      <c r="U20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61" t="str">
        <f>VLOOKUP(Registro2[[#This Row],[Categoria]],'Plano de Contas'!$V$3:W2115,2,0)</f>
        <v>Receitas Serviços</v>
      </c>
      <c r="X20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62" spans="1:24" hidden="1">
      <c r="A2062" s="1">
        <v>45786.666666666664</v>
      </c>
      <c r="B2062" s="1">
        <v>45786.666666666664</v>
      </c>
      <c r="D2062" t="s">
        <v>310</v>
      </c>
      <c r="E2062" t="s">
        <v>149</v>
      </c>
      <c r="F2062" t="s">
        <v>147</v>
      </c>
      <c r="G2062" t="s">
        <v>163</v>
      </c>
      <c r="I2062" s="4">
        <v>35</v>
      </c>
      <c r="J2062" s="4">
        <v>45</v>
      </c>
      <c r="L2062" t="s">
        <v>252</v>
      </c>
      <c r="M2062" t="s">
        <v>503</v>
      </c>
      <c r="N2062" s="4">
        <f>IF(L2062="","",IF(OR(Registro2[[#This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62" t="str">
        <f t="shared" si="35"/>
        <v>mai/25</v>
      </c>
      <c r="P2062" t="str">
        <f>IF(Registro2[[#This Row],[Data de Pagamento]]&gt;0,TEXT(A2062,"mmm/aa"),"")</f>
        <v>mai/25</v>
      </c>
      <c r="T2062" s="4">
        <f>IF(Registro2[[#This Row],[Data de Pagamento]]="",0,IF(Registro2[[#This Row],[Conta Financeira]]=base!$A$6,0,Registro2[[#This Row],[Valor Unitário]]))</f>
        <v>35</v>
      </c>
      <c r="U20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62" t="str">
        <f>VLOOKUP(Registro2[[#This Row],[Categoria]],'Plano de Contas'!$V$3:W2116,2,0)</f>
        <v>Receitas Serviços</v>
      </c>
      <c r="X206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063" spans="1:24" hidden="1">
      <c r="A2063" s="1">
        <v>45786.666666666664</v>
      </c>
      <c r="B2063" s="1">
        <v>45786.666666666664</v>
      </c>
      <c r="D2063" t="s">
        <v>310</v>
      </c>
      <c r="E2063" t="s">
        <v>149</v>
      </c>
      <c r="F2063" t="s">
        <v>147</v>
      </c>
      <c r="G2063" t="s">
        <v>167</v>
      </c>
      <c r="I2063" s="4">
        <v>10</v>
      </c>
      <c r="J2063" s="4">
        <v>0</v>
      </c>
      <c r="L2063" t="s">
        <v>252</v>
      </c>
      <c r="M2063" t="s">
        <v>503</v>
      </c>
      <c r="N2063" s="4">
        <f>IF(L2063="","",IF(OR(Registro2[[#This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063" t="str">
        <f t="shared" si="35"/>
        <v>mai/25</v>
      </c>
      <c r="P2063" t="str">
        <f>IF(Registro2[[#This Row],[Data de Pagamento]]&gt;0,TEXT(A2063,"mmm/aa"),"")</f>
        <v>mai/25</v>
      </c>
      <c r="T2063" s="4">
        <f>IF(Registro2[[#This Row],[Data de Pagamento]]="",0,IF(Registro2[[#This Row],[Conta Financeira]]=base!$A$6,0,Registro2[[#This Row],[Valor Unitário]]))</f>
        <v>10</v>
      </c>
      <c r="U20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63" t="str">
        <f>VLOOKUP(Registro2[[#This Row],[Categoria]],'Plano de Contas'!$V$3:W2117,2,0)</f>
        <v>Receitas Serviços</v>
      </c>
      <c r="X206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8.8999999999999996E-2</v>
      </c>
    </row>
    <row r="2064" spans="1:24" hidden="1">
      <c r="A2064" s="1">
        <v>45786.791666666664</v>
      </c>
      <c r="B2064" s="1">
        <v>45786.791666666664</v>
      </c>
      <c r="D2064" t="s">
        <v>1</v>
      </c>
      <c r="E2064" t="s">
        <v>149</v>
      </c>
      <c r="F2064" t="s">
        <v>152</v>
      </c>
      <c r="G2064" t="s">
        <v>353</v>
      </c>
      <c r="I2064" s="4">
        <v>60</v>
      </c>
      <c r="J2064" s="4">
        <v>100</v>
      </c>
      <c r="L2064" t="s">
        <v>253</v>
      </c>
      <c r="M2064" t="s">
        <v>41</v>
      </c>
      <c r="N2064" s="4">
        <f>IF(L2064="","",IF(OR(Registro2[[#This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064" t="str">
        <f t="shared" si="35"/>
        <v>mai/25</v>
      </c>
      <c r="P2064" t="str">
        <f>IF(Registro2[[#This Row],[Data de Pagamento]]&gt;0,TEXT(A2064,"mmm/aa"),"")</f>
        <v>mai/25</v>
      </c>
      <c r="T2064" s="4">
        <f>IF(Registro2[[#This Row],[Data de Pagamento]]="",0,IF(Registro2[[#This Row],[Conta Financeira]]=base!$A$6,0,Registro2[[#This Row],[Valor Unitário]]))</f>
        <v>60</v>
      </c>
      <c r="U20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64" t="str">
        <f>VLOOKUP(Registro2[[#This Row],[Categoria]],'Plano de Contas'!$V$3:W2118,2,0)</f>
        <v>Receitas Serviços</v>
      </c>
      <c r="X206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65" spans="1:24" hidden="1">
      <c r="A2065" s="1">
        <v>45786.791666666664</v>
      </c>
      <c r="B2065" s="1">
        <v>45786.791666666664</v>
      </c>
      <c r="D2065" t="s">
        <v>1</v>
      </c>
      <c r="E2065" t="s">
        <v>149</v>
      </c>
      <c r="F2065" t="s">
        <v>150</v>
      </c>
      <c r="G2065" t="s">
        <v>2536</v>
      </c>
      <c r="I2065" s="4">
        <v>40</v>
      </c>
      <c r="J2065" s="4">
        <v>0</v>
      </c>
      <c r="L2065" t="s">
        <v>253</v>
      </c>
      <c r="M2065" t="s">
        <v>41</v>
      </c>
      <c r="N2065" s="4">
        <f>IF(L2065="","",IF(OR(Registro2[[#This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2065" t="str">
        <f t="shared" si="35"/>
        <v>mai/25</v>
      </c>
      <c r="P2065" t="str">
        <f>IF(Registro2[[#This Row],[Data de Pagamento]]&gt;0,TEXT(A2065,"mmm/aa"),"")</f>
        <v>mai/25</v>
      </c>
      <c r="T2065" s="4">
        <f>IF(Registro2[[#This Row],[Data de Pagamento]]="",0,IF(Registro2[[#This Row],[Conta Financeira]]=base!$A$6,0,Registro2[[#This Row],[Valor Unitário]]))</f>
        <v>40</v>
      </c>
      <c r="U20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65" t="e">
        <f>VLOOKUP(Registro2[[#This Row],[Categoria]],'Plano de Contas'!$V$3:W2119,2,0)</f>
        <v>#N/A</v>
      </c>
      <c r="X206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66" spans="1:24" hidden="1">
      <c r="A2066" s="1">
        <v>45786.697916666664</v>
      </c>
      <c r="B2066" s="1">
        <v>45786.697916666664</v>
      </c>
      <c r="D2066" t="s">
        <v>354</v>
      </c>
      <c r="E2066" t="s">
        <v>149</v>
      </c>
      <c r="F2066" t="s">
        <v>147</v>
      </c>
      <c r="G2066" t="s">
        <v>163</v>
      </c>
      <c r="I2066" s="4">
        <v>35</v>
      </c>
      <c r="J2066" s="4">
        <v>35</v>
      </c>
      <c r="L2066" t="s">
        <v>252</v>
      </c>
      <c r="M2066" t="s">
        <v>482</v>
      </c>
      <c r="N2066" s="4">
        <f>IF(L2066="","",IF(OR(Registro2[[#This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66" t="str">
        <f t="shared" si="35"/>
        <v>mai/25</v>
      </c>
      <c r="P2066" t="str">
        <f>IF(Registro2[[#This Row],[Data de Pagamento]]&gt;0,TEXT(A2066,"mmm/aa"),"")</f>
        <v>mai/25</v>
      </c>
      <c r="T2066" s="4">
        <f>IF(Registro2[[#This Row],[Data de Pagamento]]="",0,IF(Registro2[[#This Row],[Conta Financeira]]=base!$A$6,0,Registro2[[#This Row],[Valor Unitário]]))</f>
        <v>35</v>
      </c>
      <c r="U20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66" t="str">
        <f>VLOOKUP(Registro2[[#This Row],[Categoria]],'Plano de Contas'!$V$3:W2120,2,0)</f>
        <v>Receitas Serviços</v>
      </c>
      <c r="X206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067" spans="1:24" hidden="1">
      <c r="A2067" s="1">
        <v>45786.708333333336</v>
      </c>
      <c r="B2067" s="1">
        <v>45786.708333333336</v>
      </c>
      <c r="D2067" t="s">
        <v>310</v>
      </c>
      <c r="E2067" t="s">
        <v>149</v>
      </c>
      <c r="F2067" t="s">
        <v>147</v>
      </c>
      <c r="G2067" t="s">
        <v>163</v>
      </c>
      <c r="I2067" s="4">
        <v>20</v>
      </c>
      <c r="J2067" s="4">
        <v>20</v>
      </c>
      <c r="L2067" t="s">
        <v>264</v>
      </c>
      <c r="M2067" t="s">
        <v>1077</v>
      </c>
      <c r="N2067" s="4">
        <f>IF(L2067="","",IF(OR(Registro2[[#This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067" t="str">
        <f t="shared" si="35"/>
        <v>mai/25</v>
      </c>
      <c r="P2067" t="str">
        <f>IF(Registro2[[#This Row],[Data de Pagamento]]&gt;0,TEXT(A2067,"mmm/aa"),"")</f>
        <v>mai/25</v>
      </c>
      <c r="T2067" s="4">
        <f>IF(Registro2[[#This Row],[Data de Pagamento]]="",0,IF(Registro2[[#This Row],[Conta Financeira]]=base!$A$6,0,Registro2[[#This Row],[Valor Unitário]]))</f>
        <v>20</v>
      </c>
      <c r="U20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67" t="str">
        <f>VLOOKUP(Registro2[[#This Row],[Categoria]],'Plano de Contas'!$V$3:W2121,2,0)</f>
        <v>Receitas Serviços</v>
      </c>
      <c r="X206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</row>
    <row r="2068" spans="1:24" hidden="1">
      <c r="A2068" s="1">
        <v>45786.770833333336</v>
      </c>
      <c r="B2068" s="1">
        <v>45786.770833333336</v>
      </c>
      <c r="D2068" t="s">
        <v>1</v>
      </c>
      <c r="E2068" t="s">
        <v>149</v>
      </c>
      <c r="F2068" t="s">
        <v>147</v>
      </c>
      <c r="G2068" t="s">
        <v>163</v>
      </c>
      <c r="I2068" s="4">
        <v>35</v>
      </c>
      <c r="J2068" s="4">
        <v>35</v>
      </c>
      <c r="L2068" t="s">
        <v>264</v>
      </c>
      <c r="M2068" t="s">
        <v>2887</v>
      </c>
      <c r="N2068" s="4">
        <f>IF(L2068="","",IF(OR(Registro2[[#This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68" t="str">
        <f t="shared" si="35"/>
        <v>mai/25</v>
      </c>
      <c r="P2068" t="str">
        <f>IF(Registro2[[#This Row],[Data de Pagamento]]&gt;0,TEXT(A2068,"mmm/aa"),"")</f>
        <v>mai/25</v>
      </c>
      <c r="T2068" s="4">
        <f>IF(Registro2[[#This Row],[Data de Pagamento]]="",0,IF(Registro2[[#This Row],[Conta Financeira]]=base!$A$6,0,Registro2[[#This Row],[Valor Unitário]]))</f>
        <v>35</v>
      </c>
      <c r="U20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68" t="str">
        <f>VLOOKUP(Registro2[[#This Row],[Categoria]],'Plano de Contas'!$V$3:W2122,2,0)</f>
        <v>Receitas Serviços</v>
      </c>
      <c r="X206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69" spans="1:24" hidden="1">
      <c r="A2069" s="1">
        <v>45786.78125</v>
      </c>
      <c r="B2069" s="1">
        <v>45786.78125</v>
      </c>
      <c r="D2069" t="s">
        <v>1</v>
      </c>
      <c r="E2069" t="s">
        <v>149</v>
      </c>
      <c r="F2069" t="s">
        <v>152</v>
      </c>
      <c r="G2069" t="s">
        <v>353</v>
      </c>
      <c r="I2069" s="4">
        <v>60</v>
      </c>
      <c r="J2069" s="4">
        <v>60</v>
      </c>
      <c r="L2069" t="s">
        <v>264</v>
      </c>
      <c r="M2069" t="s">
        <v>2229</v>
      </c>
      <c r="N2069" s="4">
        <f>IF(L2069="","",IF(OR(Registro2[[#This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069" t="str">
        <f t="shared" si="35"/>
        <v>mai/25</v>
      </c>
      <c r="P2069" t="str">
        <f>IF(Registro2[[#This Row],[Data de Pagamento]]&gt;0,TEXT(A2069,"mmm/aa"),"")</f>
        <v>mai/25</v>
      </c>
      <c r="T2069" s="4">
        <f>IF(Registro2[[#This Row],[Data de Pagamento]]="",0,IF(Registro2[[#This Row],[Conta Financeira]]=base!$A$6,0,Registro2[[#This Row],[Valor Unitário]]))</f>
        <v>60</v>
      </c>
      <c r="U20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69" t="str">
        <f>VLOOKUP(Registro2[[#This Row],[Categoria]],'Plano de Contas'!$V$3:W2123,2,0)</f>
        <v>Receitas Serviços</v>
      </c>
      <c r="X206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70" spans="1:24" hidden="1">
      <c r="A2070" s="1">
        <v>45786.809027777781</v>
      </c>
      <c r="B2070" s="1">
        <v>45786.809027777781</v>
      </c>
      <c r="D2070" t="s">
        <v>1</v>
      </c>
      <c r="E2070" t="s">
        <v>149</v>
      </c>
      <c r="F2070" t="s">
        <v>152</v>
      </c>
      <c r="G2070" t="s">
        <v>353</v>
      </c>
      <c r="I2070" s="4">
        <v>60</v>
      </c>
      <c r="J2070" s="4">
        <v>60</v>
      </c>
      <c r="L2070" t="s">
        <v>252</v>
      </c>
      <c r="M2070" t="s">
        <v>2890</v>
      </c>
      <c r="N2070" s="4">
        <f>IF(L2070="","",IF(OR(Registro2[[#This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070" t="str">
        <f t="shared" si="35"/>
        <v>mai/25</v>
      </c>
      <c r="P2070" t="str">
        <f>IF(Registro2[[#This Row],[Data de Pagamento]]&gt;0,TEXT(A2070,"mmm/aa"),"")</f>
        <v>mai/25</v>
      </c>
      <c r="T2070" s="4">
        <f>IF(Registro2[[#This Row],[Data de Pagamento]]="",0,IF(Registro2[[#This Row],[Conta Financeira]]=base!$A$6,0,Registro2[[#This Row],[Valor Unitário]]))</f>
        <v>60</v>
      </c>
      <c r="U20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70" t="str">
        <f>VLOOKUP(Registro2[[#This Row],[Categoria]],'Plano de Contas'!$V$3:W2124,2,0)</f>
        <v>Receitas Serviços</v>
      </c>
      <c r="X207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71" spans="1:24" hidden="1">
      <c r="A2071" s="1">
        <v>45786.815972222219</v>
      </c>
      <c r="B2071" s="1">
        <v>45786.815972222219</v>
      </c>
      <c r="D2071" t="s">
        <v>1</v>
      </c>
      <c r="E2071" t="s">
        <v>149</v>
      </c>
      <c r="F2071" t="s">
        <v>147</v>
      </c>
      <c r="G2071" t="s">
        <v>163</v>
      </c>
      <c r="I2071" s="4">
        <v>30</v>
      </c>
      <c r="J2071" s="4">
        <v>50</v>
      </c>
      <c r="L2071" t="s">
        <v>264</v>
      </c>
      <c r="M2071" t="s">
        <v>1348</v>
      </c>
      <c r="N2071" s="4">
        <f>IF(L2071="","",IF(OR(Registro2[[#This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2071" t="str">
        <f t="shared" si="35"/>
        <v>mai/25</v>
      </c>
      <c r="P2071" t="str">
        <f>IF(Registro2[[#This Row],[Data de Pagamento]]&gt;0,TEXT(A2071,"mmm/aa"),"")</f>
        <v>mai/25</v>
      </c>
      <c r="T2071" s="4">
        <f>IF(Registro2[[#This Row],[Data de Pagamento]]="",0,IF(Registro2[[#This Row],[Conta Financeira]]=base!$A$6,0,Registro2[[#This Row],[Valor Unitário]]))</f>
        <v>30</v>
      </c>
      <c r="U20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71" t="str">
        <f>VLOOKUP(Registro2[[#This Row],[Categoria]],'Plano de Contas'!$V$3:W2125,2,0)</f>
        <v>Receitas Serviços</v>
      </c>
      <c r="X207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72" spans="1:24" hidden="1">
      <c r="A2072" s="1">
        <v>45786.815972222219</v>
      </c>
      <c r="B2072" s="1">
        <v>45786.815972222219</v>
      </c>
      <c r="D2072" t="s">
        <v>1</v>
      </c>
      <c r="E2072" t="s">
        <v>149</v>
      </c>
      <c r="F2072" t="s">
        <v>150</v>
      </c>
      <c r="G2072" t="s">
        <v>2536</v>
      </c>
      <c r="I2072" s="4">
        <v>40</v>
      </c>
      <c r="J2072" s="4">
        <v>0</v>
      </c>
      <c r="L2072" t="s">
        <v>264</v>
      </c>
      <c r="M2072" t="s">
        <v>1348</v>
      </c>
      <c r="N2072" s="4">
        <f>IF(L2072="","",IF(OR(Registro2[[#This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2072" t="str">
        <f t="shared" si="35"/>
        <v>mai/25</v>
      </c>
      <c r="P2072" t="str">
        <f>IF(Registro2[[#This Row],[Data de Pagamento]]&gt;0,TEXT(A2072,"mmm/aa"),"")</f>
        <v>mai/25</v>
      </c>
      <c r="T2072" s="4">
        <f>IF(Registro2[[#This Row],[Data de Pagamento]]="",0,IF(Registro2[[#This Row],[Conta Financeira]]=base!$A$6,0,Registro2[[#This Row],[Valor Unitário]]))</f>
        <v>40</v>
      </c>
      <c r="U20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72" t="e">
        <f>VLOOKUP(Registro2[[#This Row],[Categoria]],'Plano de Contas'!$V$3:W2126,2,0)</f>
        <v>#N/A</v>
      </c>
      <c r="X207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73" spans="1:24" hidden="1">
      <c r="A2073" s="1">
        <v>45786.815972222219</v>
      </c>
      <c r="B2073" s="1">
        <v>45786.815972222219</v>
      </c>
      <c r="D2073" t="s">
        <v>1</v>
      </c>
      <c r="E2073" t="s">
        <v>149</v>
      </c>
      <c r="F2073" t="s">
        <v>147</v>
      </c>
      <c r="G2073" t="s">
        <v>2825</v>
      </c>
      <c r="I2073" s="4">
        <v>10</v>
      </c>
      <c r="J2073" s="4">
        <v>0</v>
      </c>
      <c r="L2073" t="s">
        <v>253</v>
      </c>
      <c r="M2073" t="s">
        <v>1348</v>
      </c>
      <c r="N2073" s="4">
        <f>IF(L2073="","",IF(OR(Registro2[[#This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073" t="str">
        <f t="shared" si="35"/>
        <v>mai/25</v>
      </c>
      <c r="P2073" t="str">
        <f>IF(Registro2[[#This Row],[Data de Pagamento]]&gt;0,TEXT(A2073,"mmm/aa"),"")</f>
        <v>mai/25</v>
      </c>
      <c r="T2073" s="4">
        <f>IF(Registro2[[#This Row],[Data de Pagamento]]="",0,IF(Registro2[[#This Row],[Conta Financeira]]=base!$A$6,0,Registro2[[#This Row],[Valor Unitário]]))</f>
        <v>10</v>
      </c>
      <c r="U20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73" t="e">
        <f>VLOOKUP(Registro2[[#This Row],[Categoria]],'Plano de Contas'!$V$3:W2127,2,0)</f>
        <v>#N/A</v>
      </c>
      <c r="X207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74" spans="1:24" hidden="1">
      <c r="A2074" s="1">
        <v>45786.840277777781</v>
      </c>
      <c r="B2074" s="1">
        <v>45786.840277777781</v>
      </c>
      <c r="D2074" t="s">
        <v>310</v>
      </c>
      <c r="E2074" t="s">
        <v>149</v>
      </c>
      <c r="F2074" t="s">
        <v>147</v>
      </c>
      <c r="G2074" t="s">
        <v>163</v>
      </c>
      <c r="I2074" s="4">
        <v>35</v>
      </c>
      <c r="J2074" s="4">
        <v>35</v>
      </c>
      <c r="L2074" t="s">
        <v>252</v>
      </c>
      <c r="M2074" t="s">
        <v>1778</v>
      </c>
      <c r="N2074" s="4">
        <f>IF(L2074="","",IF(OR(Registro2[[#This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74" t="str">
        <f t="shared" si="35"/>
        <v>mai/25</v>
      </c>
      <c r="P2074" t="str">
        <f>IF(Registro2[[#This Row],[Data de Pagamento]]&gt;0,TEXT(A2074,"mmm/aa"),"")</f>
        <v>mai/25</v>
      </c>
      <c r="T2074" s="4">
        <f>IF(Registro2[[#This Row],[Data de Pagamento]]="",0,IF(Registro2[[#This Row],[Conta Financeira]]=base!$A$6,0,Registro2[[#This Row],[Valor Unitário]]))</f>
        <v>35</v>
      </c>
      <c r="U20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74" t="str">
        <f>VLOOKUP(Registro2[[#This Row],[Categoria]],'Plano de Contas'!$V$3:W2128,2,0)</f>
        <v>Receitas Serviços</v>
      </c>
      <c r="X207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075" spans="1:24" hidden="1">
      <c r="A2075" s="1">
        <v>45786.840277777781</v>
      </c>
      <c r="B2075" s="1">
        <v>45786.840277777781</v>
      </c>
      <c r="D2075" t="s">
        <v>1</v>
      </c>
      <c r="E2075" t="s">
        <v>149</v>
      </c>
      <c r="F2075" t="s">
        <v>147</v>
      </c>
      <c r="G2075" t="s">
        <v>163</v>
      </c>
      <c r="I2075" s="4">
        <v>35</v>
      </c>
      <c r="J2075" s="4">
        <v>35</v>
      </c>
      <c r="L2075" t="s">
        <v>253</v>
      </c>
      <c r="M2075" t="s">
        <v>2060</v>
      </c>
      <c r="N2075" s="4">
        <f>IF(L2075="","",IF(OR(Registro2[[#This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75" t="str">
        <f t="shared" si="35"/>
        <v>mai/25</v>
      </c>
      <c r="P2075" t="str">
        <f>IF(Registro2[[#This Row],[Data de Pagamento]]&gt;0,TEXT(A2075,"mmm/aa"),"")</f>
        <v>mai/25</v>
      </c>
      <c r="T2075" s="4">
        <f>IF(Registro2[[#This Row],[Data de Pagamento]]="",0,IF(Registro2[[#This Row],[Conta Financeira]]=base!$A$6,0,Registro2[[#This Row],[Valor Unitário]]))</f>
        <v>35</v>
      </c>
      <c r="U20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75" t="str">
        <f>VLOOKUP(Registro2[[#This Row],[Categoria]],'Plano de Contas'!$V$3:W2129,2,0)</f>
        <v>Receitas Serviços</v>
      </c>
      <c r="X207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76" spans="1:24" hidden="1">
      <c r="A2076" s="1">
        <v>45786.857638888891</v>
      </c>
      <c r="B2076" s="1">
        <v>45786.857638888891</v>
      </c>
      <c r="D2076" t="s">
        <v>1</v>
      </c>
      <c r="E2076" t="s">
        <v>149</v>
      </c>
      <c r="F2076" t="s">
        <v>147</v>
      </c>
      <c r="G2076" t="s">
        <v>163</v>
      </c>
      <c r="I2076" s="4">
        <v>35</v>
      </c>
      <c r="J2076" s="4">
        <v>35</v>
      </c>
      <c r="L2076" t="s">
        <v>253</v>
      </c>
      <c r="M2076" t="s">
        <v>2895</v>
      </c>
      <c r="N2076" s="4">
        <f>IF(L2076="","",IF(OR(Registro2[[#This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76" t="str">
        <f t="shared" si="35"/>
        <v>mai/25</v>
      </c>
      <c r="P2076" t="str">
        <f>IF(Registro2[[#This Row],[Data de Pagamento]]&gt;0,TEXT(A2076,"mmm/aa"),"")</f>
        <v>mai/25</v>
      </c>
      <c r="T2076" s="4">
        <f>IF(Registro2[[#This Row],[Data de Pagamento]]="",0,IF(Registro2[[#This Row],[Conta Financeira]]=base!$A$6,0,Registro2[[#This Row],[Valor Unitário]]))</f>
        <v>35</v>
      </c>
      <c r="U20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76" t="str">
        <f>VLOOKUP(Registro2[[#This Row],[Categoria]],'Plano de Contas'!$V$3:W2130,2,0)</f>
        <v>Receitas Serviços</v>
      </c>
      <c r="X207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77" spans="1:24" hidden="1">
      <c r="A2077" s="1">
        <v>45787.40625</v>
      </c>
      <c r="B2077" s="1">
        <v>45787.40625</v>
      </c>
      <c r="D2077" t="s">
        <v>2</v>
      </c>
      <c r="E2077" t="s">
        <v>149</v>
      </c>
      <c r="F2077" t="s">
        <v>147</v>
      </c>
      <c r="G2077" t="s">
        <v>163</v>
      </c>
      <c r="I2077" s="4">
        <v>35</v>
      </c>
      <c r="J2077" s="4">
        <v>45</v>
      </c>
      <c r="L2077" t="s">
        <v>253</v>
      </c>
      <c r="M2077" t="s">
        <v>278</v>
      </c>
      <c r="N2077" s="4">
        <f>IF(L2077="","",IF(OR(Registro2[[#This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77" t="str">
        <f t="shared" si="35"/>
        <v>mai/25</v>
      </c>
      <c r="P2077" t="str">
        <f>IF(Registro2[[#This Row],[Data de Pagamento]]&gt;0,TEXT(A2077,"mmm/aa"),"")</f>
        <v>mai/25</v>
      </c>
      <c r="T2077" s="4">
        <f>IF(Registro2[[#This Row],[Data de Pagamento]]="",0,IF(Registro2[[#This Row],[Conta Financeira]]=base!$A$6,0,Registro2[[#This Row],[Valor Unitário]]))</f>
        <v>35</v>
      </c>
      <c r="U20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77" t="str">
        <f>VLOOKUP(Registro2[[#This Row],[Categoria]],'Plano de Contas'!$V$3:W2131,2,0)</f>
        <v>Receitas Serviços</v>
      </c>
      <c r="X207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78" spans="1:24" hidden="1">
      <c r="A2078" s="1">
        <v>45787.40625</v>
      </c>
      <c r="B2078" s="1">
        <v>45787.40625</v>
      </c>
      <c r="D2078" t="s">
        <v>2</v>
      </c>
      <c r="E2078" t="s">
        <v>149</v>
      </c>
      <c r="F2078" t="s">
        <v>147</v>
      </c>
      <c r="G2078" t="s">
        <v>167</v>
      </c>
      <c r="I2078" s="4">
        <v>10</v>
      </c>
      <c r="J2078" s="4">
        <v>0</v>
      </c>
      <c r="L2078" t="s">
        <v>253</v>
      </c>
      <c r="M2078" t="s">
        <v>278</v>
      </c>
      <c r="N2078" s="4">
        <f>IF(L2078="","",IF(OR(Registro2[[#This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078" t="str">
        <f t="shared" si="35"/>
        <v>mai/25</v>
      </c>
      <c r="P2078" t="str">
        <f>IF(Registro2[[#This Row],[Data de Pagamento]]&gt;0,TEXT(A2078,"mmm/aa"),"")</f>
        <v>mai/25</v>
      </c>
      <c r="T2078" s="4">
        <f>IF(Registro2[[#This Row],[Data de Pagamento]]="",0,IF(Registro2[[#This Row],[Conta Financeira]]=base!$A$6,0,Registro2[[#This Row],[Valor Unitário]]))</f>
        <v>10</v>
      </c>
      <c r="U20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78" t="str">
        <f>VLOOKUP(Registro2[[#This Row],[Categoria]],'Plano de Contas'!$V$3:W2132,2,0)</f>
        <v>Receitas Serviços</v>
      </c>
      <c r="X20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79" spans="1:24" hidden="1">
      <c r="A2079" s="1">
        <v>45786.902777777781</v>
      </c>
      <c r="B2079" s="1">
        <v>45786.902777777781</v>
      </c>
      <c r="D2079" t="s">
        <v>1</v>
      </c>
      <c r="E2079" t="s">
        <v>149</v>
      </c>
      <c r="F2079" t="s">
        <v>147</v>
      </c>
      <c r="G2079" t="s">
        <v>163</v>
      </c>
      <c r="I2079" s="4">
        <v>35</v>
      </c>
      <c r="J2079" s="4">
        <v>35</v>
      </c>
      <c r="L2079" t="s">
        <v>264</v>
      </c>
      <c r="M2079" t="s">
        <v>2898</v>
      </c>
      <c r="N2079" s="4">
        <f>IF(L2079="","",IF(OR(Registro2[[#This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79" t="str">
        <f t="shared" si="35"/>
        <v>mai/25</v>
      </c>
      <c r="P2079" t="str">
        <f>IF(Registro2[[#This Row],[Data de Pagamento]]&gt;0,TEXT(A2079,"mmm/aa"),"")</f>
        <v>mai/25</v>
      </c>
      <c r="T2079" s="4">
        <f>IF(Registro2[[#This Row],[Data de Pagamento]]="",0,IF(Registro2[[#This Row],[Conta Financeira]]=base!$A$6,0,Registro2[[#This Row],[Valor Unitário]]))</f>
        <v>35</v>
      </c>
      <c r="U20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79" t="str">
        <f>VLOOKUP(Registro2[[#This Row],[Categoria]],'Plano de Contas'!$V$3:W2133,2,0)</f>
        <v>Receitas Serviços</v>
      </c>
      <c r="X207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80" spans="1:24" hidden="1">
      <c r="A2080" s="1">
        <v>45786.875</v>
      </c>
      <c r="B2080" s="1">
        <v>45786.875</v>
      </c>
      <c r="D2080" t="s">
        <v>1</v>
      </c>
      <c r="E2080" t="s">
        <v>149</v>
      </c>
      <c r="F2080" t="s">
        <v>147</v>
      </c>
      <c r="G2080" t="s">
        <v>163</v>
      </c>
      <c r="I2080" s="4">
        <v>35</v>
      </c>
      <c r="J2080" s="4">
        <v>35</v>
      </c>
      <c r="L2080" t="s">
        <v>252</v>
      </c>
      <c r="M2080" t="s">
        <v>24</v>
      </c>
      <c r="N2080" s="4">
        <f>IF(L2080="","",IF(OR(Registro2[[#This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80" t="str">
        <f t="shared" si="35"/>
        <v>mai/25</v>
      </c>
      <c r="P2080" t="str">
        <f>IF(Registro2[[#This Row],[Data de Pagamento]]&gt;0,TEXT(A2080,"mmm/aa"),"")</f>
        <v>mai/25</v>
      </c>
      <c r="T2080" s="4">
        <f>IF(Registro2[[#This Row],[Data de Pagamento]]="",0,IF(Registro2[[#This Row],[Conta Financeira]]=base!$A$6,0,Registro2[[#This Row],[Valor Unitário]]))</f>
        <v>35</v>
      </c>
      <c r="U20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80" t="str">
        <f>VLOOKUP(Registro2[[#This Row],[Categoria]],'Plano de Contas'!$V$3:W2134,2,0)</f>
        <v>Receitas Serviços</v>
      </c>
      <c r="X208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81" spans="1:24" hidden="1">
      <c r="A2081" s="1">
        <v>45787.395833333336</v>
      </c>
      <c r="B2081" s="1">
        <v>45787.395833333336</v>
      </c>
      <c r="D2081" t="s">
        <v>310</v>
      </c>
      <c r="E2081" t="s">
        <v>149</v>
      </c>
      <c r="F2081" t="s">
        <v>147</v>
      </c>
      <c r="G2081" t="s">
        <v>163</v>
      </c>
      <c r="I2081" s="4">
        <v>35</v>
      </c>
      <c r="J2081" s="4">
        <v>70</v>
      </c>
      <c r="L2081" t="s">
        <v>252</v>
      </c>
      <c r="M2081" t="s">
        <v>79</v>
      </c>
      <c r="N2081" s="4">
        <f>IF(L2081="","",IF(OR(Registro2[[#This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81" t="str">
        <f t="shared" si="35"/>
        <v>mai/25</v>
      </c>
      <c r="P2081" t="str">
        <f>IF(Registro2[[#This Row],[Data de Pagamento]]&gt;0,TEXT(A2081,"mmm/aa"),"")</f>
        <v>mai/25</v>
      </c>
      <c r="T2081" s="4">
        <f>IF(Registro2[[#This Row],[Data de Pagamento]]="",0,IF(Registro2[[#This Row],[Conta Financeira]]=base!$A$6,0,Registro2[[#This Row],[Valor Unitário]]))</f>
        <v>35</v>
      </c>
      <c r="U20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81" t="str">
        <f>VLOOKUP(Registro2[[#This Row],[Categoria]],'Plano de Contas'!$V$3:W2135,2,0)</f>
        <v>Receitas Serviços</v>
      </c>
      <c r="X208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082" spans="1:24" hidden="1">
      <c r="A2082" s="1">
        <v>45787.395833333336</v>
      </c>
      <c r="B2082" s="1">
        <v>45787.395833333336</v>
      </c>
      <c r="D2082" t="s">
        <v>310</v>
      </c>
      <c r="E2082" t="s">
        <v>149</v>
      </c>
      <c r="F2082" t="s">
        <v>147</v>
      </c>
      <c r="G2082" t="s">
        <v>166</v>
      </c>
      <c r="I2082" s="4">
        <v>20</v>
      </c>
      <c r="J2082" s="4">
        <v>0</v>
      </c>
      <c r="L2082" t="s">
        <v>252</v>
      </c>
      <c r="M2082" t="s">
        <v>79</v>
      </c>
      <c r="N2082" s="4">
        <f>IF(L2082="","",IF(OR(Registro2[[#This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082" t="str">
        <f t="shared" si="35"/>
        <v>mai/25</v>
      </c>
      <c r="P2082" t="str">
        <f>IF(Registro2[[#This Row],[Data de Pagamento]]&gt;0,TEXT(A2082,"mmm/aa"),"")</f>
        <v>mai/25</v>
      </c>
      <c r="T2082" s="4">
        <f>IF(Registro2[[#This Row],[Data de Pagamento]]="",0,IF(Registro2[[#This Row],[Conta Financeira]]=base!$A$6,0,Registro2[[#This Row],[Valor Unitário]]))</f>
        <v>20</v>
      </c>
      <c r="U20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82" t="str">
        <f>VLOOKUP(Registro2[[#This Row],[Categoria]],'Plano de Contas'!$V$3:W2136,2,0)</f>
        <v>Receitas Serviços</v>
      </c>
      <c r="X208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</row>
    <row r="2083" spans="1:24" hidden="1">
      <c r="A2083" s="1">
        <v>45787.59375</v>
      </c>
      <c r="B2083" s="1">
        <v>45787.59375</v>
      </c>
      <c r="D2083" t="s">
        <v>1</v>
      </c>
      <c r="E2083" t="s">
        <v>149</v>
      </c>
      <c r="F2083" t="s">
        <v>147</v>
      </c>
      <c r="G2083" t="s">
        <v>163</v>
      </c>
      <c r="I2083" s="4">
        <v>35</v>
      </c>
      <c r="J2083" s="4">
        <v>45</v>
      </c>
      <c r="L2083" t="s">
        <v>253</v>
      </c>
      <c r="M2083" t="s">
        <v>77</v>
      </c>
      <c r="N2083" s="4">
        <f>IF(L2083="","",IF(OR(Registro2[[#This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83" t="str">
        <f t="shared" si="35"/>
        <v>mai/25</v>
      </c>
      <c r="P2083" t="str">
        <f>IF(Registro2[[#This Row],[Data de Pagamento]]&gt;0,TEXT(A2083,"mmm/aa"),"")</f>
        <v>mai/25</v>
      </c>
      <c r="T2083" s="4">
        <f>IF(Registro2[[#This Row],[Data de Pagamento]]="",0,IF(Registro2[[#This Row],[Conta Financeira]]=base!$A$6,0,Registro2[[#This Row],[Valor Unitário]]))</f>
        <v>35</v>
      </c>
      <c r="U20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83" t="str">
        <f>VLOOKUP(Registro2[[#This Row],[Categoria]],'Plano de Contas'!$V$3:W2137,2,0)</f>
        <v>Receitas Serviços</v>
      </c>
      <c r="X20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84" spans="1:24" hidden="1">
      <c r="A2084" s="1">
        <v>45787.59375</v>
      </c>
      <c r="B2084" s="1">
        <v>45787.59375</v>
      </c>
      <c r="D2084" t="s">
        <v>1</v>
      </c>
      <c r="E2084" t="s">
        <v>149</v>
      </c>
      <c r="F2084" t="s">
        <v>147</v>
      </c>
      <c r="G2084" t="s">
        <v>167</v>
      </c>
      <c r="I2084" s="4">
        <v>10</v>
      </c>
      <c r="J2084" s="4">
        <v>0</v>
      </c>
      <c r="L2084" t="s">
        <v>253</v>
      </c>
      <c r="M2084" t="s">
        <v>77</v>
      </c>
      <c r="N2084" s="4">
        <f>IF(L2084="","",IF(OR(Registro2[[#This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084" t="str">
        <f t="shared" si="35"/>
        <v>mai/25</v>
      </c>
      <c r="P2084" t="str">
        <f>IF(Registro2[[#This Row],[Data de Pagamento]]&gt;0,TEXT(A2084,"mmm/aa"),"")</f>
        <v>mai/25</v>
      </c>
      <c r="T2084" s="4">
        <f>IF(Registro2[[#This Row],[Data de Pagamento]]="",0,IF(Registro2[[#This Row],[Conta Financeira]]=base!$A$6,0,Registro2[[#This Row],[Valor Unitário]]))</f>
        <v>10</v>
      </c>
      <c r="U20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84" t="str">
        <f>VLOOKUP(Registro2[[#This Row],[Categoria]],'Plano de Contas'!$V$3:W2138,2,0)</f>
        <v>Receitas Serviços</v>
      </c>
      <c r="X208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85" spans="1:24" hidden="1">
      <c r="A2085" s="1">
        <v>45787.427083333336</v>
      </c>
      <c r="B2085" s="1">
        <v>45787.427083333336</v>
      </c>
      <c r="D2085" t="s">
        <v>1</v>
      </c>
      <c r="E2085" t="s">
        <v>149</v>
      </c>
      <c r="F2085" t="s">
        <v>147</v>
      </c>
      <c r="G2085" t="s">
        <v>163</v>
      </c>
      <c r="I2085" s="4">
        <v>35</v>
      </c>
      <c r="J2085" s="4">
        <v>45</v>
      </c>
      <c r="L2085" t="s">
        <v>253</v>
      </c>
      <c r="M2085" t="s">
        <v>62</v>
      </c>
      <c r="N2085" s="4">
        <f>IF(L2085="","",IF(OR(Registro2[[#This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85" t="str">
        <f t="shared" si="35"/>
        <v>mai/25</v>
      </c>
      <c r="P2085" t="str">
        <f>IF(Registro2[[#This Row],[Data de Pagamento]]&gt;0,TEXT(A2085,"mmm/aa"),"")</f>
        <v>mai/25</v>
      </c>
      <c r="T2085" s="4">
        <f>IF(Registro2[[#This Row],[Data de Pagamento]]="",0,IF(Registro2[[#This Row],[Conta Financeira]]=base!$A$6,0,Registro2[[#This Row],[Valor Unitário]]))</f>
        <v>35</v>
      </c>
      <c r="U20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85" t="str">
        <f>VLOOKUP(Registro2[[#This Row],[Categoria]],'Plano de Contas'!$V$3:W2139,2,0)</f>
        <v>Receitas Serviços</v>
      </c>
      <c r="X208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86" spans="1:24" hidden="1">
      <c r="A2086" s="1">
        <v>45787.427083333336</v>
      </c>
      <c r="B2086" s="1">
        <v>45787.427083333336</v>
      </c>
      <c r="D2086" t="s">
        <v>1</v>
      </c>
      <c r="E2086" t="s">
        <v>149</v>
      </c>
      <c r="F2086" t="s">
        <v>147</v>
      </c>
      <c r="G2086" t="s">
        <v>167</v>
      </c>
      <c r="I2086" s="4">
        <v>10</v>
      </c>
      <c r="J2086" s="4">
        <v>0</v>
      </c>
      <c r="L2086" t="s">
        <v>253</v>
      </c>
      <c r="M2086" t="s">
        <v>62</v>
      </c>
      <c r="N2086" s="4">
        <f>IF(L2086="","",IF(OR(Registro2[[#This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086" t="str">
        <f t="shared" si="35"/>
        <v>mai/25</v>
      </c>
      <c r="P2086" t="str">
        <f>IF(Registro2[[#This Row],[Data de Pagamento]]&gt;0,TEXT(A2086,"mmm/aa"),"")</f>
        <v>mai/25</v>
      </c>
      <c r="T2086" s="4">
        <f>IF(Registro2[[#This Row],[Data de Pagamento]]="",0,IF(Registro2[[#This Row],[Conta Financeira]]=base!$A$6,0,Registro2[[#This Row],[Valor Unitário]]))</f>
        <v>10</v>
      </c>
      <c r="U20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86" t="str">
        <f>VLOOKUP(Registro2[[#This Row],[Categoria]],'Plano de Contas'!$V$3:W2140,2,0)</f>
        <v>Receitas Serviços</v>
      </c>
      <c r="X208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87" spans="1:24" hidden="1">
      <c r="A2087" s="1">
        <v>45787.645833333336</v>
      </c>
      <c r="B2087" s="1">
        <v>45787.645833333336</v>
      </c>
      <c r="D2087" t="s">
        <v>1</v>
      </c>
      <c r="E2087" t="s">
        <v>149</v>
      </c>
      <c r="F2087" t="s">
        <v>147</v>
      </c>
      <c r="G2087" t="s">
        <v>163</v>
      </c>
      <c r="I2087" s="4">
        <v>35</v>
      </c>
      <c r="J2087" s="4">
        <v>50</v>
      </c>
      <c r="L2087" t="s">
        <v>253</v>
      </c>
      <c r="M2087" t="s">
        <v>414</v>
      </c>
      <c r="N2087" s="4">
        <f>IF(L2087="","",IF(OR(Registro2[[#This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87" t="str">
        <f t="shared" si="35"/>
        <v>mai/25</v>
      </c>
      <c r="P2087" t="str">
        <f>IF(Registro2[[#This Row],[Data de Pagamento]]&gt;0,TEXT(A2087,"mmm/aa"),"")</f>
        <v>mai/25</v>
      </c>
      <c r="T2087" s="4">
        <f>IF(Registro2[[#This Row],[Data de Pagamento]]="",0,IF(Registro2[[#This Row],[Conta Financeira]]=base!$A$6,0,Registro2[[#This Row],[Valor Unitário]]))</f>
        <v>35</v>
      </c>
      <c r="U20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87" t="str">
        <f>VLOOKUP(Registro2[[#This Row],[Categoria]],'Plano de Contas'!$V$3:W2141,2,0)</f>
        <v>Receitas Serviços</v>
      </c>
      <c r="X208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88" spans="1:24" hidden="1">
      <c r="A2088" s="1">
        <v>45787.645833333336</v>
      </c>
      <c r="B2088" s="1">
        <v>45787.645833333336</v>
      </c>
      <c r="D2088" t="s">
        <v>1</v>
      </c>
      <c r="E2088" t="s">
        <v>149</v>
      </c>
      <c r="F2088" t="s">
        <v>147</v>
      </c>
      <c r="G2088" t="s">
        <v>1046</v>
      </c>
      <c r="I2088" s="4">
        <v>15</v>
      </c>
      <c r="J2088" s="4">
        <v>0</v>
      </c>
      <c r="L2088" t="s">
        <v>253</v>
      </c>
      <c r="M2088" t="s">
        <v>414</v>
      </c>
      <c r="N2088" s="4">
        <f>IF(L2088="","",IF(OR(Registro2[[#This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088" t="str">
        <f t="shared" si="35"/>
        <v>mai/25</v>
      </c>
      <c r="P2088" t="str">
        <f>IF(Registro2[[#This Row],[Data de Pagamento]]&gt;0,TEXT(A2088,"mmm/aa"),"")</f>
        <v>mai/25</v>
      </c>
      <c r="T2088" s="4">
        <f>IF(Registro2[[#This Row],[Data de Pagamento]]="",0,IF(Registro2[[#This Row],[Conta Financeira]]=base!$A$6,0,Registro2[[#This Row],[Valor Unitário]]))</f>
        <v>15</v>
      </c>
      <c r="U20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88" t="str">
        <f>VLOOKUP(Registro2[[#This Row],[Categoria]],'Plano de Contas'!$V$3:W2142,2,0)</f>
        <v>Receitas Serviços</v>
      </c>
      <c r="X208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89" spans="1:24" hidden="1">
      <c r="A2089" s="1">
        <v>45787.375</v>
      </c>
      <c r="B2089" s="1">
        <v>45787.375</v>
      </c>
      <c r="D2089" t="s">
        <v>310</v>
      </c>
      <c r="E2089" t="s">
        <v>149</v>
      </c>
      <c r="F2089" t="s">
        <v>147</v>
      </c>
      <c r="G2089" t="s">
        <v>163</v>
      </c>
      <c r="I2089" s="4">
        <v>35</v>
      </c>
      <c r="J2089" s="4">
        <v>35</v>
      </c>
      <c r="L2089" t="s">
        <v>252</v>
      </c>
      <c r="M2089" t="s">
        <v>44</v>
      </c>
      <c r="N2089" s="4">
        <f>IF(L2089="","",IF(OR(Registro2[[#This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89" t="str">
        <f t="shared" si="35"/>
        <v>mai/25</v>
      </c>
      <c r="P2089" t="str">
        <f>IF(Registro2[[#This Row],[Data de Pagamento]]&gt;0,TEXT(A2089,"mmm/aa"),"")</f>
        <v>mai/25</v>
      </c>
      <c r="T2089" s="4">
        <f>IF(Registro2[[#This Row],[Data de Pagamento]]="",0,IF(Registro2[[#This Row],[Conta Financeira]]=base!$A$6,0,Registro2[[#This Row],[Valor Unitário]]))</f>
        <v>35</v>
      </c>
      <c r="U20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89" t="str">
        <f>VLOOKUP(Registro2[[#This Row],[Categoria]],'Plano de Contas'!$V$3:W2143,2,0)</f>
        <v>Receitas Serviços</v>
      </c>
      <c r="X208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090" spans="1:24" hidden="1">
      <c r="A2090" s="1">
        <v>45787.395833333336</v>
      </c>
      <c r="B2090" s="1">
        <v>45787.395833333336</v>
      </c>
      <c r="D2090" t="s">
        <v>1</v>
      </c>
      <c r="E2090" t="s">
        <v>149</v>
      </c>
      <c r="F2090" t="s">
        <v>152</v>
      </c>
      <c r="G2090" t="s">
        <v>353</v>
      </c>
      <c r="I2090" s="4">
        <v>60</v>
      </c>
      <c r="J2090" s="4">
        <v>80</v>
      </c>
      <c r="L2090" t="s">
        <v>264</v>
      </c>
      <c r="M2090" t="s">
        <v>2895</v>
      </c>
      <c r="N2090" s="4">
        <f>IF(L2090="","",IF(OR(Registro2[[#This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090" t="str">
        <f t="shared" si="35"/>
        <v>mai/25</v>
      </c>
      <c r="P2090" t="str">
        <f>IF(Registro2[[#This Row],[Data de Pagamento]]&gt;0,TEXT(A2090,"mmm/aa"),"")</f>
        <v>mai/25</v>
      </c>
      <c r="T2090" s="4">
        <f>IF(Registro2[[#This Row],[Data de Pagamento]]="",0,IF(Registro2[[#This Row],[Conta Financeira]]=base!$A$6,0,Registro2[[#This Row],[Valor Unitário]]))</f>
        <v>60</v>
      </c>
      <c r="U20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90" t="str">
        <f>VLOOKUP(Registro2[[#This Row],[Categoria]],'Plano de Contas'!$V$3:W2144,2,0)</f>
        <v>Receitas Serviços</v>
      </c>
      <c r="X209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91" spans="1:24" hidden="1">
      <c r="A2091" s="1">
        <v>45787.395833333336</v>
      </c>
      <c r="B2091" s="1">
        <v>45787.395833333336</v>
      </c>
      <c r="D2091" t="s">
        <v>1</v>
      </c>
      <c r="E2091" t="s">
        <v>149</v>
      </c>
      <c r="F2091" t="s">
        <v>147</v>
      </c>
      <c r="G2091" t="s">
        <v>166</v>
      </c>
      <c r="I2091" s="4">
        <v>20</v>
      </c>
      <c r="J2091" s="4">
        <v>0</v>
      </c>
      <c r="L2091" t="s">
        <v>264</v>
      </c>
      <c r="M2091" t="s">
        <v>2895</v>
      </c>
      <c r="N2091" s="4">
        <f>IF(L2091="","",IF(OR(Registro2[[#This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091" t="str">
        <f t="shared" si="35"/>
        <v>mai/25</v>
      </c>
      <c r="P2091" t="str">
        <f>IF(Registro2[[#This Row],[Data de Pagamento]]&gt;0,TEXT(A2091,"mmm/aa"),"")</f>
        <v>mai/25</v>
      </c>
      <c r="T2091" s="4">
        <f>IF(Registro2[[#This Row],[Data de Pagamento]]="",0,IF(Registro2[[#This Row],[Conta Financeira]]=base!$A$6,0,Registro2[[#This Row],[Valor Unitário]]))</f>
        <v>20</v>
      </c>
      <c r="U20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91" t="str">
        <f>VLOOKUP(Registro2[[#This Row],[Categoria]],'Plano de Contas'!$V$3:W2145,2,0)</f>
        <v>Receitas Serviços</v>
      </c>
      <c r="X209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92" spans="1:24" hidden="1">
      <c r="A2092" s="1">
        <v>45787.666666666664</v>
      </c>
      <c r="B2092" s="1">
        <v>45787.666666666664</v>
      </c>
      <c r="D2092" t="s">
        <v>1</v>
      </c>
      <c r="E2092" t="s">
        <v>149</v>
      </c>
      <c r="F2092" t="s">
        <v>147</v>
      </c>
      <c r="G2092" t="s">
        <v>163</v>
      </c>
      <c r="I2092" s="4">
        <v>35</v>
      </c>
      <c r="J2092" s="4">
        <v>35</v>
      </c>
      <c r="L2092" t="s">
        <v>253</v>
      </c>
      <c r="M2092" t="s">
        <v>40</v>
      </c>
      <c r="N2092" s="4">
        <f>IF(L2092="","",IF(OR(Registro2[[#This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92" t="str">
        <f t="shared" si="35"/>
        <v>mai/25</v>
      </c>
      <c r="P2092" t="str">
        <f>IF(Registro2[[#This Row],[Data de Pagamento]]&gt;0,TEXT(A2092,"mmm/aa"),"")</f>
        <v>mai/25</v>
      </c>
      <c r="T2092" s="4">
        <f>IF(Registro2[[#This Row],[Data de Pagamento]]="",0,IF(Registro2[[#This Row],[Conta Financeira]]=base!$A$6,0,Registro2[[#This Row],[Valor Unitário]]))</f>
        <v>35</v>
      </c>
      <c r="U20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92" t="str">
        <f>VLOOKUP(Registro2[[#This Row],[Categoria]],'Plano de Contas'!$V$3:W2146,2,0)</f>
        <v>Receitas Serviços</v>
      </c>
      <c r="X209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93" spans="1:24" hidden="1">
      <c r="A2093" s="1">
        <v>45787.447916666664</v>
      </c>
      <c r="B2093" s="1">
        <v>45787.447916666664</v>
      </c>
      <c r="D2093" t="s">
        <v>2</v>
      </c>
      <c r="E2093" t="s">
        <v>149</v>
      </c>
      <c r="F2093" t="s">
        <v>147</v>
      </c>
      <c r="G2093" t="s">
        <v>163</v>
      </c>
      <c r="I2093" s="4">
        <v>35</v>
      </c>
      <c r="J2093" s="4">
        <v>35</v>
      </c>
      <c r="L2093" t="s">
        <v>252</v>
      </c>
      <c r="M2093" t="s">
        <v>2908</v>
      </c>
      <c r="N2093" s="4">
        <f>IF(L2093="","",IF(OR(Registro2[[#This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93" t="str">
        <f t="shared" si="35"/>
        <v>mai/25</v>
      </c>
      <c r="P2093" t="str">
        <f>IF(Registro2[[#This Row],[Data de Pagamento]]&gt;0,TEXT(A2093,"mmm/aa"),"")</f>
        <v>mai/25</v>
      </c>
      <c r="T2093" s="4">
        <f>IF(Registro2[[#This Row],[Data de Pagamento]]="",0,IF(Registro2[[#This Row],[Conta Financeira]]=base!$A$6,0,Registro2[[#This Row],[Valor Unitário]]))</f>
        <v>35</v>
      </c>
      <c r="U20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93" t="str">
        <f>VLOOKUP(Registro2[[#This Row],[Categoria]],'Plano de Contas'!$V$3:W2147,2,0)</f>
        <v>Receitas Serviços</v>
      </c>
      <c r="X209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94" spans="1:24" hidden="1">
      <c r="A2094" s="1">
        <v>45787.4375</v>
      </c>
      <c r="B2094" s="1">
        <v>45787.4375</v>
      </c>
      <c r="D2094" t="s">
        <v>2</v>
      </c>
      <c r="E2094" t="s">
        <v>149</v>
      </c>
      <c r="F2094" t="s">
        <v>147</v>
      </c>
      <c r="G2094" t="s">
        <v>163</v>
      </c>
      <c r="I2094" s="4">
        <v>35</v>
      </c>
      <c r="J2094" s="4">
        <v>35</v>
      </c>
      <c r="L2094" t="s">
        <v>264</v>
      </c>
      <c r="M2094" t="s">
        <v>89</v>
      </c>
      <c r="N2094" s="4">
        <f>IF(L2094="","",IF(OR(Registro2[[#This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94" t="str">
        <f t="shared" si="35"/>
        <v>mai/25</v>
      </c>
      <c r="P2094" t="str">
        <f>IF(Registro2[[#This Row],[Data de Pagamento]]&gt;0,TEXT(A2094,"mmm/aa"),"")</f>
        <v>mai/25</v>
      </c>
      <c r="T2094" s="4">
        <f>IF(Registro2[[#This Row],[Data de Pagamento]]="",0,IF(Registro2[[#This Row],[Conta Financeira]]=base!$A$6,0,Registro2[[#This Row],[Valor Unitário]]))</f>
        <v>35</v>
      </c>
      <c r="U20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94" t="str">
        <f>VLOOKUP(Registro2[[#This Row],[Categoria]],'Plano de Contas'!$V$3:W2148,2,0)</f>
        <v>Receitas Serviços</v>
      </c>
      <c r="X209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95" spans="1:24" hidden="1">
      <c r="A2095" s="1">
        <v>45787.395833333336</v>
      </c>
      <c r="B2095" s="1">
        <v>45787.395833333336</v>
      </c>
      <c r="D2095" t="s">
        <v>1</v>
      </c>
      <c r="E2095" t="s">
        <v>149</v>
      </c>
      <c r="F2095" t="s">
        <v>147</v>
      </c>
      <c r="G2095" t="s">
        <v>163</v>
      </c>
      <c r="I2095" s="4">
        <v>35</v>
      </c>
      <c r="J2095" s="4">
        <v>35</v>
      </c>
      <c r="L2095" t="s">
        <v>264</v>
      </c>
      <c r="M2095" t="s">
        <v>16</v>
      </c>
      <c r="N2095" s="4">
        <f>IF(L2095="","",IF(OR(Registro2[[#This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95" t="str">
        <f t="shared" si="35"/>
        <v>mai/25</v>
      </c>
      <c r="P2095" t="str">
        <f>IF(Registro2[[#This Row],[Data de Pagamento]]&gt;0,TEXT(A2095,"mmm/aa"),"")</f>
        <v>mai/25</v>
      </c>
      <c r="T2095" s="4">
        <f>IF(Registro2[[#This Row],[Data de Pagamento]]="",0,IF(Registro2[[#This Row],[Conta Financeira]]=base!$A$6,0,Registro2[[#This Row],[Valor Unitário]]))</f>
        <v>35</v>
      </c>
      <c r="U20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95" t="str">
        <f>VLOOKUP(Registro2[[#This Row],[Categoria]],'Plano de Contas'!$V$3:W2149,2,0)</f>
        <v>Receitas Serviços</v>
      </c>
      <c r="X209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96" spans="1:24" hidden="1">
      <c r="A2096" s="1">
        <v>45787.541666666664</v>
      </c>
      <c r="B2096" s="1">
        <v>45787.541666666664</v>
      </c>
      <c r="D2096" t="s">
        <v>1</v>
      </c>
      <c r="E2096" t="s">
        <v>149</v>
      </c>
      <c r="F2096" t="s">
        <v>147</v>
      </c>
      <c r="G2096" t="s">
        <v>163</v>
      </c>
      <c r="I2096" s="4">
        <v>35</v>
      </c>
      <c r="J2096" s="4">
        <v>35</v>
      </c>
      <c r="L2096" t="s">
        <v>252</v>
      </c>
      <c r="M2096" t="s">
        <v>487</v>
      </c>
      <c r="N2096" s="4">
        <f>IF(L2096="","",IF(OR(Registro2[[#This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96" t="str">
        <f t="shared" si="35"/>
        <v>mai/25</v>
      </c>
      <c r="P2096" t="str">
        <f>IF(Registro2[[#This Row],[Data de Pagamento]]&gt;0,TEXT(A2096,"mmm/aa"),"")</f>
        <v>mai/25</v>
      </c>
      <c r="T2096" s="4">
        <f>IF(Registro2[[#This Row],[Data de Pagamento]]="",0,IF(Registro2[[#This Row],[Conta Financeira]]=base!$A$6,0,Registro2[[#This Row],[Valor Unitário]]))</f>
        <v>35</v>
      </c>
      <c r="U20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96" t="str">
        <f>VLOOKUP(Registro2[[#This Row],[Categoria]],'Plano de Contas'!$V$3:W2150,2,0)</f>
        <v>Receitas Serviços</v>
      </c>
      <c r="X209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97" spans="1:24" hidden="1">
      <c r="A2097" s="1">
        <v>45787.510416666664</v>
      </c>
      <c r="B2097" s="1">
        <v>45787.510416666664</v>
      </c>
      <c r="D2097" t="s">
        <v>310</v>
      </c>
      <c r="E2097" t="s">
        <v>149</v>
      </c>
      <c r="F2097" t="s">
        <v>147</v>
      </c>
      <c r="G2097" t="s">
        <v>163</v>
      </c>
      <c r="I2097" s="4">
        <v>35</v>
      </c>
      <c r="J2097" s="4">
        <v>35</v>
      </c>
      <c r="L2097" t="s">
        <v>264</v>
      </c>
      <c r="M2097" t="s">
        <v>1531</v>
      </c>
      <c r="N2097" s="4">
        <f>IF(L2097="","",IF(OR(Registro2[[#This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097" t="str">
        <f t="shared" si="35"/>
        <v>mai/25</v>
      </c>
      <c r="P2097" t="str">
        <f>IF(Registro2[[#This Row],[Data de Pagamento]]&gt;0,TEXT(A2097,"mmm/aa"),"")</f>
        <v>mai/25</v>
      </c>
      <c r="T2097" s="4">
        <f>IF(Registro2[[#This Row],[Data de Pagamento]]="",0,IF(Registro2[[#This Row],[Conta Financeira]]=base!$A$6,0,Registro2[[#This Row],[Valor Unitário]]))</f>
        <v>35</v>
      </c>
      <c r="U20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97" t="str">
        <f>VLOOKUP(Registro2[[#This Row],[Categoria]],'Plano de Contas'!$V$3:W2151,2,0)</f>
        <v>Receitas Serviços</v>
      </c>
      <c r="X209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098" spans="1:24" hidden="1">
      <c r="A2098" s="1">
        <v>45787.524305555555</v>
      </c>
      <c r="B2098" s="1">
        <v>45787.524305555555</v>
      </c>
      <c r="D2098" t="s">
        <v>1</v>
      </c>
      <c r="E2098" t="s">
        <v>149</v>
      </c>
      <c r="F2098" t="s">
        <v>152</v>
      </c>
      <c r="G2098" t="s">
        <v>306</v>
      </c>
      <c r="I2098" s="4">
        <v>55</v>
      </c>
      <c r="J2098" s="4">
        <v>70</v>
      </c>
      <c r="L2098" t="s">
        <v>253</v>
      </c>
      <c r="M2098" t="s">
        <v>2088</v>
      </c>
      <c r="N2098" s="4">
        <f>IF(L2098="","",IF(OR(Registro2[[#This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2098" t="str">
        <f t="shared" si="35"/>
        <v>mai/25</v>
      </c>
      <c r="P2098" t="str">
        <f>IF(Registro2[[#This Row],[Data de Pagamento]]&gt;0,TEXT(A2098,"mmm/aa"),"")</f>
        <v>mai/25</v>
      </c>
      <c r="T2098" s="4">
        <f>IF(Registro2[[#This Row],[Data de Pagamento]]="",0,IF(Registro2[[#This Row],[Conta Financeira]]=base!$A$6,0,Registro2[[#This Row],[Valor Unitário]]))</f>
        <v>55</v>
      </c>
      <c r="U20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98" t="str">
        <f>VLOOKUP(Registro2[[#This Row],[Categoria]],'Plano de Contas'!$V$3:W2152,2,0)</f>
        <v>Receitas Serviços</v>
      </c>
      <c r="X209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099" spans="1:24" hidden="1">
      <c r="A2099" s="1">
        <v>45787.524305555555</v>
      </c>
      <c r="B2099" s="1">
        <v>45787.524305555555</v>
      </c>
      <c r="D2099" t="s">
        <v>1</v>
      </c>
      <c r="E2099" t="s">
        <v>149</v>
      </c>
      <c r="F2099" t="s">
        <v>147</v>
      </c>
      <c r="G2099" t="s">
        <v>1046</v>
      </c>
      <c r="I2099" s="4">
        <v>15</v>
      </c>
      <c r="J2099" s="4">
        <v>0</v>
      </c>
      <c r="L2099" t="s">
        <v>253</v>
      </c>
      <c r="M2099" t="s">
        <v>2088</v>
      </c>
      <c r="N2099" s="4">
        <f>IF(L2099="","",IF(OR(Registro2[[#This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099" t="str">
        <f t="shared" si="35"/>
        <v>mai/25</v>
      </c>
      <c r="P2099" t="str">
        <f>IF(Registro2[[#This Row],[Data de Pagamento]]&gt;0,TEXT(A2099,"mmm/aa"),"")</f>
        <v>mai/25</v>
      </c>
      <c r="T2099" s="4">
        <f>IF(Registro2[[#This Row],[Data de Pagamento]]="",0,IF(Registro2[[#This Row],[Conta Financeira]]=base!$A$6,0,Registro2[[#This Row],[Valor Unitário]]))</f>
        <v>15</v>
      </c>
      <c r="U20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099" t="str">
        <f>VLOOKUP(Registro2[[#This Row],[Categoria]],'Plano de Contas'!$V$3:W2153,2,0)</f>
        <v>Receitas Serviços</v>
      </c>
      <c r="X209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00" spans="1:24" hidden="1">
      <c r="A2100" s="1">
        <v>45787.75</v>
      </c>
      <c r="B2100" s="1">
        <v>45787.75</v>
      </c>
      <c r="D2100" t="s">
        <v>1</v>
      </c>
      <c r="E2100" t="s">
        <v>149</v>
      </c>
      <c r="F2100" t="s">
        <v>147</v>
      </c>
      <c r="G2100" t="s">
        <v>163</v>
      </c>
      <c r="I2100" s="4">
        <v>35</v>
      </c>
      <c r="J2100" s="4">
        <v>35</v>
      </c>
      <c r="L2100" t="s">
        <v>252</v>
      </c>
      <c r="M2100" t="s">
        <v>73</v>
      </c>
      <c r="N2100" s="4">
        <f>IF(L2100="","",IF(OR(Registro2[[#This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00" t="str">
        <f t="shared" si="35"/>
        <v>mai/25</v>
      </c>
      <c r="P2100" t="str">
        <f>IF(Registro2[[#This Row],[Data de Pagamento]]&gt;0,TEXT(A2100,"mmm/aa"),"")</f>
        <v>mai/25</v>
      </c>
      <c r="T2100" s="4">
        <f>IF(Registro2[[#This Row],[Data de Pagamento]]="",0,IF(Registro2[[#This Row],[Conta Financeira]]=base!$A$6,0,Registro2[[#This Row],[Valor Unitário]]))</f>
        <v>35</v>
      </c>
      <c r="U21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00" t="str">
        <f>VLOOKUP(Registro2[[#This Row],[Categoria]],'Plano de Contas'!$V$3:W2154,2,0)</f>
        <v>Receitas Serviços</v>
      </c>
      <c r="X210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01" spans="1:24" hidden="1">
      <c r="A2101" s="1">
        <v>45787.625</v>
      </c>
      <c r="B2101" s="1">
        <v>45787.625</v>
      </c>
      <c r="D2101" t="s">
        <v>1</v>
      </c>
      <c r="E2101" t="s">
        <v>149</v>
      </c>
      <c r="F2101" t="s">
        <v>152</v>
      </c>
      <c r="G2101" t="s">
        <v>353</v>
      </c>
      <c r="I2101" s="4">
        <v>60</v>
      </c>
      <c r="J2101" s="4">
        <v>60</v>
      </c>
      <c r="L2101" t="s">
        <v>252</v>
      </c>
      <c r="M2101" t="s">
        <v>363</v>
      </c>
      <c r="N2101" s="4">
        <f>IF(L2101="","",IF(OR(Registro2[[#This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101" t="str">
        <f t="shared" si="35"/>
        <v>mai/25</v>
      </c>
      <c r="P2101" t="str">
        <f>IF(Registro2[[#This Row],[Data de Pagamento]]&gt;0,TEXT(A2101,"mmm/aa"),"")</f>
        <v>mai/25</v>
      </c>
      <c r="T2101" s="4">
        <f>IF(Registro2[[#This Row],[Data de Pagamento]]="",0,IF(Registro2[[#This Row],[Conta Financeira]]=base!$A$6,0,Registro2[[#This Row],[Valor Unitário]]))</f>
        <v>60</v>
      </c>
      <c r="U21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01" t="str">
        <f>VLOOKUP(Registro2[[#This Row],[Categoria]],'Plano de Contas'!$V$3:W2155,2,0)</f>
        <v>Receitas Serviços</v>
      </c>
      <c r="X210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02" spans="1:24" hidden="1">
      <c r="A2102" s="1">
        <v>45787.614583333336</v>
      </c>
      <c r="B2102" s="1">
        <v>45787.614583333336</v>
      </c>
      <c r="D2102" t="s">
        <v>1</v>
      </c>
      <c r="E2102" t="s">
        <v>149</v>
      </c>
      <c r="F2102" t="s">
        <v>147</v>
      </c>
      <c r="G2102" t="s">
        <v>163</v>
      </c>
      <c r="I2102" s="4">
        <v>35</v>
      </c>
      <c r="J2102" s="4">
        <v>35</v>
      </c>
      <c r="L2102" t="s">
        <v>253</v>
      </c>
      <c r="M2102" t="s">
        <v>282</v>
      </c>
      <c r="N2102" s="4">
        <f>IF(L2102="","",IF(OR(Registro2[[#This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02" t="str">
        <f t="shared" si="35"/>
        <v>mai/25</v>
      </c>
      <c r="P2102" t="str">
        <f>IF(Registro2[[#This Row],[Data de Pagamento]]&gt;0,TEXT(A2102,"mmm/aa"),"")</f>
        <v>mai/25</v>
      </c>
      <c r="T2102" s="4">
        <f>IF(Registro2[[#This Row],[Data de Pagamento]]="",0,IF(Registro2[[#This Row],[Conta Financeira]]=base!$A$6,0,Registro2[[#This Row],[Valor Unitário]]))</f>
        <v>35</v>
      </c>
      <c r="U21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02" t="str">
        <f>VLOOKUP(Registro2[[#This Row],[Categoria]],'Plano de Contas'!$V$3:W2156,2,0)</f>
        <v>Receitas Serviços</v>
      </c>
      <c r="X210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03" spans="1:24" hidden="1">
      <c r="A2103" s="1">
        <v>45787.604166666664</v>
      </c>
      <c r="B2103" s="1">
        <v>45787.604166666664</v>
      </c>
      <c r="D2103" t="s">
        <v>2</v>
      </c>
      <c r="E2103" t="s">
        <v>149</v>
      </c>
      <c r="F2103" t="s">
        <v>152</v>
      </c>
      <c r="G2103" t="s">
        <v>353</v>
      </c>
      <c r="I2103" s="4">
        <v>60</v>
      </c>
      <c r="J2103" s="4">
        <v>60</v>
      </c>
      <c r="L2103" t="s">
        <v>264</v>
      </c>
      <c r="M2103" t="s">
        <v>2270</v>
      </c>
      <c r="N2103" s="4">
        <f>IF(L2103="","",IF(OR(Registro2[[#This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103" t="str">
        <f t="shared" si="35"/>
        <v>mai/25</v>
      </c>
      <c r="P2103" t="str">
        <f>IF(Registro2[[#This Row],[Data de Pagamento]]&gt;0,TEXT(A2103,"mmm/aa"),"")</f>
        <v>mai/25</v>
      </c>
      <c r="T2103" s="4">
        <f>IF(Registro2[[#This Row],[Data de Pagamento]]="",0,IF(Registro2[[#This Row],[Conta Financeira]]=base!$A$6,0,Registro2[[#This Row],[Valor Unitário]]))</f>
        <v>60</v>
      </c>
      <c r="U21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03" t="str">
        <f>VLOOKUP(Registro2[[#This Row],[Categoria]],'Plano de Contas'!$V$3:W2157,2,0)</f>
        <v>Receitas Serviços</v>
      </c>
      <c r="X21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04" spans="1:24" hidden="1">
      <c r="A2104" s="1">
        <v>45787.770833333336</v>
      </c>
      <c r="B2104" s="1">
        <v>45787.770833333336</v>
      </c>
      <c r="D2104" t="s">
        <v>1</v>
      </c>
      <c r="E2104" t="s">
        <v>149</v>
      </c>
      <c r="F2104" t="s">
        <v>147</v>
      </c>
      <c r="G2104" t="s">
        <v>163</v>
      </c>
      <c r="I2104" s="4">
        <v>35</v>
      </c>
      <c r="J2104" s="4">
        <v>35</v>
      </c>
      <c r="L2104" t="s">
        <v>264</v>
      </c>
      <c r="M2104" t="s">
        <v>1720</v>
      </c>
      <c r="N2104" s="4">
        <f>IF(L2104="","",IF(OR(Registro2[[#This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04" t="str">
        <f t="shared" si="35"/>
        <v>mai/25</v>
      </c>
      <c r="P2104" t="str">
        <f>IF(Registro2[[#This Row],[Data de Pagamento]]&gt;0,TEXT(A2104,"mmm/aa"),"")</f>
        <v>mai/25</v>
      </c>
      <c r="T2104" s="4">
        <f>IF(Registro2[[#This Row],[Data de Pagamento]]="",0,IF(Registro2[[#This Row],[Conta Financeira]]=base!$A$6,0,Registro2[[#This Row],[Valor Unitário]]))</f>
        <v>35</v>
      </c>
      <c r="U21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04" t="str">
        <f>VLOOKUP(Registro2[[#This Row],[Categoria]],'Plano de Contas'!$V$3:W2158,2,0)</f>
        <v>Receitas Serviços</v>
      </c>
      <c r="X21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05" spans="1:24" hidden="1">
      <c r="A2105" s="1">
        <v>45787.559027777781</v>
      </c>
      <c r="B2105" s="1">
        <v>45787.559027777781</v>
      </c>
      <c r="D2105" t="s">
        <v>1</v>
      </c>
      <c r="E2105" t="s">
        <v>149</v>
      </c>
      <c r="F2105" t="s">
        <v>147</v>
      </c>
      <c r="G2105" t="s">
        <v>163</v>
      </c>
      <c r="I2105" s="4">
        <v>35</v>
      </c>
      <c r="J2105" s="4">
        <v>35</v>
      </c>
      <c r="L2105" t="s">
        <v>264</v>
      </c>
      <c r="M2105" t="s">
        <v>213</v>
      </c>
      <c r="N2105" s="4">
        <f>IF(L2105="","",IF(OR(Registro2[[#This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05" t="str">
        <f t="shared" si="35"/>
        <v>mai/25</v>
      </c>
      <c r="P2105" t="str">
        <f>IF(Registro2[[#This Row],[Data de Pagamento]]&gt;0,TEXT(A2105,"mmm/aa"),"")</f>
        <v>mai/25</v>
      </c>
      <c r="T2105" s="4">
        <f>IF(Registro2[[#This Row],[Data de Pagamento]]="",0,IF(Registro2[[#This Row],[Conta Financeira]]=base!$A$6,0,Registro2[[#This Row],[Valor Unitário]]))</f>
        <v>35</v>
      </c>
      <c r="U21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05" t="str">
        <f>VLOOKUP(Registro2[[#This Row],[Categoria]],'Plano de Contas'!$V$3:W2159,2,0)</f>
        <v>Receitas Serviços</v>
      </c>
      <c r="X21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06" spans="1:24" hidden="1">
      <c r="A2106" s="1">
        <v>45787.565972222219</v>
      </c>
      <c r="B2106" s="1">
        <v>45787.565972222219</v>
      </c>
      <c r="D2106" t="s">
        <v>1</v>
      </c>
      <c r="E2106" t="s">
        <v>149</v>
      </c>
      <c r="F2106" t="s">
        <v>147</v>
      </c>
      <c r="G2106" t="s">
        <v>2825</v>
      </c>
      <c r="I2106" s="4">
        <v>20</v>
      </c>
      <c r="J2106" s="4">
        <v>70</v>
      </c>
      <c r="L2106" t="s">
        <v>253</v>
      </c>
      <c r="M2106" t="s">
        <v>2921</v>
      </c>
      <c r="N2106" s="4">
        <f>IF(L2106="","",IF(OR(Registro2[[#This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106" t="str">
        <f t="shared" si="35"/>
        <v>mai/25</v>
      </c>
      <c r="P2106" t="str">
        <f>IF(Registro2[[#This Row],[Data de Pagamento]]&gt;0,TEXT(A2106,"mmm/aa"),"")</f>
        <v>mai/25</v>
      </c>
      <c r="T2106" s="4">
        <f>IF(Registro2[[#This Row],[Data de Pagamento]]="",0,IF(Registro2[[#This Row],[Conta Financeira]]=base!$A$6,0,Registro2[[#This Row],[Valor Unitário]]))</f>
        <v>20</v>
      </c>
      <c r="U21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06" t="e">
        <f>VLOOKUP(Registro2[[#This Row],[Categoria]],'Plano de Contas'!$V$3:W2160,2,0)</f>
        <v>#N/A</v>
      </c>
      <c r="X210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07" spans="1:24" hidden="1">
      <c r="A2107" s="1">
        <v>45787.565972222219</v>
      </c>
      <c r="B2107" s="1">
        <v>45787.565972222219</v>
      </c>
      <c r="D2107" t="s">
        <v>1</v>
      </c>
      <c r="E2107" t="s">
        <v>149</v>
      </c>
      <c r="F2107" t="s">
        <v>147</v>
      </c>
      <c r="G2107" t="s">
        <v>163</v>
      </c>
      <c r="I2107" s="4">
        <v>35</v>
      </c>
      <c r="J2107" s="4">
        <v>0</v>
      </c>
      <c r="L2107" t="s">
        <v>253</v>
      </c>
      <c r="M2107" t="s">
        <v>2921</v>
      </c>
      <c r="N2107" s="4">
        <f>IF(L2107="","",IF(OR(Registro2[[#This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07" t="str">
        <f t="shared" si="35"/>
        <v>mai/25</v>
      </c>
      <c r="P2107" t="str">
        <f>IF(Registro2[[#This Row],[Data de Pagamento]]&gt;0,TEXT(A2107,"mmm/aa"),"")</f>
        <v>mai/25</v>
      </c>
      <c r="T2107" s="4">
        <f>IF(Registro2[[#This Row],[Data de Pagamento]]="",0,IF(Registro2[[#This Row],[Conta Financeira]]=base!$A$6,0,Registro2[[#This Row],[Valor Unitário]]))</f>
        <v>35</v>
      </c>
      <c r="U21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07" t="str">
        <f>VLOOKUP(Registro2[[#This Row],[Categoria]],'Plano de Contas'!$V$3:W2161,2,0)</f>
        <v>Receitas Serviços</v>
      </c>
      <c r="X210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08" spans="1:24" hidden="1">
      <c r="A2108" s="1">
        <v>45787.565972222219</v>
      </c>
      <c r="B2108" s="1">
        <v>45787.565972222219</v>
      </c>
      <c r="D2108" t="s">
        <v>1</v>
      </c>
      <c r="E2108" t="s">
        <v>149</v>
      </c>
      <c r="F2108" t="s">
        <v>147</v>
      </c>
      <c r="G2108" t="s">
        <v>1046</v>
      </c>
      <c r="I2108" s="4">
        <v>15</v>
      </c>
      <c r="J2108" s="4">
        <v>0</v>
      </c>
      <c r="L2108" t="s">
        <v>253</v>
      </c>
      <c r="M2108" t="s">
        <v>2921</v>
      </c>
      <c r="N2108" s="4">
        <f>IF(L2108="","",IF(OR(Registro2[[#This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108" t="str">
        <f t="shared" si="35"/>
        <v>mai/25</v>
      </c>
      <c r="P2108" t="str">
        <f>IF(Registro2[[#This Row],[Data de Pagamento]]&gt;0,TEXT(A2108,"mmm/aa"),"")</f>
        <v>mai/25</v>
      </c>
      <c r="T2108" s="4">
        <f>IF(Registro2[[#This Row],[Data de Pagamento]]="",0,IF(Registro2[[#This Row],[Conta Financeira]]=base!$A$6,0,Registro2[[#This Row],[Valor Unitário]]))</f>
        <v>15</v>
      </c>
      <c r="U21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08" t="str">
        <f>VLOOKUP(Registro2[[#This Row],[Categoria]],'Plano de Contas'!$V$3:W2162,2,0)</f>
        <v>Receitas Serviços</v>
      </c>
      <c r="X210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09" spans="1:24" hidden="1">
      <c r="A2109" s="1">
        <v>45787.576388888891</v>
      </c>
      <c r="B2109" s="1">
        <v>45787.576388888891</v>
      </c>
      <c r="D2109" t="s">
        <v>2</v>
      </c>
      <c r="E2109" t="s">
        <v>149</v>
      </c>
      <c r="F2109" t="s">
        <v>147</v>
      </c>
      <c r="G2109" t="s">
        <v>163</v>
      </c>
      <c r="I2109" s="4">
        <v>35</v>
      </c>
      <c r="J2109" s="4">
        <v>35</v>
      </c>
      <c r="L2109" t="s">
        <v>264</v>
      </c>
      <c r="M2109" t="s">
        <v>75</v>
      </c>
      <c r="N2109" s="4">
        <f>IF(L2109="","",IF(OR(Registro2[[#This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09" t="str">
        <f t="shared" si="35"/>
        <v>mai/25</v>
      </c>
      <c r="P2109" t="str">
        <f>IF(Registro2[[#This Row],[Data de Pagamento]]&gt;0,TEXT(A2109,"mmm/aa"),"")</f>
        <v>mai/25</v>
      </c>
      <c r="T2109" s="4">
        <f>IF(Registro2[[#This Row],[Data de Pagamento]]="",0,IF(Registro2[[#This Row],[Conta Financeira]]=base!$A$6,0,Registro2[[#This Row],[Valor Unitário]]))</f>
        <v>35</v>
      </c>
      <c r="U21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09" t="str">
        <f>VLOOKUP(Registro2[[#This Row],[Categoria]],'Plano de Contas'!$V$3:W2163,2,0)</f>
        <v>Receitas Serviços</v>
      </c>
      <c r="X210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10" spans="1:24" hidden="1">
      <c r="A2110" s="1">
        <v>45787.708333333336</v>
      </c>
      <c r="B2110" s="1">
        <v>45787.708333333336</v>
      </c>
      <c r="D2110" t="s">
        <v>1</v>
      </c>
      <c r="E2110" t="s">
        <v>149</v>
      </c>
      <c r="F2110" t="s">
        <v>152</v>
      </c>
      <c r="G2110" t="s">
        <v>353</v>
      </c>
      <c r="I2110" s="4">
        <v>50</v>
      </c>
      <c r="J2110" s="4">
        <v>50</v>
      </c>
      <c r="L2110" t="s">
        <v>264</v>
      </c>
      <c r="M2110" t="s">
        <v>1499</v>
      </c>
      <c r="N2110" s="4">
        <f>IF(L2110="","",IF(OR(Registro2[[#This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2110" t="str">
        <f t="shared" si="35"/>
        <v>mai/25</v>
      </c>
      <c r="P2110" t="str">
        <f>IF(Registro2[[#This Row],[Data de Pagamento]]&gt;0,TEXT(A2110,"mmm/aa"),"")</f>
        <v>mai/25</v>
      </c>
      <c r="T2110" s="4">
        <f>IF(Registro2[[#This Row],[Data de Pagamento]]="",0,IF(Registro2[[#This Row],[Conta Financeira]]=base!$A$6,0,Registro2[[#This Row],[Valor Unitário]]))</f>
        <v>50</v>
      </c>
      <c r="U21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10" t="str">
        <f>VLOOKUP(Registro2[[#This Row],[Categoria]],'Plano de Contas'!$V$3:W2164,2,0)</f>
        <v>Receitas Serviços</v>
      </c>
      <c r="X211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11" spans="1:24" hidden="1">
      <c r="A2111" s="1">
        <v>45787.59375</v>
      </c>
      <c r="B2111" s="1">
        <v>45787.59375</v>
      </c>
      <c r="D2111" t="s">
        <v>2</v>
      </c>
      <c r="E2111" t="s">
        <v>149</v>
      </c>
      <c r="F2111" t="s">
        <v>147</v>
      </c>
      <c r="G2111" t="s">
        <v>163</v>
      </c>
      <c r="I2111" s="4">
        <v>35</v>
      </c>
      <c r="J2111" s="4">
        <v>40</v>
      </c>
      <c r="L2111" t="s">
        <v>252</v>
      </c>
      <c r="M2111" t="s">
        <v>2925</v>
      </c>
      <c r="N2111" s="4">
        <f>IF(L2111="","",IF(OR(Registro2[[#This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11" t="str">
        <f t="shared" si="35"/>
        <v>mai/25</v>
      </c>
      <c r="P2111" t="str">
        <f>IF(Registro2[[#This Row],[Data de Pagamento]]&gt;0,TEXT(A2111,"mmm/aa"),"")</f>
        <v>mai/25</v>
      </c>
      <c r="T2111" s="4">
        <f>IF(Registro2[[#This Row],[Data de Pagamento]]="",0,IF(Registro2[[#This Row],[Conta Financeira]]=base!$A$6,0,Registro2[[#This Row],[Valor Unitário]]))</f>
        <v>35</v>
      </c>
      <c r="U21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11" t="str">
        <f>VLOOKUP(Registro2[[#This Row],[Categoria]],'Plano de Contas'!$V$3:W2165,2,0)</f>
        <v>Receitas Serviços</v>
      </c>
      <c r="X21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12" spans="1:24">
      <c r="A2112" s="1">
        <v>45787.59375</v>
      </c>
      <c r="B2112" s="1">
        <v>45787.59375</v>
      </c>
      <c r="D2112" t="s">
        <v>2</v>
      </c>
      <c r="E2112" t="s">
        <v>149</v>
      </c>
      <c r="F2112" t="s">
        <v>910</v>
      </c>
      <c r="G2112" t="s">
        <v>910</v>
      </c>
      <c r="I2112" s="4">
        <v>5</v>
      </c>
      <c r="J2112" s="4">
        <v>0</v>
      </c>
      <c r="L2112" t="s">
        <v>252</v>
      </c>
      <c r="M2112" t="s">
        <v>2925</v>
      </c>
      <c r="N2112" s="4" t="str">
        <f>IF(L2112="","",IF(OR(Registro2[[#This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12" t="str">
        <f t="shared" si="35"/>
        <v>mai/25</v>
      </c>
      <c r="P2112" t="str">
        <f>IF(Registro2[[#This Row],[Data de Pagamento]]&gt;0,TEXT(A2112,"mmm/aa"),"")</f>
        <v>mai/25</v>
      </c>
      <c r="T2112" s="4">
        <f>IF(Registro2[[#This Row],[Data de Pagamento]]="",0,IF(Registro2[[#This Row],[Conta Financeira]]=base!$A$6,0,Registro2[[#This Row],[Valor Unitário]]))</f>
        <v>5</v>
      </c>
      <c r="U21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12" t="str">
        <f>VLOOKUP(Registro2[[#This Row],[Categoria]],'Plano de Contas'!$V$3:W2166,2,0)</f>
        <v>Outras Receitas</v>
      </c>
      <c r="X211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13" spans="1:24" hidden="1">
      <c r="A2113" s="1">
        <v>45787.697916666664</v>
      </c>
      <c r="B2113" s="1">
        <v>45787.697916666664</v>
      </c>
      <c r="D2113" t="s">
        <v>310</v>
      </c>
      <c r="E2113" t="s">
        <v>149</v>
      </c>
      <c r="F2113" t="s">
        <v>147</v>
      </c>
      <c r="G2113" t="s">
        <v>163</v>
      </c>
      <c r="I2113" s="4">
        <v>35</v>
      </c>
      <c r="J2113" s="4">
        <v>50</v>
      </c>
      <c r="L2113" t="s">
        <v>253</v>
      </c>
      <c r="M2113" t="s">
        <v>1523</v>
      </c>
      <c r="N2113" s="4">
        <f>IF(L2113="","",IF(OR(Registro2[[#This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13" t="str">
        <f t="shared" si="35"/>
        <v>mai/25</v>
      </c>
      <c r="P2113" t="str">
        <f>IF(Registro2[[#This Row],[Data de Pagamento]]&gt;0,TEXT(A2113,"mmm/aa"),"")</f>
        <v>mai/25</v>
      </c>
      <c r="T2113" s="4">
        <f>IF(Registro2[[#This Row],[Data de Pagamento]]="",0,IF(Registro2[[#This Row],[Conta Financeira]]=base!$A$6,0,Registro2[[#This Row],[Valor Unitário]]))</f>
        <v>35</v>
      </c>
      <c r="U21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13" t="str">
        <f>VLOOKUP(Registro2[[#This Row],[Categoria]],'Plano de Contas'!$V$3:W2167,2,0)</f>
        <v>Receitas Serviços</v>
      </c>
      <c r="X211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114" spans="1:24" hidden="1">
      <c r="A2114" s="1">
        <v>45787.697916666664</v>
      </c>
      <c r="B2114" s="1">
        <v>45787.697916666664</v>
      </c>
      <c r="D2114" t="s">
        <v>310</v>
      </c>
      <c r="E2114" t="s">
        <v>149</v>
      </c>
      <c r="F2114" t="s">
        <v>147</v>
      </c>
      <c r="G2114" t="s">
        <v>1046</v>
      </c>
      <c r="I2114" s="4">
        <v>15</v>
      </c>
      <c r="J2114" s="4">
        <v>0</v>
      </c>
      <c r="L2114" t="s">
        <v>253</v>
      </c>
      <c r="M2114" t="s">
        <v>1523</v>
      </c>
      <c r="N2114" s="4">
        <f>IF(L2114="","",IF(OR(Registro2[[#This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114" t="str">
        <f t="shared" ref="O2114:O2151" si="36">TEXT(B2114,"mmm/aa")</f>
        <v>mai/25</v>
      </c>
      <c r="P2114" t="str">
        <f>IF(Registro2[[#This Row],[Data de Pagamento]]&gt;0,TEXT(A2114,"mmm/aa"),"")</f>
        <v>mai/25</v>
      </c>
      <c r="T2114" s="4">
        <f>IF(Registro2[[#This Row],[Data de Pagamento]]="",0,IF(Registro2[[#This Row],[Conta Financeira]]=base!$A$6,0,Registro2[[#This Row],[Valor Unitário]]))</f>
        <v>15</v>
      </c>
      <c r="U21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14" t="str">
        <f>VLOOKUP(Registro2[[#This Row],[Categoria]],'Plano de Contas'!$V$3:W2168,2,0)</f>
        <v>Receitas Serviços</v>
      </c>
      <c r="X211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</row>
    <row r="2115" spans="1:24" hidden="1">
      <c r="A2115" s="1">
        <v>45787.71875</v>
      </c>
      <c r="B2115" s="1">
        <v>45787.71875</v>
      </c>
      <c r="D2115" t="s">
        <v>1</v>
      </c>
      <c r="E2115" t="s">
        <v>149</v>
      </c>
      <c r="F2115" t="s">
        <v>147</v>
      </c>
      <c r="G2115" t="s">
        <v>163</v>
      </c>
      <c r="I2115" s="4">
        <v>35</v>
      </c>
      <c r="J2115" s="4">
        <v>35</v>
      </c>
      <c r="L2115" t="s">
        <v>253</v>
      </c>
      <c r="M2115" t="s">
        <v>107</v>
      </c>
      <c r="N2115" s="4">
        <f>IF(L2115="","",IF(OR(Registro2[[#This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15" t="str">
        <f t="shared" si="36"/>
        <v>mai/25</v>
      </c>
      <c r="P2115" t="str">
        <f>IF(Registro2[[#This Row],[Data de Pagamento]]&gt;0,TEXT(A2115,"mmm/aa"),"")</f>
        <v>mai/25</v>
      </c>
      <c r="T2115" s="4">
        <f>IF(Registro2[[#This Row],[Data de Pagamento]]="",0,IF(Registro2[[#This Row],[Conta Financeira]]=base!$A$6,0,Registro2[[#This Row],[Valor Unitário]]))</f>
        <v>35</v>
      </c>
      <c r="U21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15" t="str">
        <f>VLOOKUP(Registro2[[#This Row],[Categoria]],'Plano de Contas'!$V$3:W2169,2,0)</f>
        <v>Receitas Serviços</v>
      </c>
      <c r="X211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16" spans="1:24" hidden="1">
      <c r="A2116" s="1">
        <v>45787.666666666664</v>
      </c>
      <c r="B2116" s="1">
        <v>45787.666666666664</v>
      </c>
      <c r="D2116" t="s">
        <v>354</v>
      </c>
      <c r="E2116" t="s">
        <v>149</v>
      </c>
      <c r="F2116" t="s">
        <v>147</v>
      </c>
      <c r="G2116" t="s">
        <v>163</v>
      </c>
      <c r="I2116" s="4">
        <v>35</v>
      </c>
      <c r="J2116" s="4">
        <v>35</v>
      </c>
      <c r="L2116" t="s">
        <v>252</v>
      </c>
      <c r="M2116" t="s">
        <v>296</v>
      </c>
      <c r="N2116" s="4">
        <f>IF(L2116="","",IF(OR(Registro2[[#This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16" t="str">
        <f t="shared" si="36"/>
        <v>mai/25</v>
      </c>
      <c r="P2116" t="str">
        <f>IF(Registro2[[#This Row],[Data de Pagamento]]&gt;0,TEXT(A2116,"mmm/aa"),"")</f>
        <v>mai/25</v>
      </c>
      <c r="T2116" s="4">
        <f>IF(Registro2[[#This Row],[Data de Pagamento]]="",0,IF(Registro2[[#This Row],[Conta Financeira]]=base!$A$6,0,Registro2[[#This Row],[Valor Unitário]]))</f>
        <v>35</v>
      </c>
      <c r="U21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16" t="str">
        <f>VLOOKUP(Registro2[[#This Row],[Categoria]],'Plano de Contas'!$V$3:W2170,2,0)</f>
        <v>Receitas Serviços</v>
      </c>
      <c r="X211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117" spans="1:24" hidden="1">
      <c r="A2117" s="1">
        <v>45787.618055555555</v>
      </c>
      <c r="B2117" s="1">
        <v>45787.618055555555</v>
      </c>
      <c r="D2117" t="s">
        <v>1</v>
      </c>
      <c r="E2117" t="s">
        <v>149</v>
      </c>
      <c r="F2117" t="s">
        <v>147</v>
      </c>
      <c r="G2117" t="s">
        <v>1046</v>
      </c>
      <c r="I2117" s="4">
        <v>45</v>
      </c>
      <c r="J2117" s="4">
        <v>45</v>
      </c>
      <c r="L2117" t="s">
        <v>264</v>
      </c>
      <c r="M2117" t="s">
        <v>502</v>
      </c>
      <c r="N2117" s="4">
        <f>IF(L2117="","",IF(OR(Registro2[[#This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20.25</v>
      </c>
      <c r="O2117" t="str">
        <f t="shared" si="36"/>
        <v>mai/25</v>
      </c>
      <c r="P2117" t="str">
        <f>IF(Registro2[[#This Row],[Data de Pagamento]]&gt;0,TEXT(A2117,"mmm/aa"),"")</f>
        <v>mai/25</v>
      </c>
      <c r="T2117" s="4">
        <f>IF(Registro2[[#This Row],[Data de Pagamento]]="",0,IF(Registro2[[#This Row],[Conta Financeira]]=base!$A$6,0,Registro2[[#This Row],[Valor Unitário]]))</f>
        <v>45</v>
      </c>
      <c r="U21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17" t="str">
        <f>VLOOKUP(Registro2[[#This Row],[Categoria]],'Plano de Contas'!$V$3:W2171,2,0)</f>
        <v>Receitas Serviços</v>
      </c>
      <c r="X211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18" spans="1:24" hidden="1">
      <c r="A2118" s="1">
        <v>45787.697916666664</v>
      </c>
      <c r="B2118" s="1">
        <v>45787.697916666664</v>
      </c>
      <c r="D2118" t="s">
        <v>354</v>
      </c>
      <c r="E2118" t="s">
        <v>149</v>
      </c>
      <c r="F2118" t="s">
        <v>147</v>
      </c>
      <c r="G2118" t="s">
        <v>1046</v>
      </c>
      <c r="I2118" s="4">
        <v>35</v>
      </c>
      <c r="J2118" s="4">
        <v>95</v>
      </c>
      <c r="L2118" t="s">
        <v>252</v>
      </c>
      <c r="M2118" t="s">
        <v>192</v>
      </c>
      <c r="N2118" s="4">
        <f>IF(L2118="","",IF(OR(Registro2[[#This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18" t="str">
        <f t="shared" si="36"/>
        <v>mai/25</v>
      </c>
      <c r="P2118" t="str">
        <f>IF(Registro2[[#This Row],[Data de Pagamento]]&gt;0,TEXT(A2118,"mmm/aa"),"")</f>
        <v>mai/25</v>
      </c>
      <c r="T2118" s="4">
        <f>IF(Registro2[[#This Row],[Data de Pagamento]]="",0,IF(Registro2[[#This Row],[Conta Financeira]]=base!$A$6,0,Registro2[[#This Row],[Valor Unitário]]))</f>
        <v>35</v>
      </c>
      <c r="U21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18" t="str">
        <f>VLOOKUP(Registro2[[#This Row],[Categoria]],'Plano de Contas'!$V$3:W2172,2,0)</f>
        <v>Receitas Serviços</v>
      </c>
      <c r="X211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119" spans="1:24" hidden="1">
      <c r="A2119" s="1">
        <v>45787.697916666664</v>
      </c>
      <c r="B2119" s="1">
        <v>45787.697916666664</v>
      </c>
      <c r="D2119" t="s">
        <v>354</v>
      </c>
      <c r="E2119" t="s">
        <v>149</v>
      </c>
      <c r="F2119" t="s">
        <v>147</v>
      </c>
      <c r="G2119" t="s">
        <v>163</v>
      </c>
      <c r="I2119" s="4">
        <v>35</v>
      </c>
      <c r="J2119" s="4">
        <v>0</v>
      </c>
      <c r="L2119" t="s">
        <v>253</v>
      </c>
      <c r="M2119" t="s">
        <v>192</v>
      </c>
      <c r="N2119" s="4">
        <f>IF(L2119="","",IF(OR(Registro2[[#This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19" t="str">
        <f t="shared" si="36"/>
        <v>mai/25</v>
      </c>
      <c r="P2119" t="str">
        <f>IF(Registro2[[#This Row],[Data de Pagamento]]&gt;0,TEXT(A2119,"mmm/aa"),"")</f>
        <v>mai/25</v>
      </c>
      <c r="T2119" s="4">
        <f>IF(Registro2[[#This Row],[Data de Pagamento]]="",0,IF(Registro2[[#This Row],[Conta Financeira]]=base!$A$6,0,Registro2[[#This Row],[Valor Unitário]]))</f>
        <v>35</v>
      </c>
      <c r="U21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19" t="str">
        <f>VLOOKUP(Registro2[[#This Row],[Categoria]],'Plano de Contas'!$V$3:W2173,2,0)</f>
        <v>Receitas Serviços</v>
      </c>
      <c r="X211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120" spans="1:24" hidden="1">
      <c r="A2120" s="1">
        <v>45787.697916666664</v>
      </c>
      <c r="B2120" s="1">
        <v>45787.697916666664</v>
      </c>
      <c r="D2120" t="s">
        <v>354</v>
      </c>
      <c r="E2120" t="s">
        <v>149</v>
      </c>
      <c r="F2120" t="s">
        <v>150</v>
      </c>
      <c r="G2120" t="s">
        <v>2931</v>
      </c>
      <c r="I2120" s="4">
        <v>25</v>
      </c>
      <c r="J2120" s="4">
        <v>0</v>
      </c>
      <c r="L2120" t="s">
        <v>253</v>
      </c>
      <c r="M2120" t="s">
        <v>192</v>
      </c>
      <c r="N2120" s="4">
        <f>IF(L2120="","",IF(OR(Registro2[[#This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2120" t="str">
        <f t="shared" si="36"/>
        <v>mai/25</v>
      </c>
      <c r="P2120" t="str">
        <f>IF(Registro2[[#This Row],[Data de Pagamento]]&gt;0,TEXT(A2120,"mmm/aa"),"")</f>
        <v>mai/25</v>
      </c>
      <c r="T2120" s="4">
        <f>IF(Registro2[[#This Row],[Data de Pagamento]]="",0,IF(Registro2[[#This Row],[Conta Financeira]]=base!$A$6,0,Registro2[[#This Row],[Valor Unitário]]))</f>
        <v>25</v>
      </c>
      <c r="U21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20" t="e">
        <f>VLOOKUP(Registro2[[#This Row],[Categoria]],'Plano de Contas'!$V$3:W2174,2,0)</f>
        <v>#N/A</v>
      </c>
      <c r="X212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0.78749999999999998</v>
      </c>
    </row>
    <row r="2121" spans="1:24" hidden="1">
      <c r="A2121" s="1">
        <v>45787.739583333336</v>
      </c>
      <c r="B2121" s="1">
        <v>45787.739583333336</v>
      </c>
      <c r="D2121" t="s">
        <v>1</v>
      </c>
      <c r="E2121" t="s">
        <v>149</v>
      </c>
      <c r="F2121" t="s">
        <v>152</v>
      </c>
      <c r="G2121" t="s">
        <v>353</v>
      </c>
      <c r="I2121" s="4">
        <v>60</v>
      </c>
      <c r="J2121" s="4">
        <v>110</v>
      </c>
      <c r="L2121" t="s">
        <v>264</v>
      </c>
      <c r="M2121" t="s">
        <v>1161</v>
      </c>
      <c r="N2121" s="4">
        <f>IF(L2121="","",IF(OR(Registro2[[#This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121" t="str">
        <f t="shared" si="36"/>
        <v>mai/25</v>
      </c>
      <c r="P2121" t="str">
        <f>IF(Registro2[[#This Row],[Data de Pagamento]]&gt;0,TEXT(A2121,"mmm/aa"),"")</f>
        <v>mai/25</v>
      </c>
      <c r="T2121" s="4">
        <f>IF(Registro2[[#This Row],[Data de Pagamento]]="",0,IF(Registro2[[#This Row],[Conta Financeira]]=base!$A$6,0,Registro2[[#This Row],[Valor Unitário]]))</f>
        <v>60</v>
      </c>
      <c r="U21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21" t="str">
        <f>VLOOKUP(Registro2[[#This Row],[Categoria]],'Plano de Contas'!$V$3:W2175,2,0)</f>
        <v>Receitas Serviços</v>
      </c>
      <c r="X212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22" spans="1:24" hidden="1">
      <c r="A2122" s="1">
        <v>45787.739583333336</v>
      </c>
      <c r="B2122" s="1">
        <v>45787.739583333336</v>
      </c>
      <c r="D2122" t="s">
        <v>1</v>
      </c>
      <c r="E2122" t="s">
        <v>149</v>
      </c>
      <c r="F2122" t="s">
        <v>147</v>
      </c>
      <c r="G2122" t="s">
        <v>163</v>
      </c>
      <c r="I2122" s="4">
        <v>35</v>
      </c>
      <c r="J2122" s="4">
        <v>0</v>
      </c>
      <c r="L2122" t="s">
        <v>264</v>
      </c>
      <c r="M2122" t="s">
        <v>1161</v>
      </c>
      <c r="N2122" s="4">
        <f>IF(L2122="","",IF(OR(Registro2[[#This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22" t="str">
        <f t="shared" si="36"/>
        <v>mai/25</v>
      </c>
      <c r="P2122" t="str">
        <f>IF(Registro2[[#This Row],[Data de Pagamento]]&gt;0,TEXT(A2122,"mmm/aa"),"")</f>
        <v>mai/25</v>
      </c>
      <c r="T2122" s="4">
        <f>IF(Registro2[[#This Row],[Data de Pagamento]]="",0,IF(Registro2[[#This Row],[Conta Financeira]]=base!$A$6,0,Registro2[[#This Row],[Valor Unitário]]))</f>
        <v>35</v>
      </c>
      <c r="U21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22" t="str">
        <f>VLOOKUP(Registro2[[#This Row],[Categoria]],'Plano de Contas'!$V$3:W2176,2,0)</f>
        <v>Receitas Serviços</v>
      </c>
      <c r="X212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23" spans="1:24" hidden="1">
      <c r="A2123" s="1">
        <v>45787.739583333336</v>
      </c>
      <c r="B2123" s="1">
        <v>45787.739583333336</v>
      </c>
      <c r="D2123" t="s">
        <v>1</v>
      </c>
      <c r="E2123" t="s">
        <v>149</v>
      </c>
      <c r="F2123" t="s">
        <v>147</v>
      </c>
      <c r="G2123" t="s">
        <v>1046</v>
      </c>
      <c r="I2123" s="4">
        <v>15</v>
      </c>
      <c r="J2123" s="4">
        <v>0</v>
      </c>
      <c r="L2123" t="s">
        <v>264</v>
      </c>
      <c r="M2123" t="s">
        <v>1161</v>
      </c>
      <c r="N2123" s="4">
        <f>IF(L2123="","",IF(OR(Registro2[[#This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123" t="str">
        <f t="shared" si="36"/>
        <v>mai/25</v>
      </c>
      <c r="P2123" t="str">
        <f>IF(Registro2[[#This Row],[Data de Pagamento]]&gt;0,TEXT(A2123,"mmm/aa"),"")</f>
        <v>mai/25</v>
      </c>
      <c r="T2123" s="4">
        <f>IF(Registro2[[#This Row],[Data de Pagamento]]="",0,IF(Registro2[[#This Row],[Conta Financeira]]=base!$A$6,0,Registro2[[#This Row],[Valor Unitário]]))</f>
        <v>15</v>
      </c>
      <c r="U21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23" t="str">
        <f>VLOOKUP(Registro2[[#This Row],[Categoria]],'Plano de Contas'!$V$3:W2177,2,0)</f>
        <v>Receitas Serviços</v>
      </c>
      <c r="X212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24" spans="1:24" hidden="1">
      <c r="A2124" s="1">
        <v>45787.78125</v>
      </c>
      <c r="B2124" s="1">
        <v>45787.78125</v>
      </c>
      <c r="D2124" t="s">
        <v>354</v>
      </c>
      <c r="E2124" t="s">
        <v>149</v>
      </c>
      <c r="F2124" t="s">
        <v>147</v>
      </c>
      <c r="G2124" t="s">
        <v>1046</v>
      </c>
      <c r="I2124" s="4">
        <v>45</v>
      </c>
      <c r="J2124" s="4">
        <v>95</v>
      </c>
      <c r="L2124" t="s">
        <v>252</v>
      </c>
      <c r="M2124" t="s">
        <v>192</v>
      </c>
      <c r="N2124" s="4">
        <f>IF(L2124="","",IF(OR(Registro2[[#This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20.25</v>
      </c>
      <c r="O2124" t="str">
        <f t="shared" si="36"/>
        <v>mai/25</v>
      </c>
      <c r="P2124" t="str">
        <f>IF(Registro2[[#This Row],[Data de Pagamento]]&gt;0,TEXT(A2124,"mmm/aa"),"")</f>
        <v>mai/25</v>
      </c>
      <c r="T2124" s="4">
        <f>IF(Registro2[[#This Row],[Data de Pagamento]]="",0,IF(Registro2[[#This Row],[Conta Financeira]]=base!$A$6,0,Registro2[[#This Row],[Valor Unitário]]))</f>
        <v>45</v>
      </c>
      <c r="U21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24" t="str">
        <f>VLOOKUP(Registro2[[#This Row],[Categoria]],'Plano de Contas'!$V$3:W2178,2,0)</f>
        <v>Receitas Serviços</v>
      </c>
      <c r="X212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1.4175</v>
      </c>
    </row>
    <row r="2125" spans="1:24" hidden="1">
      <c r="A2125" s="1">
        <v>45787.78125</v>
      </c>
      <c r="B2125" s="1">
        <v>45787.78125</v>
      </c>
      <c r="D2125" t="s">
        <v>354</v>
      </c>
      <c r="E2125" t="s">
        <v>149</v>
      </c>
      <c r="F2125" t="s">
        <v>147</v>
      </c>
      <c r="G2125" t="s">
        <v>163</v>
      </c>
      <c r="I2125" s="4">
        <v>35</v>
      </c>
      <c r="J2125" s="4">
        <v>0</v>
      </c>
      <c r="L2125" t="s">
        <v>252</v>
      </c>
      <c r="M2125" t="s">
        <v>192</v>
      </c>
      <c r="N2125" s="4">
        <f>IF(L2125="","",IF(OR(Registro2[[#This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25" t="str">
        <f t="shared" si="36"/>
        <v>mai/25</v>
      </c>
      <c r="P2125" t="str">
        <f>IF(Registro2[[#This Row],[Data de Pagamento]]&gt;0,TEXT(A2125,"mmm/aa"),"")</f>
        <v>mai/25</v>
      </c>
      <c r="T2125" s="4">
        <f>IF(Registro2[[#This Row],[Data de Pagamento]]="",0,IF(Registro2[[#This Row],[Conta Financeira]]=base!$A$6,0,Registro2[[#This Row],[Valor Unitário]]))</f>
        <v>35</v>
      </c>
      <c r="U21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25" t="str">
        <f>VLOOKUP(Registro2[[#This Row],[Categoria]],'Plano de Contas'!$V$3:W2179,2,0)</f>
        <v>Receitas Serviços</v>
      </c>
      <c r="X212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126" spans="1:24" hidden="1">
      <c r="A2126" s="1">
        <v>45787.78125</v>
      </c>
      <c r="B2126" s="1">
        <v>45787.78125</v>
      </c>
      <c r="D2126" t="s">
        <v>354</v>
      </c>
      <c r="E2126" t="s">
        <v>149</v>
      </c>
      <c r="F2126" t="s">
        <v>147</v>
      </c>
      <c r="G2126" t="s">
        <v>1187</v>
      </c>
      <c r="I2126" s="4">
        <v>15</v>
      </c>
      <c r="J2126" s="4">
        <v>0</v>
      </c>
      <c r="L2126" t="s">
        <v>252</v>
      </c>
      <c r="M2126" t="s">
        <v>192</v>
      </c>
      <c r="N2126" s="4">
        <f>IF(L2126="","",IF(OR(Registro2[[#This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126" t="str">
        <f t="shared" si="36"/>
        <v>mai/25</v>
      </c>
      <c r="P2126" t="str">
        <f>IF(Registro2[[#This Row],[Data de Pagamento]]&gt;0,TEXT(A2126,"mmm/aa"),"")</f>
        <v>mai/25</v>
      </c>
      <c r="T2126" s="4">
        <f>IF(Registro2[[#This Row],[Data de Pagamento]]="",0,IF(Registro2[[#This Row],[Conta Financeira]]=base!$A$6,0,Registro2[[#This Row],[Valor Unitário]]))</f>
        <v>15</v>
      </c>
      <c r="U21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26" t="str">
        <f>VLOOKUP(Registro2[[#This Row],[Categoria]],'Plano de Contas'!$V$3:W2180,2,0)</f>
        <v>Receitas Serviços</v>
      </c>
      <c r="X212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0.47250000000000003</v>
      </c>
    </row>
    <row r="2127" spans="1:24" hidden="1">
      <c r="A2127" s="1">
        <v>45787.802083333336</v>
      </c>
      <c r="B2127" s="1">
        <v>45787.802083333336</v>
      </c>
      <c r="D2127" t="s">
        <v>2</v>
      </c>
      <c r="E2127" t="s">
        <v>149</v>
      </c>
      <c r="F2127" t="s">
        <v>147</v>
      </c>
      <c r="G2127" t="s">
        <v>163</v>
      </c>
      <c r="I2127" s="4">
        <v>35</v>
      </c>
      <c r="J2127" s="4">
        <v>35</v>
      </c>
      <c r="L2127" t="s">
        <v>253</v>
      </c>
      <c r="M2127" t="s">
        <v>1879</v>
      </c>
      <c r="N2127" s="4">
        <f>IF(L2127="","",IF(OR(Registro2[[#This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27" t="str">
        <f t="shared" si="36"/>
        <v>mai/25</v>
      </c>
      <c r="P2127" t="str">
        <f>IF(Registro2[[#This Row],[Data de Pagamento]]&gt;0,TEXT(A2127,"mmm/aa"),"")</f>
        <v>mai/25</v>
      </c>
      <c r="T2127" s="4">
        <f>IF(Registro2[[#This Row],[Data de Pagamento]]="",0,IF(Registro2[[#This Row],[Conta Financeira]]=base!$A$6,0,Registro2[[#This Row],[Valor Unitário]]))</f>
        <v>35</v>
      </c>
      <c r="U21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27" t="str">
        <f>VLOOKUP(Registro2[[#This Row],[Categoria]],'Plano de Contas'!$V$3:W2181,2,0)</f>
        <v>Receitas Serviços</v>
      </c>
      <c r="X21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28" spans="1:24" hidden="1">
      <c r="A2128" s="1">
        <v>45787.829861111109</v>
      </c>
      <c r="B2128" s="1">
        <v>45787.829861111109</v>
      </c>
      <c r="D2128" t="s">
        <v>1</v>
      </c>
      <c r="E2128" t="s">
        <v>149</v>
      </c>
      <c r="F2128" t="s">
        <v>147</v>
      </c>
      <c r="G2128" t="s">
        <v>163</v>
      </c>
      <c r="I2128" s="4">
        <v>35</v>
      </c>
      <c r="J2128" s="4">
        <v>50</v>
      </c>
      <c r="L2128" t="s">
        <v>253</v>
      </c>
      <c r="M2128" t="s">
        <v>52</v>
      </c>
      <c r="N2128" s="4">
        <f>IF(L2128="","",IF(OR(Registro2[[#This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28" t="str">
        <f t="shared" si="36"/>
        <v>mai/25</v>
      </c>
      <c r="P2128" t="str">
        <f>IF(Registro2[[#This Row],[Data de Pagamento]]&gt;0,TEXT(A2128,"mmm/aa"),"")</f>
        <v>mai/25</v>
      </c>
      <c r="T2128" s="4">
        <f>IF(Registro2[[#This Row],[Data de Pagamento]]="",0,IF(Registro2[[#This Row],[Conta Financeira]]=base!$A$6,0,Registro2[[#This Row],[Valor Unitário]]))</f>
        <v>35</v>
      </c>
      <c r="U21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28" t="str">
        <f>VLOOKUP(Registro2[[#This Row],[Categoria]],'Plano de Contas'!$V$3:W2182,2,0)</f>
        <v>Receitas Serviços</v>
      </c>
      <c r="X212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29" spans="1:24" hidden="1">
      <c r="A2129" s="1">
        <v>45787.829861111109</v>
      </c>
      <c r="B2129" s="1">
        <v>45787.829861111109</v>
      </c>
      <c r="D2129" t="s">
        <v>1</v>
      </c>
      <c r="E2129" t="s">
        <v>149</v>
      </c>
      <c r="F2129" t="s">
        <v>147</v>
      </c>
      <c r="G2129" t="s">
        <v>1046</v>
      </c>
      <c r="I2129" s="4">
        <v>15</v>
      </c>
      <c r="J2129" s="4">
        <v>0</v>
      </c>
      <c r="L2129" t="s">
        <v>253</v>
      </c>
      <c r="M2129" t="s">
        <v>52</v>
      </c>
      <c r="N2129" s="4">
        <f>IF(L2129="","",IF(OR(Registro2[[#This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129" t="str">
        <f t="shared" si="36"/>
        <v>mai/25</v>
      </c>
      <c r="P2129" t="str">
        <f>IF(Registro2[[#This Row],[Data de Pagamento]]&gt;0,TEXT(A2129,"mmm/aa"),"")</f>
        <v>mai/25</v>
      </c>
      <c r="T2129" s="4">
        <f>IF(Registro2[[#This Row],[Data de Pagamento]]="",0,IF(Registro2[[#This Row],[Conta Financeira]]=base!$A$6,0,Registro2[[#This Row],[Valor Unitário]]))</f>
        <v>15</v>
      </c>
      <c r="U21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29" t="str">
        <f>VLOOKUP(Registro2[[#This Row],[Categoria]],'Plano de Contas'!$V$3:W2183,2,0)</f>
        <v>Receitas Serviços</v>
      </c>
      <c r="X21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30" spans="1:24" hidden="1">
      <c r="A2130" s="1">
        <v>45787.840277777781</v>
      </c>
      <c r="B2130" s="1">
        <v>45787.840277777781</v>
      </c>
      <c r="D2130" t="s">
        <v>310</v>
      </c>
      <c r="E2130" t="s">
        <v>149</v>
      </c>
      <c r="F2130" t="s">
        <v>147</v>
      </c>
      <c r="G2130" t="s">
        <v>163</v>
      </c>
      <c r="I2130" s="4">
        <v>35</v>
      </c>
      <c r="J2130" s="4">
        <v>35</v>
      </c>
      <c r="L2130" t="s">
        <v>264</v>
      </c>
      <c r="M2130" t="s">
        <v>2937</v>
      </c>
      <c r="N2130" s="4">
        <f>IF(L2130="","",IF(OR(Registro2[[#This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30" t="str">
        <f t="shared" si="36"/>
        <v>mai/25</v>
      </c>
      <c r="P2130" t="str">
        <f>IF(Registro2[[#This Row],[Data de Pagamento]]&gt;0,TEXT(A2130,"mmm/aa"),"")</f>
        <v>mai/25</v>
      </c>
      <c r="T2130" s="4">
        <f>IF(Registro2[[#This Row],[Data de Pagamento]]="",0,IF(Registro2[[#This Row],[Conta Financeira]]=base!$A$6,0,Registro2[[#This Row],[Valor Unitário]]))</f>
        <v>35</v>
      </c>
      <c r="U21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30" t="str">
        <f>VLOOKUP(Registro2[[#This Row],[Categoria]],'Plano de Contas'!$V$3:W2184,2,0)</f>
        <v>Receitas Serviços</v>
      </c>
      <c r="X213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131" spans="1:24" hidden="1">
      <c r="A2131" s="1">
        <v>45787.84375</v>
      </c>
      <c r="B2131" s="1">
        <v>45787.84375</v>
      </c>
      <c r="D2131" t="s">
        <v>1</v>
      </c>
      <c r="E2131" t="s">
        <v>149</v>
      </c>
      <c r="F2131" t="s">
        <v>147</v>
      </c>
      <c r="G2131" t="s">
        <v>163</v>
      </c>
      <c r="I2131" s="4">
        <v>35</v>
      </c>
      <c r="J2131" s="4">
        <v>35</v>
      </c>
      <c r="L2131" t="s">
        <v>264</v>
      </c>
      <c r="M2131" t="s">
        <v>2305</v>
      </c>
      <c r="N2131" s="4">
        <f>IF(L2131="","",IF(OR(Registro2[[#This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31" t="str">
        <f t="shared" si="36"/>
        <v>mai/25</v>
      </c>
      <c r="P2131" t="str">
        <f>IF(Registro2[[#This Row],[Data de Pagamento]]&gt;0,TEXT(A2131,"mmm/aa"),"")</f>
        <v>mai/25</v>
      </c>
      <c r="T2131" s="4">
        <f>IF(Registro2[[#This Row],[Data de Pagamento]]="",0,IF(Registro2[[#This Row],[Conta Financeira]]=base!$A$6,0,Registro2[[#This Row],[Valor Unitário]]))</f>
        <v>35</v>
      </c>
      <c r="U21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31" t="str">
        <f>VLOOKUP(Registro2[[#This Row],[Categoria]],'Plano de Contas'!$V$3:W2185,2,0)</f>
        <v>Receitas Serviços</v>
      </c>
      <c r="X213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32" spans="1:24" hidden="1">
      <c r="A2132" s="1">
        <v>45787.84375</v>
      </c>
      <c r="B2132" s="1">
        <v>45787.84375</v>
      </c>
      <c r="D2132" t="s">
        <v>1</v>
      </c>
      <c r="E2132" t="s">
        <v>149</v>
      </c>
      <c r="F2132" t="s">
        <v>147</v>
      </c>
      <c r="G2132" t="s">
        <v>163</v>
      </c>
      <c r="I2132" s="4">
        <v>35</v>
      </c>
      <c r="J2132" s="4">
        <v>45</v>
      </c>
      <c r="L2132" t="s">
        <v>252</v>
      </c>
      <c r="M2132" t="s">
        <v>2305</v>
      </c>
      <c r="N2132" s="4">
        <f>IF(L2132="","",IF(OR(Registro2[[#This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32" t="str">
        <f t="shared" si="36"/>
        <v>mai/25</v>
      </c>
      <c r="P2132" t="str">
        <f>IF(Registro2[[#This Row],[Data de Pagamento]]&gt;0,TEXT(A2132,"mmm/aa"),"")</f>
        <v>mai/25</v>
      </c>
      <c r="T2132" s="4">
        <f>IF(Registro2[[#This Row],[Data de Pagamento]]="",0,IF(Registro2[[#This Row],[Conta Financeira]]=base!$A$6,0,Registro2[[#This Row],[Valor Unitário]]))</f>
        <v>35</v>
      </c>
      <c r="U21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32" t="str">
        <f>VLOOKUP(Registro2[[#This Row],[Categoria]],'Plano de Contas'!$V$3:W2186,2,0)</f>
        <v>Receitas Serviços</v>
      </c>
      <c r="X213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33" spans="1:24" hidden="1">
      <c r="A2133" s="1">
        <v>45787.84375</v>
      </c>
      <c r="B2133" s="1">
        <v>45787.84375</v>
      </c>
      <c r="D2133" t="s">
        <v>1</v>
      </c>
      <c r="E2133" t="s">
        <v>149</v>
      </c>
      <c r="F2133" t="s">
        <v>147</v>
      </c>
      <c r="G2133" t="s">
        <v>167</v>
      </c>
      <c r="I2133" s="4">
        <v>10</v>
      </c>
      <c r="J2133" s="4">
        <v>0</v>
      </c>
      <c r="L2133" t="s">
        <v>252</v>
      </c>
      <c r="M2133" t="s">
        <v>2305</v>
      </c>
      <c r="N2133" s="4">
        <f>IF(L2133="","",IF(OR(Registro2[[#This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133" t="str">
        <f t="shared" si="36"/>
        <v>mai/25</v>
      </c>
      <c r="P2133" t="str">
        <f>IF(Registro2[[#This Row],[Data de Pagamento]]&gt;0,TEXT(A2133,"mmm/aa"),"")</f>
        <v>mai/25</v>
      </c>
      <c r="T2133" s="4">
        <f>IF(Registro2[[#This Row],[Data de Pagamento]]="",0,IF(Registro2[[#This Row],[Conta Financeira]]=base!$A$6,0,Registro2[[#This Row],[Valor Unitário]]))</f>
        <v>10</v>
      </c>
      <c r="U21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33" t="str">
        <f>VLOOKUP(Registro2[[#This Row],[Categoria]],'Plano de Contas'!$V$3:W2187,2,0)</f>
        <v>Receitas Serviços</v>
      </c>
      <c r="X213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34" spans="1:24" hidden="1">
      <c r="A2134" s="1">
        <v>45787.868055555555</v>
      </c>
      <c r="B2134" s="1">
        <v>45787.868055555555</v>
      </c>
      <c r="D2134" t="s">
        <v>2</v>
      </c>
      <c r="E2134" t="s">
        <v>149</v>
      </c>
      <c r="F2134" t="s">
        <v>147</v>
      </c>
      <c r="G2134" t="s">
        <v>163</v>
      </c>
      <c r="I2134" s="4">
        <v>35</v>
      </c>
      <c r="J2134" s="4">
        <v>35</v>
      </c>
      <c r="L2134" t="s">
        <v>264</v>
      </c>
      <c r="M2134" t="s">
        <v>2941</v>
      </c>
      <c r="N2134" s="4">
        <f>IF(L2134="","",IF(OR(Registro2[[#This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34" t="str">
        <f t="shared" si="36"/>
        <v>mai/25</v>
      </c>
      <c r="P2134" t="str">
        <f>IF(Registro2[[#This Row],[Data de Pagamento]]&gt;0,TEXT(A2134,"mmm/aa"),"")</f>
        <v>mai/25</v>
      </c>
      <c r="T2134" s="4">
        <f>IF(Registro2[[#This Row],[Data de Pagamento]]="",0,IF(Registro2[[#This Row],[Conta Financeira]]=base!$A$6,0,Registro2[[#This Row],[Valor Unitário]]))</f>
        <v>35</v>
      </c>
      <c r="U21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34" t="str">
        <f>VLOOKUP(Registro2[[#This Row],[Categoria]],'Plano de Contas'!$V$3:W2188,2,0)</f>
        <v>Receitas Serviços</v>
      </c>
      <c r="X213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35" spans="1:24" hidden="1">
      <c r="A2135" s="1">
        <v>45787.916666666664</v>
      </c>
      <c r="B2135" s="1">
        <v>45787.916666666664</v>
      </c>
      <c r="D2135" t="s">
        <v>1</v>
      </c>
      <c r="E2135" t="s">
        <v>149</v>
      </c>
      <c r="F2135" t="s">
        <v>147</v>
      </c>
      <c r="G2135" t="s">
        <v>163</v>
      </c>
      <c r="I2135" s="4">
        <v>30</v>
      </c>
      <c r="J2135" s="4">
        <v>80</v>
      </c>
      <c r="L2135" t="s">
        <v>264</v>
      </c>
      <c r="M2135" t="s">
        <v>1348</v>
      </c>
      <c r="N2135" s="4">
        <f>IF(L2135="","",IF(OR(Registro2[[#This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2135" t="str">
        <f t="shared" si="36"/>
        <v>mai/25</v>
      </c>
      <c r="P2135" t="str">
        <f>IF(Registro2[[#This Row],[Data de Pagamento]]&gt;0,TEXT(A2135,"mmm/aa"),"")</f>
        <v>mai/25</v>
      </c>
      <c r="T2135" s="4">
        <f>IF(Registro2[[#This Row],[Data de Pagamento]]="",0,IF(Registro2[[#This Row],[Conta Financeira]]=base!$A$6,0,Registro2[[#This Row],[Valor Unitário]]))</f>
        <v>30</v>
      </c>
      <c r="U21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35" t="str">
        <f>VLOOKUP(Registro2[[#This Row],[Categoria]],'Plano de Contas'!$V$3:W2189,2,0)</f>
        <v>Receitas Serviços</v>
      </c>
      <c r="X213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36" spans="1:24" hidden="1">
      <c r="A2136" s="1">
        <v>45787.916666666664</v>
      </c>
      <c r="B2136" s="1">
        <v>45787.916666666664</v>
      </c>
      <c r="D2136" t="s">
        <v>1</v>
      </c>
      <c r="E2136" t="s">
        <v>149</v>
      </c>
      <c r="F2136" t="s">
        <v>150</v>
      </c>
      <c r="G2136" t="s">
        <v>2536</v>
      </c>
      <c r="I2136" s="4">
        <v>40</v>
      </c>
      <c r="J2136" s="4">
        <v>0</v>
      </c>
      <c r="L2136" t="s">
        <v>264</v>
      </c>
      <c r="M2136" t="s">
        <v>1348</v>
      </c>
      <c r="N2136" s="4">
        <f>IF(L2136="","",IF(OR(Registro2[[#This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2136" t="str">
        <f t="shared" si="36"/>
        <v>mai/25</v>
      </c>
      <c r="P2136" t="str">
        <f>IF(Registro2[[#This Row],[Data de Pagamento]]&gt;0,TEXT(A2136,"mmm/aa"),"")</f>
        <v>mai/25</v>
      </c>
      <c r="T2136" s="4">
        <f>IF(Registro2[[#This Row],[Data de Pagamento]]="",0,IF(Registro2[[#This Row],[Conta Financeira]]=base!$A$6,0,Registro2[[#This Row],[Valor Unitário]]))</f>
        <v>40</v>
      </c>
      <c r="U21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36" t="e">
        <f>VLOOKUP(Registro2[[#This Row],[Categoria]],'Plano de Contas'!$V$3:W2190,2,0)</f>
        <v>#N/A</v>
      </c>
      <c r="X213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37" spans="1:24" hidden="1">
      <c r="A2137" s="1">
        <v>45787.916666666664</v>
      </c>
      <c r="B2137" s="1">
        <v>45787.916666666664</v>
      </c>
      <c r="D2137" t="s">
        <v>1</v>
      </c>
      <c r="E2137" t="s">
        <v>149</v>
      </c>
      <c r="F2137" t="s">
        <v>147</v>
      </c>
      <c r="G2137" t="s">
        <v>1046</v>
      </c>
      <c r="I2137" s="4">
        <v>10</v>
      </c>
      <c r="J2137" s="4">
        <v>0</v>
      </c>
      <c r="L2137" t="s">
        <v>264</v>
      </c>
      <c r="M2137" t="s">
        <v>1348</v>
      </c>
      <c r="N2137" s="4">
        <f>IF(L2137="","",IF(OR(Registro2[[#This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137" t="str">
        <f t="shared" si="36"/>
        <v>mai/25</v>
      </c>
      <c r="P2137" t="str">
        <f>IF(Registro2[[#This Row],[Data de Pagamento]]&gt;0,TEXT(A2137,"mmm/aa"),"")</f>
        <v>mai/25</v>
      </c>
      <c r="T2137" s="4">
        <f>IF(Registro2[[#This Row],[Data de Pagamento]]="",0,IF(Registro2[[#This Row],[Conta Financeira]]=base!$A$6,0,Registro2[[#This Row],[Valor Unitário]]))</f>
        <v>10</v>
      </c>
      <c r="U21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37" t="str">
        <f>VLOOKUP(Registro2[[#This Row],[Categoria]],'Plano de Contas'!$V$3:W2191,2,0)</f>
        <v>Receitas Serviços</v>
      </c>
      <c r="X213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38" spans="1:24" hidden="1">
      <c r="A2138" s="1">
        <v>45789.416666666664</v>
      </c>
      <c r="B2138" s="1">
        <v>45789.416666666664</v>
      </c>
      <c r="D2138" t="s">
        <v>2</v>
      </c>
      <c r="E2138" t="s">
        <v>149</v>
      </c>
      <c r="F2138" t="s">
        <v>147</v>
      </c>
      <c r="G2138" t="s">
        <v>163</v>
      </c>
      <c r="I2138" s="4">
        <v>35</v>
      </c>
      <c r="J2138" s="4">
        <v>35</v>
      </c>
      <c r="L2138" t="s">
        <v>253</v>
      </c>
      <c r="M2138" t="s">
        <v>2944</v>
      </c>
      <c r="N2138" s="4">
        <f>IF(L2138="","",IF(OR(Registro2[[#This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38" t="str">
        <f t="shared" si="36"/>
        <v>mai/25</v>
      </c>
      <c r="P2138" t="str">
        <f>IF(Registro2[[#This Row],[Data de Pagamento]]&gt;0,TEXT(A2138,"mmm/aa"),"")</f>
        <v>mai/25</v>
      </c>
      <c r="T2138" s="4">
        <f>IF(Registro2[[#This Row],[Data de Pagamento]]="",0,IF(Registro2[[#This Row],[Conta Financeira]]=base!$A$6,0,Registro2[[#This Row],[Valor Unitário]]))</f>
        <v>35</v>
      </c>
      <c r="U21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38" t="str">
        <f>VLOOKUP(Registro2[[#This Row],[Categoria]],'Plano de Contas'!$V$3:W2192,2,0)</f>
        <v>Receitas Serviços</v>
      </c>
      <c r="X213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39" spans="1:24" hidden="1">
      <c r="A2139" s="1">
        <v>45789.479166666664</v>
      </c>
      <c r="B2139" s="1">
        <v>45789.479166666664</v>
      </c>
      <c r="D2139" t="s">
        <v>1</v>
      </c>
      <c r="E2139" t="s">
        <v>149</v>
      </c>
      <c r="F2139" t="s">
        <v>147</v>
      </c>
      <c r="G2139" t="s">
        <v>163</v>
      </c>
      <c r="I2139" s="4">
        <v>35</v>
      </c>
      <c r="J2139" s="4">
        <v>35</v>
      </c>
      <c r="L2139" t="s">
        <v>253</v>
      </c>
      <c r="M2139" t="s">
        <v>288</v>
      </c>
      <c r="N2139" s="4">
        <f>IF(L2139="","",IF(OR(Registro2[[#This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39" t="str">
        <f t="shared" si="36"/>
        <v>mai/25</v>
      </c>
      <c r="P2139" t="str">
        <f>IF(Registro2[[#This Row],[Data de Pagamento]]&gt;0,TEXT(A2139,"mmm/aa"),"")</f>
        <v>mai/25</v>
      </c>
      <c r="T2139" s="4">
        <f>IF(Registro2[[#This Row],[Data de Pagamento]]="",0,IF(Registro2[[#This Row],[Conta Financeira]]=base!$A$6,0,Registro2[[#This Row],[Valor Unitário]]))</f>
        <v>35</v>
      </c>
      <c r="U21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39" t="str">
        <f>VLOOKUP(Registro2[[#This Row],[Categoria]],'Plano de Contas'!$V$3:W2193,2,0)</f>
        <v>Receitas Serviços</v>
      </c>
      <c r="X213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40" spans="1:24" hidden="1">
      <c r="A2140" s="1">
        <v>45789.545138888891</v>
      </c>
      <c r="B2140" s="1">
        <v>45789.545138888891</v>
      </c>
      <c r="D2140" t="s">
        <v>310</v>
      </c>
      <c r="E2140" t="s">
        <v>149</v>
      </c>
      <c r="F2140" t="s">
        <v>147</v>
      </c>
      <c r="G2140" t="s">
        <v>163</v>
      </c>
      <c r="I2140" s="4">
        <v>35</v>
      </c>
      <c r="J2140" s="4">
        <v>35</v>
      </c>
      <c r="L2140" t="s">
        <v>252</v>
      </c>
      <c r="M2140" t="s">
        <v>2947</v>
      </c>
      <c r="N2140" s="4">
        <f>IF(L2140="","",IF(OR(Registro2[[#This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40" t="str">
        <f t="shared" si="36"/>
        <v>mai/25</v>
      </c>
      <c r="P2140" t="str">
        <f>IF(Registro2[[#This Row],[Data de Pagamento]]&gt;0,TEXT(A2140,"mmm/aa"),"")</f>
        <v>mai/25</v>
      </c>
      <c r="T2140" s="4">
        <f>IF(Registro2[[#This Row],[Data de Pagamento]]="",0,IF(Registro2[[#This Row],[Conta Financeira]]=base!$A$6,0,Registro2[[#This Row],[Valor Unitário]]))</f>
        <v>35</v>
      </c>
      <c r="U21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40" t="str">
        <f>VLOOKUP(Registro2[[#This Row],[Categoria]],'Plano de Contas'!$V$3:W2194,2,0)</f>
        <v>Receitas Serviços</v>
      </c>
      <c r="X214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141" spans="1:24" hidden="1">
      <c r="A2141" s="1">
        <v>45789.569444444445</v>
      </c>
      <c r="B2141" s="1">
        <v>45789.569444444445</v>
      </c>
      <c r="D2141" t="s">
        <v>1</v>
      </c>
      <c r="E2141" t="s">
        <v>149</v>
      </c>
      <c r="F2141" t="s">
        <v>152</v>
      </c>
      <c r="G2141" t="s">
        <v>353</v>
      </c>
      <c r="I2141" s="4">
        <v>50</v>
      </c>
      <c r="J2141" s="4">
        <v>50</v>
      </c>
      <c r="L2141" t="s">
        <v>253</v>
      </c>
      <c r="M2141" t="s">
        <v>28</v>
      </c>
      <c r="N2141" s="4">
        <f>IF(L2141="","",IF(OR(Registro2[[#This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2141" t="str">
        <f t="shared" si="36"/>
        <v>mai/25</v>
      </c>
      <c r="P2141" t="str">
        <f>IF(Registro2[[#This Row],[Data de Pagamento]]&gt;0,TEXT(A2141,"mmm/aa"),"")</f>
        <v>mai/25</v>
      </c>
      <c r="T2141" s="4">
        <f>IF(Registro2[[#This Row],[Data de Pagamento]]="",0,IF(Registro2[[#This Row],[Conta Financeira]]=base!$A$6,0,Registro2[[#This Row],[Valor Unitário]]))</f>
        <v>50</v>
      </c>
      <c r="U21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41" t="str">
        <f>VLOOKUP(Registro2[[#This Row],[Categoria]],'Plano de Contas'!$V$3:W2195,2,0)</f>
        <v>Receitas Serviços</v>
      </c>
      <c r="X214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42" spans="1:24" hidden="1">
      <c r="A2142" s="1">
        <v>45789.628472222219</v>
      </c>
      <c r="B2142" s="1">
        <v>45789.628472222219</v>
      </c>
      <c r="D2142" t="s">
        <v>354</v>
      </c>
      <c r="E2142" t="s">
        <v>149</v>
      </c>
      <c r="F2142" t="s">
        <v>147</v>
      </c>
      <c r="G2142" t="s">
        <v>163</v>
      </c>
      <c r="I2142" s="4">
        <v>35</v>
      </c>
      <c r="J2142" s="4">
        <v>35</v>
      </c>
      <c r="L2142" t="s">
        <v>252</v>
      </c>
      <c r="M2142" t="s">
        <v>2950</v>
      </c>
      <c r="N2142" s="4">
        <f>IF(L2142="","",IF(OR(Registro2[[#This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42" t="str">
        <f t="shared" si="36"/>
        <v>mai/25</v>
      </c>
      <c r="P2142" t="str">
        <f>IF(Registro2[[#This Row],[Data de Pagamento]]&gt;0,TEXT(A2142,"mmm/aa"),"")</f>
        <v>mai/25</v>
      </c>
      <c r="T2142" s="4">
        <f>IF(Registro2[[#This Row],[Data de Pagamento]]="",0,IF(Registro2[[#This Row],[Conta Financeira]]=base!$A$6,0,Registro2[[#This Row],[Valor Unitário]]))</f>
        <v>35</v>
      </c>
      <c r="U21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42" t="str">
        <f>VLOOKUP(Registro2[[#This Row],[Categoria]],'Plano de Contas'!$V$3:W2196,2,0)</f>
        <v>Receitas Serviços</v>
      </c>
      <c r="X214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143" spans="1:24" hidden="1">
      <c r="A2143" s="1">
        <v>45789.631944444445</v>
      </c>
      <c r="B2143" s="1">
        <v>45789.631944444445</v>
      </c>
      <c r="D2143" t="s">
        <v>354</v>
      </c>
      <c r="E2143" t="s">
        <v>149</v>
      </c>
      <c r="F2143" t="s">
        <v>147</v>
      </c>
      <c r="G2143" t="s">
        <v>163</v>
      </c>
      <c r="I2143" s="4">
        <v>35</v>
      </c>
      <c r="J2143" s="4">
        <v>35</v>
      </c>
      <c r="L2143" t="s">
        <v>252</v>
      </c>
      <c r="M2143" t="s">
        <v>2952</v>
      </c>
      <c r="N2143" s="4">
        <f>IF(L2143="","",IF(OR(Registro2[[#This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43" t="str">
        <f t="shared" si="36"/>
        <v>mai/25</v>
      </c>
      <c r="P2143" t="str">
        <f>IF(Registro2[[#This Row],[Data de Pagamento]]&gt;0,TEXT(A2143,"mmm/aa"),"")</f>
        <v>mai/25</v>
      </c>
      <c r="T2143" s="4">
        <f>IF(Registro2[[#This Row],[Data de Pagamento]]="",0,IF(Registro2[[#This Row],[Conta Financeira]]=base!$A$6,0,Registro2[[#This Row],[Valor Unitário]]))</f>
        <v>35</v>
      </c>
      <c r="U21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43" t="str">
        <f>VLOOKUP(Registro2[[#This Row],[Categoria]],'Plano de Contas'!$V$3:W2197,2,0)</f>
        <v>Receitas Serviços</v>
      </c>
      <c r="X214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144" spans="1:24" hidden="1">
      <c r="A2144" s="1">
        <v>45789.4375</v>
      </c>
      <c r="B2144" s="1">
        <v>45789.4375</v>
      </c>
      <c r="D2144" t="s">
        <v>310</v>
      </c>
      <c r="E2144" t="s">
        <v>149</v>
      </c>
      <c r="F2144" t="s">
        <v>147</v>
      </c>
      <c r="G2144" t="s">
        <v>163</v>
      </c>
      <c r="I2144" s="4">
        <v>35</v>
      </c>
      <c r="J2144" s="4">
        <v>35</v>
      </c>
      <c r="L2144" t="s">
        <v>252</v>
      </c>
      <c r="M2144" t="s">
        <v>1466</v>
      </c>
      <c r="N2144" s="4">
        <f>IF(L2144="","",IF(OR(Registro2[[#This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44" t="str">
        <f t="shared" si="36"/>
        <v>mai/25</v>
      </c>
      <c r="P2144" t="str">
        <f>IF(Registro2[[#This Row],[Data de Pagamento]]&gt;0,TEXT(A2144,"mmm/aa"),"")</f>
        <v>mai/25</v>
      </c>
      <c r="T2144" s="4">
        <f>IF(Registro2[[#This Row],[Data de Pagamento]]="",0,IF(Registro2[[#This Row],[Conta Financeira]]=base!$A$6,0,Registro2[[#This Row],[Valor Unitário]]))</f>
        <v>35</v>
      </c>
      <c r="U21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44" t="str">
        <f>VLOOKUP(Registro2[[#This Row],[Categoria]],'Plano de Contas'!$V$3:W2198,2,0)</f>
        <v>Receitas Serviços</v>
      </c>
      <c r="X214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145" spans="1:24" hidden="1">
      <c r="A2145" s="1">
        <v>45789.71875</v>
      </c>
      <c r="B2145" s="1">
        <v>45789.71875</v>
      </c>
      <c r="D2145" t="s">
        <v>1</v>
      </c>
      <c r="E2145" t="s">
        <v>149</v>
      </c>
      <c r="F2145" t="s">
        <v>147</v>
      </c>
      <c r="G2145" t="s">
        <v>163</v>
      </c>
      <c r="I2145" s="4">
        <v>35</v>
      </c>
      <c r="J2145" s="4">
        <v>35</v>
      </c>
      <c r="L2145" t="s">
        <v>252</v>
      </c>
      <c r="M2145" t="s">
        <v>470</v>
      </c>
      <c r="N2145" s="4">
        <f>IF(L2145="","",IF(OR(Registro2[[#This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45" t="str">
        <f t="shared" si="36"/>
        <v>mai/25</v>
      </c>
      <c r="P2145" t="str">
        <f>IF(Registro2[[#This Row],[Data de Pagamento]]&gt;0,TEXT(A2145,"mmm/aa"),"")</f>
        <v>mai/25</v>
      </c>
      <c r="T2145" s="4">
        <f>IF(Registro2[[#This Row],[Data de Pagamento]]="",0,IF(Registro2[[#This Row],[Conta Financeira]]=base!$A$6,0,Registro2[[#This Row],[Valor Unitário]]))</f>
        <v>35</v>
      </c>
      <c r="U21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45" t="str">
        <f>VLOOKUP(Registro2[[#This Row],[Categoria]],'Plano de Contas'!$V$3:W2199,2,0)</f>
        <v>Receitas Serviços</v>
      </c>
      <c r="X21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46" spans="1:24" hidden="1">
      <c r="A2146" s="1">
        <v>45789.767361111109</v>
      </c>
      <c r="B2146" s="1">
        <v>45789.767361111109</v>
      </c>
      <c r="D2146" t="s">
        <v>1</v>
      </c>
      <c r="E2146" t="s">
        <v>149</v>
      </c>
      <c r="F2146" t="s">
        <v>147</v>
      </c>
      <c r="G2146" t="s">
        <v>163</v>
      </c>
      <c r="I2146" s="4">
        <v>35</v>
      </c>
      <c r="J2146" s="4">
        <v>55</v>
      </c>
      <c r="L2146" t="s">
        <v>252</v>
      </c>
      <c r="M2146" t="s">
        <v>2956</v>
      </c>
      <c r="N2146" s="4">
        <f>IF(L2146="","",IF(OR(Registro2[[#This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46" t="str">
        <f t="shared" si="36"/>
        <v>mai/25</v>
      </c>
      <c r="P2146" t="str">
        <f>IF(Registro2[[#This Row],[Data de Pagamento]]&gt;0,TEXT(A2146,"mmm/aa"),"")</f>
        <v>mai/25</v>
      </c>
      <c r="T2146" s="4">
        <f>IF(Registro2[[#This Row],[Data de Pagamento]]="",0,IF(Registro2[[#This Row],[Conta Financeira]]=base!$A$6,0,Registro2[[#This Row],[Valor Unitário]]))</f>
        <v>35</v>
      </c>
      <c r="U21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46" t="str">
        <f>VLOOKUP(Registro2[[#This Row],[Categoria]],'Plano de Contas'!$V$3:W2200,2,0)</f>
        <v>Receitas Serviços</v>
      </c>
      <c r="X214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47" spans="1:24" hidden="1">
      <c r="A2147" s="1">
        <v>45789.767361111109</v>
      </c>
      <c r="B2147" s="1">
        <v>45789.767361111109</v>
      </c>
      <c r="D2147" t="s">
        <v>1</v>
      </c>
      <c r="E2147" t="s">
        <v>149</v>
      </c>
      <c r="F2147" t="s">
        <v>147</v>
      </c>
      <c r="G2147" t="s">
        <v>166</v>
      </c>
      <c r="I2147" s="4">
        <v>20</v>
      </c>
      <c r="J2147" s="4">
        <v>0</v>
      </c>
      <c r="L2147" t="s">
        <v>252</v>
      </c>
      <c r="M2147" t="s">
        <v>2956</v>
      </c>
      <c r="N2147" s="4">
        <f>IF(L2147="","",IF(OR(Registro2[[#This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147" t="str">
        <f t="shared" si="36"/>
        <v>mai/25</v>
      </c>
      <c r="P2147" t="str">
        <f>IF(Registro2[[#This Row],[Data de Pagamento]]&gt;0,TEXT(A2147,"mmm/aa"),"")</f>
        <v>mai/25</v>
      </c>
      <c r="T2147" s="4">
        <f>IF(Registro2[[#This Row],[Data de Pagamento]]="",0,IF(Registro2[[#This Row],[Conta Financeira]]=base!$A$6,0,Registro2[[#This Row],[Valor Unitário]]))</f>
        <v>20</v>
      </c>
      <c r="U21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47" t="str">
        <f>VLOOKUP(Registro2[[#This Row],[Categoria]],'Plano de Contas'!$V$3:W2201,2,0)</f>
        <v>Receitas Serviços</v>
      </c>
      <c r="X214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48" spans="1:24" hidden="1">
      <c r="A2148" s="1">
        <v>45789.805555555555</v>
      </c>
      <c r="B2148" s="1">
        <v>45789.805555555555</v>
      </c>
      <c r="D2148" t="s">
        <v>1</v>
      </c>
      <c r="E2148" t="s">
        <v>149</v>
      </c>
      <c r="F2148" t="s">
        <v>147</v>
      </c>
      <c r="G2148" t="s">
        <v>163</v>
      </c>
      <c r="I2148" s="4">
        <v>35</v>
      </c>
      <c r="J2148" s="4">
        <v>45</v>
      </c>
      <c r="L2148" t="s">
        <v>252</v>
      </c>
      <c r="M2148" t="s">
        <v>492</v>
      </c>
      <c r="N2148" s="4">
        <f>IF(L2148="","",IF(OR(Registro2[[#This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48" t="str">
        <f t="shared" si="36"/>
        <v>mai/25</v>
      </c>
      <c r="P2148" t="str">
        <f>IF(Registro2[[#This Row],[Data de Pagamento]]&gt;0,TEXT(A2148,"mmm/aa"),"")</f>
        <v>mai/25</v>
      </c>
      <c r="T2148" s="4">
        <f>IF(Registro2[[#This Row],[Data de Pagamento]]="",0,IF(Registro2[[#This Row],[Conta Financeira]]=base!$A$6,0,Registro2[[#This Row],[Valor Unitário]]))</f>
        <v>35</v>
      </c>
      <c r="U21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48" t="str">
        <f>VLOOKUP(Registro2[[#This Row],[Categoria]],'Plano de Contas'!$V$3:W2202,2,0)</f>
        <v>Receitas Serviços</v>
      </c>
      <c r="X214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49" spans="1:24" hidden="1">
      <c r="A2149" s="1">
        <v>45789.805555555555</v>
      </c>
      <c r="B2149" s="1">
        <v>45789.805555555555</v>
      </c>
      <c r="D2149" t="s">
        <v>1</v>
      </c>
      <c r="E2149" t="s">
        <v>149</v>
      </c>
      <c r="F2149" t="s">
        <v>147</v>
      </c>
      <c r="G2149" t="s">
        <v>167</v>
      </c>
      <c r="I2149" s="4">
        <v>10</v>
      </c>
      <c r="J2149" s="4">
        <v>0</v>
      </c>
      <c r="L2149" t="s">
        <v>252</v>
      </c>
      <c r="M2149" t="s">
        <v>492</v>
      </c>
      <c r="N2149" s="4">
        <f>IF(L2149="","",IF(OR(Registro2[[#This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149" t="str">
        <f t="shared" si="36"/>
        <v>mai/25</v>
      </c>
      <c r="P2149" t="str">
        <f>IF(Registro2[[#This Row],[Data de Pagamento]]&gt;0,TEXT(A2149,"mmm/aa"),"")</f>
        <v>mai/25</v>
      </c>
      <c r="T2149" s="4">
        <f>IF(Registro2[[#This Row],[Data de Pagamento]]="",0,IF(Registro2[[#This Row],[Conta Financeira]]=base!$A$6,0,Registro2[[#This Row],[Valor Unitário]]))</f>
        <v>10</v>
      </c>
      <c r="U21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49" t="str">
        <f>VLOOKUP(Registro2[[#This Row],[Categoria]],'Plano de Contas'!$V$3:W2203,2,0)</f>
        <v>Receitas Serviços</v>
      </c>
      <c r="X214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50" spans="1:24" hidden="1">
      <c r="A2150" s="1">
        <v>45789.836805555555</v>
      </c>
      <c r="B2150" s="1">
        <v>45789.836805555555</v>
      </c>
      <c r="D2150" t="s">
        <v>310</v>
      </c>
      <c r="E2150" t="s">
        <v>149</v>
      </c>
      <c r="F2150" t="s">
        <v>147</v>
      </c>
      <c r="G2150" t="s">
        <v>163</v>
      </c>
      <c r="I2150" s="4">
        <v>20</v>
      </c>
      <c r="J2150" s="4">
        <v>35</v>
      </c>
      <c r="L2150" t="s">
        <v>252</v>
      </c>
      <c r="M2150" t="s">
        <v>376</v>
      </c>
      <c r="N2150" s="4">
        <f>IF(L2150="","",IF(OR(Registro2[[#This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150" t="str">
        <f t="shared" si="36"/>
        <v>mai/25</v>
      </c>
      <c r="P2150" t="str">
        <f>IF(Registro2[[#This Row],[Data de Pagamento]]&gt;0,TEXT(A2150,"mmm/aa"),"")</f>
        <v>mai/25</v>
      </c>
      <c r="T2150" s="4">
        <f>IF(Registro2[[#This Row],[Data de Pagamento]]="",0,IF(Registro2[[#This Row],[Conta Financeira]]=base!$A$6,0,Registro2[[#This Row],[Valor Unitário]]))</f>
        <v>20</v>
      </c>
      <c r="U21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50" t="str">
        <f>VLOOKUP(Registro2[[#This Row],[Categoria]],'Plano de Contas'!$V$3:W2204,2,0)</f>
        <v>Receitas Serviços</v>
      </c>
      <c r="X215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</row>
    <row r="2151" spans="1:24" hidden="1">
      <c r="A2151" s="1">
        <v>45789.836805555555</v>
      </c>
      <c r="B2151" s="1">
        <v>45789.836805555555</v>
      </c>
      <c r="D2151" t="s">
        <v>310</v>
      </c>
      <c r="E2151" t="s">
        <v>149</v>
      </c>
      <c r="F2151" t="s">
        <v>147</v>
      </c>
      <c r="G2151" t="s">
        <v>1187</v>
      </c>
      <c r="I2151" s="4">
        <v>15</v>
      </c>
      <c r="J2151" s="4">
        <v>0</v>
      </c>
      <c r="L2151" t="s">
        <v>252</v>
      </c>
      <c r="M2151" t="s">
        <v>376</v>
      </c>
      <c r="N2151" s="4">
        <f>IF(L2151="","",IF(OR(Registro2[[#This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151" t="str">
        <f t="shared" si="36"/>
        <v>mai/25</v>
      </c>
      <c r="P2151" t="str">
        <f>IF(Registro2[[#This Row],[Data de Pagamento]]&gt;0,TEXT(A2151,"mmm/aa"),"")</f>
        <v>mai/25</v>
      </c>
      <c r="T2151" s="4">
        <f>IF(Registro2[[#This Row],[Data de Pagamento]]="",0,IF(Registro2[[#This Row],[Conta Financeira]]=base!$A$6,0,Registro2[[#This Row],[Valor Unitário]]))</f>
        <v>15</v>
      </c>
      <c r="U21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51" t="str">
        <f>VLOOKUP(Registro2[[#This Row],[Categoria]],'Plano de Contas'!$V$3:W2205,2,0)</f>
        <v>Receitas Serviços</v>
      </c>
      <c r="X215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</row>
    <row r="2152" spans="1:24" hidden="1">
      <c r="A2152" s="1">
        <v>45782</v>
      </c>
      <c r="B2152" s="1">
        <v>45782</v>
      </c>
      <c r="D2152" t="s">
        <v>947</v>
      </c>
      <c r="E2152" t="s">
        <v>137</v>
      </c>
      <c r="F2152" t="s">
        <v>138</v>
      </c>
      <c r="G2152" t="s">
        <v>339</v>
      </c>
      <c r="H2152" t="s">
        <v>2959</v>
      </c>
      <c r="I2152" s="4">
        <v>39.9</v>
      </c>
      <c r="J2152" s="4"/>
      <c r="N2152" s="4" t="str">
        <f>IF(L2152="","",IF(OR(Registro2[[#This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52" t="str">
        <f t="shared" ref="O2152:O2174" si="37">TEXT(B2152,"mmm/aa")</f>
        <v>mai/25</v>
      </c>
      <c r="P2152" t="str">
        <f>IF(Registro2[[#This Row],[Data de Pagamento]]&gt;0,TEXT(A2152,"mmm/aa"),"")</f>
        <v>mai/25</v>
      </c>
      <c r="T2152" s="4">
        <f>IF(Registro2[[#This Row],[Data de Pagamento]]="",0,IF(Registro2[[#This Row],[Conta Financeira]]=base!$A$6,0,Registro2[[#This Row],[Valor Unitário]]))</f>
        <v>39.9</v>
      </c>
      <c r="U21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52" t="str">
        <f>VLOOKUP(Registro2[[#This Row],[Categoria]],'Plano de Contas'!$V$3:W2206,2,0)</f>
        <v>Despesas Gerias &amp; Vendas</v>
      </c>
      <c r="X215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53" spans="1:24" hidden="1">
      <c r="A2153" s="1">
        <v>45782</v>
      </c>
      <c r="B2153" s="1">
        <v>45782</v>
      </c>
      <c r="D2153" t="s">
        <v>947</v>
      </c>
      <c r="E2153" t="s">
        <v>137</v>
      </c>
      <c r="F2153" t="s">
        <v>139</v>
      </c>
      <c r="G2153" t="s">
        <v>332</v>
      </c>
      <c r="H2153" t="s">
        <v>2961</v>
      </c>
      <c r="I2153" s="4">
        <v>20.7</v>
      </c>
      <c r="J2153" s="4"/>
      <c r="N2153" s="4" t="str">
        <f>IF(L2153="","",IF(OR(Registro2[[#This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53" t="str">
        <f t="shared" si="37"/>
        <v>mai/25</v>
      </c>
      <c r="P2153" t="str">
        <f>IF(Registro2[[#This Row],[Data de Pagamento]]&gt;0,TEXT(A2153,"mmm/aa"),"")</f>
        <v>mai/25</v>
      </c>
      <c r="T2153" s="4">
        <f>IF(Registro2[[#This Row],[Data de Pagamento]]="",0,IF(Registro2[[#This Row],[Conta Financeira]]=base!$A$6,0,Registro2[[#This Row],[Valor Unitário]]))</f>
        <v>20.7</v>
      </c>
      <c r="U21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53" t="str">
        <f>VLOOKUP(Registro2[[#This Row],[Categoria]],'Plano de Contas'!$V$3:W2207,2,0)</f>
        <v>Custos Operacionais</v>
      </c>
      <c r="X215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54" spans="1:24" hidden="1">
      <c r="A2154" s="1">
        <v>45782</v>
      </c>
      <c r="B2154" s="1">
        <v>45782</v>
      </c>
      <c r="D2154" t="s">
        <v>947</v>
      </c>
      <c r="E2154" t="s">
        <v>137</v>
      </c>
      <c r="F2154" t="s">
        <v>139</v>
      </c>
      <c r="G2154" t="s">
        <v>332</v>
      </c>
      <c r="H2154" t="s">
        <v>2962</v>
      </c>
      <c r="I2154" s="4">
        <v>11.8</v>
      </c>
      <c r="J2154" s="4"/>
      <c r="N2154" s="4" t="str">
        <f>IF(L2154="","",IF(OR(Registro2[[#This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54" t="str">
        <f t="shared" si="37"/>
        <v>mai/25</v>
      </c>
      <c r="P2154" t="str">
        <f>IF(Registro2[[#This Row],[Data de Pagamento]]&gt;0,TEXT(A2154,"mmm/aa"),"")</f>
        <v>mai/25</v>
      </c>
      <c r="T2154" s="4">
        <f>IF(Registro2[[#This Row],[Data de Pagamento]]="",0,IF(Registro2[[#This Row],[Conta Financeira]]=base!$A$6,0,Registro2[[#This Row],[Valor Unitário]]))</f>
        <v>11.8</v>
      </c>
      <c r="U21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54" t="str">
        <f>VLOOKUP(Registro2[[#This Row],[Categoria]],'Plano de Contas'!$V$3:W2208,2,0)</f>
        <v>Custos Operacionais</v>
      </c>
      <c r="X215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55" spans="1:24" hidden="1">
      <c r="A2155" s="1">
        <v>45782</v>
      </c>
      <c r="B2155" s="1">
        <v>45782</v>
      </c>
      <c r="D2155" t="s">
        <v>947</v>
      </c>
      <c r="E2155" t="s">
        <v>137</v>
      </c>
      <c r="F2155" t="s">
        <v>139</v>
      </c>
      <c r="G2155" t="s">
        <v>336</v>
      </c>
      <c r="H2155" t="s">
        <v>1262</v>
      </c>
      <c r="I2155" s="4">
        <v>250</v>
      </c>
      <c r="J2155" s="4"/>
      <c r="L2155" t="s">
        <v>253</v>
      </c>
      <c r="N2155" s="4" t="str">
        <f>IF(L2155="","",IF(OR(Registro2[[#This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55" t="str">
        <f t="shared" si="37"/>
        <v>mai/25</v>
      </c>
      <c r="P2155" t="str">
        <f>IF(Registro2[[#This Row],[Data de Pagamento]]&gt;0,TEXT(A2155,"mmm/aa"),"")</f>
        <v>mai/25</v>
      </c>
      <c r="T2155" s="4">
        <f>IF(Registro2[[#This Row],[Data de Pagamento]]="",0,IF(Registro2[[#This Row],[Conta Financeira]]=base!$A$6,0,Registro2[[#This Row],[Valor Unitário]]))</f>
        <v>250</v>
      </c>
      <c r="U21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55" t="str">
        <f>VLOOKUP(Registro2[[#This Row],[Categoria]],'Plano de Contas'!$V$3:W2209,2,0)</f>
        <v>Custos Operacionais</v>
      </c>
      <c r="X21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56" spans="1:24" hidden="1">
      <c r="A2156" s="1">
        <v>45783</v>
      </c>
      <c r="B2156" s="1">
        <v>45783</v>
      </c>
      <c r="D2156" t="s">
        <v>947</v>
      </c>
      <c r="E2156" t="s">
        <v>137</v>
      </c>
      <c r="F2156" t="s">
        <v>146</v>
      </c>
      <c r="G2156" t="s">
        <v>315</v>
      </c>
      <c r="H2156" t="s">
        <v>2963</v>
      </c>
      <c r="I2156" s="4">
        <v>499</v>
      </c>
      <c r="J2156" s="4"/>
      <c r="N2156" s="4" t="str">
        <f>IF(L2156="","",IF(OR(Registro2[[#This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56" t="str">
        <f t="shared" si="37"/>
        <v>mai/25</v>
      </c>
      <c r="P2156" t="str">
        <f>IF(Registro2[[#This Row],[Data de Pagamento]]&gt;0,TEXT(A2156,"mmm/aa"),"")</f>
        <v>mai/25</v>
      </c>
      <c r="T2156" s="4">
        <f>IF(Registro2[[#This Row],[Data de Pagamento]]="",0,IF(Registro2[[#This Row],[Conta Financeira]]=base!$A$6,0,Registro2[[#This Row],[Valor Unitário]]))</f>
        <v>499</v>
      </c>
      <c r="U21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56" t="str">
        <f>VLOOKUP(Registro2[[#This Row],[Categoria]],'Plano de Contas'!$V$3:W2210,2,0)</f>
        <v>Despesas Operacionais</v>
      </c>
      <c r="X215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57" spans="1:24" hidden="1">
      <c r="A2157" s="1">
        <v>45783</v>
      </c>
      <c r="B2157" s="1">
        <v>45783</v>
      </c>
      <c r="D2157" t="s">
        <v>947</v>
      </c>
      <c r="E2157" t="s">
        <v>137</v>
      </c>
      <c r="F2157" t="s">
        <v>139</v>
      </c>
      <c r="G2157" t="s">
        <v>332</v>
      </c>
      <c r="H2157" t="s">
        <v>2965</v>
      </c>
      <c r="I2157" s="4">
        <v>54.9</v>
      </c>
      <c r="J2157" s="4"/>
      <c r="N2157" s="4" t="str">
        <f>IF(L2157="","",IF(OR(Registro2[[#This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57" t="str">
        <f t="shared" si="37"/>
        <v>mai/25</v>
      </c>
      <c r="P2157" t="str">
        <f>IF(Registro2[[#This Row],[Data de Pagamento]]&gt;0,TEXT(A2157,"mmm/aa"),"")</f>
        <v>mai/25</v>
      </c>
      <c r="T2157" s="4">
        <f>IF(Registro2[[#This Row],[Data de Pagamento]]="",0,IF(Registro2[[#This Row],[Conta Financeira]]=base!$A$6,0,Registro2[[#This Row],[Valor Unitário]]))</f>
        <v>54.9</v>
      </c>
      <c r="U21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57" t="str">
        <f>VLOOKUP(Registro2[[#This Row],[Categoria]],'Plano de Contas'!$V$3:W2211,2,0)</f>
        <v>Custos Operacionais</v>
      </c>
      <c r="X21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58" spans="1:24" hidden="1">
      <c r="A2158" s="1">
        <v>45783</v>
      </c>
      <c r="B2158" s="1">
        <v>45783</v>
      </c>
      <c r="D2158" t="s">
        <v>947</v>
      </c>
      <c r="E2158" t="s">
        <v>137</v>
      </c>
      <c r="F2158" t="s">
        <v>139</v>
      </c>
      <c r="G2158" t="s">
        <v>332</v>
      </c>
      <c r="H2158" t="s">
        <v>2966</v>
      </c>
      <c r="I2158" s="4">
        <v>53.82</v>
      </c>
      <c r="J2158" s="4"/>
      <c r="N2158" s="4" t="str">
        <f>IF(L2158="","",IF(OR(Registro2[[#This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58" t="str">
        <f t="shared" si="37"/>
        <v>mai/25</v>
      </c>
      <c r="P2158" t="str">
        <f>IF(Registro2[[#This Row],[Data de Pagamento]]&gt;0,TEXT(A2158,"mmm/aa"),"")</f>
        <v>mai/25</v>
      </c>
      <c r="T2158" s="4">
        <f>IF(Registro2[[#This Row],[Data de Pagamento]]="",0,IF(Registro2[[#This Row],[Conta Financeira]]=base!$A$6,0,Registro2[[#This Row],[Valor Unitário]]))</f>
        <v>53.82</v>
      </c>
      <c r="U21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58" t="str">
        <f>VLOOKUP(Registro2[[#This Row],[Categoria]],'Plano de Contas'!$V$3:W2212,2,0)</f>
        <v>Custos Operacionais</v>
      </c>
      <c r="X21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59" spans="1:24" hidden="1">
      <c r="A2159" s="1">
        <v>45783</v>
      </c>
      <c r="B2159" s="1">
        <v>45783</v>
      </c>
      <c r="D2159" t="s">
        <v>947</v>
      </c>
      <c r="E2159" t="s">
        <v>137</v>
      </c>
      <c r="F2159" t="s">
        <v>139</v>
      </c>
      <c r="G2159" t="s">
        <v>332</v>
      </c>
      <c r="H2159" t="s">
        <v>2967</v>
      </c>
      <c r="I2159" s="4">
        <v>34.9</v>
      </c>
      <c r="J2159" s="4"/>
      <c r="N2159" s="4" t="str">
        <f>IF(L2159="","",IF(OR(Registro2[[#This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59" t="str">
        <f t="shared" si="37"/>
        <v>mai/25</v>
      </c>
      <c r="P2159" t="str">
        <f>IF(Registro2[[#This Row],[Data de Pagamento]]&gt;0,TEXT(A2159,"mmm/aa"),"")</f>
        <v>mai/25</v>
      </c>
      <c r="T2159" s="4">
        <f>IF(Registro2[[#This Row],[Data de Pagamento]]="",0,IF(Registro2[[#This Row],[Conta Financeira]]=base!$A$6,0,Registro2[[#This Row],[Valor Unitário]]))</f>
        <v>34.9</v>
      </c>
      <c r="U21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59" t="str">
        <f>VLOOKUP(Registro2[[#This Row],[Categoria]],'Plano de Contas'!$V$3:W2213,2,0)</f>
        <v>Custos Operacionais</v>
      </c>
      <c r="X215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60" spans="1:24" hidden="1">
      <c r="A2160" s="1">
        <v>45784</v>
      </c>
      <c r="B2160" s="1">
        <v>45784</v>
      </c>
      <c r="D2160" t="s">
        <v>947</v>
      </c>
      <c r="E2160" t="s">
        <v>137</v>
      </c>
      <c r="F2160" t="s">
        <v>146</v>
      </c>
      <c r="G2160" t="s">
        <v>315</v>
      </c>
      <c r="H2160" t="s">
        <v>431</v>
      </c>
      <c r="I2160" s="4">
        <v>231.02</v>
      </c>
      <c r="J2160" s="4"/>
      <c r="N2160" s="4" t="str">
        <f>IF(L2160="","",IF(OR(Registro2[[#This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60" t="str">
        <f t="shared" si="37"/>
        <v>mai/25</v>
      </c>
      <c r="P2160" t="str">
        <f>IF(Registro2[[#This Row],[Data de Pagamento]]&gt;0,TEXT(A2160,"mmm/aa"),"")</f>
        <v>mai/25</v>
      </c>
      <c r="T2160" s="4">
        <f>IF(Registro2[[#This Row],[Data de Pagamento]]="",0,IF(Registro2[[#This Row],[Conta Financeira]]=base!$A$6,0,Registro2[[#This Row],[Valor Unitário]]))</f>
        <v>231.02</v>
      </c>
      <c r="U21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60" t="str">
        <f>VLOOKUP(Registro2[[#This Row],[Categoria]],'Plano de Contas'!$V$3:W2214,2,0)</f>
        <v>Despesas Operacionais</v>
      </c>
      <c r="X21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61" spans="1:24" hidden="1">
      <c r="A2161" s="1">
        <v>45784</v>
      </c>
      <c r="B2161" s="1">
        <v>45784</v>
      </c>
      <c r="D2161" t="s">
        <v>947</v>
      </c>
      <c r="E2161" t="s">
        <v>137</v>
      </c>
      <c r="F2161" t="s">
        <v>138</v>
      </c>
      <c r="G2161" t="s">
        <v>147</v>
      </c>
      <c r="H2161" t="s">
        <v>2969</v>
      </c>
      <c r="I2161" s="4">
        <v>99.9</v>
      </c>
      <c r="J2161" s="4"/>
      <c r="N2161" s="4" t="str">
        <f>IF(L2161="","",IF(OR(Registro2[[#This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61" t="str">
        <f t="shared" si="37"/>
        <v>mai/25</v>
      </c>
      <c r="P2161" t="str">
        <f>IF(Registro2[[#This Row],[Data de Pagamento]]&gt;0,TEXT(A2161,"mmm/aa"),"")</f>
        <v>mai/25</v>
      </c>
      <c r="T2161" s="4">
        <f>IF(Registro2[[#This Row],[Data de Pagamento]]="",0,IF(Registro2[[#This Row],[Conta Financeira]]=base!$A$6,0,Registro2[[#This Row],[Valor Unitário]]))</f>
        <v>99.9</v>
      </c>
      <c r="U21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61" t="str">
        <f>VLOOKUP(Registro2[[#This Row],[Categoria]],'Plano de Contas'!$V$3:W2215,2,0)</f>
        <v>Despesas Gerias &amp; Vendas</v>
      </c>
      <c r="X21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62" spans="1:24" hidden="1">
      <c r="A2162" s="1">
        <v>45785</v>
      </c>
      <c r="B2162" s="1">
        <v>45785</v>
      </c>
      <c r="D2162" t="s">
        <v>947</v>
      </c>
      <c r="E2162" t="s">
        <v>137</v>
      </c>
      <c r="F2162" t="s">
        <v>138</v>
      </c>
      <c r="G2162" t="s">
        <v>339</v>
      </c>
      <c r="H2162" t="s">
        <v>2970</v>
      </c>
      <c r="I2162" s="4">
        <v>13.5</v>
      </c>
      <c r="J2162" s="4"/>
      <c r="N2162" s="4" t="str">
        <f>IF(L2162="","",IF(OR(Registro2[[#This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62" t="str">
        <f t="shared" si="37"/>
        <v>mai/25</v>
      </c>
      <c r="P2162" t="str">
        <f>IF(Registro2[[#This Row],[Data de Pagamento]]&gt;0,TEXT(A2162,"mmm/aa"),"")</f>
        <v>mai/25</v>
      </c>
      <c r="T2162" s="4">
        <f>IF(Registro2[[#This Row],[Data de Pagamento]]="",0,IF(Registro2[[#This Row],[Conta Financeira]]=base!$A$6,0,Registro2[[#This Row],[Valor Unitário]]))</f>
        <v>13.5</v>
      </c>
      <c r="U21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62" t="str">
        <f>VLOOKUP(Registro2[[#This Row],[Categoria]],'Plano de Contas'!$V$3:W2216,2,0)</f>
        <v>Despesas Gerias &amp; Vendas</v>
      </c>
      <c r="X216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63" spans="1:24" hidden="1">
      <c r="A2163" s="1">
        <v>45785</v>
      </c>
      <c r="B2163" s="1">
        <v>45785</v>
      </c>
      <c r="D2163" t="s">
        <v>947</v>
      </c>
      <c r="E2163" t="s">
        <v>137</v>
      </c>
      <c r="F2163" t="s">
        <v>138</v>
      </c>
      <c r="G2163" t="s">
        <v>141</v>
      </c>
      <c r="H2163" t="s">
        <v>141</v>
      </c>
      <c r="I2163" s="4">
        <v>60</v>
      </c>
      <c r="J2163" s="4"/>
      <c r="N2163" s="4" t="str">
        <f>IF(L2163="","",IF(OR(Registro2[[#This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63" t="str">
        <f t="shared" si="37"/>
        <v>mai/25</v>
      </c>
      <c r="P2163" t="str">
        <f>IF(Registro2[[#This Row],[Data de Pagamento]]&gt;0,TEXT(A2163,"mmm/aa"),"")</f>
        <v>mai/25</v>
      </c>
      <c r="T2163" s="4">
        <f>IF(Registro2[[#This Row],[Data de Pagamento]]="",0,IF(Registro2[[#This Row],[Conta Financeira]]=base!$A$6,0,Registro2[[#This Row],[Valor Unitário]]))</f>
        <v>60</v>
      </c>
      <c r="U21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63" t="str">
        <f>VLOOKUP(Registro2[[#This Row],[Categoria]],'Plano de Contas'!$V$3:W2217,2,0)</f>
        <v>Custos Operacionais</v>
      </c>
      <c r="X216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64" spans="1:24" hidden="1">
      <c r="A2164" s="1">
        <v>45785</v>
      </c>
      <c r="B2164" s="1">
        <v>45785</v>
      </c>
      <c r="D2164" t="s">
        <v>136</v>
      </c>
      <c r="E2164" t="s">
        <v>137</v>
      </c>
      <c r="F2164" t="s">
        <v>139</v>
      </c>
      <c r="G2164" t="s">
        <v>336</v>
      </c>
      <c r="H2164" t="s">
        <v>1263</v>
      </c>
      <c r="I2164" s="4">
        <v>45</v>
      </c>
      <c r="J2164" s="4"/>
      <c r="L2164" t="s">
        <v>253</v>
      </c>
      <c r="N2164" s="4" t="str">
        <f>IF(L2164="","",IF(OR(Registro2[[#This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64" t="str">
        <f t="shared" si="37"/>
        <v>mai/25</v>
      </c>
      <c r="P2164" t="str">
        <f>IF(Registro2[[#This Row],[Data de Pagamento]]&gt;0,TEXT(A2164,"mmm/aa"),"")</f>
        <v>mai/25</v>
      </c>
      <c r="T2164" s="4">
        <f>IF(Registro2[[#This Row],[Data de Pagamento]]="",0,IF(Registro2[[#This Row],[Conta Financeira]]=base!$A$6,0,Registro2[[#This Row],[Valor Unitário]]))</f>
        <v>45</v>
      </c>
      <c r="U21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64" t="str">
        <f>VLOOKUP(Registro2[[#This Row],[Categoria]],'Plano de Contas'!$V$3:W2218,2,0)</f>
        <v>Custos Operacionais</v>
      </c>
      <c r="X216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65" spans="1:24" hidden="1">
      <c r="A2165" s="1">
        <v>45786</v>
      </c>
      <c r="B2165" s="1">
        <v>45786</v>
      </c>
      <c r="D2165" t="s">
        <v>947</v>
      </c>
      <c r="E2165" t="s">
        <v>137</v>
      </c>
      <c r="F2165" t="s">
        <v>146</v>
      </c>
      <c r="G2165" t="s">
        <v>314</v>
      </c>
      <c r="H2165" t="s">
        <v>438</v>
      </c>
      <c r="I2165" s="4">
        <v>128.62</v>
      </c>
      <c r="J2165" s="4"/>
      <c r="N2165" s="4" t="str">
        <f>IF(L2165="","",IF(OR(Registro2[[#This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65" t="str">
        <f t="shared" si="37"/>
        <v>mai/25</v>
      </c>
      <c r="P2165" t="str">
        <f>IF(Registro2[[#This Row],[Data de Pagamento]]&gt;0,TEXT(A2165,"mmm/aa"),"")</f>
        <v>mai/25</v>
      </c>
      <c r="T2165" s="4">
        <f>IF(Registro2[[#This Row],[Data de Pagamento]]="",0,IF(Registro2[[#This Row],[Conta Financeira]]=base!$A$6,0,Registro2[[#This Row],[Valor Unitário]]))</f>
        <v>128.62</v>
      </c>
      <c r="U21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65" t="str">
        <f>VLOOKUP(Registro2[[#This Row],[Categoria]],'Plano de Contas'!$V$3:W2219,2,0)</f>
        <v>Despesas Operacionais</v>
      </c>
      <c r="X216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66" spans="1:24" hidden="1">
      <c r="A2166" s="1">
        <v>45788</v>
      </c>
      <c r="B2166" s="1">
        <v>45788</v>
      </c>
      <c r="D2166" t="s">
        <v>947</v>
      </c>
      <c r="E2166" t="s">
        <v>137</v>
      </c>
      <c r="F2166" t="s">
        <v>139</v>
      </c>
      <c r="G2166" t="s">
        <v>332</v>
      </c>
      <c r="H2166" t="s">
        <v>2974</v>
      </c>
      <c r="I2166" s="4">
        <v>30</v>
      </c>
      <c r="J2166" s="4"/>
      <c r="N2166" s="4" t="str">
        <f>IF(L2166="","",IF(OR(Registro2[[#This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66" t="str">
        <f t="shared" si="37"/>
        <v>mai/25</v>
      </c>
      <c r="P2166" t="str">
        <f>IF(Registro2[[#This Row],[Data de Pagamento]]&gt;0,TEXT(A2166,"mmm/aa"),"")</f>
        <v>mai/25</v>
      </c>
      <c r="T2166" s="4">
        <f>IF(Registro2[[#This Row],[Data de Pagamento]]="",0,IF(Registro2[[#This Row],[Conta Financeira]]=base!$A$6,0,Registro2[[#This Row],[Valor Unitário]]))</f>
        <v>30</v>
      </c>
      <c r="U21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66" t="str">
        <f>VLOOKUP(Registro2[[#This Row],[Categoria]],'Plano de Contas'!$V$3:W2220,2,0)</f>
        <v>Custos Operacionais</v>
      </c>
      <c r="X21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67" spans="1:24" hidden="1">
      <c r="A2167" s="1">
        <v>45788</v>
      </c>
      <c r="B2167" s="1">
        <v>45788</v>
      </c>
      <c r="D2167" t="s">
        <v>947</v>
      </c>
      <c r="E2167" t="s">
        <v>137</v>
      </c>
      <c r="F2167" t="s">
        <v>139</v>
      </c>
      <c r="G2167" t="s">
        <v>337</v>
      </c>
      <c r="H2167" t="s">
        <v>1299</v>
      </c>
      <c r="I2167" s="4">
        <v>150</v>
      </c>
      <c r="J2167" s="4"/>
      <c r="N2167" s="4" t="str">
        <f>IF(L2167="","",IF(OR(Registro2[[#This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67" t="str">
        <f t="shared" si="37"/>
        <v>mai/25</v>
      </c>
      <c r="P2167" t="str">
        <f>IF(Registro2[[#This Row],[Data de Pagamento]]&gt;0,TEXT(A2167,"mmm/aa"),"")</f>
        <v>mai/25</v>
      </c>
      <c r="T2167" s="4">
        <f>IF(Registro2[[#This Row],[Data de Pagamento]]="",0,IF(Registro2[[#This Row],[Conta Financeira]]=base!$A$6,0,Registro2[[#This Row],[Valor Unitário]]))</f>
        <v>150</v>
      </c>
      <c r="U21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67" t="str">
        <f>VLOOKUP(Registro2[[#This Row],[Categoria]],'Plano de Contas'!$V$3:W2221,2,0)</f>
        <v>Despesas Gerias &amp; Vendas</v>
      </c>
      <c r="X216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68" spans="1:24" hidden="1">
      <c r="A2168" s="1">
        <v>45789</v>
      </c>
      <c r="B2168" s="1">
        <v>45789</v>
      </c>
      <c r="D2168" t="s">
        <v>947</v>
      </c>
      <c r="E2168" t="s">
        <v>137</v>
      </c>
      <c r="F2168" t="s">
        <v>138</v>
      </c>
      <c r="G2168" t="s">
        <v>143</v>
      </c>
      <c r="H2168" t="s">
        <v>2976</v>
      </c>
      <c r="I2168" s="4">
        <v>120</v>
      </c>
      <c r="J2168" s="4"/>
      <c r="N2168" s="4" t="str">
        <f>IF(L2168="","",IF(OR(Registro2[[#This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68" t="str">
        <f t="shared" si="37"/>
        <v>mai/25</v>
      </c>
      <c r="P2168" t="str">
        <f>IF(Registro2[[#This Row],[Data de Pagamento]]&gt;0,TEXT(A2168,"mmm/aa"),"")</f>
        <v>mai/25</v>
      </c>
      <c r="T2168" s="4">
        <f>IF(Registro2[[#This Row],[Data de Pagamento]]="",0,IF(Registro2[[#This Row],[Conta Financeira]]=base!$A$6,0,Registro2[[#This Row],[Valor Unitário]]))</f>
        <v>120</v>
      </c>
      <c r="U21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68" t="str">
        <f>VLOOKUP(Registro2[[#This Row],[Categoria]],'Plano de Contas'!$V$3:W2222,2,0)</f>
        <v>Custos Operacionais</v>
      </c>
      <c r="X216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69" spans="1:24" hidden="1">
      <c r="A2169" s="1">
        <v>45789</v>
      </c>
      <c r="B2169" s="1">
        <v>45789</v>
      </c>
      <c r="D2169" t="s">
        <v>947</v>
      </c>
      <c r="E2169" t="s">
        <v>137</v>
      </c>
      <c r="F2169" t="s">
        <v>138</v>
      </c>
      <c r="G2169" t="s">
        <v>143</v>
      </c>
      <c r="H2169" t="s">
        <v>2978</v>
      </c>
      <c r="I2169" s="4">
        <v>16</v>
      </c>
      <c r="J2169" s="4"/>
      <c r="N2169" s="4" t="str">
        <f>IF(L2169="","",IF(OR(Registro2[[#This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69" t="str">
        <f t="shared" si="37"/>
        <v>mai/25</v>
      </c>
      <c r="P2169" t="str">
        <f>IF(Registro2[[#This Row],[Data de Pagamento]]&gt;0,TEXT(A2169,"mmm/aa"),"")</f>
        <v>mai/25</v>
      </c>
      <c r="T2169" s="4">
        <f>IF(Registro2[[#This Row],[Data de Pagamento]]="",0,IF(Registro2[[#This Row],[Conta Financeira]]=base!$A$6,0,Registro2[[#This Row],[Valor Unitário]]))</f>
        <v>16</v>
      </c>
      <c r="U21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69" t="str">
        <f>VLOOKUP(Registro2[[#This Row],[Categoria]],'Plano de Contas'!$V$3:W2223,2,0)</f>
        <v>Custos Operacionais</v>
      </c>
      <c r="X216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70" spans="1:24" hidden="1">
      <c r="A2170" s="1">
        <v>45790</v>
      </c>
      <c r="B2170" s="1">
        <v>45790</v>
      </c>
      <c r="D2170" t="s">
        <v>947</v>
      </c>
      <c r="E2170" t="s">
        <v>137</v>
      </c>
      <c r="F2170" t="s">
        <v>146</v>
      </c>
      <c r="G2170" t="s">
        <v>315</v>
      </c>
      <c r="H2170" t="s">
        <v>445</v>
      </c>
      <c r="I2170" s="4">
        <v>375.29</v>
      </c>
      <c r="J2170" s="4"/>
      <c r="N2170" s="4" t="str">
        <f>IF(L2170="","",IF(OR(Registro2[[#This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70" t="str">
        <f t="shared" si="37"/>
        <v>mai/25</v>
      </c>
      <c r="P2170" t="str">
        <f>IF(Registro2[[#This Row],[Data de Pagamento]]&gt;0,TEXT(A2170,"mmm/aa"),"")</f>
        <v>mai/25</v>
      </c>
      <c r="T2170" s="4">
        <f>IF(Registro2[[#This Row],[Data de Pagamento]]="",0,IF(Registro2[[#This Row],[Conta Financeira]]=base!$A$6,0,Registro2[[#This Row],[Valor Unitário]]))</f>
        <v>375.29</v>
      </c>
      <c r="U21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70" t="str">
        <f>VLOOKUP(Registro2[[#This Row],[Categoria]],'Plano de Contas'!$V$3:W2224,2,0)</f>
        <v>Despesas Operacionais</v>
      </c>
      <c r="X217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71" spans="1:24" hidden="1">
      <c r="A2171" s="1">
        <v>45807</v>
      </c>
      <c r="B2171" s="1">
        <v>45807</v>
      </c>
      <c r="D2171" t="s">
        <v>947</v>
      </c>
      <c r="E2171" t="s">
        <v>137</v>
      </c>
      <c r="F2171" t="s">
        <v>146</v>
      </c>
      <c r="G2171" t="s">
        <v>314</v>
      </c>
      <c r="H2171" t="s">
        <v>447</v>
      </c>
      <c r="I2171" s="4">
        <v>1000</v>
      </c>
      <c r="J2171" s="4"/>
      <c r="N2171" s="4" t="str">
        <f>IF(L2171="","",IF(OR(Registro2[[#This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71" t="str">
        <f t="shared" si="37"/>
        <v>mai/25</v>
      </c>
      <c r="P2171" t="str">
        <f>IF(Registro2[[#This Row],[Data de Pagamento]]&gt;0,TEXT(A2171,"mmm/aa"),"")</f>
        <v>mai/25</v>
      </c>
      <c r="T2171" s="4">
        <f>IF(Registro2[[#This Row],[Data de Pagamento]]="",0,IF(Registro2[[#This Row],[Conta Financeira]]=base!$A$6,0,Registro2[[#This Row],[Valor Unitário]]))</f>
        <v>1000</v>
      </c>
      <c r="U21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71" t="str">
        <f>VLOOKUP(Registro2[[#This Row],[Categoria]],'Plano de Contas'!$V$3:W2225,2,0)</f>
        <v>Despesas Operacionais</v>
      </c>
      <c r="X217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72" spans="1:24" hidden="1">
      <c r="A2172" s="1">
        <v>45807</v>
      </c>
      <c r="B2172" s="1">
        <v>45807</v>
      </c>
      <c r="D2172" t="s">
        <v>947</v>
      </c>
      <c r="E2172" t="s">
        <v>137</v>
      </c>
      <c r="F2172" t="s">
        <v>138</v>
      </c>
      <c r="G2172" t="s">
        <v>266</v>
      </c>
      <c r="H2172" t="s">
        <v>266</v>
      </c>
      <c r="I2172" s="4">
        <v>2000</v>
      </c>
      <c r="J2172" s="4"/>
      <c r="N2172" s="4" t="str">
        <f>IF(L2172="","",IF(OR(Registro2[[#This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72" t="str">
        <f t="shared" si="37"/>
        <v>mai/25</v>
      </c>
      <c r="P2172" t="str">
        <f>IF(Registro2[[#This Row],[Data de Pagamento]]&gt;0,TEXT(A2172,"mmm/aa"),"")</f>
        <v>mai/25</v>
      </c>
      <c r="T2172" s="4">
        <f>IF(Registro2[[#This Row],[Data de Pagamento]]="",0,IF(Registro2[[#This Row],[Conta Financeira]]=base!$A$6,0,Registro2[[#This Row],[Valor Unitário]]))</f>
        <v>2000</v>
      </c>
      <c r="U21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72" t="str">
        <f>VLOOKUP(Registro2[[#This Row],[Categoria]],'Plano de Contas'!$V$3:W2226,2,0)</f>
        <v>Custos Operacionais</v>
      </c>
      <c r="X217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73" spans="1:24" hidden="1">
      <c r="A2173" s="1">
        <v>45790</v>
      </c>
      <c r="B2173" s="1">
        <v>45790</v>
      </c>
      <c r="D2173" t="s">
        <v>947</v>
      </c>
      <c r="E2173" t="s">
        <v>137</v>
      </c>
      <c r="F2173" t="s">
        <v>139</v>
      </c>
      <c r="G2173" t="s">
        <v>337</v>
      </c>
      <c r="H2173" t="s">
        <v>2979</v>
      </c>
      <c r="I2173" s="4">
        <v>120</v>
      </c>
      <c r="J2173" s="4"/>
      <c r="N2173" s="4" t="str">
        <f>IF(L2173="","",IF(OR(Registro2[[#This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73" t="str">
        <f t="shared" si="37"/>
        <v>mai/25</v>
      </c>
      <c r="P2173" t="str">
        <f>IF(Registro2[[#This Row],[Data de Pagamento]]&gt;0,TEXT(A2173,"mmm/aa"),"")</f>
        <v>mai/25</v>
      </c>
      <c r="T2173" s="4">
        <f>IF(Registro2[[#This Row],[Data de Pagamento]]="",0,IF(Registro2[[#This Row],[Conta Financeira]]=base!$A$6,0,Registro2[[#This Row],[Valor Unitário]]))</f>
        <v>120</v>
      </c>
      <c r="U21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73" t="str">
        <f>VLOOKUP(Registro2[[#This Row],[Categoria]],'Plano de Contas'!$V$3:W2227,2,0)</f>
        <v>Despesas Gerias &amp; Vendas</v>
      </c>
      <c r="X217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74" spans="1:24" hidden="1">
      <c r="A2174" s="1">
        <v>45790</v>
      </c>
      <c r="B2174" s="1">
        <v>45790</v>
      </c>
      <c r="D2174" t="s">
        <v>947</v>
      </c>
      <c r="E2174" t="s">
        <v>137</v>
      </c>
      <c r="F2174" t="s">
        <v>138</v>
      </c>
      <c r="G2174" t="s">
        <v>141</v>
      </c>
      <c r="H2174" t="s">
        <v>1261</v>
      </c>
      <c r="I2174" s="4">
        <v>60</v>
      </c>
      <c r="J2174" s="4"/>
      <c r="N2174" s="4" t="str">
        <f>IF(L2174="","",IF(OR(Registro2[[#This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74" t="str">
        <f t="shared" si="37"/>
        <v>mai/25</v>
      </c>
      <c r="P2174" t="str">
        <f>IF(Registro2[[#This Row],[Data de Pagamento]]&gt;0,TEXT(A2174,"mmm/aa"),"")</f>
        <v>mai/25</v>
      </c>
      <c r="T2174" s="4">
        <f>IF(Registro2[[#This Row],[Data de Pagamento]]="",0,IF(Registro2[[#This Row],[Conta Financeira]]=base!$A$6,0,Registro2[[#This Row],[Valor Unitário]]))</f>
        <v>60</v>
      </c>
      <c r="U21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74" t="str">
        <f>VLOOKUP(Registro2[[#This Row],[Categoria]],'Plano de Contas'!$V$3:W2228,2,0)</f>
        <v>Custos Operacionais</v>
      </c>
      <c r="X217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75" spans="1:24" hidden="1">
      <c r="A2175" s="1">
        <v>45808.443055555559</v>
      </c>
      <c r="B2175" s="1">
        <v>45808.443055555559</v>
      </c>
      <c r="D2175" t="s">
        <v>947</v>
      </c>
      <c r="E2175" t="s">
        <v>137</v>
      </c>
      <c r="F2175" t="s">
        <v>138</v>
      </c>
      <c r="G2175" t="s">
        <v>334</v>
      </c>
      <c r="H2175" t="s">
        <v>2700</v>
      </c>
      <c r="I2175" s="4">
        <v>400</v>
      </c>
      <c r="J2175" s="4"/>
      <c r="N2175" s="4" t="str">
        <f>IF(L2175="","",IF(OR(Registro2[[#This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75" t="str">
        <f>TEXT(B2175,"mmm/aa")</f>
        <v>mai/25</v>
      </c>
      <c r="P2175" t="str">
        <f>IF(Registro2[[#This Row],[Data de Pagamento]]&gt;0,TEXT(A2175,"mmm/aa"),"")</f>
        <v>mai/25</v>
      </c>
      <c r="T2175" s="4">
        <f>IF(Registro2[[#This Row],[Data de Pagamento]]="",0,IF(Registro2[[#This Row],[Conta Financeira]]=base!$A$6,0,Registro2[[#This Row],[Valor Unitário]]))</f>
        <v>400</v>
      </c>
      <c r="U21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75" t="str">
        <f>VLOOKUP(Registro2[[#This Row],[Categoria]],'Plano de Contas'!$V$3:W2229,2,0)</f>
        <v>Despesas Administrativas</v>
      </c>
      <c r="X217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76" spans="1:24" hidden="1">
      <c r="A2176" s="1">
        <v>45790.583333333336</v>
      </c>
      <c r="B2176" s="1">
        <v>45790.583333333336</v>
      </c>
      <c r="D2176" t="s">
        <v>2</v>
      </c>
      <c r="E2176" t="s">
        <v>149</v>
      </c>
      <c r="F2176" t="s">
        <v>147</v>
      </c>
      <c r="G2176" t="s">
        <v>163</v>
      </c>
      <c r="I2176" s="4">
        <v>35</v>
      </c>
      <c r="J2176" s="4">
        <v>140</v>
      </c>
      <c r="L2176" t="s">
        <v>253</v>
      </c>
      <c r="M2176" t="s">
        <v>2994</v>
      </c>
      <c r="N2176" s="4">
        <f>IF(L2176="","",IF(OR(Registro2[[#This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76" t="str">
        <f t="shared" ref="O2176:O2207" si="38">TEXT(B2176,"mmm/aa")</f>
        <v>mai/25</v>
      </c>
      <c r="P2176" t="str">
        <f>IF(Registro2[[#This Row],[Data de Pagamento]]&gt;0,TEXT(A2176,"mmm/aa"),"")</f>
        <v>mai/25</v>
      </c>
      <c r="T2176" s="4">
        <f>IF(Registro2[[#This Row],[Data de Pagamento]]="",0,IF(Registro2[[#This Row],[Conta Financeira]]=base!$A$6,0,Registro2[[#This Row],[Valor Unitário]]))</f>
        <v>35</v>
      </c>
      <c r="U21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76" t="str">
        <f>VLOOKUP(Registro2[[#This Row],[Categoria]],'Plano de Contas'!$V$3:W2230,2,0)</f>
        <v>Receitas Serviços</v>
      </c>
      <c r="X217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77" spans="1:24" hidden="1">
      <c r="A2177" s="1">
        <v>45790.583333333336</v>
      </c>
      <c r="B2177" s="1">
        <v>45790.583333333336</v>
      </c>
      <c r="D2177" t="s">
        <v>2</v>
      </c>
      <c r="E2177" t="s">
        <v>149</v>
      </c>
      <c r="F2177" t="s">
        <v>147</v>
      </c>
      <c r="G2177" t="s">
        <v>163</v>
      </c>
      <c r="I2177" s="4">
        <v>35</v>
      </c>
      <c r="J2177" s="4">
        <v>0</v>
      </c>
      <c r="L2177" t="s">
        <v>253</v>
      </c>
      <c r="M2177" t="s">
        <v>2994</v>
      </c>
      <c r="N2177" s="4">
        <f>IF(L2177="","",IF(OR(Registro2[[#This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77" t="str">
        <f t="shared" si="38"/>
        <v>mai/25</v>
      </c>
      <c r="P2177" t="str">
        <f>IF(Registro2[[#This Row],[Data de Pagamento]]&gt;0,TEXT(A2177,"mmm/aa"),"")</f>
        <v>mai/25</v>
      </c>
      <c r="T2177" s="4">
        <f>IF(Registro2[[#This Row],[Data de Pagamento]]="",0,IF(Registro2[[#This Row],[Conta Financeira]]=base!$A$6,0,Registro2[[#This Row],[Valor Unitário]]))</f>
        <v>35</v>
      </c>
      <c r="U21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77" t="str">
        <f>VLOOKUP(Registro2[[#This Row],[Categoria]],'Plano de Contas'!$V$3:W2231,2,0)</f>
        <v>Receitas Serviços</v>
      </c>
      <c r="X217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78" spans="1:24" hidden="1">
      <c r="A2178" s="1">
        <v>45790.583333333336</v>
      </c>
      <c r="B2178" s="1">
        <v>45790.583333333336</v>
      </c>
      <c r="D2178" t="s">
        <v>2</v>
      </c>
      <c r="E2178" t="s">
        <v>149</v>
      </c>
      <c r="F2178" t="s">
        <v>147</v>
      </c>
      <c r="G2178" t="s">
        <v>163</v>
      </c>
      <c r="I2178" s="4">
        <v>35</v>
      </c>
      <c r="J2178" s="4">
        <v>0</v>
      </c>
      <c r="L2178" t="s">
        <v>253</v>
      </c>
      <c r="M2178" t="s">
        <v>2994</v>
      </c>
      <c r="N2178" s="4">
        <f>IF(L2178="","",IF(OR(Registro2[[#This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78" t="str">
        <f t="shared" si="38"/>
        <v>mai/25</v>
      </c>
      <c r="P2178" t="str">
        <f>IF(Registro2[[#This Row],[Data de Pagamento]]&gt;0,TEXT(A2178,"mmm/aa"),"")</f>
        <v>mai/25</v>
      </c>
      <c r="T2178" s="4">
        <f>IF(Registro2[[#This Row],[Data de Pagamento]]="",0,IF(Registro2[[#This Row],[Conta Financeira]]=base!$A$6,0,Registro2[[#This Row],[Valor Unitário]]))</f>
        <v>35</v>
      </c>
      <c r="U21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78" t="str">
        <f>VLOOKUP(Registro2[[#This Row],[Categoria]],'Plano de Contas'!$V$3:W2232,2,0)</f>
        <v>Receitas Serviços</v>
      </c>
      <c r="X21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79" spans="1:24" hidden="1">
      <c r="A2179" s="1">
        <v>45790.583333333336</v>
      </c>
      <c r="B2179" s="1">
        <v>45790.583333333336</v>
      </c>
      <c r="D2179" t="s">
        <v>2</v>
      </c>
      <c r="E2179" t="s">
        <v>149</v>
      </c>
      <c r="F2179" t="s">
        <v>147</v>
      </c>
      <c r="G2179" t="s">
        <v>163</v>
      </c>
      <c r="I2179" s="4">
        <v>35</v>
      </c>
      <c r="J2179" s="4">
        <v>0</v>
      </c>
      <c r="L2179" t="s">
        <v>252</v>
      </c>
      <c r="M2179" t="s">
        <v>2994</v>
      </c>
      <c r="N2179" s="4">
        <f>IF(L2179="","",IF(OR(Registro2[[#This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79" t="str">
        <f t="shared" si="38"/>
        <v>mai/25</v>
      </c>
      <c r="P2179" t="str">
        <f>IF(Registro2[[#This Row],[Data de Pagamento]]&gt;0,TEXT(A2179,"mmm/aa"),"")</f>
        <v>mai/25</v>
      </c>
      <c r="T2179" s="4">
        <f>IF(Registro2[[#This Row],[Data de Pagamento]]="",0,IF(Registro2[[#This Row],[Conta Financeira]]=base!$A$6,0,Registro2[[#This Row],[Valor Unitário]]))</f>
        <v>35</v>
      </c>
      <c r="U21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79" t="str">
        <f>VLOOKUP(Registro2[[#This Row],[Categoria]],'Plano de Contas'!$V$3:W2233,2,0)</f>
        <v>Receitas Serviços</v>
      </c>
      <c r="X217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80" spans="1:24" hidden="1">
      <c r="A2180" s="1">
        <v>45790.46875</v>
      </c>
      <c r="B2180" s="1">
        <v>45790.46875</v>
      </c>
      <c r="D2180" t="s">
        <v>354</v>
      </c>
      <c r="E2180" t="s">
        <v>149</v>
      </c>
      <c r="F2180" t="s">
        <v>147</v>
      </c>
      <c r="G2180" t="s">
        <v>163</v>
      </c>
      <c r="I2180" s="4">
        <v>35</v>
      </c>
      <c r="J2180" s="4">
        <v>65</v>
      </c>
      <c r="L2180" t="s">
        <v>264</v>
      </c>
      <c r="M2180" t="s">
        <v>425</v>
      </c>
      <c r="N2180" s="4">
        <f>IF(L2180="","",IF(OR(Registro2[[#This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80" t="str">
        <f t="shared" si="38"/>
        <v>mai/25</v>
      </c>
      <c r="P2180" t="str">
        <f>IF(Registro2[[#This Row],[Data de Pagamento]]&gt;0,TEXT(A2180,"mmm/aa"),"")</f>
        <v>mai/25</v>
      </c>
      <c r="T2180" s="4">
        <f>IF(Registro2[[#This Row],[Data de Pagamento]]="",0,IF(Registro2[[#This Row],[Conta Financeira]]=base!$A$6,0,Registro2[[#This Row],[Valor Unitário]]))</f>
        <v>35</v>
      </c>
      <c r="U21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80" t="str">
        <f>VLOOKUP(Registro2[[#This Row],[Categoria]],'Plano de Contas'!$V$3:W2234,2,0)</f>
        <v>Receitas Serviços</v>
      </c>
      <c r="X218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181" spans="1:24" hidden="1">
      <c r="A2181" s="1">
        <v>45790.46875</v>
      </c>
      <c r="B2181" s="1">
        <v>45790.46875</v>
      </c>
      <c r="D2181" t="s">
        <v>354</v>
      </c>
      <c r="E2181" t="s">
        <v>149</v>
      </c>
      <c r="F2181" t="s">
        <v>147</v>
      </c>
      <c r="G2181" t="s">
        <v>167</v>
      </c>
      <c r="I2181" s="4">
        <v>10</v>
      </c>
      <c r="J2181" s="4">
        <v>0</v>
      </c>
      <c r="L2181" t="s">
        <v>264</v>
      </c>
      <c r="M2181" t="s">
        <v>425</v>
      </c>
      <c r="N2181" s="4">
        <f>IF(L2181="","",IF(OR(Registro2[[#This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181" t="str">
        <f t="shared" si="38"/>
        <v>mai/25</v>
      </c>
      <c r="P2181" t="str">
        <f>IF(Registro2[[#This Row],[Data de Pagamento]]&gt;0,TEXT(A2181,"mmm/aa"),"")</f>
        <v>mai/25</v>
      </c>
      <c r="T2181" s="4">
        <f>IF(Registro2[[#This Row],[Data de Pagamento]]="",0,IF(Registro2[[#This Row],[Conta Financeira]]=base!$A$6,0,Registro2[[#This Row],[Valor Unitário]]))</f>
        <v>10</v>
      </c>
      <c r="U21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81" t="str">
        <f>VLOOKUP(Registro2[[#This Row],[Categoria]],'Plano de Contas'!$V$3:W2235,2,0)</f>
        <v>Receitas Serviços</v>
      </c>
      <c r="X218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</row>
    <row r="2182" spans="1:24" hidden="1">
      <c r="A2182" s="1">
        <v>45790.46875</v>
      </c>
      <c r="B2182" s="1">
        <v>45790.46875</v>
      </c>
      <c r="D2182" t="s">
        <v>354</v>
      </c>
      <c r="E2182" t="s">
        <v>149</v>
      </c>
      <c r="F2182" t="s">
        <v>147</v>
      </c>
      <c r="G2182" t="s">
        <v>166</v>
      </c>
      <c r="I2182" s="4">
        <v>20</v>
      </c>
      <c r="J2182" s="4">
        <v>0</v>
      </c>
      <c r="L2182" t="s">
        <v>264</v>
      </c>
      <c r="M2182" t="s">
        <v>425</v>
      </c>
      <c r="N2182" s="4">
        <f>IF(L2182="","",IF(OR(Registro2[[#This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182" t="str">
        <f t="shared" si="38"/>
        <v>mai/25</v>
      </c>
      <c r="P2182" t="str">
        <f>IF(Registro2[[#This Row],[Data de Pagamento]]&gt;0,TEXT(A2182,"mmm/aa"),"")</f>
        <v>mai/25</v>
      </c>
      <c r="T2182" s="4">
        <f>IF(Registro2[[#This Row],[Data de Pagamento]]="",0,IF(Registro2[[#This Row],[Conta Financeira]]=base!$A$6,0,Registro2[[#This Row],[Valor Unitário]]))</f>
        <v>20</v>
      </c>
      <c r="U21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82" t="str">
        <f>VLOOKUP(Registro2[[#This Row],[Categoria]],'Plano de Contas'!$V$3:W2236,2,0)</f>
        <v>Receitas Serviços</v>
      </c>
      <c r="X218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0.63</v>
      </c>
    </row>
    <row r="2183" spans="1:24" hidden="1">
      <c r="A2183" s="1">
        <v>45790.496527777781</v>
      </c>
      <c r="B2183" s="1">
        <v>45790.496527777781</v>
      </c>
      <c r="D2183" t="s">
        <v>1</v>
      </c>
      <c r="E2183" t="s">
        <v>149</v>
      </c>
      <c r="F2183" t="s">
        <v>147</v>
      </c>
      <c r="G2183" t="s">
        <v>163</v>
      </c>
      <c r="I2183" s="4">
        <v>35</v>
      </c>
      <c r="J2183" s="4">
        <v>35</v>
      </c>
      <c r="L2183" t="s">
        <v>252</v>
      </c>
      <c r="M2183" t="s">
        <v>2956</v>
      </c>
      <c r="N2183" s="4">
        <f>IF(L2183="","",IF(OR(Registro2[[#This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83" t="str">
        <f t="shared" si="38"/>
        <v>mai/25</v>
      </c>
      <c r="P2183" t="str">
        <f>IF(Registro2[[#This Row],[Data de Pagamento]]&gt;0,TEXT(A2183,"mmm/aa"),"")</f>
        <v>mai/25</v>
      </c>
      <c r="T2183" s="4">
        <f>IF(Registro2[[#This Row],[Data de Pagamento]]="",0,IF(Registro2[[#This Row],[Conta Financeira]]=base!$A$6,0,Registro2[[#This Row],[Valor Unitário]]))</f>
        <v>35</v>
      </c>
      <c r="U21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83" t="str">
        <f>VLOOKUP(Registro2[[#This Row],[Categoria]],'Plano de Contas'!$V$3:W2237,2,0)</f>
        <v>Receitas Serviços</v>
      </c>
      <c r="X21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84" spans="1:24" hidden="1">
      <c r="A2184" s="1">
        <v>45792.416666666664</v>
      </c>
      <c r="B2184" s="1">
        <v>45792.416666666664</v>
      </c>
      <c r="D2184" t="s">
        <v>1</v>
      </c>
      <c r="E2184" t="s">
        <v>149</v>
      </c>
      <c r="F2184" t="s">
        <v>147</v>
      </c>
      <c r="G2184" t="s">
        <v>163</v>
      </c>
      <c r="I2184" s="4">
        <v>35</v>
      </c>
      <c r="J2184" s="4">
        <v>35</v>
      </c>
      <c r="L2184" t="s">
        <v>252</v>
      </c>
      <c r="M2184" t="s">
        <v>364</v>
      </c>
      <c r="N2184" s="4">
        <f>IF(L2184="","",IF(OR(Registro2[[#This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84" t="str">
        <f t="shared" si="38"/>
        <v>mai/25</v>
      </c>
      <c r="P2184" t="str">
        <f>IF(Registro2[[#This Row],[Data de Pagamento]]&gt;0,TEXT(A2184,"mmm/aa"),"")</f>
        <v>mai/25</v>
      </c>
      <c r="T2184" s="4">
        <f>IF(Registro2[[#This Row],[Data de Pagamento]]="",0,IF(Registro2[[#This Row],[Conta Financeira]]=base!$A$6,0,Registro2[[#This Row],[Valor Unitário]]))</f>
        <v>35</v>
      </c>
      <c r="U21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84" t="str">
        <f>VLOOKUP(Registro2[[#This Row],[Categoria]],'Plano de Contas'!$V$3:W2238,2,0)</f>
        <v>Receitas Serviços</v>
      </c>
      <c r="X218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85" spans="1:24" hidden="1">
      <c r="A2185" s="1">
        <v>45790.5</v>
      </c>
      <c r="B2185" s="1">
        <v>45790.5</v>
      </c>
      <c r="D2185" t="s">
        <v>1</v>
      </c>
      <c r="E2185" t="s">
        <v>149</v>
      </c>
      <c r="F2185" t="s">
        <v>147</v>
      </c>
      <c r="G2185" t="s">
        <v>163</v>
      </c>
      <c r="I2185" s="4">
        <v>35</v>
      </c>
      <c r="J2185" s="4">
        <v>35</v>
      </c>
      <c r="L2185" t="s">
        <v>264</v>
      </c>
      <c r="M2185" t="s">
        <v>403</v>
      </c>
      <c r="N2185" s="4">
        <f>IF(L2185="","",IF(OR(Registro2[[#This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85" t="str">
        <f t="shared" si="38"/>
        <v>mai/25</v>
      </c>
      <c r="P2185" t="str">
        <f>IF(Registro2[[#This Row],[Data de Pagamento]]&gt;0,TEXT(A2185,"mmm/aa"),"")</f>
        <v>mai/25</v>
      </c>
      <c r="T2185" s="4">
        <f>IF(Registro2[[#This Row],[Data de Pagamento]]="",0,IF(Registro2[[#This Row],[Conta Financeira]]=base!$A$6,0,Registro2[[#This Row],[Valor Unitário]]))</f>
        <v>35</v>
      </c>
      <c r="U21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85" t="str">
        <f>VLOOKUP(Registro2[[#This Row],[Categoria]],'Plano de Contas'!$V$3:W2239,2,0)</f>
        <v>Receitas Serviços</v>
      </c>
      <c r="X218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86" spans="1:24" hidden="1">
      <c r="A2186" s="1">
        <v>45790.586805555555</v>
      </c>
      <c r="B2186" s="1">
        <v>45790.586805555555</v>
      </c>
      <c r="D2186" t="s">
        <v>2</v>
      </c>
      <c r="E2186" t="s">
        <v>149</v>
      </c>
      <c r="F2186" t="s">
        <v>147</v>
      </c>
      <c r="G2186" t="s">
        <v>163</v>
      </c>
      <c r="I2186" s="4">
        <v>10</v>
      </c>
      <c r="J2186" s="4">
        <v>10</v>
      </c>
      <c r="L2186" t="s">
        <v>264</v>
      </c>
      <c r="M2186" t="s">
        <v>1067</v>
      </c>
      <c r="N2186" s="4">
        <f>IF(L2186="","",IF(OR(Registro2[[#This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186" t="str">
        <f t="shared" si="38"/>
        <v>mai/25</v>
      </c>
      <c r="P2186" t="str">
        <f>IF(Registro2[[#This Row],[Data de Pagamento]]&gt;0,TEXT(A2186,"mmm/aa"),"")</f>
        <v>mai/25</v>
      </c>
      <c r="T2186" s="4">
        <f>IF(Registro2[[#This Row],[Data de Pagamento]]="",0,IF(Registro2[[#This Row],[Conta Financeira]]=base!$A$6,0,Registro2[[#This Row],[Valor Unitário]]))</f>
        <v>10</v>
      </c>
      <c r="U21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86" t="str">
        <f>VLOOKUP(Registro2[[#This Row],[Categoria]],'Plano de Contas'!$V$3:W2240,2,0)</f>
        <v>Receitas Serviços</v>
      </c>
      <c r="X218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87" spans="1:24" hidden="1">
      <c r="A2187" s="1">
        <v>45790.625</v>
      </c>
      <c r="B2187" s="1">
        <v>45790.625</v>
      </c>
      <c r="D2187" t="s">
        <v>1</v>
      </c>
      <c r="E2187" t="s">
        <v>149</v>
      </c>
      <c r="F2187" t="s">
        <v>147</v>
      </c>
      <c r="G2187" t="s">
        <v>163</v>
      </c>
      <c r="I2187" s="4">
        <v>35</v>
      </c>
      <c r="J2187" s="4">
        <v>50</v>
      </c>
      <c r="L2187" t="s">
        <v>252</v>
      </c>
      <c r="M2187" t="s">
        <v>3001</v>
      </c>
      <c r="N2187" s="4">
        <f>IF(L2187="","",IF(OR(Registro2[[#This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87" t="str">
        <f t="shared" si="38"/>
        <v>mai/25</v>
      </c>
      <c r="P2187" t="str">
        <f>IF(Registro2[[#This Row],[Data de Pagamento]]&gt;0,TEXT(A2187,"mmm/aa"),"")</f>
        <v>mai/25</v>
      </c>
      <c r="T2187" s="4">
        <f>IF(Registro2[[#This Row],[Data de Pagamento]]="",0,IF(Registro2[[#This Row],[Conta Financeira]]=base!$A$6,0,Registro2[[#This Row],[Valor Unitário]]))</f>
        <v>35</v>
      </c>
      <c r="U21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87" t="str">
        <f>VLOOKUP(Registro2[[#This Row],[Categoria]],'Plano de Contas'!$V$3:W2241,2,0)</f>
        <v>Receitas Serviços</v>
      </c>
      <c r="X218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88" spans="1:24" hidden="1">
      <c r="A2188" s="1">
        <v>45790.625</v>
      </c>
      <c r="B2188" s="1">
        <v>45790.625</v>
      </c>
      <c r="D2188" t="s">
        <v>1</v>
      </c>
      <c r="E2188" t="s">
        <v>149</v>
      </c>
      <c r="F2188" t="s">
        <v>147</v>
      </c>
      <c r="G2188" t="s">
        <v>167</v>
      </c>
      <c r="I2188" s="4">
        <v>10</v>
      </c>
      <c r="J2188" s="4">
        <v>0</v>
      </c>
      <c r="L2188" t="s">
        <v>252</v>
      </c>
      <c r="M2188" t="s">
        <v>3001</v>
      </c>
      <c r="N2188" s="4">
        <f>IF(L2188="","",IF(OR(Registro2[[#This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188" t="str">
        <f t="shared" si="38"/>
        <v>mai/25</v>
      </c>
      <c r="P2188" t="str">
        <f>IF(Registro2[[#This Row],[Data de Pagamento]]&gt;0,TEXT(A2188,"mmm/aa"),"")</f>
        <v>mai/25</v>
      </c>
      <c r="T2188" s="4">
        <f>IF(Registro2[[#This Row],[Data de Pagamento]]="",0,IF(Registro2[[#This Row],[Conta Financeira]]=base!$A$6,0,Registro2[[#This Row],[Valor Unitário]]))</f>
        <v>10</v>
      </c>
      <c r="U21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88" t="str">
        <f>VLOOKUP(Registro2[[#This Row],[Categoria]],'Plano de Contas'!$V$3:W2242,2,0)</f>
        <v>Receitas Serviços</v>
      </c>
      <c r="X218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89" spans="1:24">
      <c r="A2189" s="1">
        <v>45790.625</v>
      </c>
      <c r="B2189" s="1">
        <v>45790.625</v>
      </c>
      <c r="D2189" t="s">
        <v>1</v>
      </c>
      <c r="E2189" t="s">
        <v>149</v>
      </c>
      <c r="F2189" t="s">
        <v>910</v>
      </c>
      <c r="G2189" t="s">
        <v>910</v>
      </c>
      <c r="I2189" s="4">
        <v>5</v>
      </c>
      <c r="J2189" s="4">
        <v>0</v>
      </c>
      <c r="L2189" t="s">
        <v>252</v>
      </c>
      <c r="M2189" t="s">
        <v>3001</v>
      </c>
      <c r="N2189" s="4" t="str">
        <f>IF(L2189="","",IF(OR(Registro2[[#This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189" t="str">
        <f t="shared" si="38"/>
        <v>mai/25</v>
      </c>
      <c r="P2189" t="str">
        <f>IF(Registro2[[#This Row],[Data de Pagamento]]&gt;0,TEXT(A2189,"mmm/aa"),"")</f>
        <v>mai/25</v>
      </c>
      <c r="T2189" s="4">
        <f>IF(Registro2[[#This Row],[Data de Pagamento]]="",0,IF(Registro2[[#This Row],[Conta Financeira]]=base!$A$6,0,Registro2[[#This Row],[Valor Unitário]]))</f>
        <v>5</v>
      </c>
      <c r="U21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89" t="str">
        <f>VLOOKUP(Registro2[[#This Row],[Categoria]],'Plano de Contas'!$V$3:W2243,2,0)</f>
        <v>Outras Receitas</v>
      </c>
      <c r="X218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90" spans="1:24" hidden="1">
      <c r="A2190" s="1">
        <v>45790.666666666664</v>
      </c>
      <c r="B2190" s="1">
        <v>45790.666666666664</v>
      </c>
      <c r="D2190" t="s">
        <v>1</v>
      </c>
      <c r="E2190" t="s">
        <v>149</v>
      </c>
      <c r="F2190" t="s">
        <v>147</v>
      </c>
      <c r="G2190" t="s">
        <v>163</v>
      </c>
      <c r="I2190" s="4">
        <v>30</v>
      </c>
      <c r="J2190" s="4">
        <v>0</v>
      </c>
      <c r="L2190" t="s">
        <v>253</v>
      </c>
      <c r="M2190" t="s">
        <v>122</v>
      </c>
      <c r="N2190" s="4">
        <f>IF(L2190="","",IF(OR(Registro2[[#This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2190" t="str">
        <f t="shared" si="38"/>
        <v>mai/25</v>
      </c>
      <c r="P2190" t="str">
        <f>IF(Registro2[[#This Row],[Data de Pagamento]]&gt;0,TEXT(A2190,"mmm/aa"),"")</f>
        <v>mai/25</v>
      </c>
      <c r="T2190" s="4">
        <f>IF(Registro2[[#This Row],[Data de Pagamento]]="",0,IF(Registro2[[#This Row],[Conta Financeira]]=base!$A$6,0,Registro2[[#This Row],[Valor Unitário]]))</f>
        <v>30</v>
      </c>
      <c r="U21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2190" t="str">
        <f>VLOOKUP(Registro2[[#This Row],[Categoria]],'Plano de Contas'!$V$3:W2244,2,0)</f>
        <v>Receitas Serviços</v>
      </c>
      <c r="X219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91" spans="1:24" hidden="1">
      <c r="A2191" s="1">
        <v>45790.677083333336</v>
      </c>
      <c r="B2191" s="1">
        <v>45790.677083333336</v>
      </c>
      <c r="D2191" t="s">
        <v>354</v>
      </c>
      <c r="E2191" t="s">
        <v>149</v>
      </c>
      <c r="F2191" t="s">
        <v>147</v>
      </c>
      <c r="G2191" t="s">
        <v>163</v>
      </c>
      <c r="I2191" s="4">
        <v>35</v>
      </c>
      <c r="J2191" s="4">
        <v>70</v>
      </c>
      <c r="L2191" t="s">
        <v>252</v>
      </c>
      <c r="M2191" t="s">
        <v>3004</v>
      </c>
      <c r="N2191" s="4">
        <f>IF(L2191="","",IF(OR(Registro2[[#This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91" t="str">
        <f t="shared" si="38"/>
        <v>mai/25</v>
      </c>
      <c r="P2191" t="str">
        <f>IF(Registro2[[#This Row],[Data de Pagamento]]&gt;0,TEXT(A2191,"mmm/aa"),"")</f>
        <v>mai/25</v>
      </c>
      <c r="T2191" s="4">
        <f>IF(Registro2[[#This Row],[Data de Pagamento]]="",0,IF(Registro2[[#This Row],[Conta Financeira]]=base!$A$6,0,Registro2[[#This Row],[Valor Unitário]]))</f>
        <v>35</v>
      </c>
      <c r="U21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91" t="str">
        <f>VLOOKUP(Registro2[[#This Row],[Categoria]],'Plano de Contas'!$V$3:W2245,2,0)</f>
        <v>Receitas Serviços</v>
      </c>
      <c r="X219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192" spans="1:24" hidden="1">
      <c r="A2192" s="1">
        <v>45790.677083333336</v>
      </c>
      <c r="B2192" s="1">
        <v>45790.677083333336</v>
      </c>
      <c r="D2192" t="s">
        <v>354</v>
      </c>
      <c r="E2192" t="s">
        <v>149</v>
      </c>
      <c r="F2192" t="s">
        <v>147</v>
      </c>
      <c r="G2192" t="s">
        <v>163</v>
      </c>
      <c r="I2192" s="4">
        <v>35</v>
      </c>
      <c r="J2192" s="4">
        <v>0</v>
      </c>
      <c r="L2192" t="s">
        <v>264</v>
      </c>
      <c r="M2192" t="s">
        <v>3004</v>
      </c>
      <c r="N2192" s="4">
        <f>IF(L2192="","",IF(OR(Registro2[[#This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92" t="str">
        <f t="shared" si="38"/>
        <v>mai/25</v>
      </c>
      <c r="P2192" t="str">
        <f>IF(Registro2[[#This Row],[Data de Pagamento]]&gt;0,TEXT(A2192,"mmm/aa"),"")</f>
        <v>mai/25</v>
      </c>
      <c r="T2192" s="4">
        <f>IF(Registro2[[#This Row],[Data de Pagamento]]="",0,IF(Registro2[[#This Row],[Conta Financeira]]=base!$A$6,0,Registro2[[#This Row],[Valor Unitário]]))</f>
        <v>35</v>
      </c>
      <c r="U21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92" t="str">
        <f>VLOOKUP(Registro2[[#This Row],[Categoria]],'Plano de Contas'!$V$3:W2246,2,0)</f>
        <v>Receitas Serviços</v>
      </c>
      <c r="X219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193" spans="1:24" hidden="1">
      <c r="A2193" s="1">
        <v>45790.802083333336</v>
      </c>
      <c r="B2193" s="1">
        <v>45790.802083333336</v>
      </c>
      <c r="D2193" t="s">
        <v>1</v>
      </c>
      <c r="E2193" t="s">
        <v>149</v>
      </c>
      <c r="F2193" t="s">
        <v>147</v>
      </c>
      <c r="G2193" t="s">
        <v>163</v>
      </c>
      <c r="I2193" s="4">
        <v>35</v>
      </c>
      <c r="J2193" s="4">
        <v>35</v>
      </c>
      <c r="L2193" t="s">
        <v>264</v>
      </c>
      <c r="M2193" t="s">
        <v>3006</v>
      </c>
      <c r="N2193" s="4">
        <f>IF(L2193="","",IF(OR(Registro2[[#This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93" t="str">
        <f t="shared" si="38"/>
        <v>mai/25</v>
      </c>
      <c r="P2193" t="str">
        <f>IF(Registro2[[#This Row],[Data de Pagamento]]&gt;0,TEXT(A2193,"mmm/aa"),"")</f>
        <v>mai/25</v>
      </c>
      <c r="T2193" s="4">
        <f>IF(Registro2[[#This Row],[Data de Pagamento]]="",0,IF(Registro2[[#This Row],[Conta Financeira]]=base!$A$6,0,Registro2[[#This Row],[Valor Unitário]]))</f>
        <v>35</v>
      </c>
      <c r="U21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93" t="str">
        <f>VLOOKUP(Registro2[[#This Row],[Categoria]],'Plano de Contas'!$V$3:W2247,2,0)</f>
        <v>Receitas Serviços</v>
      </c>
      <c r="X219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94" spans="1:24" hidden="1">
      <c r="A2194" s="1">
        <v>45790.829861111109</v>
      </c>
      <c r="B2194" s="1">
        <v>45790.829861111109</v>
      </c>
      <c r="D2194" t="s">
        <v>354</v>
      </c>
      <c r="E2194" t="s">
        <v>149</v>
      </c>
      <c r="F2194" t="s">
        <v>147</v>
      </c>
      <c r="G2194" t="s">
        <v>163</v>
      </c>
      <c r="I2194" s="4">
        <v>35</v>
      </c>
      <c r="J2194" s="4">
        <v>70</v>
      </c>
      <c r="L2194" t="s">
        <v>252</v>
      </c>
      <c r="M2194" t="s">
        <v>187</v>
      </c>
      <c r="N2194" s="4">
        <f>IF(L2194="","",IF(OR(Registro2[[#This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94" t="str">
        <f t="shared" si="38"/>
        <v>mai/25</v>
      </c>
      <c r="P2194" t="str">
        <f>IF(Registro2[[#This Row],[Data de Pagamento]]&gt;0,TEXT(A2194,"mmm/aa"),"")</f>
        <v>mai/25</v>
      </c>
      <c r="T2194" s="4">
        <f>IF(Registro2[[#This Row],[Data de Pagamento]]="",0,IF(Registro2[[#This Row],[Conta Financeira]]=base!$A$6,0,Registro2[[#This Row],[Valor Unitário]]))</f>
        <v>35</v>
      </c>
      <c r="U21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94" t="str">
        <f>VLOOKUP(Registro2[[#This Row],[Categoria]],'Plano de Contas'!$V$3:W2248,2,0)</f>
        <v>Receitas Serviços</v>
      </c>
      <c r="X219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195" spans="1:24" hidden="1">
      <c r="A2195" s="1">
        <v>45790.829861111109</v>
      </c>
      <c r="B2195" s="1">
        <v>45790.829861111109</v>
      </c>
      <c r="D2195" t="s">
        <v>354</v>
      </c>
      <c r="E2195" t="s">
        <v>149</v>
      </c>
      <c r="F2195" t="s">
        <v>147</v>
      </c>
      <c r="G2195" t="s">
        <v>163</v>
      </c>
      <c r="I2195" s="4">
        <v>35</v>
      </c>
      <c r="J2195" s="4">
        <v>0</v>
      </c>
      <c r="L2195" t="s">
        <v>253</v>
      </c>
      <c r="M2195" t="s">
        <v>187</v>
      </c>
      <c r="N2195" s="4">
        <f>IF(L2195="","",IF(OR(Registro2[[#This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95" t="str">
        <f t="shared" si="38"/>
        <v>mai/25</v>
      </c>
      <c r="P2195" t="str">
        <f>IF(Registro2[[#This Row],[Data de Pagamento]]&gt;0,TEXT(A2195,"mmm/aa"),"")</f>
        <v>mai/25</v>
      </c>
      <c r="T2195" s="4">
        <f>IF(Registro2[[#This Row],[Data de Pagamento]]="",0,IF(Registro2[[#This Row],[Conta Financeira]]=base!$A$6,0,Registro2[[#This Row],[Valor Unitário]]))</f>
        <v>35</v>
      </c>
      <c r="U21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95" t="str">
        <f>VLOOKUP(Registro2[[#This Row],[Categoria]],'Plano de Contas'!$V$3:W2249,2,0)</f>
        <v>Receitas Serviços</v>
      </c>
      <c r="X219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196" spans="1:24" hidden="1">
      <c r="A2196" s="1">
        <v>45794.395833333336</v>
      </c>
      <c r="B2196" s="1">
        <v>45794.395833333336</v>
      </c>
      <c r="D2196" t="s">
        <v>1</v>
      </c>
      <c r="E2196" t="s">
        <v>149</v>
      </c>
      <c r="F2196" t="s">
        <v>147</v>
      </c>
      <c r="G2196" t="s">
        <v>163</v>
      </c>
      <c r="I2196" s="4">
        <v>35</v>
      </c>
      <c r="J2196" s="4">
        <v>35</v>
      </c>
      <c r="L2196" t="s">
        <v>253</v>
      </c>
      <c r="M2196" t="s">
        <v>3009</v>
      </c>
      <c r="N2196" s="4">
        <f>IF(L2196="","",IF(OR(Registro2[[#This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96" t="str">
        <f t="shared" si="38"/>
        <v>mai/25</v>
      </c>
      <c r="P2196" t="str">
        <f>IF(Registro2[[#This Row],[Data de Pagamento]]&gt;0,TEXT(A2196,"mmm/aa"),"")</f>
        <v>mai/25</v>
      </c>
      <c r="T2196" s="4">
        <f>IF(Registro2[[#This Row],[Data de Pagamento]]="",0,IF(Registro2[[#This Row],[Conta Financeira]]=base!$A$6,0,Registro2[[#This Row],[Valor Unitário]]))</f>
        <v>35</v>
      </c>
      <c r="U21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96" t="str">
        <f>VLOOKUP(Registro2[[#This Row],[Categoria]],'Plano de Contas'!$V$3:W2250,2,0)</f>
        <v>Receitas Serviços</v>
      </c>
      <c r="X219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97" spans="1:24" hidden="1">
      <c r="A2197" s="1">
        <v>45791.479166666664</v>
      </c>
      <c r="B2197" s="1">
        <v>45791.479166666664</v>
      </c>
      <c r="D2197" t="s">
        <v>1</v>
      </c>
      <c r="E2197" t="s">
        <v>149</v>
      </c>
      <c r="F2197" t="s">
        <v>147</v>
      </c>
      <c r="G2197" t="s">
        <v>163</v>
      </c>
      <c r="I2197" s="4">
        <v>35</v>
      </c>
      <c r="J2197" s="4">
        <v>35</v>
      </c>
      <c r="L2197" t="s">
        <v>253</v>
      </c>
      <c r="M2197" t="s">
        <v>384</v>
      </c>
      <c r="N2197" s="4">
        <f>IF(L2197="","",IF(OR(Registro2[[#This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97" t="str">
        <f t="shared" si="38"/>
        <v>mai/25</v>
      </c>
      <c r="P2197" t="str">
        <f>IF(Registro2[[#This Row],[Data de Pagamento]]&gt;0,TEXT(A2197,"mmm/aa"),"")</f>
        <v>mai/25</v>
      </c>
      <c r="T2197" s="4">
        <f>IF(Registro2[[#This Row],[Data de Pagamento]]="",0,IF(Registro2[[#This Row],[Conta Financeira]]=base!$A$6,0,Registro2[[#This Row],[Valor Unitário]]))</f>
        <v>35</v>
      </c>
      <c r="U21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97" t="str">
        <f>VLOOKUP(Registro2[[#This Row],[Categoria]],'Plano de Contas'!$V$3:W2251,2,0)</f>
        <v>Receitas Serviços</v>
      </c>
      <c r="X219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198" spans="1:24" hidden="1">
      <c r="A2198" s="1">
        <v>45791.760416666664</v>
      </c>
      <c r="B2198" s="1">
        <v>45791.760416666664</v>
      </c>
      <c r="D2198" t="s">
        <v>354</v>
      </c>
      <c r="E2198" t="s">
        <v>149</v>
      </c>
      <c r="F2198" t="s">
        <v>147</v>
      </c>
      <c r="G2198" t="s">
        <v>2825</v>
      </c>
      <c r="I2198" s="4">
        <v>20</v>
      </c>
      <c r="J2198" s="4">
        <v>140</v>
      </c>
      <c r="L2198" t="s">
        <v>253</v>
      </c>
      <c r="M2198" t="s">
        <v>1081</v>
      </c>
      <c r="N2198" s="4">
        <f>IF(L2198="","",IF(OR(Registro2[[#This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198" t="str">
        <f t="shared" si="38"/>
        <v>mai/25</v>
      </c>
      <c r="P2198" t="str">
        <f>IF(Registro2[[#This Row],[Data de Pagamento]]&gt;0,TEXT(A2198,"mmm/aa"),"")</f>
        <v>mai/25</v>
      </c>
      <c r="T2198" s="4">
        <f>IF(Registro2[[#This Row],[Data de Pagamento]]="",0,IF(Registro2[[#This Row],[Conta Financeira]]=base!$A$6,0,Registro2[[#This Row],[Valor Unitário]]))</f>
        <v>20</v>
      </c>
      <c r="U21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98" t="e">
        <f>VLOOKUP(Registro2[[#This Row],[Categoria]],'Plano de Contas'!$V$3:W2252,2,0)</f>
        <v>#N/A</v>
      </c>
      <c r="X219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0.63</v>
      </c>
    </row>
    <row r="2199" spans="1:24" hidden="1">
      <c r="A2199" s="1">
        <v>45791.760416666664</v>
      </c>
      <c r="B2199" s="1">
        <v>45791.760416666664</v>
      </c>
      <c r="D2199" t="s">
        <v>354</v>
      </c>
      <c r="E2199" t="s">
        <v>149</v>
      </c>
      <c r="F2199" t="s">
        <v>147</v>
      </c>
      <c r="G2199" t="s">
        <v>163</v>
      </c>
      <c r="I2199" s="4">
        <v>35</v>
      </c>
      <c r="J2199" s="4">
        <v>0</v>
      </c>
      <c r="L2199" t="s">
        <v>253</v>
      </c>
      <c r="M2199" t="s">
        <v>1081</v>
      </c>
      <c r="N2199" s="4">
        <f>IF(L2199="","",IF(OR(Registro2[[#This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199" t="str">
        <f t="shared" si="38"/>
        <v>mai/25</v>
      </c>
      <c r="P2199" t="str">
        <f>IF(Registro2[[#This Row],[Data de Pagamento]]&gt;0,TEXT(A2199,"mmm/aa"),"")</f>
        <v>mai/25</v>
      </c>
      <c r="T2199" s="4">
        <f>IF(Registro2[[#This Row],[Data de Pagamento]]="",0,IF(Registro2[[#This Row],[Conta Financeira]]=base!$A$6,0,Registro2[[#This Row],[Valor Unitário]]))</f>
        <v>35</v>
      </c>
      <c r="U21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199" t="str">
        <f>VLOOKUP(Registro2[[#This Row],[Categoria]],'Plano de Contas'!$V$3:W2253,2,0)</f>
        <v>Receitas Serviços</v>
      </c>
      <c r="X219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200" spans="1:24" hidden="1">
      <c r="A2200" s="1">
        <v>45791.760416666664</v>
      </c>
      <c r="B2200" s="1">
        <v>45791.760416666664</v>
      </c>
      <c r="D2200" t="s">
        <v>354</v>
      </c>
      <c r="E2200" t="s">
        <v>149</v>
      </c>
      <c r="F2200" t="s">
        <v>147</v>
      </c>
      <c r="G2200" t="s">
        <v>1046</v>
      </c>
      <c r="I2200" s="4">
        <v>15</v>
      </c>
      <c r="J2200" s="4">
        <v>0</v>
      </c>
      <c r="L2200" t="s">
        <v>253</v>
      </c>
      <c r="M2200" t="s">
        <v>1081</v>
      </c>
      <c r="N2200" s="4">
        <f>IF(L2200="","",IF(OR(Registro2[[#This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200" t="str">
        <f t="shared" si="38"/>
        <v>mai/25</v>
      </c>
      <c r="P2200" t="str">
        <f>IF(Registro2[[#This Row],[Data de Pagamento]]&gt;0,TEXT(A2200,"mmm/aa"),"")</f>
        <v>mai/25</v>
      </c>
      <c r="T2200" s="4">
        <f>IF(Registro2[[#This Row],[Data de Pagamento]]="",0,IF(Registro2[[#This Row],[Conta Financeira]]=base!$A$6,0,Registro2[[#This Row],[Valor Unitário]]))</f>
        <v>15</v>
      </c>
      <c r="U22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00" t="str">
        <f>VLOOKUP(Registro2[[#This Row],[Categoria]],'Plano de Contas'!$V$3:W2254,2,0)</f>
        <v>Receitas Serviços</v>
      </c>
      <c r="X220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0.47250000000000003</v>
      </c>
    </row>
    <row r="2201" spans="1:24" hidden="1">
      <c r="A2201" s="1">
        <v>45791.760416666664</v>
      </c>
      <c r="B2201" s="1">
        <v>45791.760416666664</v>
      </c>
      <c r="D2201" t="s">
        <v>354</v>
      </c>
      <c r="E2201" t="s">
        <v>149</v>
      </c>
      <c r="F2201" t="s">
        <v>152</v>
      </c>
      <c r="G2201" t="s">
        <v>352</v>
      </c>
      <c r="I2201" s="4">
        <v>20</v>
      </c>
      <c r="J2201" s="4">
        <v>0</v>
      </c>
      <c r="L2201" t="s">
        <v>253</v>
      </c>
      <c r="M2201" t="s">
        <v>1081</v>
      </c>
      <c r="N2201" s="4">
        <f>IF(L2201="","",IF(OR(Registro2[[#This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201" t="str">
        <f t="shared" si="38"/>
        <v>mai/25</v>
      </c>
      <c r="P2201" t="str">
        <f>IF(Registro2[[#This Row],[Data de Pagamento]]&gt;0,TEXT(A2201,"mmm/aa"),"")</f>
        <v>mai/25</v>
      </c>
      <c r="T2201" s="4">
        <f>IF(Registro2[[#This Row],[Data de Pagamento]]="",0,IF(Registro2[[#This Row],[Conta Financeira]]=base!$A$6,0,Registro2[[#This Row],[Valor Unitário]]))</f>
        <v>20</v>
      </c>
      <c r="U22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01" t="str">
        <f>VLOOKUP(Registro2[[#This Row],[Categoria]],'Plano de Contas'!$V$3:W2255,2,0)</f>
        <v>Receitas Serviços</v>
      </c>
      <c r="X220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0.63</v>
      </c>
    </row>
    <row r="2202" spans="1:24" hidden="1">
      <c r="A2202" s="1">
        <v>45791.760416666664</v>
      </c>
      <c r="B2202" s="1">
        <v>45791.760416666664</v>
      </c>
      <c r="D2202" t="s">
        <v>354</v>
      </c>
      <c r="E2202" t="s">
        <v>149</v>
      </c>
      <c r="F2202" t="s">
        <v>150</v>
      </c>
      <c r="G2202" t="s">
        <v>2536</v>
      </c>
      <c r="I2202" s="4">
        <v>30</v>
      </c>
      <c r="J2202" s="4">
        <v>0</v>
      </c>
      <c r="L2202" t="s">
        <v>253</v>
      </c>
      <c r="M2202" t="s">
        <v>1081</v>
      </c>
      <c r="N2202" s="4">
        <f>IF(L2202="","",IF(OR(Registro2[[#This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12</v>
      </c>
      <c r="O2202" t="str">
        <f t="shared" si="38"/>
        <v>mai/25</v>
      </c>
      <c r="P2202" t="str">
        <f>IF(Registro2[[#This Row],[Data de Pagamento]]&gt;0,TEXT(A2202,"mmm/aa"),"")</f>
        <v>mai/25</v>
      </c>
      <c r="T2202" s="4">
        <f>IF(Registro2[[#This Row],[Data de Pagamento]]="",0,IF(Registro2[[#This Row],[Conta Financeira]]=base!$A$6,0,Registro2[[#This Row],[Valor Unitário]]))</f>
        <v>30</v>
      </c>
      <c r="U22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02" t="e">
        <f>VLOOKUP(Registro2[[#This Row],[Categoria]],'Plano de Contas'!$V$3:W2256,2,0)</f>
        <v>#N/A</v>
      </c>
      <c r="X220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0.94500000000000006</v>
      </c>
    </row>
    <row r="2203" spans="1:24" hidden="1">
      <c r="A2203" s="1">
        <v>45791.760416666664</v>
      </c>
      <c r="B2203" s="1">
        <v>45791.760416666664</v>
      </c>
      <c r="D2203" t="s">
        <v>354</v>
      </c>
      <c r="E2203" t="s">
        <v>149</v>
      </c>
      <c r="F2203" t="s">
        <v>150</v>
      </c>
      <c r="G2203" t="s">
        <v>509</v>
      </c>
      <c r="I2203" s="4">
        <v>20</v>
      </c>
      <c r="J2203" s="4">
        <v>0</v>
      </c>
      <c r="L2203" t="s">
        <v>253</v>
      </c>
      <c r="M2203" t="s">
        <v>1081</v>
      </c>
      <c r="N2203" s="4">
        <f>IF(L2203="","",IF(OR(Registro2[[#This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8</v>
      </c>
      <c r="O2203" t="str">
        <f t="shared" si="38"/>
        <v>mai/25</v>
      </c>
      <c r="P2203" t="str">
        <f>IF(Registro2[[#This Row],[Data de Pagamento]]&gt;0,TEXT(A2203,"mmm/aa"),"")</f>
        <v>mai/25</v>
      </c>
      <c r="T2203" s="4">
        <f>IF(Registro2[[#This Row],[Data de Pagamento]]="",0,IF(Registro2[[#This Row],[Conta Financeira]]=base!$A$6,0,Registro2[[#This Row],[Valor Unitário]]))</f>
        <v>20</v>
      </c>
      <c r="U22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03" t="str">
        <f>VLOOKUP(Registro2[[#This Row],[Categoria]],'Plano de Contas'!$V$3:W2257,2,0)</f>
        <v>Receitas Produtos</v>
      </c>
      <c r="X220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0.63</v>
      </c>
    </row>
    <row r="2204" spans="1:24" hidden="1">
      <c r="A2204" s="1">
        <v>45791.479166666664</v>
      </c>
      <c r="B2204" s="1">
        <v>45791.479166666664</v>
      </c>
      <c r="D2204" t="s">
        <v>1</v>
      </c>
      <c r="E2204" t="s">
        <v>149</v>
      </c>
      <c r="F2204" t="s">
        <v>147</v>
      </c>
      <c r="G2204" t="s">
        <v>163</v>
      </c>
      <c r="I2204" s="4">
        <v>35</v>
      </c>
      <c r="J2204" s="4">
        <v>70</v>
      </c>
      <c r="L2204" t="s">
        <v>264</v>
      </c>
      <c r="M2204" t="s">
        <v>372</v>
      </c>
      <c r="N2204" s="4">
        <f>IF(L2204="","",IF(OR(Registro2[[#This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04" t="str">
        <f t="shared" si="38"/>
        <v>mai/25</v>
      </c>
      <c r="P2204" t="str">
        <f>IF(Registro2[[#This Row],[Data de Pagamento]]&gt;0,TEXT(A2204,"mmm/aa"),"")</f>
        <v>mai/25</v>
      </c>
      <c r="T2204" s="4">
        <f>IF(Registro2[[#This Row],[Data de Pagamento]]="",0,IF(Registro2[[#This Row],[Conta Financeira]]=base!$A$6,0,Registro2[[#This Row],[Valor Unitário]]))</f>
        <v>35</v>
      </c>
      <c r="U22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04" t="str">
        <f>VLOOKUP(Registro2[[#This Row],[Categoria]],'Plano de Contas'!$V$3:W2258,2,0)</f>
        <v>Receitas Serviços</v>
      </c>
      <c r="X22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05" spans="1:24" hidden="1">
      <c r="A2205" s="1">
        <v>45791.479166666664</v>
      </c>
      <c r="B2205" s="1">
        <v>45791.479166666664</v>
      </c>
      <c r="D2205" t="s">
        <v>1</v>
      </c>
      <c r="E2205" t="s">
        <v>149</v>
      </c>
      <c r="F2205" t="s">
        <v>147</v>
      </c>
      <c r="G2205" t="s">
        <v>163</v>
      </c>
      <c r="I2205" s="4">
        <v>35</v>
      </c>
      <c r="J2205" s="4">
        <v>0</v>
      </c>
      <c r="L2205" t="s">
        <v>253</v>
      </c>
      <c r="M2205" t="s">
        <v>372</v>
      </c>
      <c r="N2205" s="4">
        <f>IF(L2205="","",IF(OR(Registro2[[#This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05" t="str">
        <f t="shared" si="38"/>
        <v>mai/25</v>
      </c>
      <c r="P2205" t="str">
        <f>IF(Registro2[[#This Row],[Data de Pagamento]]&gt;0,TEXT(A2205,"mmm/aa"),"")</f>
        <v>mai/25</v>
      </c>
      <c r="T2205" s="4">
        <f>IF(Registro2[[#This Row],[Data de Pagamento]]="",0,IF(Registro2[[#This Row],[Conta Financeira]]=base!$A$6,0,Registro2[[#This Row],[Valor Unitário]]))</f>
        <v>35</v>
      </c>
      <c r="U22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05" t="str">
        <f>VLOOKUP(Registro2[[#This Row],[Categoria]],'Plano de Contas'!$V$3:W2259,2,0)</f>
        <v>Receitas Serviços</v>
      </c>
      <c r="X22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06" spans="1:24" hidden="1">
      <c r="A2206" s="1">
        <v>45791.5625</v>
      </c>
      <c r="B2206" s="1">
        <v>45791.5625</v>
      </c>
      <c r="D2206" t="s">
        <v>1</v>
      </c>
      <c r="E2206" t="s">
        <v>149</v>
      </c>
      <c r="F2206" t="s">
        <v>147</v>
      </c>
      <c r="G2206" t="s">
        <v>163</v>
      </c>
      <c r="I2206" s="4">
        <v>35</v>
      </c>
      <c r="J2206" s="4">
        <v>35</v>
      </c>
      <c r="L2206" t="s">
        <v>253</v>
      </c>
      <c r="M2206" t="s">
        <v>189</v>
      </c>
      <c r="N2206" s="4">
        <f>IF(L2206="","",IF(OR(Registro2[[#This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06" t="str">
        <f t="shared" si="38"/>
        <v>mai/25</v>
      </c>
      <c r="P2206" t="str">
        <f>IF(Registro2[[#This Row],[Data de Pagamento]]&gt;0,TEXT(A2206,"mmm/aa"),"")</f>
        <v>mai/25</v>
      </c>
      <c r="T2206" s="4">
        <f>IF(Registro2[[#This Row],[Data de Pagamento]]="",0,IF(Registro2[[#This Row],[Conta Financeira]]=base!$A$6,0,Registro2[[#This Row],[Valor Unitário]]))</f>
        <v>35</v>
      </c>
      <c r="U22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06" t="str">
        <f>VLOOKUP(Registro2[[#This Row],[Categoria]],'Plano de Contas'!$V$3:W2260,2,0)</f>
        <v>Receitas Serviços</v>
      </c>
      <c r="X220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07" spans="1:24" hidden="1">
      <c r="A2207" s="1">
        <v>45791.739583333336</v>
      </c>
      <c r="B2207" s="1">
        <v>45791.739583333336</v>
      </c>
      <c r="D2207" t="s">
        <v>354</v>
      </c>
      <c r="E2207" t="s">
        <v>149</v>
      </c>
      <c r="F2207" t="s">
        <v>147</v>
      </c>
      <c r="G2207" t="s">
        <v>163</v>
      </c>
      <c r="I2207" s="4">
        <v>35</v>
      </c>
      <c r="J2207" s="4">
        <v>35</v>
      </c>
      <c r="L2207" t="s">
        <v>264</v>
      </c>
      <c r="M2207" t="s">
        <v>3015</v>
      </c>
      <c r="N2207" s="4">
        <f>IF(L2207="","",IF(OR(Registro2[[#This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07" t="str">
        <f t="shared" si="38"/>
        <v>mai/25</v>
      </c>
      <c r="P2207" t="str">
        <f>IF(Registro2[[#This Row],[Data de Pagamento]]&gt;0,TEXT(A2207,"mmm/aa"),"")</f>
        <v>mai/25</v>
      </c>
      <c r="T2207" s="4">
        <f>IF(Registro2[[#This Row],[Data de Pagamento]]="",0,IF(Registro2[[#This Row],[Conta Financeira]]=base!$A$6,0,Registro2[[#This Row],[Valor Unitário]]))</f>
        <v>35</v>
      </c>
      <c r="U22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07" t="str">
        <f>VLOOKUP(Registro2[[#This Row],[Categoria]],'Plano de Contas'!$V$3:W2261,2,0)</f>
        <v>Receitas Serviços</v>
      </c>
      <c r="X220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208" spans="1:24" hidden="1">
      <c r="A2208" s="1">
        <v>45791.708333333336</v>
      </c>
      <c r="B2208" s="1">
        <v>45791.708333333336</v>
      </c>
      <c r="D2208" t="s">
        <v>1</v>
      </c>
      <c r="E2208" t="s">
        <v>149</v>
      </c>
      <c r="F2208" t="s">
        <v>147</v>
      </c>
      <c r="G2208" t="s">
        <v>163</v>
      </c>
      <c r="I2208" s="4">
        <v>35</v>
      </c>
      <c r="J2208" s="4">
        <v>45</v>
      </c>
      <c r="L2208" t="s">
        <v>253</v>
      </c>
      <c r="M2208" t="s">
        <v>1561</v>
      </c>
      <c r="N2208" s="4">
        <f>IF(L2208="","",IF(OR(Registro2[[#This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08" t="str">
        <f t="shared" ref="O2208:O2239" si="39">TEXT(B2208,"mmm/aa")</f>
        <v>mai/25</v>
      </c>
      <c r="P2208" t="str">
        <f>IF(Registro2[[#This Row],[Data de Pagamento]]&gt;0,TEXT(A2208,"mmm/aa"),"")</f>
        <v>mai/25</v>
      </c>
      <c r="T2208" s="4">
        <f>IF(Registro2[[#This Row],[Data de Pagamento]]="",0,IF(Registro2[[#This Row],[Conta Financeira]]=base!$A$6,0,Registro2[[#This Row],[Valor Unitário]]))</f>
        <v>35</v>
      </c>
      <c r="U22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08" t="str">
        <f>VLOOKUP(Registro2[[#This Row],[Categoria]],'Plano de Contas'!$V$3:W2262,2,0)</f>
        <v>Receitas Serviços</v>
      </c>
      <c r="X220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09" spans="1:24" hidden="1">
      <c r="A2209" s="1">
        <v>45791.708333333336</v>
      </c>
      <c r="B2209" s="1">
        <v>45791.708333333336</v>
      </c>
      <c r="D2209" t="s">
        <v>1</v>
      </c>
      <c r="E2209" t="s">
        <v>149</v>
      </c>
      <c r="F2209" t="s">
        <v>147</v>
      </c>
      <c r="G2209" t="s">
        <v>167</v>
      </c>
      <c r="I2209" s="4">
        <v>10</v>
      </c>
      <c r="J2209" s="4">
        <v>0</v>
      </c>
      <c r="L2209" t="s">
        <v>253</v>
      </c>
      <c r="M2209" t="s">
        <v>1561</v>
      </c>
      <c r="N2209" s="4">
        <f>IF(L2209="","",IF(OR(Registro2[[#This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209" t="str">
        <f t="shared" si="39"/>
        <v>mai/25</v>
      </c>
      <c r="P2209" t="str">
        <f>IF(Registro2[[#This Row],[Data de Pagamento]]&gt;0,TEXT(A2209,"mmm/aa"),"")</f>
        <v>mai/25</v>
      </c>
      <c r="T2209" s="4">
        <f>IF(Registro2[[#This Row],[Data de Pagamento]]="",0,IF(Registro2[[#This Row],[Conta Financeira]]=base!$A$6,0,Registro2[[#This Row],[Valor Unitário]]))</f>
        <v>10</v>
      </c>
      <c r="U22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09" t="str">
        <f>VLOOKUP(Registro2[[#This Row],[Categoria]],'Plano de Contas'!$V$3:W2263,2,0)</f>
        <v>Receitas Serviços</v>
      </c>
      <c r="X220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10" spans="1:24" hidden="1">
      <c r="A2210" s="1">
        <v>45791.604166666664</v>
      </c>
      <c r="B2210" s="1">
        <v>45791.604166666664</v>
      </c>
      <c r="D2210" t="s">
        <v>1</v>
      </c>
      <c r="E2210" t="s">
        <v>149</v>
      </c>
      <c r="F2210" t="s">
        <v>147</v>
      </c>
      <c r="G2210" t="s">
        <v>163</v>
      </c>
      <c r="I2210" s="4">
        <v>35</v>
      </c>
      <c r="J2210" s="4">
        <v>40</v>
      </c>
      <c r="L2210" t="s">
        <v>264</v>
      </c>
      <c r="M2210" t="s">
        <v>3018</v>
      </c>
      <c r="N2210" s="4">
        <f>IF(L2210="","",IF(OR(Registro2[[#This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10" t="str">
        <f t="shared" si="39"/>
        <v>mai/25</v>
      </c>
      <c r="P2210" t="str">
        <f>IF(Registro2[[#This Row],[Data de Pagamento]]&gt;0,TEXT(A2210,"mmm/aa"),"")</f>
        <v>mai/25</v>
      </c>
      <c r="T2210" s="4">
        <f>IF(Registro2[[#This Row],[Data de Pagamento]]="",0,IF(Registro2[[#This Row],[Conta Financeira]]=base!$A$6,0,Registro2[[#This Row],[Valor Unitário]]))</f>
        <v>35</v>
      </c>
      <c r="U22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10" t="str">
        <f>VLOOKUP(Registro2[[#This Row],[Categoria]],'Plano de Contas'!$V$3:W2264,2,0)</f>
        <v>Receitas Serviços</v>
      </c>
      <c r="X221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11" spans="1:24">
      <c r="A2211" s="1">
        <v>45791.604166666664</v>
      </c>
      <c r="B2211" s="1">
        <v>45791.604166666664</v>
      </c>
      <c r="D2211" t="s">
        <v>1</v>
      </c>
      <c r="E2211" t="s">
        <v>149</v>
      </c>
      <c r="F2211" t="s">
        <v>910</v>
      </c>
      <c r="G2211" t="s">
        <v>910</v>
      </c>
      <c r="I2211" s="4">
        <v>5</v>
      </c>
      <c r="J2211" s="4">
        <v>0</v>
      </c>
      <c r="L2211" t="s">
        <v>264</v>
      </c>
      <c r="M2211" t="s">
        <v>3018</v>
      </c>
      <c r="N2211" s="4" t="str">
        <f>IF(L2211="","",IF(OR(Registro2[[#This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211" t="str">
        <f t="shared" si="39"/>
        <v>mai/25</v>
      </c>
      <c r="P2211" t="str">
        <f>IF(Registro2[[#This Row],[Data de Pagamento]]&gt;0,TEXT(A2211,"mmm/aa"),"")</f>
        <v>mai/25</v>
      </c>
      <c r="T2211" s="4">
        <f>IF(Registro2[[#This Row],[Data de Pagamento]]="",0,IF(Registro2[[#This Row],[Conta Financeira]]=base!$A$6,0,Registro2[[#This Row],[Valor Unitário]]))</f>
        <v>5</v>
      </c>
      <c r="U22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11" t="str">
        <f>VLOOKUP(Registro2[[#This Row],[Categoria]],'Plano de Contas'!$V$3:W2265,2,0)</f>
        <v>Outras Receitas</v>
      </c>
      <c r="X22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12" spans="1:24" hidden="1">
      <c r="A2212" s="1">
        <v>45792.71875</v>
      </c>
      <c r="B2212" s="1">
        <v>45792.71875</v>
      </c>
      <c r="D2212" t="s">
        <v>310</v>
      </c>
      <c r="E2212" t="s">
        <v>149</v>
      </c>
      <c r="F2212" t="s">
        <v>147</v>
      </c>
      <c r="G2212" t="s">
        <v>163</v>
      </c>
      <c r="I2212" s="4">
        <v>35</v>
      </c>
      <c r="J2212" s="4">
        <v>35</v>
      </c>
      <c r="L2212" t="s">
        <v>264</v>
      </c>
      <c r="M2212" t="s">
        <v>845</v>
      </c>
      <c r="N2212" s="4">
        <f>IF(L2212="","",IF(OR(Registro2[[#This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12" t="str">
        <f t="shared" si="39"/>
        <v>mai/25</v>
      </c>
      <c r="P2212" t="str">
        <f>IF(Registro2[[#This Row],[Data de Pagamento]]&gt;0,TEXT(A2212,"mmm/aa"),"")</f>
        <v>mai/25</v>
      </c>
      <c r="T2212" s="4">
        <f>IF(Registro2[[#This Row],[Data de Pagamento]]="",0,IF(Registro2[[#This Row],[Conta Financeira]]=base!$A$6,0,Registro2[[#This Row],[Valor Unitário]]))</f>
        <v>35</v>
      </c>
      <c r="U22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12" t="str">
        <f>VLOOKUP(Registro2[[#This Row],[Categoria]],'Plano de Contas'!$V$3:W2266,2,0)</f>
        <v>Receitas Serviços</v>
      </c>
      <c r="X221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213" spans="1:24" hidden="1">
      <c r="A2213" s="1">
        <v>45792.5</v>
      </c>
      <c r="B2213" s="1">
        <v>45792.5</v>
      </c>
      <c r="D2213" t="s">
        <v>354</v>
      </c>
      <c r="E2213" t="s">
        <v>149</v>
      </c>
      <c r="F2213" t="s">
        <v>147</v>
      </c>
      <c r="G2213" t="s">
        <v>163</v>
      </c>
      <c r="I2213" s="4">
        <v>35</v>
      </c>
      <c r="J2213" s="4">
        <v>35</v>
      </c>
      <c r="L2213" t="s">
        <v>252</v>
      </c>
      <c r="M2213" t="s">
        <v>789</v>
      </c>
      <c r="N2213" s="4">
        <f>IF(L2213="","",IF(OR(Registro2[[#This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13" t="str">
        <f t="shared" si="39"/>
        <v>mai/25</v>
      </c>
      <c r="P2213" t="str">
        <f>IF(Registro2[[#This Row],[Data de Pagamento]]&gt;0,TEXT(A2213,"mmm/aa"),"")</f>
        <v>mai/25</v>
      </c>
      <c r="T2213" s="4">
        <f>IF(Registro2[[#This Row],[Data de Pagamento]]="",0,IF(Registro2[[#This Row],[Conta Financeira]]=base!$A$6,0,Registro2[[#This Row],[Valor Unitário]]))</f>
        <v>35</v>
      </c>
      <c r="U22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13" t="str">
        <f>VLOOKUP(Registro2[[#This Row],[Categoria]],'Plano de Contas'!$V$3:W2267,2,0)</f>
        <v>Receitas Serviços</v>
      </c>
      <c r="X221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214" spans="1:24" hidden="1">
      <c r="A2214" s="1">
        <v>45792.520833333336</v>
      </c>
      <c r="B2214" s="1">
        <v>45792.520833333336</v>
      </c>
      <c r="D2214" t="s">
        <v>1</v>
      </c>
      <c r="E2214" t="s">
        <v>149</v>
      </c>
      <c r="F2214" t="s">
        <v>147</v>
      </c>
      <c r="G2214" t="s">
        <v>163</v>
      </c>
      <c r="I2214" s="4">
        <v>35</v>
      </c>
      <c r="J2214" s="4">
        <v>60</v>
      </c>
      <c r="L2214" t="s">
        <v>252</v>
      </c>
      <c r="M2214" t="s">
        <v>1988</v>
      </c>
      <c r="N2214" s="4">
        <f>IF(L2214="","",IF(OR(Registro2[[#This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14" t="str">
        <f t="shared" si="39"/>
        <v>mai/25</v>
      </c>
      <c r="P2214" t="str">
        <f>IF(Registro2[[#This Row],[Data de Pagamento]]&gt;0,TEXT(A2214,"mmm/aa"),"")</f>
        <v>mai/25</v>
      </c>
      <c r="T2214" s="4">
        <f>IF(Registro2[[#This Row],[Data de Pagamento]]="",0,IF(Registro2[[#This Row],[Conta Financeira]]=base!$A$6,0,Registro2[[#This Row],[Valor Unitário]]))</f>
        <v>35</v>
      </c>
      <c r="U22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14" t="str">
        <f>VLOOKUP(Registro2[[#This Row],[Categoria]],'Plano de Contas'!$V$3:W2268,2,0)</f>
        <v>Receitas Serviços</v>
      </c>
      <c r="X221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15" spans="1:24" hidden="1">
      <c r="A2215" s="1">
        <v>45792.520833333336</v>
      </c>
      <c r="B2215" s="1">
        <v>45792.520833333336</v>
      </c>
      <c r="D2215" t="s">
        <v>1</v>
      </c>
      <c r="E2215" t="s">
        <v>149</v>
      </c>
      <c r="F2215" t="s">
        <v>150</v>
      </c>
      <c r="G2215" t="s">
        <v>2526</v>
      </c>
      <c r="I2215" s="4">
        <v>25</v>
      </c>
      <c r="J2215" s="4">
        <v>0</v>
      </c>
      <c r="L2215" t="s">
        <v>252</v>
      </c>
      <c r="M2215" t="s">
        <v>1988</v>
      </c>
      <c r="N2215" s="4">
        <f>IF(L2215="","",IF(OR(Registro2[[#This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2215" t="str">
        <f t="shared" si="39"/>
        <v>mai/25</v>
      </c>
      <c r="P2215" t="str">
        <f>IF(Registro2[[#This Row],[Data de Pagamento]]&gt;0,TEXT(A2215,"mmm/aa"),"")</f>
        <v>mai/25</v>
      </c>
      <c r="T2215" s="4">
        <f>IF(Registro2[[#This Row],[Data de Pagamento]]="",0,IF(Registro2[[#This Row],[Conta Financeira]]=base!$A$6,0,Registro2[[#This Row],[Valor Unitário]]))</f>
        <v>25</v>
      </c>
      <c r="U22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15" t="e">
        <f>VLOOKUP(Registro2[[#This Row],[Categoria]],'Plano de Contas'!$V$3:W2269,2,0)</f>
        <v>#N/A</v>
      </c>
      <c r="X221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16" spans="1:24" hidden="1">
      <c r="A2216" s="1">
        <v>45792.524305555555</v>
      </c>
      <c r="B2216" s="1">
        <v>45792.524305555555</v>
      </c>
      <c r="D2216" t="s">
        <v>310</v>
      </c>
      <c r="E2216" t="s">
        <v>149</v>
      </c>
      <c r="F2216" t="s">
        <v>147</v>
      </c>
      <c r="G2216" t="s">
        <v>163</v>
      </c>
      <c r="I2216" s="4">
        <v>35</v>
      </c>
      <c r="J2216" s="4">
        <v>35</v>
      </c>
      <c r="L2216" t="s">
        <v>253</v>
      </c>
      <c r="M2216" t="s">
        <v>499</v>
      </c>
      <c r="N2216" s="4">
        <f>IF(L2216="","",IF(OR(Registro2[[#This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16" t="str">
        <f t="shared" si="39"/>
        <v>mai/25</v>
      </c>
      <c r="P2216" t="str">
        <f>IF(Registro2[[#This Row],[Data de Pagamento]]&gt;0,TEXT(A2216,"mmm/aa"),"")</f>
        <v>mai/25</v>
      </c>
      <c r="T2216" s="4">
        <f>IF(Registro2[[#This Row],[Data de Pagamento]]="",0,IF(Registro2[[#This Row],[Conta Financeira]]=base!$A$6,0,Registro2[[#This Row],[Valor Unitário]]))</f>
        <v>35</v>
      </c>
      <c r="U22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16" t="str">
        <f>VLOOKUP(Registro2[[#This Row],[Categoria]],'Plano de Contas'!$V$3:W2270,2,0)</f>
        <v>Receitas Serviços</v>
      </c>
      <c r="X221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217" spans="1:24" hidden="1">
      <c r="A2217" s="1">
        <v>45792.833333333336</v>
      </c>
      <c r="B2217" s="1">
        <v>45792.833333333336</v>
      </c>
      <c r="D2217" t="s">
        <v>354</v>
      </c>
      <c r="E2217" t="s">
        <v>149</v>
      </c>
      <c r="F2217" t="s">
        <v>147</v>
      </c>
      <c r="G2217" t="s">
        <v>163</v>
      </c>
      <c r="I2217" s="4">
        <v>35</v>
      </c>
      <c r="J2217" s="4">
        <v>35</v>
      </c>
      <c r="L2217" t="s">
        <v>264</v>
      </c>
      <c r="M2217" t="s">
        <v>2525</v>
      </c>
      <c r="N2217" s="4">
        <f>IF(L2217="","",IF(OR(Registro2[[#This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17" t="str">
        <f t="shared" si="39"/>
        <v>mai/25</v>
      </c>
      <c r="P2217" t="str">
        <f>IF(Registro2[[#This Row],[Data de Pagamento]]&gt;0,TEXT(A2217,"mmm/aa"),"")</f>
        <v>mai/25</v>
      </c>
      <c r="T2217" s="4">
        <f>IF(Registro2[[#This Row],[Data de Pagamento]]="",0,IF(Registro2[[#This Row],[Conta Financeira]]=base!$A$6,0,Registro2[[#This Row],[Valor Unitário]]))</f>
        <v>35</v>
      </c>
      <c r="U22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17" t="str">
        <f>VLOOKUP(Registro2[[#This Row],[Categoria]],'Plano de Contas'!$V$3:W2271,2,0)</f>
        <v>Receitas Serviços</v>
      </c>
      <c r="X221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218" spans="1:24" hidden="1">
      <c r="A2218" s="1">
        <v>45792.572916666664</v>
      </c>
      <c r="B2218" s="1">
        <v>45792.572916666664</v>
      </c>
      <c r="D2218" t="s">
        <v>1</v>
      </c>
      <c r="E2218" t="s">
        <v>149</v>
      </c>
      <c r="F2218" t="s">
        <v>147</v>
      </c>
      <c r="G2218" t="s">
        <v>163</v>
      </c>
      <c r="I2218" s="4">
        <v>35</v>
      </c>
      <c r="J2218" s="4">
        <v>35</v>
      </c>
      <c r="L2218" t="s">
        <v>253</v>
      </c>
      <c r="M2218" t="s">
        <v>67</v>
      </c>
      <c r="N2218" s="4">
        <f>IF(L2218="","",IF(OR(Registro2[[#This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18" t="str">
        <f t="shared" si="39"/>
        <v>mai/25</v>
      </c>
      <c r="P2218" t="str">
        <f>IF(Registro2[[#This Row],[Data de Pagamento]]&gt;0,TEXT(A2218,"mmm/aa"),"")</f>
        <v>mai/25</v>
      </c>
      <c r="T2218" s="4">
        <f>IF(Registro2[[#This Row],[Data de Pagamento]]="",0,IF(Registro2[[#This Row],[Conta Financeira]]=base!$A$6,0,Registro2[[#This Row],[Valor Unitário]]))</f>
        <v>35</v>
      </c>
      <c r="U22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18" t="str">
        <f>VLOOKUP(Registro2[[#This Row],[Categoria]],'Plano de Contas'!$V$3:W2272,2,0)</f>
        <v>Receitas Serviços</v>
      </c>
      <c r="X22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19" spans="1:24" hidden="1">
      <c r="A2219" s="1">
        <v>45792.65625</v>
      </c>
      <c r="B2219" s="1">
        <v>45792.65625</v>
      </c>
      <c r="D2219" t="s">
        <v>310</v>
      </c>
      <c r="E2219" t="s">
        <v>149</v>
      </c>
      <c r="F2219" t="s">
        <v>152</v>
      </c>
      <c r="G2219" t="s">
        <v>353</v>
      </c>
      <c r="I2219" s="4">
        <v>60</v>
      </c>
      <c r="J2219" s="4">
        <v>60</v>
      </c>
      <c r="L2219" t="s">
        <v>252</v>
      </c>
      <c r="M2219" t="s">
        <v>2613</v>
      </c>
      <c r="N2219" s="4">
        <f>IF(L2219="","",IF(OR(Registro2[[#This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219" t="str">
        <f t="shared" si="39"/>
        <v>mai/25</v>
      </c>
      <c r="P2219" t="str">
        <f>IF(Registro2[[#This Row],[Data de Pagamento]]&gt;0,TEXT(A2219,"mmm/aa"),"")</f>
        <v>mai/25</v>
      </c>
      <c r="T2219" s="4">
        <f>IF(Registro2[[#This Row],[Data de Pagamento]]="",0,IF(Registro2[[#This Row],[Conta Financeira]]=base!$A$6,0,Registro2[[#This Row],[Valor Unitário]]))</f>
        <v>60</v>
      </c>
      <c r="U22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19" t="str">
        <f>VLOOKUP(Registro2[[#This Row],[Categoria]],'Plano de Contas'!$V$3:W2273,2,0)</f>
        <v>Receitas Serviços</v>
      </c>
      <c r="X221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</row>
    <row r="2220" spans="1:24" hidden="1">
      <c r="A2220" s="1">
        <v>45792.635416666664</v>
      </c>
      <c r="B2220" s="1">
        <v>45792.635416666664</v>
      </c>
      <c r="D2220" t="s">
        <v>354</v>
      </c>
      <c r="E2220" t="s">
        <v>149</v>
      </c>
      <c r="F2220" t="s">
        <v>147</v>
      </c>
      <c r="G2220" t="s">
        <v>163</v>
      </c>
      <c r="I2220" s="4">
        <v>35</v>
      </c>
      <c r="J2220" s="4">
        <v>70</v>
      </c>
      <c r="L2220" t="s">
        <v>252</v>
      </c>
      <c r="M2220" t="s">
        <v>400</v>
      </c>
      <c r="N2220" s="4">
        <f>IF(L2220="","",IF(OR(Registro2[[#This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20" t="str">
        <f t="shared" si="39"/>
        <v>mai/25</v>
      </c>
      <c r="P2220" t="str">
        <f>IF(Registro2[[#This Row],[Data de Pagamento]]&gt;0,TEXT(A2220,"mmm/aa"),"")</f>
        <v>mai/25</v>
      </c>
      <c r="T2220" s="4">
        <f>IF(Registro2[[#This Row],[Data de Pagamento]]="",0,IF(Registro2[[#This Row],[Conta Financeira]]=base!$A$6,0,Registro2[[#This Row],[Valor Unitário]]))</f>
        <v>35</v>
      </c>
      <c r="U22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20" t="str">
        <f>VLOOKUP(Registro2[[#This Row],[Categoria]],'Plano de Contas'!$V$3:W2274,2,0)</f>
        <v>Receitas Serviços</v>
      </c>
      <c r="X222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221" spans="1:24" hidden="1">
      <c r="A2221" s="1">
        <v>45792.635416666664</v>
      </c>
      <c r="B2221" s="1">
        <v>45792.635416666664</v>
      </c>
      <c r="D2221" t="s">
        <v>354</v>
      </c>
      <c r="E2221" t="s">
        <v>149</v>
      </c>
      <c r="F2221" t="s">
        <v>147</v>
      </c>
      <c r="G2221" t="s">
        <v>163</v>
      </c>
      <c r="I2221" s="4">
        <v>35</v>
      </c>
      <c r="J2221" s="4">
        <v>0</v>
      </c>
      <c r="L2221" t="s">
        <v>264</v>
      </c>
      <c r="M2221" t="s">
        <v>400</v>
      </c>
      <c r="N2221" s="4">
        <f>IF(L2221="","",IF(OR(Registro2[[#This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21" t="str">
        <f t="shared" si="39"/>
        <v>mai/25</v>
      </c>
      <c r="P2221" t="str">
        <f>IF(Registro2[[#This Row],[Data de Pagamento]]&gt;0,TEXT(A2221,"mmm/aa"),"")</f>
        <v>mai/25</v>
      </c>
      <c r="T2221" s="4">
        <f>IF(Registro2[[#This Row],[Data de Pagamento]]="",0,IF(Registro2[[#This Row],[Conta Financeira]]=base!$A$6,0,Registro2[[#This Row],[Valor Unitário]]))</f>
        <v>35</v>
      </c>
      <c r="U22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21" t="str">
        <f>VLOOKUP(Registro2[[#This Row],[Categoria]],'Plano de Contas'!$V$3:W2275,2,0)</f>
        <v>Receitas Serviços</v>
      </c>
      <c r="X222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222" spans="1:24" hidden="1">
      <c r="A2222" s="1">
        <v>45792.635416666664</v>
      </c>
      <c r="B2222" s="1">
        <v>45792.635416666664</v>
      </c>
      <c r="D2222" t="s">
        <v>354</v>
      </c>
      <c r="E2222" t="s">
        <v>149</v>
      </c>
      <c r="F2222" t="s">
        <v>147</v>
      </c>
      <c r="G2222" t="s">
        <v>163</v>
      </c>
      <c r="I2222" s="4">
        <v>35</v>
      </c>
      <c r="J2222" s="4">
        <v>35</v>
      </c>
      <c r="L2222" t="s">
        <v>264</v>
      </c>
      <c r="M2222" t="s">
        <v>1599</v>
      </c>
      <c r="N2222" s="4">
        <f>IF(L2222="","",IF(OR(Registro2[[#This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22" t="str">
        <f t="shared" si="39"/>
        <v>mai/25</v>
      </c>
      <c r="P2222" t="str">
        <f>IF(Registro2[[#This Row],[Data de Pagamento]]&gt;0,TEXT(A2222,"mmm/aa"),"")</f>
        <v>mai/25</v>
      </c>
      <c r="T2222" s="4">
        <f>IF(Registro2[[#This Row],[Data de Pagamento]]="",0,IF(Registro2[[#This Row],[Conta Financeira]]=base!$A$6,0,Registro2[[#This Row],[Valor Unitário]]))</f>
        <v>35</v>
      </c>
      <c r="U22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22" t="str">
        <f>VLOOKUP(Registro2[[#This Row],[Categoria]],'Plano de Contas'!$V$3:W2276,2,0)</f>
        <v>Receitas Serviços</v>
      </c>
      <c r="X222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223" spans="1:24" hidden="1">
      <c r="A2223" s="1">
        <v>45792.649305555555</v>
      </c>
      <c r="B2223" s="1">
        <v>45792.649305555555</v>
      </c>
      <c r="D2223" t="s">
        <v>1</v>
      </c>
      <c r="E2223" t="s">
        <v>149</v>
      </c>
      <c r="F2223" t="s">
        <v>147</v>
      </c>
      <c r="G2223" t="s">
        <v>163</v>
      </c>
      <c r="I2223" s="4">
        <v>35</v>
      </c>
      <c r="J2223" s="4">
        <v>35</v>
      </c>
      <c r="L2223" t="s">
        <v>253</v>
      </c>
      <c r="M2223" t="s">
        <v>278</v>
      </c>
      <c r="N2223" s="4">
        <f>IF(L2223="","",IF(OR(Registro2[[#This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23" t="str">
        <f t="shared" si="39"/>
        <v>mai/25</v>
      </c>
      <c r="P2223" t="str">
        <f>IF(Registro2[[#This Row],[Data de Pagamento]]&gt;0,TEXT(A2223,"mmm/aa"),"")</f>
        <v>mai/25</v>
      </c>
      <c r="T2223" s="4">
        <f>IF(Registro2[[#This Row],[Data de Pagamento]]="",0,IF(Registro2[[#This Row],[Conta Financeira]]=base!$A$6,0,Registro2[[#This Row],[Valor Unitário]]))</f>
        <v>35</v>
      </c>
      <c r="U22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23" t="str">
        <f>VLOOKUP(Registro2[[#This Row],[Categoria]],'Plano de Contas'!$V$3:W2277,2,0)</f>
        <v>Receitas Serviços</v>
      </c>
      <c r="X222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24" spans="1:24" hidden="1">
      <c r="A2224" s="1">
        <v>45792.677083333336</v>
      </c>
      <c r="B2224" s="1">
        <v>45792.677083333336</v>
      </c>
      <c r="D2224" t="s">
        <v>1</v>
      </c>
      <c r="E2224" t="s">
        <v>149</v>
      </c>
      <c r="F2224" t="s">
        <v>147</v>
      </c>
      <c r="G2224" t="s">
        <v>163</v>
      </c>
      <c r="I2224" s="4">
        <v>35</v>
      </c>
      <c r="J2224" s="4">
        <v>35</v>
      </c>
      <c r="L2224" t="s">
        <v>264</v>
      </c>
      <c r="M2224" t="s">
        <v>1590</v>
      </c>
      <c r="N2224" s="4">
        <f>IF(L2224="","",IF(OR(Registro2[[#This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24" t="str">
        <f t="shared" si="39"/>
        <v>mai/25</v>
      </c>
      <c r="P2224" t="str">
        <f>IF(Registro2[[#This Row],[Data de Pagamento]]&gt;0,TEXT(A2224,"mmm/aa"),"")</f>
        <v>mai/25</v>
      </c>
      <c r="T2224" s="4">
        <f>IF(Registro2[[#This Row],[Data de Pagamento]]="",0,IF(Registro2[[#This Row],[Conta Financeira]]=base!$A$6,0,Registro2[[#This Row],[Valor Unitário]]))</f>
        <v>35</v>
      </c>
      <c r="U22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24" t="str">
        <f>VLOOKUP(Registro2[[#This Row],[Categoria]],'Plano de Contas'!$V$3:W2278,2,0)</f>
        <v>Receitas Serviços</v>
      </c>
      <c r="X222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25" spans="1:24" hidden="1">
      <c r="A2225" s="1">
        <v>45792.760416666664</v>
      </c>
      <c r="B2225" s="1">
        <v>45792.760416666664</v>
      </c>
      <c r="D2225" t="s">
        <v>310</v>
      </c>
      <c r="E2225" t="s">
        <v>149</v>
      </c>
      <c r="F2225" t="s">
        <v>152</v>
      </c>
      <c r="G2225" t="s">
        <v>353</v>
      </c>
      <c r="I2225" s="4">
        <v>60</v>
      </c>
      <c r="J2225" s="4">
        <v>60</v>
      </c>
      <c r="L2225" t="s">
        <v>252</v>
      </c>
      <c r="M2225" t="s">
        <v>11</v>
      </c>
      <c r="N2225" s="4">
        <f>IF(L2225="","",IF(OR(Registro2[[#This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225" t="str">
        <f t="shared" si="39"/>
        <v>mai/25</v>
      </c>
      <c r="P2225" t="str">
        <f>IF(Registro2[[#This Row],[Data de Pagamento]]&gt;0,TEXT(A2225,"mmm/aa"),"")</f>
        <v>mai/25</v>
      </c>
      <c r="T2225" s="4">
        <f>IF(Registro2[[#This Row],[Data de Pagamento]]="",0,IF(Registro2[[#This Row],[Conta Financeira]]=base!$A$6,0,Registro2[[#This Row],[Valor Unitário]]))</f>
        <v>60</v>
      </c>
      <c r="U22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25" t="str">
        <f>VLOOKUP(Registro2[[#This Row],[Categoria]],'Plano de Contas'!$V$3:W2279,2,0)</f>
        <v>Receitas Serviços</v>
      </c>
      <c r="X222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</row>
    <row r="2226" spans="1:24" hidden="1">
      <c r="A2226" s="1">
        <v>45792.736111111109</v>
      </c>
      <c r="B2226" s="1">
        <v>45792.736111111109</v>
      </c>
      <c r="D2226" t="s">
        <v>2</v>
      </c>
      <c r="E2226" t="s">
        <v>149</v>
      </c>
      <c r="F2226" t="s">
        <v>147</v>
      </c>
      <c r="G2226" t="s">
        <v>163</v>
      </c>
      <c r="I2226" s="4">
        <v>20</v>
      </c>
      <c r="J2226" s="4">
        <v>35</v>
      </c>
      <c r="L2226" t="s">
        <v>253</v>
      </c>
      <c r="M2226" t="s">
        <v>3032</v>
      </c>
      <c r="N2226" s="4">
        <f>IF(L2226="","",IF(OR(Registro2[[#This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226" t="str">
        <f t="shared" si="39"/>
        <v>mai/25</v>
      </c>
      <c r="P2226" t="str">
        <f>IF(Registro2[[#This Row],[Data de Pagamento]]&gt;0,TEXT(A2226,"mmm/aa"),"")</f>
        <v>mai/25</v>
      </c>
      <c r="T2226" s="4">
        <f>IF(Registro2[[#This Row],[Data de Pagamento]]="",0,IF(Registro2[[#This Row],[Conta Financeira]]=base!$A$6,0,Registro2[[#This Row],[Valor Unitário]]))</f>
        <v>20</v>
      </c>
      <c r="U22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26" t="str">
        <f>VLOOKUP(Registro2[[#This Row],[Categoria]],'Plano de Contas'!$V$3:W2280,2,0)</f>
        <v>Receitas Serviços</v>
      </c>
      <c r="X222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27" spans="1:24" hidden="1">
      <c r="A2227" s="1">
        <v>45792.736111111109</v>
      </c>
      <c r="B2227" s="1">
        <v>45792.736111111109</v>
      </c>
      <c r="D2227" t="s">
        <v>2</v>
      </c>
      <c r="E2227" t="s">
        <v>149</v>
      </c>
      <c r="F2227" t="s">
        <v>147</v>
      </c>
      <c r="G2227" t="s">
        <v>1446</v>
      </c>
      <c r="I2227" s="4">
        <v>15</v>
      </c>
      <c r="J2227" s="4">
        <v>0</v>
      </c>
      <c r="L2227" t="s">
        <v>253</v>
      </c>
      <c r="M2227" t="s">
        <v>3032</v>
      </c>
      <c r="N2227" s="4">
        <f>IF(L2227="","",IF(OR(Registro2[[#This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227" t="str">
        <f t="shared" si="39"/>
        <v>mai/25</v>
      </c>
      <c r="P2227" t="str">
        <f>IF(Registro2[[#This Row],[Data de Pagamento]]&gt;0,TEXT(A2227,"mmm/aa"),"")</f>
        <v>mai/25</v>
      </c>
      <c r="T2227" s="4">
        <f>IF(Registro2[[#This Row],[Data de Pagamento]]="",0,IF(Registro2[[#This Row],[Conta Financeira]]=base!$A$6,0,Registro2[[#This Row],[Valor Unitário]]))</f>
        <v>15</v>
      </c>
      <c r="U22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27" t="e">
        <f>VLOOKUP(Registro2[[#This Row],[Categoria]],'Plano de Contas'!$V$3:W2281,2,0)</f>
        <v>#N/A</v>
      </c>
      <c r="X22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28" spans="1:24" hidden="1">
      <c r="A2228" s="1">
        <v>45792.739583333336</v>
      </c>
      <c r="B2228" s="1">
        <v>45792.739583333336</v>
      </c>
      <c r="D2228" t="s">
        <v>2</v>
      </c>
      <c r="E2228" t="s">
        <v>149</v>
      </c>
      <c r="F2228" t="s">
        <v>147</v>
      </c>
      <c r="G2228" t="s">
        <v>163</v>
      </c>
      <c r="I2228" s="4">
        <v>20</v>
      </c>
      <c r="J2228" s="4">
        <v>20</v>
      </c>
      <c r="L2228" t="s">
        <v>253</v>
      </c>
      <c r="M2228" t="s">
        <v>914</v>
      </c>
      <c r="N2228" s="4">
        <f>IF(L2228="","",IF(OR(Registro2[[#This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228" t="str">
        <f t="shared" si="39"/>
        <v>mai/25</v>
      </c>
      <c r="P2228" t="str">
        <f>IF(Registro2[[#This Row],[Data de Pagamento]]&gt;0,TEXT(A2228,"mmm/aa"),"")</f>
        <v>mai/25</v>
      </c>
      <c r="T2228" s="4">
        <f>IF(Registro2[[#This Row],[Data de Pagamento]]="",0,IF(Registro2[[#This Row],[Conta Financeira]]=base!$A$6,0,Registro2[[#This Row],[Valor Unitário]]))</f>
        <v>20</v>
      </c>
      <c r="U22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28" t="str">
        <f>VLOOKUP(Registro2[[#This Row],[Categoria]],'Plano de Contas'!$V$3:W2282,2,0)</f>
        <v>Receitas Serviços</v>
      </c>
      <c r="X222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29" spans="1:24" hidden="1">
      <c r="A2229" s="1">
        <v>45792.767361111109</v>
      </c>
      <c r="B2229" s="1">
        <v>45792.767361111109</v>
      </c>
      <c r="D2229" t="s">
        <v>1</v>
      </c>
      <c r="E2229" t="s">
        <v>149</v>
      </c>
      <c r="F2229" t="s">
        <v>147</v>
      </c>
      <c r="G2229" t="s">
        <v>163</v>
      </c>
      <c r="I2229" s="4">
        <v>35</v>
      </c>
      <c r="J2229" s="4">
        <v>70</v>
      </c>
      <c r="L2229" t="s">
        <v>253</v>
      </c>
      <c r="M2229" t="s">
        <v>1657</v>
      </c>
      <c r="N2229" s="4">
        <f>IF(L2229="","",IF(OR(Registro2[[#This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29" t="str">
        <f t="shared" si="39"/>
        <v>mai/25</v>
      </c>
      <c r="P2229" t="str">
        <f>IF(Registro2[[#This Row],[Data de Pagamento]]&gt;0,TEXT(A2229,"mmm/aa"),"")</f>
        <v>mai/25</v>
      </c>
      <c r="T2229" s="4">
        <f>IF(Registro2[[#This Row],[Data de Pagamento]]="",0,IF(Registro2[[#This Row],[Conta Financeira]]=base!$A$6,0,Registro2[[#This Row],[Valor Unitário]]))</f>
        <v>35</v>
      </c>
      <c r="U22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29" t="str">
        <f>VLOOKUP(Registro2[[#This Row],[Categoria]],'Plano de Contas'!$V$3:W2283,2,0)</f>
        <v>Receitas Serviços</v>
      </c>
      <c r="X22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30" spans="1:24" hidden="1">
      <c r="A2230" s="1">
        <v>45792.767361111109</v>
      </c>
      <c r="B2230" s="1">
        <v>45792.767361111109</v>
      </c>
      <c r="D2230" t="s">
        <v>1</v>
      </c>
      <c r="E2230" t="s">
        <v>149</v>
      </c>
      <c r="F2230" t="s">
        <v>147</v>
      </c>
      <c r="G2230" t="s">
        <v>163</v>
      </c>
      <c r="I2230" s="4">
        <v>35</v>
      </c>
      <c r="J2230" s="4">
        <v>0</v>
      </c>
      <c r="L2230" t="s">
        <v>264</v>
      </c>
      <c r="M2230" t="s">
        <v>1657</v>
      </c>
      <c r="N2230" s="4">
        <f>IF(L2230="","",IF(OR(Registro2[[#This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30" t="str">
        <f t="shared" si="39"/>
        <v>mai/25</v>
      </c>
      <c r="P2230" t="str">
        <f>IF(Registro2[[#This Row],[Data de Pagamento]]&gt;0,TEXT(A2230,"mmm/aa"),"")</f>
        <v>mai/25</v>
      </c>
      <c r="T2230" s="4">
        <f>IF(Registro2[[#This Row],[Data de Pagamento]]="",0,IF(Registro2[[#This Row],[Conta Financeira]]=base!$A$6,0,Registro2[[#This Row],[Valor Unitário]]))</f>
        <v>35</v>
      </c>
      <c r="U22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30" t="str">
        <f>VLOOKUP(Registro2[[#This Row],[Categoria]],'Plano de Contas'!$V$3:W2284,2,0)</f>
        <v>Receitas Serviços</v>
      </c>
      <c r="X223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31" spans="1:24" hidden="1">
      <c r="A2231" s="1">
        <v>45793.770833333336</v>
      </c>
      <c r="B2231" s="1">
        <v>45793.770833333336</v>
      </c>
      <c r="D2231" t="s">
        <v>1</v>
      </c>
      <c r="E2231" t="s">
        <v>149</v>
      </c>
      <c r="F2231" t="s">
        <v>147</v>
      </c>
      <c r="G2231" t="s">
        <v>163</v>
      </c>
      <c r="I2231" s="4">
        <v>35</v>
      </c>
      <c r="J2231" s="4">
        <v>70</v>
      </c>
      <c r="L2231" t="s">
        <v>253</v>
      </c>
      <c r="M2231" t="s">
        <v>88</v>
      </c>
      <c r="N2231" s="4">
        <f>IF(L2231="","",IF(OR(Registro2[[#This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31" t="str">
        <f t="shared" si="39"/>
        <v>mai/25</v>
      </c>
      <c r="P2231" t="str">
        <f>IF(Registro2[[#This Row],[Data de Pagamento]]&gt;0,TEXT(A2231,"mmm/aa"),"")</f>
        <v>mai/25</v>
      </c>
      <c r="T2231" s="4">
        <f>IF(Registro2[[#This Row],[Data de Pagamento]]="",0,IF(Registro2[[#This Row],[Conta Financeira]]=base!$A$6,0,Registro2[[#This Row],[Valor Unitário]]))</f>
        <v>35</v>
      </c>
      <c r="U22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31" t="str">
        <f>VLOOKUP(Registro2[[#This Row],[Categoria]],'Plano de Contas'!$V$3:W2285,2,0)</f>
        <v>Receitas Serviços</v>
      </c>
      <c r="X223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32" spans="1:24" hidden="1">
      <c r="A2232" s="1">
        <v>45793.770833333336</v>
      </c>
      <c r="B2232" s="1">
        <v>45793.770833333336</v>
      </c>
      <c r="D2232" t="s">
        <v>1</v>
      </c>
      <c r="E2232" t="s">
        <v>149</v>
      </c>
      <c r="F2232" t="s">
        <v>147</v>
      </c>
      <c r="G2232" t="s">
        <v>1046</v>
      </c>
      <c r="I2232" s="4">
        <v>20</v>
      </c>
      <c r="J2232" s="4">
        <v>0</v>
      </c>
      <c r="L2232" t="s">
        <v>253</v>
      </c>
      <c r="M2232" t="s">
        <v>88</v>
      </c>
      <c r="N2232" s="4">
        <f>IF(L2232="","",IF(OR(Registro2[[#This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232" t="str">
        <f t="shared" si="39"/>
        <v>mai/25</v>
      </c>
      <c r="P2232" t="str">
        <f>IF(Registro2[[#This Row],[Data de Pagamento]]&gt;0,TEXT(A2232,"mmm/aa"),"")</f>
        <v>mai/25</v>
      </c>
      <c r="T2232" s="4">
        <f>IF(Registro2[[#This Row],[Data de Pagamento]]="",0,IF(Registro2[[#This Row],[Conta Financeira]]=base!$A$6,0,Registro2[[#This Row],[Valor Unitário]]))</f>
        <v>20</v>
      </c>
      <c r="U22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32" t="str">
        <f>VLOOKUP(Registro2[[#This Row],[Categoria]],'Plano de Contas'!$V$3:W2286,2,0)</f>
        <v>Receitas Serviços</v>
      </c>
      <c r="X223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33" spans="1:24" hidden="1">
      <c r="A2233" s="1">
        <v>45793.770833333336</v>
      </c>
      <c r="B2233" s="1">
        <v>45793.770833333336</v>
      </c>
      <c r="D2233" t="s">
        <v>1</v>
      </c>
      <c r="E2233" t="s">
        <v>149</v>
      </c>
      <c r="F2233" t="s">
        <v>147</v>
      </c>
      <c r="G2233" t="s">
        <v>1187</v>
      </c>
      <c r="I2233" s="4">
        <v>15</v>
      </c>
      <c r="J2233" s="4">
        <v>0</v>
      </c>
      <c r="L2233" t="s">
        <v>253</v>
      </c>
      <c r="M2233" t="s">
        <v>88</v>
      </c>
      <c r="N2233" s="4">
        <f>IF(L2233="","",IF(OR(Registro2[[#This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233" t="str">
        <f t="shared" si="39"/>
        <v>mai/25</v>
      </c>
      <c r="P2233" t="str">
        <f>IF(Registro2[[#This Row],[Data de Pagamento]]&gt;0,TEXT(A2233,"mmm/aa"),"")</f>
        <v>mai/25</v>
      </c>
      <c r="T2233" s="4">
        <f>IF(Registro2[[#This Row],[Data de Pagamento]]="",0,IF(Registro2[[#This Row],[Conta Financeira]]=base!$A$6,0,Registro2[[#This Row],[Valor Unitário]]))</f>
        <v>15</v>
      </c>
      <c r="U22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33" t="str">
        <f>VLOOKUP(Registro2[[#This Row],[Categoria]],'Plano de Contas'!$V$3:W2287,2,0)</f>
        <v>Receitas Serviços</v>
      </c>
      <c r="X223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34" spans="1:24" hidden="1">
      <c r="A2234" s="1">
        <v>45792.8125</v>
      </c>
      <c r="B2234" s="1">
        <v>45792.8125</v>
      </c>
      <c r="D2234" t="s">
        <v>310</v>
      </c>
      <c r="E2234" t="s">
        <v>149</v>
      </c>
      <c r="F2234" t="s">
        <v>152</v>
      </c>
      <c r="G2234" t="s">
        <v>353</v>
      </c>
      <c r="I2234" s="4">
        <v>60</v>
      </c>
      <c r="J2234" s="4">
        <v>60</v>
      </c>
      <c r="L2234" t="s">
        <v>252</v>
      </c>
      <c r="M2234" t="s">
        <v>3037</v>
      </c>
      <c r="N2234" s="4">
        <f>IF(L2234="","",IF(OR(Registro2[[#This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234" t="str">
        <f t="shared" si="39"/>
        <v>mai/25</v>
      </c>
      <c r="P2234" t="str">
        <f>IF(Registro2[[#This Row],[Data de Pagamento]]&gt;0,TEXT(A2234,"mmm/aa"),"")</f>
        <v>mai/25</v>
      </c>
      <c r="T2234" s="4">
        <f>IF(Registro2[[#This Row],[Data de Pagamento]]="",0,IF(Registro2[[#This Row],[Conta Financeira]]=base!$A$6,0,Registro2[[#This Row],[Valor Unitário]]))</f>
        <v>60</v>
      </c>
      <c r="U22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34" t="str">
        <f>VLOOKUP(Registro2[[#This Row],[Categoria]],'Plano de Contas'!$V$3:W2288,2,0)</f>
        <v>Receitas Serviços</v>
      </c>
      <c r="X223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</row>
    <row r="2235" spans="1:24" hidden="1">
      <c r="A2235" s="1">
        <v>45792.840277777781</v>
      </c>
      <c r="B2235" s="1">
        <v>45792.840277777781</v>
      </c>
      <c r="D2235" t="s">
        <v>310</v>
      </c>
      <c r="E2235" t="s">
        <v>149</v>
      </c>
      <c r="F2235" t="s">
        <v>147</v>
      </c>
      <c r="G2235" t="s">
        <v>163</v>
      </c>
      <c r="I2235" s="4">
        <v>35</v>
      </c>
      <c r="J2235" s="4">
        <v>50</v>
      </c>
      <c r="L2235" t="s">
        <v>253</v>
      </c>
      <c r="M2235" t="s">
        <v>467</v>
      </c>
      <c r="N2235" s="4">
        <f>IF(L2235="","",IF(OR(Registro2[[#This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35" t="str">
        <f t="shared" si="39"/>
        <v>mai/25</v>
      </c>
      <c r="P2235" t="str">
        <f>IF(Registro2[[#This Row],[Data de Pagamento]]&gt;0,TEXT(A2235,"mmm/aa"),"")</f>
        <v>mai/25</v>
      </c>
      <c r="T2235" s="4">
        <f>IF(Registro2[[#This Row],[Data de Pagamento]]="",0,IF(Registro2[[#This Row],[Conta Financeira]]=base!$A$6,0,Registro2[[#This Row],[Valor Unitário]]))</f>
        <v>35</v>
      </c>
      <c r="U22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35" t="str">
        <f>VLOOKUP(Registro2[[#This Row],[Categoria]],'Plano de Contas'!$V$3:W2289,2,0)</f>
        <v>Receitas Serviços</v>
      </c>
      <c r="X223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236" spans="1:24" hidden="1">
      <c r="A2236" s="1">
        <v>45792.840277777781</v>
      </c>
      <c r="B2236" s="1">
        <v>45792.840277777781</v>
      </c>
      <c r="D2236" t="s">
        <v>310</v>
      </c>
      <c r="E2236" t="s">
        <v>149</v>
      </c>
      <c r="F2236" t="s">
        <v>147</v>
      </c>
      <c r="G2236" t="s">
        <v>1046</v>
      </c>
      <c r="I2236" s="4">
        <v>15</v>
      </c>
      <c r="J2236" s="4">
        <v>0</v>
      </c>
      <c r="L2236" t="s">
        <v>253</v>
      </c>
      <c r="M2236" t="s">
        <v>467</v>
      </c>
      <c r="N2236" s="4">
        <f>IF(L2236="","",IF(OR(Registro2[[#This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236" t="str">
        <f t="shared" si="39"/>
        <v>mai/25</v>
      </c>
      <c r="P2236" t="str">
        <f>IF(Registro2[[#This Row],[Data de Pagamento]]&gt;0,TEXT(A2236,"mmm/aa"),"")</f>
        <v>mai/25</v>
      </c>
      <c r="T2236" s="4">
        <f>IF(Registro2[[#This Row],[Data de Pagamento]]="",0,IF(Registro2[[#This Row],[Conta Financeira]]=base!$A$6,0,Registro2[[#This Row],[Valor Unitário]]))</f>
        <v>15</v>
      </c>
      <c r="U22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36" t="str">
        <f>VLOOKUP(Registro2[[#This Row],[Categoria]],'Plano de Contas'!$V$3:W2290,2,0)</f>
        <v>Receitas Serviços</v>
      </c>
      <c r="X223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</row>
    <row r="2237" spans="1:24" hidden="1">
      <c r="A2237" s="1">
        <v>45792.840277777781</v>
      </c>
      <c r="B2237" s="1">
        <v>45792.840277777781</v>
      </c>
      <c r="D2237" t="s">
        <v>1</v>
      </c>
      <c r="E2237" t="s">
        <v>149</v>
      </c>
      <c r="F2237" t="s">
        <v>147</v>
      </c>
      <c r="G2237" t="s">
        <v>163</v>
      </c>
      <c r="I2237" s="4">
        <v>35</v>
      </c>
      <c r="J2237" s="4">
        <v>35</v>
      </c>
      <c r="L2237" t="s">
        <v>252</v>
      </c>
      <c r="M2237" t="s">
        <v>58</v>
      </c>
      <c r="N2237" s="4">
        <f>IF(L2237="","",IF(OR(Registro2[[#This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37" t="str">
        <f t="shared" si="39"/>
        <v>mai/25</v>
      </c>
      <c r="P2237" t="str">
        <f>IF(Registro2[[#This Row],[Data de Pagamento]]&gt;0,TEXT(A2237,"mmm/aa"),"")</f>
        <v>mai/25</v>
      </c>
      <c r="T2237" s="4">
        <f>IF(Registro2[[#This Row],[Data de Pagamento]]="",0,IF(Registro2[[#This Row],[Conta Financeira]]=base!$A$6,0,Registro2[[#This Row],[Valor Unitário]]))</f>
        <v>35</v>
      </c>
      <c r="U22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37" t="str">
        <f>VLOOKUP(Registro2[[#This Row],[Categoria]],'Plano de Contas'!$V$3:W2291,2,0)</f>
        <v>Receitas Serviços</v>
      </c>
      <c r="X223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38" spans="1:24" hidden="1">
      <c r="A2238" s="1">
        <v>45792.857638888891</v>
      </c>
      <c r="B2238" s="1">
        <v>45792.857638888891</v>
      </c>
      <c r="D2238" t="s">
        <v>1</v>
      </c>
      <c r="E2238" t="s">
        <v>149</v>
      </c>
      <c r="F2238" t="s">
        <v>147</v>
      </c>
      <c r="G2238" t="s">
        <v>163</v>
      </c>
      <c r="I2238" s="4">
        <v>35</v>
      </c>
      <c r="J2238" s="4">
        <v>35</v>
      </c>
      <c r="L2238" t="s">
        <v>252</v>
      </c>
      <c r="M2238" t="s">
        <v>424</v>
      </c>
      <c r="N2238" s="4">
        <f>IF(L2238="","",IF(OR(Registro2[[#This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38" t="str">
        <f t="shared" si="39"/>
        <v>mai/25</v>
      </c>
      <c r="P2238" t="str">
        <f>IF(Registro2[[#This Row],[Data de Pagamento]]&gt;0,TEXT(A2238,"mmm/aa"),"")</f>
        <v>mai/25</v>
      </c>
      <c r="T2238" s="4">
        <f>IF(Registro2[[#This Row],[Data de Pagamento]]="",0,IF(Registro2[[#This Row],[Conta Financeira]]=base!$A$6,0,Registro2[[#This Row],[Valor Unitário]]))</f>
        <v>35</v>
      </c>
      <c r="U22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38" t="str">
        <f>VLOOKUP(Registro2[[#This Row],[Categoria]],'Plano de Contas'!$V$3:W2292,2,0)</f>
        <v>Receitas Serviços</v>
      </c>
      <c r="X223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39" spans="1:24" hidden="1">
      <c r="A2239" s="1">
        <v>45792.864583333336</v>
      </c>
      <c r="B2239" s="1">
        <v>45792.864583333336</v>
      </c>
      <c r="D2239" t="s">
        <v>354</v>
      </c>
      <c r="E2239" t="s">
        <v>149</v>
      </c>
      <c r="F2239" t="s">
        <v>152</v>
      </c>
      <c r="G2239" t="s">
        <v>353</v>
      </c>
      <c r="I2239" s="4">
        <v>60</v>
      </c>
      <c r="J2239" s="4">
        <v>100</v>
      </c>
      <c r="L2239" t="s">
        <v>264</v>
      </c>
      <c r="M2239" t="s">
        <v>901</v>
      </c>
      <c r="N2239" s="4">
        <f>IF(L2239="","",IF(OR(Registro2[[#This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239" t="str">
        <f t="shared" si="39"/>
        <v>mai/25</v>
      </c>
      <c r="P2239" t="str">
        <f>IF(Registro2[[#This Row],[Data de Pagamento]]&gt;0,TEXT(A2239,"mmm/aa"),"")</f>
        <v>mai/25</v>
      </c>
      <c r="T2239" s="4">
        <f>IF(Registro2[[#This Row],[Data de Pagamento]]="",0,IF(Registro2[[#This Row],[Conta Financeira]]=base!$A$6,0,Registro2[[#This Row],[Valor Unitário]]))</f>
        <v>60</v>
      </c>
      <c r="U22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39" t="str">
        <f>VLOOKUP(Registro2[[#This Row],[Categoria]],'Plano de Contas'!$V$3:W2293,2,0)</f>
        <v>Receitas Serviços</v>
      </c>
      <c r="X223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</row>
    <row r="2240" spans="1:24" hidden="1">
      <c r="A2240" s="1">
        <v>45792.864583333336</v>
      </c>
      <c r="B2240" s="1">
        <v>45792.864583333336</v>
      </c>
      <c r="D2240" t="s">
        <v>354</v>
      </c>
      <c r="E2240" t="s">
        <v>149</v>
      </c>
      <c r="F2240" t="s">
        <v>150</v>
      </c>
      <c r="G2240" t="s">
        <v>2536</v>
      </c>
      <c r="I2240" s="4">
        <v>40</v>
      </c>
      <c r="J2240" s="4">
        <v>0</v>
      </c>
      <c r="L2240" t="s">
        <v>264</v>
      </c>
      <c r="M2240" t="s">
        <v>901</v>
      </c>
      <c r="N2240" s="4">
        <f>IF(L2240="","",IF(OR(Registro2[[#This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2240" t="str">
        <f t="shared" ref="O2240:O2271" si="40">TEXT(B2240,"mmm/aa")</f>
        <v>mai/25</v>
      </c>
      <c r="P2240" t="str">
        <f>IF(Registro2[[#This Row],[Data de Pagamento]]&gt;0,TEXT(A2240,"mmm/aa"),"")</f>
        <v>mai/25</v>
      </c>
      <c r="T2240" s="4">
        <f>IF(Registro2[[#This Row],[Data de Pagamento]]="",0,IF(Registro2[[#This Row],[Conta Financeira]]=base!$A$6,0,Registro2[[#This Row],[Valor Unitário]]))</f>
        <v>40</v>
      </c>
      <c r="U22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40" t="e">
        <f>VLOOKUP(Registro2[[#This Row],[Categoria]],'Plano de Contas'!$V$3:W2294,2,0)</f>
        <v>#N/A</v>
      </c>
      <c r="X224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1.26</v>
      </c>
    </row>
    <row r="2241" spans="1:24" hidden="1">
      <c r="A2241" s="1">
        <v>45793.625</v>
      </c>
      <c r="B2241" s="1">
        <v>45793.625</v>
      </c>
      <c r="D2241" t="s">
        <v>1</v>
      </c>
      <c r="E2241" t="s">
        <v>149</v>
      </c>
      <c r="F2241" t="s">
        <v>147</v>
      </c>
      <c r="G2241" t="s">
        <v>163</v>
      </c>
      <c r="I2241" s="4">
        <v>35</v>
      </c>
      <c r="J2241" s="4">
        <v>45</v>
      </c>
      <c r="L2241" t="s">
        <v>253</v>
      </c>
      <c r="M2241" t="s">
        <v>14</v>
      </c>
      <c r="N2241" s="4">
        <f>IF(L2241="","",IF(OR(Registro2[[#This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41" t="str">
        <f t="shared" si="40"/>
        <v>mai/25</v>
      </c>
      <c r="P2241" t="str">
        <f>IF(Registro2[[#This Row],[Data de Pagamento]]&gt;0,TEXT(A2241,"mmm/aa"),"")</f>
        <v>mai/25</v>
      </c>
      <c r="T2241" s="4">
        <f>IF(Registro2[[#This Row],[Data de Pagamento]]="",0,IF(Registro2[[#This Row],[Conta Financeira]]=base!$A$6,0,Registro2[[#This Row],[Valor Unitário]]))</f>
        <v>35</v>
      </c>
      <c r="U22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41" t="str">
        <f>VLOOKUP(Registro2[[#This Row],[Categoria]],'Plano de Contas'!$V$3:W2295,2,0)</f>
        <v>Receitas Serviços</v>
      </c>
      <c r="X224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42" spans="1:24" hidden="1">
      <c r="A2242" s="1">
        <v>45793.625</v>
      </c>
      <c r="B2242" s="1">
        <v>45793.625</v>
      </c>
      <c r="D2242" t="s">
        <v>1</v>
      </c>
      <c r="E2242" t="s">
        <v>149</v>
      </c>
      <c r="F2242" t="s">
        <v>147</v>
      </c>
      <c r="G2242" t="s">
        <v>167</v>
      </c>
      <c r="I2242" s="4">
        <v>10</v>
      </c>
      <c r="J2242" s="4">
        <v>0</v>
      </c>
      <c r="L2242" t="s">
        <v>253</v>
      </c>
      <c r="M2242" t="s">
        <v>14</v>
      </c>
      <c r="N2242" s="4">
        <f>IF(L2242="","",IF(OR(Registro2[[#This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242" t="str">
        <f t="shared" si="40"/>
        <v>mai/25</v>
      </c>
      <c r="P2242" t="str">
        <f>IF(Registro2[[#This Row],[Data de Pagamento]]&gt;0,TEXT(A2242,"mmm/aa"),"")</f>
        <v>mai/25</v>
      </c>
      <c r="T2242" s="4">
        <f>IF(Registro2[[#This Row],[Data de Pagamento]]="",0,IF(Registro2[[#This Row],[Conta Financeira]]=base!$A$6,0,Registro2[[#This Row],[Valor Unitário]]))</f>
        <v>10</v>
      </c>
      <c r="U22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42" t="str">
        <f>VLOOKUP(Registro2[[#This Row],[Categoria]],'Plano de Contas'!$V$3:W2296,2,0)</f>
        <v>Receitas Serviços</v>
      </c>
      <c r="X224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43" spans="1:24" hidden="1">
      <c r="A2243" s="1">
        <v>45793.604166666664</v>
      </c>
      <c r="B2243" s="1">
        <v>45793.604166666664</v>
      </c>
      <c r="D2243" t="s">
        <v>1</v>
      </c>
      <c r="E2243" t="s">
        <v>149</v>
      </c>
      <c r="F2243" t="s">
        <v>152</v>
      </c>
      <c r="G2243" t="s">
        <v>353</v>
      </c>
      <c r="I2243" s="4">
        <v>60</v>
      </c>
      <c r="J2243" s="4">
        <v>105</v>
      </c>
      <c r="L2243" t="s">
        <v>264</v>
      </c>
      <c r="M2243" t="s">
        <v>465</v>
      </c>
      <c r="N2243" s="4">
        <f>IF(L2243="","",IF(OR(Registro2[[#This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243" t="str">
        <f t="shared" si="40"/>
        <v>mai/25</v>
      </c>
      <c r="P2243" t="str">
        <f>IF(Registro2[[#This Row],[Data de Pagamento]]&gt;0,TEXT(A2243,"mmm/aa"),"")</f>
        <v>mai/25</v>
      </c>
      <c r="T2243" s="4">
        <f>IF(Registro2[[#This Row],[Data de Pagamento]]="",0,IF(Registro2[[#This Row],[Conta Financeira]]=base!$A$6,0,Registro2[[#This Row],[Valor Unitário]]))</f>
        <v>60</v>
      </c>
      <c r="U22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43" t="str">
        <f>VLOOKUP(Registro2[[#This Row],[Categoria]],'Plano de Contas'!$V$3:W2297,2,0)</f>
        <v>Receitas Serviços</v>
      </c>
      <c r="X224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44" spans="1:24" hidden="1">
      <c r="A2244" s="1">
        <v>45793.604166666664</v>
      </c>
      <c r="B2244" s="1">
        <v>45793.604166666664</v>
      </c>
      <c r="D2244" t="s">
        <v>1</v>
      </c>
      <c r="E2244" t="s">
        <v>149</v>
      </c>
      <c r="F2244" t="s">
        <v>150</v>
      </c>
      <c r="G2244" t="s">
        <v>2731</v>
      </c>
      <c r="I2244" s="4">
        <v>45</v>
      </c>
      <c r="J2244" s="4">
        <v>0</v>
      </c>
      <c r="L2244" t="s">
        <v>264</v>
      </c>
      <c r="M2244" t="s">
        <v>465</v>
      </c>
      <c r="N2244" s="4">
        <f>IF(L2244="","",IF(OR(Registro2[[#This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2244" t="str">
        <f t="shared" si="40"/>
        <v>mai/25</v>
      </c>
      <c r="P2244" t="str">
        <f>IF(Registro2[[#This Row],[Data de Pagamento]]&gt;0,TEXT(A2244,"mmm/aa"),"")</f>
        <v>mai/25</v>
      </c>
      <c r="T2244" s="4">
        <f>IF(Registro2[[#This Row],[Data de Pagamento]]="",0,IF(Registro2[[#This Row],[Conta Financeira]]=base!$A$6,0,Registro2[[#This Row],[Valor Unitário]]))</f>
        <v>45</v>
      </c>
      <c r="U22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44" t="e">
        <f>VLOOKUP(Registro2[[#This Row],[Categoria]],'Plano de Contas'!$V$3:W2298,2,0)</f>
        <v>#N/A</v>
      </c>
      <c r="X224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45" spans="1:24" hidden="1">
      <c r="A2245" s="1">
        <v>45793.666666666664</v>
      </c>
      <c r="B2245" s="1">
        <v>45793.666666666664</v>
      </c>
      <c r="D2245" t="s">
        <v>2</v>
      </c>
      <c r="E2245" t="s">
        <v>149</v>
      </c>
      <c r="F2245" t="s">
        <v>147</v>
      </c>
      <c r="G2245" t="s">
        <v>163</v>
      </c>
      <c r="I2245" s="4">
        <v>35</v>
      </c>
      <c r="J2245" s="4">
        <v>35</v>
      </c>
      <c r="L2245" t="s">
        <v>253</v>
      </c>
      <c r="M2245" t="s">
        <v>66</v>
      </c>
      <c r="N2245" s="4">
        <f>IF(L2245="","",IF(OR(Registro2[[#This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45" t="str">
        <f t="shared" si="40"/>
        <v>mai/25</v>
      </c>
      <c r="P2245" t="str">
        <f>IF(Registro2[[#This Row],[Data de Pagamento]]&gt;0,TEXT(A2245,"mmm/aa"),"")</f>
        <v>mai/25</v>
      </c>
      <c r="T2245" s="4">
        <f>IF(Registro2[[#This Row],[Data de Pagamento]]="",0,IF(Registro2[[#This Row],[Conta Financeira]]=base!$A$6,0,Registro2[[#This Row],[Valor Unitário]]))</f>
        <v>35</v>
      </c>
      <c r="U22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45" t="str">
        <f>VLOOKUP(Registro2[[#This Row],[Categoria]],'Plano de Contas'!$V$3:W2299,2,0)</f>
        <v>Receitas Serviços</v>
      </c>
      <c r="X22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46" spans="1:24" hidden="1">
      <c r="A2246" s="1">
        <v>45793.510416666664</v>
      </c>
      <c r="B2246" s="1">
        <v>45793.510416666664</v>
      </c>
      <c r="D2246" t="s">
        <v>1</v>
      </c>
      <c r="E2246" t="s">
        <v>149</v>
      </c>
      <c r="F2246" t="s">
        <v>147</v>
      </c>
      <c r="G2246" t="s">
        <v>163</v>
      </c>
      <c r="I2246" s="4">
        <v>35</v>
      </c>
      <c r="J2246" s="4">
        <v>35</v>
      </c>
      <c r="L2246" t="s">
        <v>264</v>
      </c>
      <c r="M2246" t="s">
        <v>2025</v>
      </c>
      <c r="N2246" s="4">
        <f>IF(L2246="","",IF(OR(Registro2[[#This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46" t="str">
        <f t="shared" si="40"/>
        <v>mai/25</v>
      </c>
      <c r="P2246" t="str">
        <f>IF(Registro2[[#This Row],[Data de Pagamento]]&gt;0,TEXT(A2246,"mmm/aa"),"")</f>
        <v>mai/25</v>
      </c>
      <c r="T2246" s="4">
        <f>IF(Registro2[[#This Row],[Data de Pagamento]]="",0,IF(Registro2[[#This Row],[Conta Financeira]]=base!$A$6,0,Registro2[[#This Row],[Valor Unitário]]))</f>
        <v>35</v>
      </c>
      <c r="U22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46" t="str">
        <f>VLOOKUP(Registro2[[#This Row],[Categoria]],'Plano de Contas'!$V$3:W2300,2,0)</f>
        <v>Receitas Serviços</v>
      </c>
      <c r="X224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47" spans="1:24" hidden="1">
      <c r="A2247" s="1">
        <v>45793.552083333336</v>
      </c>
      <c r="B2247" s="1">
        <v>45793.552083333336</v>
      </c>
      <c r="D2247" t="s">
        <v>2</v>
      </c>
      <c r="E2247" t="s">
        <v>149</v>
      </c>
      <c r="F2247" t="s">
        <v>147</v>
      </c>
      <c r="G2247" t="s">
        <v>1046</v>
      </c>
      <c r="I2247" s="4">
        <v>35</v>
      </c>
      <c r="J2247" s="4">
        <v>35</v>
      </c>
      <c r="L2247" t="s">
        <v>253</v>
      </c>
      <c r="M2247" t="s">
        <v>2322</v>
      </c>
      <c r="N2247" s="4">
        <f>IF(L2247="","",IF(OR(Registro2[[#This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47" t="str">
        <f t="shared" si="40"/>
        <v>mai/25</v>
      </c>
      <c r="P2247" t="str">
        <f>IF(Registro2[[#This Row],[Data de Pagamento]]&gt;0,TEXT(A2247,"mmm/aa"),"")</f>
        <v>mai/25</v>
      </c>
      <c r="T2247" s="4">
        <f>IF(Registro2[[#This Row],[Data de Pagamento]]="",0,IF(Registro2[[#This Row],[Conta Financeira]]=base!$A$6,0,Registro2[[#This Row],[Valor Unitário]]))</f>
        <v>35</v>
      </c>
      <c r="U22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47" t="str">
        <f>VLOOKUP(Registro2[[#This Row],[Categoria]],'Plano de Contas'!$V$3:W2301,2,0)</f>
        <v>Receitas Serviços</v>
      </c>
      <c r="X224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48" spans="1:24" hidden="1">
      <c r="A2248" s="1">
        <v>45794.520833333336</v>
      </c>
      <c r="B2248" s="1">
        <v>45794.520833333336</v>
      </c>
      <c r="D2248" t="s">
        <v>1</v>
      </c>
      <c r="E2248" t="s">
        <v>149</v>
      </c>
      <c r="F2248" t="s">
        <v>147</v>
      </c>
      <c r="G2248" t="s">
        <v>163</v>
      </c>
      <c r="I2248" s="4">
        <v>35</v>
      </c>
      <c r="J2248" s="4">
        <v>35</v>
      </c>
      <c r="L2248" t="s">
        <v>252</v>
      </c>
      <c r="M2248" t="s">
        <v>798</v>
      </c>
      <c r="N2248" s="4">
        <f>IF(L2248="","",IF(OR(Registro2[[#This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48" t="str">
        <f t="shared" si="40"/>
        <v>mai/25</v>
      </c>
      <c r="P2248" t="str">
        <f>IF(Registro2[[#This Row],[Data de Pagamento]]&gt;0,TEXT(A2248,"mmm/aa"),"")</f>
        <v>mai/25</v>
      </c>
      <c r="T2248" s="4">
        <f>IF(Registro2[[#This Row],[Data de Pagamento]]="",0,IF(Registro2[[#This Row],[Conta Financeira]]=base!$A$6,0,Registro2[[#This Row],[Valor Unitário]]))</f>
        <v>35</v>
      </c>
      <c r="U22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48" t="str">
        <f>VLOOKUP(Registro2[[#This Row],[Categoria]],'Plano de Contas'!$V$3:W2302,2,0)</f>
        <v>Receitas Serviços</v>
      </c>
      <c r="X224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49" spans="1:24" hidden="1">
      <c r="A2249" s="1">
        <v>45793.65625</v>
      </c>
      <c r="B2249" s="1">
        <v>45793.65625</v>
      </c>
      <c r="D2249" t="s">
        <v>310</v>
      </c>
      <c r="E2249" t="s">
        <v>149</v>
      </c>
      <c r="F2249" t="s">
        <v>147</v>
      </c>
      <c r="G2249" t="s">
        <v>163</v>
      </c>
      <c r="I2249" s="4">
        <v>35</v>
      </c>
      <c r="J2249" s="4">
        <v>35</v>
      </c>
      <c r="L2249" t="s">
        <v>264</v>
      </c>
      <c r="M2249" t="s">
        <v>111</v>
      </c>
      <c r="N2249" s="4">
        <f>IF(L2249="","",IF(OR(Registro2[[#This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49" t="str">
        <f t="shared" si="40"/>
        <v>mai/25</v>
      </c>
      <c r="P2249" t="str">
        <f>IF(Registro2[[#This Row],[Data de Pagamento]]&gt;0,TEXT(A2249,"mmm/aa"),"")</f>
        <v>mai/25</v>
      </c>
      <c r="T2249" s="4">
        <f>IF(Registro2[[#This Row],[Data de Pagamento]]="",0,IF(Registro2[[#This Row],[Conta Financeira]]=base!$A$6,0,Registro2[[#This Row],[Valor Unitário]]))</f>
        <v>35</v>
      </c>
      <c r="U22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49" t="str">
        <f>VLOOKUP(Registro2[[#This Row],[Categoria]],'Plano de Contas'!$V$3:W2303,2,0)</f>
        <v>Receitas Serviços</v>
      </c>
      <c r="X224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250" spans="1:24" hidden="1">
      <c r="A2250" s="1">
        <v>45793.659722222219</v>
      </c>
      <c r="B2250" s="1">
        <v>45793.659722222219</v>
      </c>
      <c r="D2250" t="s">
        <v>310</v>
      </c>
      <c r="E2250" t="s">
        <v>149</v>
      </c>
      <c r="F2250" t="s">
        <v>147</v>
      </c>
      <c r="G2250" t="s">
        <v>163</v>
      </c>
      <c r="I2250" s="4">
        <v>35</v>
      </c>
      <c r="J2250" s="4">
        <v>35</v>
      </c>
      <c r="L2250" t="s">
        <v>252</v>
      </c>
      <c r="M2250" t="s">
        <v>1161</v>
      </c>
      <c r="N2250" s="4">
        <f>IF(L2250="","",IF(OR(Registro2[[#This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50" t="str">
        <f t="shared" si="40"/>
        <v>mai/25</v>
      </c>
      <c r="P2250" t="str">
        <f>IF(Registro2[[#This Row],[Data de Pagamento]]&gt;0,TEXT(A2250,"mmm/aa"),"")</f>
        <v>mai/25</v>
      </c>
      <c r="T2250" s="4">
        <f>IF(Registro2[[#This Row],[Data de Pagamento]]="",0,IF(Registro2[[#This Row],[Conta Financeira]]=base!$A$6,0,Registro2[[#This Row],[Valor Unitário]]))</f>
        <v>35</v>
      </c>
      <c r="U22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50" t="str">
        <f>VLOOKUP(Registro2[[#This Row],[Categoria]],'Plano de Contas'!$V$3:W2304,2,0)</f>
        <v>Receitas Serviços</v>
      </c>
      <c r="X225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251" spans="1:24" hidden="1">
      <c r="A2251" s="1">
        <v>45794.416666666664</v>
      </c>
      <c r="B2251" s="1">
        <v>45794.416666666664</v>
      </c>
      <c r="D2251" t="s">
        <v>354</v>
      </c>
      <c r="E2251" t="s">
        <v>149</v>
      </c>
      <c r="F2251" t="s">
        <v>147</v>
      </c>
      <c r="G2251" t="s">
        <v>163</v>
      </c>
      <c r="I2251" s="4">
        <v>30</v>
      </c>
      <c r="J2251" s="4">
        <v>30</v>
      </c>
      <c r="L2251" t="s">
        <v>253</v>
      </c>
      <c r="M2251" t="s">
        <v>401</v>
      </c>
      <c r="N2251" s="4">
        <f>IF(L2251="","",IF(OR(Registro2[[#This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2251" t="str">
        <f t="shared" si="40"/>
        <v>mai/25</v>
      </c>
      <c r="P2251" t="str">
        <f>IF(Registro2[[#This Row],[Data de Pagamento]]&gt;0,TEXT(A2251,"mmm/aa"),"")</f>
        <v>mai/25</v>
      </c>
      <c r="T2251" s="4">
        <f>IF(Registro2[[#This Row],[Data de Pagamento]]="",0,IF(Registro2[[#This Row],[Conta Financeira]]=base!$A$6,0,Registro2[[#This Row],[Valor Unitário]]))</f>
        <v>30</v>
      </c>
      <c r="U22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51" t="str">
        <f>VLOOKUP(Registro2[[#This Row],[Categoria]],'Plano de Contas'!$V$3:W2305,2,0)</f>
        <v>Receitas Serviços</v>
      </c>
      <c r="X225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0.94500000000000006</v>
      </c>
    </row>
    <row r="2252" spans="1:24" hidden="1">
      <c r="A2252" s="1">
        <v>45793.791666666664</v>
      </c>
      <c r="B2252" s="1">
        <v>45793.791666666664</v>
      </c>
      <c r="D2252" t="s">
        <v>2</v>
      </c>
      <c r="E2252" t="s">
        <v>149</v>
      </c>
      <c r="F2252" t="s">
        <v>147</v>
      </c>
      <c r="G2252" t="s">
        <v>163</v>
      </c>
      <c r="I2252" s="4">
        <v>35</v>
      </c>
      <c r="J2252" s="4">
        <v>50</v>
      </c>
      <c r="L2252" t="s">
        <v>253</v>
      </c>
      <c r="M2252" t="s">
        <v>53</v>
      </c>
      <c r="N2252" s="4">
        <f>IF(L2252="","",IF(OR(Registro2[[#This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52" t="str">
        <f t="shared" si="40"/>
        <v>mai/25</v>
      </c>
      <c r="P2252" t="str">
        <f>IF(Registro2[[#This Row],[Data de Pagamento]]&gt;0,TEXT(A2252,"mmm/aa"),"")</f>
        <v>mai/25</v>
      </c>
      <c r="T2252" s="4">
        <f>IF(Registro2[[#This Row],[Data de Pagamento]]="",0,IF(Registro2[[#This Row],[Conta Financeira]]=base!$A$6,0,Registro2[[#This Row],[Valor Unitário]]))</f>
        <v>35</v>
      </c>
      <c r="U22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52" t="str">
        <f>VLOOKUP(Registro2[[#This Row],[Categoria]],'Plano de Contas'!$V$3:W2306,2,0)</f>
        <v>Receitas Serviços</v>
      </c>
      <c r="X225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53" spans="1:24" hidden="1">
      <c r="A2253" s="1">
        <v>45793.791666666664</v>
      </c>
      <c r="B2253" s="1">
        <v>45793.791666666664</v>
      </c>
      <c r="D2253" t="s">
        <v>2</v>
      </c>
      <c r="E2253" t="s">
        <v>149</v>
      </c>
      <c r="F2253" t="s">
        <v>150</v>
      </c>
      <c r="G2253" t="s">
        <v>2526</v>
      </c>
      <c r="I2253" s="4">
        <v>25</v>
      </c>
      <c r="J2253" s="4">
        <v>0</v>
      </c>
      <c r="L2253" t="s">
        <v>253</v>
      </c>
      <c r="M2253" t="s">
        <v>53</v>
      </c>
      <c r="N2253" s="4">
        <f>IF(L2253="","",IF(OR(Registro2[[#This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2253" t="str">
        <f t="shared" si="40"/>
        <v>mai/25</v>
      </c>
      <c r="P2253" t="str">
        <f>IF(Registro2[[#This Row],[Data de Pagamento]]&gt;0,TEXT(A2253,"mmm/aa"),"")</f>
        <v>mai/25</v>
      </c>
      <c r="T2253" s="4">
        <f>IF(Registro2[[#This Row],[Data de Pagamento]]="",0,IF(Registro2[[#This Row],[Conta Financeira]]=base!$A$6,0,Registro2[[#This Row],[Valor Unitário]]))</f>
        <v>25</v>
      </c>
      <c r="U22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53" t="e">
        <f>VLOOKUP(Registro2[[#This Row],[Categoria]],'Plano de Contas'!$V$3:W2307,2,0)</f>
        <v>#N/A</v>
      </c>
      <c r="X225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54" spans="1:24" hidden="1">
      <c r="A2254" s="1">
        <v>45793.708333333336</v>
      </c>
      <c r="B2254" s="1">
        <v>45793.708333333336</v>
      </c>
      <c r="D2254" t="s">
        <v>1</v>
      </c>
      <c r="E2254" t="s">
        <v>149</v>
      </c>
      <c r="F2254" t="s">
        <v>147</v>
      </c>
      <c r="G2254" t="s">
        <v>163</v>
      </c>
      <c r="I2254" s="4">
        <v>35</v>
      </c>
      <c r="J2254" s="4">
        <v>35</v>
      </c>
      <c r="L2254" t="s">
        <v>264</v>
      </c>
      <c r="M2254" t="s">
        <v>1134</v>
      </c>
      <c r="N2254" s="4">
        <f>IF(L2254="","",IF(OR(Registro2[[#This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54" t="str">
        <f t="shared" si="40"/>
        <v>mai/25</v>
      </c>
      <c r="P2254" t="str">
        <f>IF(Registro2[[#This Row],[Data de Pagamento]]&gt;0,TEXT(A2254,"mmm/aa"),"")</f>
        <v>mai/25</v>
      </c>
      <c r="T2254" s="4">
        <f>IF(Registro2[[#This Row],[Data de Pagamento]]="",0,IF(Registro2[[#This Row],[Conta Financeira]]=base!$A$6,0,Registro2[[#This Row],[Valor Unitário]]))</f>
        <v>35</v>
      </c>
      <c r="U22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54" t="str">
        <f>VLOOKUP(Registro2[[#This Row],[Categoria]],'Plano de Contas'!$V$3:W2308,2,0)</f>
        <v>Receitas Serviços</v>
      </c>
      <c r="X225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55" spans="1:24" hidden="1">
      <c r="A2255" s="1">
        <v>45793.71875</v>
      </c>
      <c r="B2255" s="1">
        <v>45793.71875</v>
      </c>
      <c r="D2255" t="s">
        <v>1</v>
      </c>
      <c r="E2255" t="s">
        <v>149</v>
      </c>
      <c r="F2255" t="s">
        <v>147</v>
      </c>
      <c r="G2255" t="s">
        <v>163</v>
      </c>
      <c r="I2255" s="4">
        <v>35</v>
      </c>
      <c r="J2255" s="4">
        <v>35</v>
      </c>
      <c r="L2255" t="s">
        <v>252</v>
      </c>
      <c r="M2255" t="s">
        <v>10</v>
      </c>
      <c r="N2255" s="4">
        <f>IF(L2255="","",IF(OR(Registro2[[#This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55" t="str">
        <f t="shared" si="40"/>
        <v>mai/25</v>
      </c>
      <c r="P2255" t="str">
        <f>IF(Registro2[[#This Row],[Data de Pagamento]]&gt;0,TEXT(A2255,"mmm/aa"),"")</f>
        <v>mai/25</v>
      </c>
      <c r="T2255" s="4">
        <f>IF(Registro2[[#This Row],[Data de Pagamento]]="",0,IF(Registro2[[#This Row],[Conta Financeira]]=base!$A$6,0,Registro2[[#This Row],[Valor Unitário]]))</f>
        <v>35</v>
      </c>
      <c r="U22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55" t="str">
        <f>VLOOKUP(Registro2[[#This Row],[Categoria]],'Plano de Contas'!$V$3:W2309,2,0)</f>
        <v>Receitas Serviços</v>
      </c>
      <c r="X22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56" spans="1:24" hidden="1">
      <c r="A2256" s="1">
        <v>45793.75</v>
      </c>
      <c r="B2256" s="1">
        <v>45793.75</v>
      </c>
      <c r="D2256" t="s">
        <v>354</v>
      </c>
      <c r="E2256" t="s">
        <v>149</v>
      </c>
      <c r="F2256" t="s">
        <v>152</v>
      </c>
      <c r="G2256" t="s">
        <v>353</v>
      </c>
      <c r="I2256" s="4">
        <v>55</v>
      </c>
      <c r="J2256" s="4">
        <v>55</v>
      </c>
      <c r="L2256" t="s">
        <v>264</v>
      </c>
      <c r="M2256" t="s">
        <v>1899</v>
      </c>
      <c r="N2256" s="4">
        <f>IF(L2256="","",IF(OR(Registro2[[#This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2256" t="str">
        <f t="shared" si="40"/>
        <v>mai/25</v>
      </c>
      <c r="P2256" t="str">
        <f>IF(Registro2[[#This Row],[Data de Pagamento]]&gt;0,TEXT(A2256,"mmm/aa"),"")</f>
        <v>mai/25</v>
      </c>
      <c r="T2256" s="4">
        <f>IF(Registro2[[#This Row],[Data de Pagamento]]="",0,IF(Registro2[[#This Row],[Conta Financeira]]=base!$A$6,0,Registro2[[#This Row],[Valor Unitário]]))</f>
        <v>55</v>
      </c>
      <c r="U22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56" t="str">
        <f>VLOOKUP(Registro2[[#This Row],[Categoria]],'Plano de Contas'!$V$3:W2310,2,0)</f>
        <v>Receitas Serviços</v>
      </c>
      <c r="X225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1.7324999999999999</v>
      </c>
    </row>
    <row r="2257" spans="1:24" hidden="1">
      <c r="A2257" s="1">
        <v>45793.8125</v>
      </c>
      <c r="B2257" s="1">
        <v>45793.8125</v>
      </c>
      <c r="D2257" t="s">
        <v>1</v>
      </c>
      <c r="E2257" t="s">
        <v>149</v>
      </c>
      <c r="F2257" t="s">
        <v>147</v>
      </c>
      <c r="G2257" t="s">
        <v>163</v>
      </c>
      <c r="I2257" s="4">
        <v>35</v>
      </c>
      <c r="J2257" s="4">
        <v>35</v>
      </c>
      <c r="L2257" t="s">
        <v>252</v>
      </c>
      <c r="M2257" t="s">
        <v>18</v>
      </c>
      <c r="N2257" s="4">
        <f>IF(L2257="","",IF(OR(Registro2[[#This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57" t="str">
        <f t="shared" si="40"/>
        <v>mai/25</v>
      </c>
      <c r="P2257" t="str">
        <f>IF(Registro2[[#This Row],[Data de Pagamento]]&gt;0,TEXT(A2257,"mmm/aa"),"")</f>
        <v>mai/25</v>
      </c>
      <c r="T2257" s="4">
        <f>IF(Registro2[[#This Row],[Data de Pagamento]]="",0,IF(Registro2[[#This Row],[Conta Financeira]]=base!$A$6,0,Registro2[[#This Row],[Valor Unitário]]))</f>
        <v>35</v>
      </c>
      <c r="U22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57" t="str">
        <f>VLOOKUP(Registro2[[#This Row],[Categoria]],'Plano de Contas'!$V$3:W2311,2,0)</f>
        <v>Receitas Serviços</v>
      </c>
      <c r="X22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58" spans="1:24" hidden="1">
      <c r="A2258" s="1">
        <v>45793.815972222219</v>
      </c>
      <c r="B2258" s="1">
        <v>45793.815972222219</v>
      </c>
      <c r="D2258" t="s">
        <v>1</v>
      </c>
      <c r="E2258" t="s">
        <v>149</v>
      </c>
      <c r="F2258" t="s">
        <v>152</v>
      </c>
      <c r="G2258" t="s">
        <v>353</v>
      </c>
      <c r="I2258" s="4">
        <v>60</v>
      </c>
      <c r="J2258" s="4">
        <v>85</v>
      </c>
      <c r="L2258" t="s">
        <v>264</v>
      </c>
      <c r="M2258" t="s">
        <v>502</v>
      </c>
      <c r="N2258" s="4">
        <f>IF(L2258="","",IF(OR(Registro2[[#This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258" t="str">
        <f t="shared" si="40"/>
        <v>mai/25</v>
      </c>
      <c r="P2258" t="str">
        <f>IF(Registro2[[#This Row],[Data de Pagamento]]&gt;0,TEXT(A2258,"mmm/aa"),"")</f>
        <v>mai/25</v>
      </c>
      <c r="T2258" s="4">
        <f>IF(Registro2[[#This Row],[Data de Pagamento]]="",0,IF(Registro2[[#This Row],[Conta Financeira]]=base!$A$6,0,Registro2[[#This Row],[Valor Unitário]]))</f>
        <v>60</v>
      </c>
      <c r="U22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58" t="str">
        <f>VLOOKUP(Registro2[[#This Row],[Categoria]],'Plano de Contas'!$V$3:W2312,2,0)</f>
        <v>Receitas Serviços</v>
      </c>
      <c r="X22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59" spans="1:24" hidden="1">
      <c r="A2259" s="1">
        <v>45793.815972222219</v>
      </c>
      <c r="B2259" s="1">
        <v>45793.815972222219</v>
      </c>
      <c r="D2259" t="s">
        <v>1</v>
      </c>
      <c r="E2259" t="s">
        <v>149</v>
      </c>
      <c r="F2259" t="s">
        <v>147</v>
      </c>
      <c r="G2259" t="s">
        <v>2825</v>
      </c>
      <c r="I2259" s="4">
        <v>10</v>
      </c>
      <c r="J2259" s="4">
        <v>0</v>
      </c>
      <c r="L2259" t="s">
        <v>264</v>
      </c>
      <c r="M2259" t="s">
        <v>502</v>
      </c>
      <c r="N2259" s="4">
        <f>IF(L2259="","",IF(OR(Registro2[[#This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259" t="str">
        <f t="shared" si="40"/>
        <v>mai/25</v>
      </c>
      <c r="P2259" t="str">
        <f>IF(Registro2[[#This Row],[Data de Pagamento]]&gt;0,TEXT(A2259,"mmm/aa"),"")</f>
        <v>mai/25</v>
      </c>
      <c r="T2259" s="4">
        <f>IF(Registro2[[#This Row],[Data de Pagamento]]="",0,IF(Registro2[[#This Row],[Conta Financeira]]=base!$A$6,0,Registro2[[#This Row],[Valor Unitário]]))</f>
        <v>10</v>
      </c>
      <c r="U22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59" t="e">
        <f>VLOOKUP(Registro2[[#This Row],[Categoria]],'Plano de Contas'!$V$3:W2313,2,0)</f>
        <v>#N/A</v>
      </c>
      <c r="X225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60" spans="1:24" hidden="1">
      <c r="A2260" s="1">
        <v>45793.815972222219</v>
      </c>
      <c r="B2260" s="1">
        <v>45793.815972222219</v>
      </c>
      <c r="D2260" t="s">
        <v>1</v>
      </c>
      <c r="E2260" t="s">
        <v>149</v>
      </c>
      <c r="F2260" t="s">
        <v>147</v>
      </c>
      <c r="G2260" t="s">
        <v>1187</v>
      </c>
      <c r="I2260" s="4">
        <v>15</v>
      </c>
      <c r="J2260" s="4">
        <v>0</v>
      </c>
      <c r="L2260" t="s">
        <v>264</v>
      </c>
      <c r="M2260" t="s">
        <v>502</v>
      </c>
      <c r="N2260" s="4">
        <f>IF(L2260="","",IF(OR(Registro2[[#This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260" t="str">
        <f t="shared" si="40"/>
        <v>mai/25</v>
      </c>
      <c r="P2260" t="str">
        <f>IF(Registro2[[#This Row],[Data de Pagamento]]&gt;0,TEXT(A2260,"mmm/aa"),"")</f>
        <v>mai/25</v>
      </c>
      <c r="T2260" s="4">
        <f>IF(Registro2[[#This Row],[Data de Pagamento]]="",0,IF(Registro2[[#This Row],[Conta Financeira]]=base!$A$6,0,Registro2[[#This Row],[Valor Unitário]]))</f>
        <v>15</v>
      </c>
      <c r="U22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60" t="str">
        <f>VLOOKUP(Registro2[[#This Row],[Categoria]],'Plano de Contas'!$V$3:W2314,2,0)</f>
        <v>Receitas Serviços</v>
      </c>
      <c r="X22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61" spans="1:24" hidden="1">
      <c r="A2261" s="1">
        <v>45793.822916666664</v>
      </c>
      <c r="B2261" s="1">
        <v>45793.822916666664</v>
      </c>
      <c r="D2261" t="s">
        <v>2</v>
      </c>
      <c r="E2261" t="s">
        <v>149</v>
      </c>
      <c r="F2261" t="s">
        <v>147</v>
      </c>
      <c r="G2261" t="s">
        <v>163</v>
      </c>
      <c r="I2261" s="4">
        <v>20</v>
      </c>
      <c r="J2261" s="4">
        <v>20</v>
      </c>
      <c r="L2261" t="s">
        <v>253</v>
      </c>
      <c r="M2261" t="s">
        <v>409</v>
      </c>
      <c r="N2261" s="4">
        <f>IF(L2261="","",IF(OR(Registro2[[#This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261" t="str">
        <f t="shared" si="40"/>
        <v>mai/25</v>
      </c>
      <c r="P2261" t="str">
        <f>IF(Registro2[[#This Row],[Data de Pagamento]]&gt;0,TEXT(A2261,"mmm/aa"),"")</f>
        <v>mai/25</v>
      </c>
      <c r="T2261" s="4">
        <f>IF(Registro2[[#This Row],[Data de Pagamento]]="",0,IF(Registro2[[#This Row],[Conta Financeira]]=base!$A$6,0,Registro2[[#This Row],[Valor Unitário]]))</f>
        <v>20</v>
      </c>
      <c r="U22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61" t="str">
        <f>VLOOKUP(Registro2[[#This Row],[Categoria]],'Plano de Contas'!$V$3:W2315,2,0)</f>
        <v>Receitas Serviços</v>
      </c>
      <c r="X22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62" spans="1:24" hidden="1">
      <c r="A2262" s="1">
        <v>45793.826388888891</v>
      </c>
      <c r="B2262" s="1">
        <v>45793.826388888891</v>
      </c>
      <c r="D2262" t="s">
        <v>310</v>
      </c>
      <c r="E2262" t="s">
        <v>149</v>
      </c>
      <c r="F2262" t="s">
        <v>147</v>
      </c>
      <c r="G2262" t="s">
        <v>163</v>
      </c>
      <c r="I2262" s="4">
        <v>35</v>
      </c>
      <c r="J2262" s="4">
        <v>120</v>
      </c>
      <c r="L2262" t="s">
        <v>264</v>
      </c>
      <c r="M2262" t="s">
        <v>201</v>
      </c>
      <c r="N2262" s="4">
        <f>IF(L2262="","",IF(OR(Registro2[[#This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62" t="str">
        <f t="shared" si="40"/>
        <v>mai/25</v>
      </c>
      <c r="P2262" t="str">
        <f>IF(Registro2[[#This Row],[Data de Pagamento]]&gt;0,TEXT(A2262,"mmm/aa"),"")</f>
        <v>mai/25</v>
      </c>
      <c r="T2262" s="4">
        <f>IF(Registro2[[#This Row],[Data de Pagamento]]="",0,IF(Registro2[[#This Row],[Conta Financeira]]=base!$A$6,0,Registro2[[#This Row],[Valor Unitário]]))</f>
        <v>35</v>
      </c>
      <c r="U22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62" t="str">
        <f>VLOOKUP(Registro2[[#This Row],[Categoria]],'Plano de Contas'!$V$3:W2316,2,0)</f>
        <v>Receitas Serviços</v>
      </c>
      <c r="X226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263" spans="1:24" hidden="1">
      <c r="A2263" s="1">
        <v>45793.826388888891</v>
      </c>
      <c r="B2263" s="1">
        <v>45793.826388888891</v>
      </c>
      <c r="D2263" t="s">
        <v>310</v>
      </c>
      <c r="E2263" t="s">
        <v>149</v>
      </c>
      <c r="F2263" t="s">
        <v>147</v>
      </c>
      <c r="G2263" t="s">
        <v>163</v>
      </c>
      <c r="I2263" s="4">
        <v>35</v>
      </c>
      <c r="J2263" s="4">
        <v>0</v>
      </c>
      <c r="L2263" t="s">
        <v>252</v>
      </c>
      <c r="M2263" t="s">
        <v>201</v>
      </c>
      <c r="N2263" s="4">
        <f>IF(L2263="","",IF(OR(Registro2[[#This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63" t="str">
        <f t="shared" si="40"/>
        <v>mai/25</v>
      </c>
      <c r="P2263" t="str">
        <f>IF(Registro2[[#This Row],[Data de Pagamento]]&gt;0,TEXT(A2263,"mmm/aa"),"")</f>
        <v>mai/25</v>
      </c>
      <c r="T2263" s="4">
        <f>IF(Registro2[[#This Row],[Data de Pagamento]]="",0,IF(Registro2[[#This Row],[Conta Financeira]]=base!$A$6,0,Registro2[[#This Row],[Valor Unitário]]))</f>
        <v>35</v>
      </c>
      <c r="U22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63" t="str">
        <f>VLOOKUP(Registro2[[#This Row],[Categoria]],'Plano de Contas'!$V$3:W2317,2,0)</f>
        <v>Receitas Serviços</v>
      </c>
      <c r="X226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264" spans="1:24" hidden="1">
      <c r="A2264" s="1">
        <v>45793.826388888891</v>
      </c>
      <c r="B2264" s="1">
        <v>45793.826388888891</v>
      </c>
      <c r="D2264" t="s">
        <v>310</v>
      </c>
      <c r="E2264" t="s">
        <v>149</v>
      </c>
      <c r="F2264" t="s">
        <v>150</v>
      </c>
      <c r="G2264" t="s">
        <v>2526</v>
      </c>
      <c r="I2264" s="4">
        <v>25</v>
      </c>
      <c r="J2264" s="4">
        <v>0</v>
      </c>
      <c r="L2264" t="s">
        <v>264</v>
      </c>
      <c r="M2264" t="s">
        <v>201</v>
      </c>
      <c r="N2264" s="4">
        <f>IF(L2264="","",IF(OR(Registro2[[#This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2264" t="str">
        <f t="shared" si="40"/>
        <v>mai/25</v>
      </c>
      <c r="P2264" t="str">
        <f>IF(Registro2[[#This Row],[Data de Pagamento]]&gt;0,TEXT(A2264,"mmm/aa"),"")</f>
        <v>mai/25</v>
      </c>
      <c r="T2264" s="4">
        <f>IF(Registro2[[#This Row],[Data de Pagamento]]="",0,IF(Registro2[[#This Row],[Conta Financeira]]=base!$A$6,0,Registro2[[#This Row],[Valor Unitário]]))</f>
        <v>25</v>
      </c>
      <c r="U22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64" t="e">
        <f>VLOOKUP(Registro2[[#This Row],[Categoria]],'Plano de Contas'!$V$3:W2318,2,0)</f>
        <v>#N/A</v>
      </c>
      <c r="X226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0.2225</v>
      </c>
    </row>
    <row r="2265" spans="1:24" hidden="1">
      <c r="A2265" s="1">
        <v>45793.826388888891</v>
      </c>
      <c r="B2265" s="1">
        <v>45793.826388888891</v>
      </c>
      <c r="D2265" t="s">
        <v>310</v>
      </c>
      <c r="E2265" t="s">
        <v>149</v>
      </c>
      <c r="F2265" t="s">
        <v>150</v>
      </c>
      <c r="G2265" t="s">
        <v>2931</v>
      </c>
      <c r="I2265" s="4">
        <v>25</v>
      </c>
      <c r="J2265" s="4">
        <v>0</v>
      </c>
      <c r="L2265" t="s">
        <v>253</v>
      </c>
      <c r="M2265" t="s">
        <v>201</v>
      </c>
      <c r="N2265" s="4">
        <f>IF(L2265="","",IF(OR(Registro2[[#This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2265" t="str">
        <f t="shared" si="40"/>
        <v>mai/25</v>
      </c>
      <c r="P2265" t="str">
        <f>IF(Registro2[[#This Row],[Data de Pagamento]]&gt;0,TEXT(A2265,"mmm/aa"),"")</f>
        <v>mai/25</v>
      </c>
      <c r="T2265" s="4">
        <f>IF(Registro2[[#This Row],[Data de Pagamento]]="",0,IF(Registro2[[#This Row],[Conta Financeira]]=base!$A$6,0,Registro2[[#This Row],[Valor Unitário]]))</f>
        <v>25</v>
      </c>
      <c r="U22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65" t="e">
        <f>VLOOKUP(Registro2[[#This Row],[Categoria]],'Plano de Contas'!$V$3:W2319,2,0)</f>
        <v>#N/A</v>
      </c>
      <c r="X226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0.2225</v>
      </c>
    </row>
    <row r="2266" spans="1:24" hidden="1">
      <c r="A2266" s="1">
        <v>45793.829861111109</v>
      </c>
      <c r="B2266" s="1">
        <v>45793.829861111109</v>
      </c>
      <c r="D2266" t="s">
        <v>1</v>
      </c>
      <c r="E2266" t="s">
        <v>149</v>
      </c>
      <c r="F2266" t="s">
        <v>147</v>
      </c>
      <c r="G2266" t="s">
        <v>163</v>
      </c>
      <c r="I2266" s="4">
        <v>30</v>
      </c>
      <c r="J2266" s="4">
        <v>30</v>
      </c>
      <c r="L2266" t="s">
        <v>264</v>
      </c>
      <c r="M2266" t="s">
        <v>271</v>
      </c>
      <c r="N2266" s="4">
        <f>IF(L2266="","",IF(OR(Registro2[[#This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2266" t="str">
        <f t="shared" si="40"/>
        <v>mai/25</v>
      </c>
      <c r="P2266" t="str">
        <f>IF(Registro2[[#This Row],[Data de Pagamento]]&gt;0,TEXT(A2266,"mmm/aa"),"")</f>
        <v>mai/25</v>
      </c>
      <c r="T2266" s="4">
        <f>IF(Registro2[[#This Row],[Data de Pagamento]]="",0,IF(Registro2[[#This Row],[Conta Financeira]]=base!$A$6,0,Registro2[[#This Row],[Valor Unitário]]))</f>
        <v>30</v>
      </c>
      <c r="U22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66" t="str">
        <f>VLOOKUP(Registro2[[#This Row],[Categoria]],'Plano de Contas'!$V$3:W2320,2,0)</f>
        <v>Receitas Serviços</v>
      </c>
      <c r="X22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67" spans="1:24" hidden="1">
      <c r="A2267" s="1">
        <v>45793.833333333336</v>
      </c>
      <c r="B2267" s="1">
        <v>45793.833333333336</v>
      </c>
      <c r="D2267" t="s">
        <v>310</v>
      </c>
      <c r="E2267" t="s">
        <v>149</v>
      </c>
      <c r="F2267" t="s">
        <v>147</v>
      </c>
      <c r="G2267" t="s">
        <v>163</v>
      </c>
      <c r="I2267" s="4">
        <v>35</v>
      </c>
      <c r="J2267" s="4">
        <v>85</v>
      </c>
      <c r="L2267" t="s">
        <v>253</v>
      </c>
      <c r="M2267" t="s">
        <v>2611</v>
      </c>
      <c r="N2267" s="4">
        <f>IF(L2267="","",IF(OR(Registro2[[#This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67" t="str">
        <f t="shared" si="40"/>
        <v>mai/25</v>
      </c>
      <c r="P2267" t="str">
        <f>IF(Registro2[[#This Row],[Data de Pagamento]]&gt;0,TEXT(A2267,"mmm/aa"),"")</f>
        <v>mai/25</v>
      </c>
      <c r="T2267" s="4">
        <f>IF(Registro2[[#This Row],[Data de Pagamento]]="",0,IF(Registro2[[#This Row],[Conta Financeira]]=base!$A$6,0,Registro2[[#This Row],[Valor Unitário]]))</f>
        <v>35</v>
      </c>
      <c r="U22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67" t="str">
        <f>VLOOKUP(Registro2[[#This Row],[Categoria]],'Plano de Contas'!$V$3:W2321,2,0)</f>
        <v>Receitas Serviços</v>
      </c>
      <c r="X226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268" spans="1:24" hidden="1">
      <c r="A2268" s="1">
        <v>45793.833333333336</v>
      </c>
      <c r="B2268" s="1">
        <v>45793.833333333336</v>
      </c>
      <c r="D2268" t="s">
        <v>310</v>
      </c>
      <c r="E2268" t="s">
        <v>149</v>
      </c>
      <c r="F2268" t="s">
        <v>150</v>
      </c>
      <c r="G2268" t="s">
        <v>3061</v>
      </c>
      <c r="I2268" s="4">
        <v>25</v>
      </c>
      <c r="J2268" s="4">
        <v>0</v>
      </c>
      <c r="L2268" t="s">
        <v>253</v>
      </c>
      <c r="M2268" t="s">
        <v>2611</v>
      </c>
      <c r="N2268" s="4">
        <f>IF(L2268="","",IF(OR(Registro2[[#This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2268" t="str">
        <f t="shared" si="40"/>
        <v>mai/25</v>
      </c>
      <c r="P2268" t="str">
        <f>IF(Registro2[[#This Row],[Data de Pagamento]]&gt;0,TEXT(A2268,"mmm/aa"),"")</f>
        <v>mai/25</v>
      </c>
      <c r="T2268" s="4">
        <f>IF(Registro2[[#This Row],[Data de Pagamento]]="",0,IF(Registro2[[#This Row],[Conta Financeira]]=base!$A$6,0,Registro2[[#This Row],[Valor Unitário]]))</f>
        <v>25</v>
      </c>
      <c r="U22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68" t="e">
        <f>VLOOKUP(Registro2[[#This Row],[Categoria]],'Plano de Contas'!$V$3:W2322,2,0)</f>
        <v>#N/A</v>
      </c>
      <c r="X226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0.2225</v>
      </c>
    </row>
    <row r="2269" spans="1:24" hidden="1">
      <c r="A2269" s="1">
        <v>45793.833333333336</v>
      </c>
      <c r="B2269" s="1">
        <v>45793.833333333336</v>
      </c>
      <c r="D2269" t="s">
        <v>310</v>
      </c>
      <c r="E2269" t="s">
        <v>149</v>
      </c>
      <c r="F2269" t="s">
        <v>150</v>
      </c>
      <c r="G2269" t="s">
        <v>513</v>
      </c>
      <c r="I2269" s="4">
        <v>25</v>
      </c>
      <c r="J2269" s="4">
        <v>0</v>
      </c>
      <c r="L2269" t="s">
        <v>253</v>
      </c>
      <c r="M2269" t="s">
        <v>2611</v>
      </c>
      <c r="N2269" s="4">
        <f>IF(L2269="","",IF(OR(Registro2[[#This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2269" t="str">
        <f t="shared" si="40"/>
        <v>mai/25</v>
      </c>
      <c r="P2269" t="str">
        <f>IF(Registro2[[#This Row],[Data de Pagamento]]&gt;0,TEXT(A2269,"mmm/aa"),"")</f>
        <v>mai/25</v>
      </c>
      <c r="T2269" s="4">
        <f>IF(Registro2[[#This Row],[Data de Pagamento]]="",0,IF(Registro2[[#This Row],[Conta Financeira]]=base!$A$6,0,Registro2[[#This Row],[Valor Unitário]]))</f>
        <v>25</v>
      </c>
      <c r="U22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69" t="str">
        <f>VLOOKUP(Registro2[[#This Row],[Categoria]],'Plano de Contas'!$V$3:W2323,2,0)</f>
        <v>Receitas Produtos</v>
      </c>
      <c r="X226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0.2225</v>
      </c>
    </row>
    <row r="2270" spans="1:24" hidden="1">
      <c r="A2270" s="1">
        <v>45793.836805555555</v>
      </c>
      <c r="B2270" s="1">
        <v>45793.836805555555</v>
      </c>
      <c r="D2270" t="s">
        <v>1</v>
      </c>
      <c r="E2270" t="s">
        <v>149</v>
      </c>
      <c r="F2270" t="s">
        <v>147</v>
      </c>
      <c r="G2270" t="s">
        <v>163</v>
      </c>
      <c r="I2270" s="4">
        <v>35</v>
      </c>
      <c r="J2270" s="4">
        <v>60</v>
      </c>
      <c r="L2270" t="s">
        <v>252</v>
      </c>
      <c r="M2270" t="s">
        <v>83</v>
      </c>
      <c r="N2270" s="4">
        <f>IF(L2270="","",IF(OR(Registro2[[#This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70" t="str">
        <f t="shared" si="40"/>
        <v>mai/25</v>
      </c>
      <c r="P2270" t="str">
        <f>IF(Registro2[[#This Row],[Data de Pagamento]]&gt;0,TEXT(A2270,"mmm/aa"),"")</f>
        <v>mai/25</v>
      </c>
      <c r="T2270" s="4">
        <f>IF(Registro2[[#This Row],[Data de Pagamento]]="",0,IF(Registro2[[#This Row],[Conta Financeira]]=base!$A$6,0,Registro2[[#This Row],[Valor Unitário]]))</f>
        <v>35</v>
      </c>
      <c r="U22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70" t="str">
        <f>VLOOKUP(Registro2[[#This Row],[Categoria]],'Plano de Contas'!$V$3:W2324,2,0)</f>
        <v>Receitas Serviços</v>
      </c>
      <c r="X227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71" spans="1:24" hidden="1">
      <c r="A2271" s="1">
        <v>45793.836805555555</v>
      </c>
      <c r="B2271" s="1">
        <v>45793.836805555555</v>
      </c>
      <c r="D2271" t="s">
        <v>1</v>
      </c>
      <c r="E2271" t="s">
        <v>149</v>
      </c>
      <c r="F2271" t="s">
        <v>147</v>
      </c>
      <c r="G2271" t="s">
        <v>167</v>
      </c>
      <c r="I2271" s="4">
        <v>10</v>
      </c>
      <c r="J2271" s="4">
        <v>0</v>
      </c>
      <c r="L2271" t="s">
        <v>252</v>
      </c>
      <c r="M2271" t="s">
        <v>83</v>
      </c>
      <c r="N2271" s="4">
        <f>IF(L2271="","",IF(OR(Registro2[[#This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271" t="str">
        <f t="shared" si="40"/>
        <v>mai/25</v>
      </c>
      <c r="P2271" t="str">
        <f>IF(Registro2[[#This Row],[Data de Pagamento]]&gt;0,TEXT(A2271,"mmm/aa"),"")</f>
        <v>mai/25</v>
      </c>
      <c r="T2271" s="4">
        <f>IF(Registro2[[#This Row],[Data de Pagamento]]="",0,IF(Registro2[[#This Row],[Conta Financeira]]=base!$A$6,0,Registro2[[#This Row],[Valor Unitário]]))</f>
        <v>10</v>
      </c>
      <c r="U22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71" t="str">
        <f>VLOOKUP(Registro2[[#This Row],[Categoria]],'Plano de Contas'!$V$3:W2325,2,0)</f>
        <v>Receitas Serviços</v>
      </c>
      <c r="X227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72" spans="1:24" hidden="1">
      <c r="A2272" s="1">
        <v>45793.836805555555</v>
      </c>
      <c r="B2272" s="1">
        <v>45793.836805555555</v>
      </c>
      <c r="D2272" t="s">
        <v>1</v>
      </c>
      <c r="E2272" t="s">
        <v>149</v>
      </c>
      <c r="F2272" t="s">
        <v>147</v>
      </c>
      <c r="G2272" t="s">
        <v>1187</v>
      </c>
      <c r="I2272" s="4">
        <v>15</v>
      </c>
      <c r="J2272" s="4">
        <v>0</v>
      </c>
      <c r="L2272" t="s">
        <v>252</v>
      </c>
      <c r="M2272" t="s">
        <v>83</v>
      </c>
      <c r="N2272" s="4">
        <f>IF(L2272="","",IF(OR(Registro2[[#This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272" t="str">
        <f t="shared" ref="O2272:O2303" si="41">TEXT(B2272,"mmm/aa")</f>
        <v>mai/25</v>
      </c>
      <c r="P2272" t="str">
        <f>IF(Registro2[[#This Row],[Data de Pagamento]]&gt;0,TEXT(A2272,"mmm/aa"),"")</f>
        <v>mai/25</v>
      </c>
      <c r="T2272" s="4">
        <f>IF(Registro2[[#This Row],[Data de Pagamento]]="",0,IF(Registro2[[#This Row],[Conta Financeira]]=base!$A$6,0,Registro2[[#This Row],[Valor Unitário]]))</f>
        <v>15</v>
      </c>
      <c r="U22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72" t="str">
        <f>VLOOKUP(Registro2[[#This Row],[Categoria]],'Plano de Contas'!$V$3:W2326,2,0)</f>
        <v>Receitas Serviços</v>
      </c>
      <c r="X227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73" spans="1:24" hidden="1">
      <c r="A2273" s="1">
        <v>45794.583333333336</v>
      </c>
      <c r="B2273" s="1">
        <v>45794.583333333336</v>
      </c>
      <c r="D2273" t="s">
        <v>354</v>
      </c>
      <c r="E2273" t="s">
        <v>149</v>
      </c>
      <c r="F2273" t="s">
        <v>147</v>
      </c>
      <c r="G2273" t="s">
        <v>163</v>
      </c>
      <c r="I2273" s="4">
        <v>35</v>
      </c>
      <c r="J2273" s="4">
        <v>45</v>
      </c>
      <c r="L2273" t="s">
        <v>253</v>
      </c>
      <c r="M2273" t="s">
        <v>466</v>
      </c>
      <c r="N2273" s="4">
        <f>IF(L2273="","",IF(OR(Registro2[[#This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73" t="str">
        <f t="shared" si="41"/>
        <v>mai/25</v>
      </c>
      <c r="P2273" t="str">
        <f>IF(Registro2[[#This Row],[Data de Pagamento]]&gt;0,TEXT(A2273,"mmm/aa"),"")</f>
        <v>mai/25</v>
      </c>
      <c r="T2273" s="4">
        <f>IF(Registro2[[#This Row],[Data de Pagamento]]="",0,IF(Registro2[[#This Row],[Conta Financeira]]=base!$A$6,0,Registro2[[#This Row],[Valor Unitário]]))</f>
        <v>35</v>
      </c>
      <c r="U22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73" t="str">
        <f>VLOOKUP(Registro2[[#This Row],[Categoria]],'Plano de Contas'!$V$3:W2327,2,0)</f>
        <v>Receitas Serviços</v>
      </c>
      <c r="X227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274" spans="1:24" hidden="1">
      <c r="A2274" s="1">
        <v>45794.583333333336</v>
      </c>
      <c r="B2274" s="1">
        <v>45794.583333333336</v>
      </c>
      <c r="D2274" t="s">
        <v>354</v>
      </c>
      <c r="E2274" t="s">
        <v>149</v>
      </c>
      <c r="F2274" t="s">
        <v>147</v>
      </c>
      <c r="G2274" t="s">
        <v>167</v>
      </c>
      <c r="I2274" s="4">
        <v>10</v>
      </c>
      <c r="J2274" s="4">
        <v>0</v>
      </c>
      <c r="L2274" t="s">
        <v>253</v>
      </c>
      <c r="M2274" t="s">
        <v>466</v>
      </c>
      <c r="N2274" s="4">
        <f>IF(L2274="","",IF(OR(Registro2[[#This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274" t="str">
        <f t="shared" si="41"/>
        <v>mai/25</v>
      </c>
      <c r="P2274" t="str">
        <f>IF(Registro2[[#This Row],[Data de Pagamento]]&gt;0,TEXT(A2274,"mmm/aa"),"")</f>
        <v>mai/25</v>
      </c>
      <c r="T2274" s="4">
        <f>IF(Registro2[[#This Row],[Data de Pagamento]]="",0,IF(Registro2[[#This Row],[Conta Financeira]]=base!$A$6,0,Registro2[[#This Row],[Valor Unitário]]))</f>
        <v>10</v>
      </c>
      <c r="U22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74" t="str">
        <f>VLOOKUP(Registro2[[#This Row],[Categoria]],'Plano de Contas'!$V$3:W2328,2,0)</f>
        <v>Receitas Serviços</v>
      </c>
      <c r="X227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</row>
    <row r="2275" spans="1:24" hidden="1">
      <c r="A2275" s="1">
        <v>45794.791666666664</v>
      </c>
      <c r="B2275" s="1">
        <v>45794.791666666664</v>
      </c>
      <c r="D2275" t="s">
        <v>1</v>
      </c>
      <c r="E2275" t="s">
        <v>149</v>
      </c>
      <c r="F2275" t="s">
        <v>147</v>
      </c>
      <c r="G2275" t="s">
        <v>163</v>
      </c>
      <c r="I2275" s="4">
        <v>35</v>
      </c>
      <c r="J2275" s="4">
        <v>55</v>
      </c>
      <c r="L2275" t="s">
        <v>253</v>
      </c>
      <c r="M2275" t="s">
        <v>379</v>
      </c>
      <c r="N2275" s="4">
        <f>IF(L2275="","",IF(OR(Registro2[[#This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75" t="str">
        <f t="shared" si="41"/>
        <v>mai/25</v>
      </c>
      <c r="P2275" t="str">
        <f>IF(Registro2[[#This Row],[Data de Pagamento]]&gt;0,TEXT(A2275,"mmm/aa"),"")</f>
        <v>mai/25</v>
      </c>
      <c r="T2275" s="4">
        <f>IF(Registro2[[#This Row],[Data de Pagamento]]="",0,IF(Registro2[[#This Row],[Conta Financeira]]=base!$A$6,0,Registro2[[#This Row],[Valor Unitário]]))</f>
        <v>35</v>
      </c>
      <c r="U22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75" t="str">
        <f>VLOOKUP(Registro2[[#This Row],[Categoria]],'Plano de Contas'!$V$3:W2329,2,0)</f>
        <v>Receitas Serviços</v>
      </c>
      <c r="X227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76" spans="1:24" hidden="1">
      <c r="A2276" s="1">
        <v>45794.791666666664</v>
      </c>
      <c r="B2276" s="1">
        <v>45794.791666666664</v>
      </c>
      <c r="D2276" t="s">
        <v>1</v>
      </c>
      <c r="E2276" t="s">
        <v>149</v>
      </c>
      <c r="F2276" t="s">
        <v>147</v>
      </c>
      <c r="G2276" t="s">
        <v>166</v>
      </c>
      <c r="I2276" s="4">
        <v>20</v>
      </c>
      <c r="J2276" s="4">
        <v>0</v>
      </c>
      <c r="L2276" t="s">
        <v>253</v>
      </c>
      <c r="M2276" t="s">
        <v>379</v>
      </c>
      <c r="N2276" s="4">
        <f>IF(L2276="","",IF(OR(Registro2[[#This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276" t="str">
        <f t="shared" si="41"/>
        <v>mai/25</v>
      </c>
      <c r="P2276" t="str">
        <f>IF(Registro2[[#This Row],[Data de Pagamento]]&gt;0,TEXT(A2276,"mmm/aa"),"")</f>
        <v>mai/25</v>
      </c>
      <c r="T2276" s="4">
        <f>IF(Registro2[[#This Row],[Data de Pagamento]]="",0,IF(Registro2[[#This Row],[Conta Financeira]]=base!$A$6,0,Registro2[[#This Row],[Valor Unitário]]))</f>
        <v>20</v>
      </c>
      <c r="U22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76" t="str">
        <f>VLOOKUP(Registro2[[#This Row],[Categoria]],'Plano de Contas'!$V$3:W2330,2,0)</f>
        <v>Receitas Serviços</v>
      </c>
      <c r="X227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77" spans="1:24" hidden="1">
      <c r="A2277" s="1">
        <v>45793.982638888891</v>
      </c>
      <c r="B2277" s="1">
        <v>45793.982638888891</v>
      </c>
      <c r="D2277" t="s">
        <v>1</v>
      </c>
      <c r="E2277" t="s">
        <v>149</v>
      </c>
      <c r="F2277" t="s">
        <v>147</v>
      </c>
      <c r="G2277" t="s">
        <v>163</v>
      </c>
      <c r="I2277" s="4">
        <v>30</v>
      </c>
      <c r="J2277" s="4">
        <v>0</v>
      </c>
      <c r="L2277" t="s">
        <v>264</v>
      </c>
      <c r="M2277" t="s">
        <v>1348</v>
      </c>
      <c r="N2277" s="4">
        <f>IF(L2277="","",IF(OR(Registro2[[#This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2277" t="str">
        <f t="shared" si="41"/>
        <v>mai/25</v>
      </c>
      <c r="P2277" t="str">
        <f>IF(Registro2[[#This Row],[Data de Pagamento]]&gt;0,TEXT(A2277,"mmm/aa"),"")</f>
        <v>mai/25</v>
      </c>
      <c r="T2277" s="4">
        <f>IF(Registro2[[#This Row],[Data de Pagamento]]="",0,IF(Registro2[[#This Row],[Conta Financeira]]=base!$A$6,0,Registro2[[#This Row],[Valor Unitário]]))</f>
        <v>30</v>
      </c>
      <c r="U22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2277" t="str">
        <f>VLOOKUP(Registro2[[#This Row],[Categoria]],'Plano de Contas'!$V$3:W2331,2,0)</f>
        <v>Receitas Serviços</v>
      </c>
      <c r="X227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78" spans="1:24" hidden="1">
      <c r="A2278" s="1">
        <v>45794.604166666664</v>
      </c>
      <c r="B2278" s="1">
        <v>45794.604166666664</v>
      </c>
      <c r="D2278" t="s">
        <v>1</v>
      </c>
      <c r="E2278" t="s">
        <v>149</v>
      </c>
      <c r="F2278" t="s">
        <v>147</v>
      </c>
      <c r="G2278" t="s">
        <v>163</v>
      </c>
      <c r="I2278" s="4">
        <v>35</v>
      </c>
      <c r="J2278" s="4">
        <v>45</v>
      </c>
      <c r="L2278" t="s">
        <v>253</v>
      </c>
      <c r="M2278" t="s">
        <v>1220</v>
      </c>
      <c r="N2278" s="4">
        <f>IF(L2278="","",IF(OR(Registro2[[#This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78" t="str">
        <f t="shared" si="41"/>
        <v>mai/25</v>
      </c>
      <c r="P2278" t="str">
        <f>IF(Registro2[[#This Row],[Data de Pagamento]]&gt;0,TEXT(A2278,"mmm/aa"),"")</f>
        <v>mai/25</v>
      </c>
      <c r="T2278" s="4">
        <f>IF(Registro2[[#This Row],[Data de Pagamento]]="",0,IF(Registro2[[#This Row],[Conta Financeira]]=base!$A$6,0,Registro2[[#This Row],[Valor Unitário]]))</f>
        <v>35</v>
      </c>
      <c r="U22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78" t="str">
        <f>VLOOKUP(Registro2[[#This Row],[Categoria]],'Plano de Contas'!$V$3:W2332,2,0)</f>
        <v>Receitas Serviços</v>
      </c>
      <c r="X22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79" spans="1:24" hidden="1">
      <c r="A2279" s="1">
        <v>45794.604166666664</v>
      </c>
      <c r="B2279" s="1">
        <v>45794.604166666664</v>
      </c>
      <c r="D2279" t="s">
        <v>1</v>
      </c>
      <c r="E2279" t="s">
        <v>149</v>
      </c>
      <c r="F2279" t="s">
        <v>147</v>
      </c>
      <c r="G2279" t="s">
        <v>167</v>
      </c>
      <c r="I2279" s="4">
        <v>10</v>
      </c>
      <c r="J2279" s="4">
        <v>0</v>
      </c>
      <c r="L2279" t="s">
        <v>253</v>
      </c>
      <c r="M2279" t="s">
        <v>1220</v>
      </c>
      <c r="N2279" s="4">
        <f>IF(L2279="","",IF(OR(Registro2[[#This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279" t="str">
        <f t="shared" si="41"/>
        <v>mai/25</v>
      </c>
      <c r="P2279" t="str">
        <f>IF(Registro2[[#This Row],[Data de Pagamento]]&gt;0,TEXT(A2279,"mmm/aa"),"")</f>
        <v>mai/25</v>
      </c>
      <c r="T2279" s="4">
        <f>IF(Registro2[[#This Row],[Data de Pagamento]]="",0,IF(Registro2[[#This Row],[Conta Financeira]]=base!$A$6,0,Registro2[[#This Row],[Valor Unitário]]))</f>
        <v>10</v>
      </c>
      <c r="U22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79" t="str">
        <f>VLOOKUP(Registro2[[#This Row],[Categoria]],'Plano de Contas'!$V$3:W2333,2,0)</f>
        <v>Receitas Serviços</v>
      </c>
      <c r="X227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80" spans="1:24" hidden="1">
      <c r="A2280" s="1">
        <v>45794.378472222219</v>
      </c>
      <c r="B2280" s="1">
        <v>45794.378472222219</v>
      </c>
      <c r="D2280" t="s">
        <v>1</v>
      </c>
      <c r="E2280" t="s">
        <v>149</v>
      </c>
      <c r="F2280" t="s">
        <v>147</v>
      </c>
      <c r="G2280" t="s">
        <v>1046</v>
      </c>
      <c r="I2280" s="4">
        <v>20</v>
      </c>
      <c r="J2280" s="4">
        <v>35</v>
      </c>
      <c r="L2280" t="s">
        <v>253</v>
      </c>
      <c r="M2280" t="s">
        <v>506</v>
      </c>
      <c r="N2280" s="4">
        <f>IF(L2280="","",IF(OR(Registro2[[#This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280" t="str">
        <f t="shared" si="41"/>
        <v>mai/25</v>
      </c>
      <c r="P2280" t="str">
        <f>IF(Registro2[[#This Row],[Data de Pagamento]]&gt;0,TEXT(A2280,"mmm/aa"),"")</f>
        <v>mai/25</v>
      </c>
      <c r="T2280" s="4">
        <f>IF(Registro2[[#This Row],[Data de Pagamento]]="",0,IF(Registro2[[#This Row],[Conta Financeira]]=base!$A$6,0,Registro2[[#This Row],[Valor Unitário]]))</f>
        <v>20</v>
      </c>
      <c r="U22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80" t="str">
        <f>VLOOKUP(Registro2[[#This Row],[Categoria]],'Plano de Contas'!$V$3:W2334,2,0)</f>
        <v>Receitas Serviços</v>
      </c>
      <c r="X228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81" spans="1:24" hidden="1">
      <c r="A2281" s="1">
        <v>45794.378472222219</v>
      </c>
      <c r="B2281" s="1">
        <v>45794.378472222219</v>
      </c>
      <c r="D2281" t="s">
        <v>1</v>
      </c>
      <c r="E2281" t="s">
        <v>149</v>
      </c>
      <c r="F2281" t="s">
        <v>147</v>
      </c>
      <c r="G2281" t="s">
        <v>1187</v>
      </c>
      <c r="I2281" s="4">
        <v>15</v>
      </c>
      <c r="J2281" s="4">
        <v>0</v>
      </c>
      <c r="L2281" t="s">
        <v>253</v>
      </c>
      <c r="M2281" t="s">
        <v>506</v>
      </c>
      <c r="N2281" s="4">
        <f>IF(L2281="","",IF(OR(Registro2[[#This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281" t="str">
        <f t="shared" si="41"/>
        <v>mai/25</v>
      </c>
      <c r="P2281" t="str">
        <f>IF(Registro2[[#This Row],[Data de Pagamento]]&gt;0,TEXT(A2281,"mmm/aa"),"")</f>
        <v>mai/25</v>
      </c>
      <c r="T2281" s="4">
        <f>IF(Registro2[[#This Row],[Data de Pagamento]]="",0,IF(Registro2[[#This Row],[Conta Financeira]]=base!$A$6,0,Registro2[[#This Row],[Valor Unitário]]))</f>
        <v>15</v>
      </c>
      <c r="U22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81" t="str">
        <f>VLOOKUP(Registro2[[#This Row],[Categoria]],'Plano de Contas'!$V$3:W2335,2,0)</f>
        <v>Receitas Serviços</v>
      </c>
      <c r="X228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82" spans="1:24" hidden="1">
      <c r="A2282" s="1">
        <v>45794.729166666664</v>
      </c>
      <c r="B2282" s="1">
        <v>45794.729166666664</v>
      </c>
      <c r="D2282" t="s">
        <v>2</v>
      </c>
      <c r="E2282" t="s">
        <v>149</v>
      </c>
      <c r="F2282" t="s">
        <v>147</v>
      </c>
      <c r="G2282" t="s">
        <v>163</v>
      </c>
      <c r="I2282" s="4">
        <v>35</v>
      </c>
      <c r="J2282" s="4">
        <v>35</v>
      </c>
      <c r="L2282" t="s">
        <v>252</v>
      </c>
      <c r="M2282" t="s">
        <v>303</v>
      </c>
      <c r="N2282" s="4">
        <f>IF(L2282="","",IF(OR(Registro2[[#This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82" t="str">
        <f t="shared" si="41"/>
        <v>mai/25</v>
      </c>
      <c r="P2282" t="str">
        <f>IF(Registro2[[#This Row],[Data de Pagamento]]&gt;0,TEXT(A2282,"mmm/aa"),"")</f>
        <v>mai/25</v>
      </c>
      <c r="T2282" s="4">
        <f>IF(Registro2[[#This Row],[Data de Pagamento]]="",0,IF(Registro2[[#This Row],[Conta Financeira]]=base!$A$6,0,Registro2[[#This Row],[Valor Unitário]]))</f>
        <v>35</v>
      </c>
      <c r="U22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82" t="str">
        <f>VLOOKUP(Registro2[[#This Row],[Categoria]],'Plano de Contas'!$V$3:W2336,2,0)</f>
        <v>Receitas Serviços</v>
      </c>
      <c r="X22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83" spans="1:24" hidden="1">
      <c r="A2283" s="1">
        <v>45794.395833333336</v>
      </c>
      <c r="B2283" s="1">
        <v>45794.395833333336</v>
      </c>
      <c r="D2283" t="s">
        <v>1</v>
      </c>
      <c r="E2283" t="s">
        <v>149</v>
      </c>
      <c r="F2283" t="s">
        <v>147</v>
      </c>
      <c r="G2283" t="s">
        <v>163</v>
      </c>
      <c r="I2283" s="4">
        <v>35</v>
      </c>
      <c r="J2283" s="4">
        <v>35</v>
      </c>
      <c r="L2283" t="s">
        <v>252</v>
      </c>
      <c r="M2283" t="s">
        <v>3070</v>
      </c>
      <c r="N2283" s="4">
        <f>IF(L2283="","",IF(OR(Registro2[[#This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83" t="str">
        <f t="shared" si="41"/>
        <v>mai/25</v>
      </c>
      <c r="P2283" t="str">
        <f>IF(Registro2[[#This Row],[Data de Pagamento]]&gt;0,TEXT(A2283,"mmm/aa"),"")</f>
        <v>mai/25</v>
      </c>
      <c r="T2283" s="4">
        <f>IF(Registro2[[#This Row],[Data de Pagamento]]="",0,IF(Registro2[[#This Row],[Conta Financeira]]=base!$A$6,0,Registro2[[#This Row],[Valor Unitário]]))</f>
        <v>35</v>
      </c>
      <c r="U22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83" t="str">
        <f>VLOOKUP(Registro2[[#This Row],[Categoria]],'Plano de Contas'!$V$3:W2337,2,0)</f>
        <v>Receitas Serviços</v>
      </c>
      <c r="X22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84" spans="1:24" hidden="1">
      <c r="A2284" s="1">
        <v>45794.479166666664</v>
      </c>
      <c r="B2284" s="1">
        <v>45794.479166666664</v>
      </c>
      <c r="D2284" t="s">
        <v>1</v>
      </c>
      <c r="E2284" t="s">
        <v>149</v>
      </c>
      <c r="F2284" t="s">
        <v>147</v>
      </c>
      <c r="G2284" t="s">
        <v>163</v>
      </c>
      <c r="I2284" s="4">
        <v>35</v>
      </c>
      <c r="J2284" s="4">
        <v>35</v>
      </c>
      <c r="L2284" t="s">
        <v>252</v>
      </c>
      <c r="M2284" t="s">
        <v>864</v>
      </c>
      <c r="N2284" s="4">
        <f>IF(L2284="","",IF(OR(Registro2[[#This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84" t="str">
        <f t="shared" si="41"/>
        <v>mai/25</v>
      </c>
      <c r="P2284" t="str">
        <f>IF(Registro2[[#This Row],[Data de Pagamento]]&gt;0,TEXT(A2284,"mmm/aa"),"")</f>
        <v>mai/25</v>
      </c>
      <c r="T2284" s="4">
        <f>IF(Registro2[[#This Row],[Data de Pagamento]]="",0,IF(Registro2[[#This Row],[Conta Financeira]]=base!$A$6,0,Registro2[[#This Row],[Valor Unitário]]))</f>
        <v>35</v>
      </c>
      <c r="U22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84" t="str">
        <f>VLOOKUP(Registro2[[#This Row],[Categoria]],'Plano de Contas'!$V$3:W2338,2,0)</f>
        <v>Receitas Serviços</v>
      </c>
      <c r="X228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85" spans="1:24" hidden="1">
      <c r="A2285" s="1">
        <v>45794.625</v>
      </c>
      <c r="B2285" s="1">
        <v>45794.625</v>
      </c>
      <c r="D2285" t="s">
        <v>354</v>
      </c>
      <c r="E2285" t="s">
        <v>149</v>
      </c>
      <c r="F2285" t="s">
        <v>147</v>
      </c>
      <c r="G2285" t="s">
        <v>163</v>
      </c>
      <c r="I2285" s="4">
        <v>35</v>
      </c>
      <c r="J2285" s="4">
        <v>35</v>
      </c>
      <c r="L2285" t="s">
        <v>252</v>
      </c>
      <c r="M2285" t="s">
        <v>296</v>
      </c>
      <c r="N2285" s="4">
        <f>IF(L2285="","",IF(OR(Registro2[[#This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85" t="str">
        <f t="shared" si="41"/>
        <v>mai/25</v>
      </c>
      <c r="P2285" t="str">
        <f>IF(Registro2[[#This Row],[Data de Pagamento]]&gt;0,TEXT(A2285,"mmm/aa"),"")</f>
        <v>mai/25</v>
      </c>
      <c r="T2285" s="4">
        <f>IF(Registro2[[#This Row],[Data de Pagamento]]="",0,IF(Registro2[[#This Row],[Conta Financeira]]=base!$A$6,0,Registro2[[#This Row],[Valor Unitário]]))</f>
        <v>35</v>
      </c>
      <c r="U22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85" t="str">
        <f>VLOOKUP(Registro2[[#This Row],[Categoria]],'Plano de Contas'!$V$3:W2339,2,0)</f>
        <v>Receitas Serviços</v>
      </c>
      <c r="X228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286" spans="1:24" hidden="1">
      <c r="A2286" s="1">
        <v>45794.4375</v>
      </c>
      <c r="B2286" s="1">
        <v>45794.4375</v>
      </c>
      <c r="D2286" t="s">
        <v>1</v>
      </c>
      <c r="E2286" t="s">
        <v>149</v>
      </c>
      <c r="F2286" t="s">
        <v>147</v>
      </c>
      <c r="G2286" t="s">
        <v>160</v>
      </c>
      <c r="I2286" s="4">
        <v>12</v>
      </c>
      <c r="J2286" s="4">
        <v>12</v>
      </c>
      <c r="L2286" t="s">
        <v>253</v>
      </c>
      <c r="M2286" t="s">
        <v>2060</v>
      </c>
      <c r="N2286" s="4">
        <f>IF(L2286="","",IF(OR(Registro2[[#This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5.4</v>
      </c>
      <c r="O2286" t="str">
        <f t="shared" si="41"/>
        <v>mai/25</v>
      </c>
      <c r="P2286" t="str">
        <f>IF(Registro2[[#This Row],[Data de Pagamento]]&gt;0,TEXT(A2286,"mmm/aa"),"")</f>
        <v>mai/25</v>
      </c>
      <c r="T2286" s="4">
        <f>IF(Registro2[[#This Row],[Data de Pagamento]]="",0,IF(Registro2[[#This Row],[Conta Financeira]]=base!$A$6,0,Registro2[[#This Row],[Valor Unitário]]))</f>
        <v>12</v>
      </c>
      <c r="U22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86" t="str">
        <f>VLOOKUP(Registro2[[#This Row],[Categoria]],'Plano de Contas'!$V$3:W2340,2,0)</f>
        <v>Receitas Serviços</v>
      </c>
      <c r="X228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87" spans="1:24" hidden="1">
      <c r="A2287" s="1">
        <v>45794.458333333336</v>
      </c>
      <c r="B2287" s="1">
        <v>45794.458333333336</v>
      </c>
      <c r="D2287" t="s">
        <v>355</v>
      </c>
      <c r="E2287" t="s">
        <v>149</v>
      </c>
      <c r="F2287" t="s">
        <v>147</v>
      </c>
      <c r="G2287" t="s">
        <v>163</v>
      </c>
      <c r="I2287" s="4">
        <v>35</v>
      </c>
      <c r="J2287" s="4">
        <v>55</v>
      </c>
      <c r="L2287" t="s">
        <v>253</v>
      </c>
      <c r="M2287" t="s">
        <v>377</v>
      </c>
      <c r="N2287" s="4">
        <f>IF(L2287="","",IF(OR(Registro2[[#This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87" t="str">
        <f t="shared" si="41"/>
        <v>mai/25</v>
      </c>
      <c r="P2287" t="str">
        <f>IF(Registro2[[#This Row],[Data de Pagamento]]&gt;0,TEXT(A2287,"mmm/aa"),"")</f>
        <v>mai/25</v>
      </c>
      <c r="T2287" s="4">
        <f>IF(Registro2[[#This Row],[Data de Pagamento]]="",0,IF(Registro2[[#This Row],[Conta Financeira]]=base!$A$6,0,Registro2[[#This Row],[Valor Unitário]]))</f>
        <v>35</v>
      </c>
      <c r="U22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87" t="str">
        <f>VLOOKUP(Registro2[[#This Row],[Categoria]],'Plano de Contas'!$V$3:W2341,2,0)</f>
        <v>Receitas Serviços</v>
      </c>
      <c r="X228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88" spans="1:24" hidden="1">
      <c r="A2288" s="1">
        <v>45794.458333333336</v>
      </c>
      <c r="B2288" s="1">
        <v>45794.458333333336</v>
      </c>
      <c r="D2288" t="s">
        <v>355</v>
      </c>
      <c r="E2288" t="s">
        <v>149</v>
      </c>
      <c r="F2288" t="s">
        <v>150</v>
      </c>
      <c r="G2288" t="s">
        <v>2931</v>
      </c>
      <c r="I2288" s="4">
        <v>20</v>
      </c>
      <c r="J2288" s="4">
        <v>0</v>
      </c>
      <c r="L2288" t="s">
        <v>253</v>
      </c>
      <c r="M2288" t="s">
        <v>377</v>
      </c>
      <c r="N2288" s="4">
        <f>IF(L2288="","",IF(OR(Registro2[[#This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8</v>
      </c>
      <c r="O2288" t="str">
        <f t="shared" si="41"/>
        <v>mai/25</v>
      </c>
      <c r="P2288" t="str">
        <f>IF(Registro2[[#This Row],[Data de Pagamento]]&gt;0,TEXT(A2288,"mmm/aa"),"")</f>
        <v>mai/25</v>
      </c>
      <c r="T2288" s="4">
        <f>IF(Registro2[[#This Row],[Data de Pagamento]]="",0,IF(Registro2[[#This Row],[Conta Financeira]]=base!$A$6,0,Registro2[[#This Row],[Valor Unitário]]))</f>
        <v>20</v>
      </c>
      <c r="U22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88" t="e">
        <f>VLOOKUP(Registro2[[#This Row],[Categoria]],'Plano de Contas'!$V$3:W2342,2,0)</f>
        <v>#N/A</v>
      </c>
      <c r="X228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89" spans="1:24" hidden="1">
      <c r="A2289" s="1">
        <v>45794.454861111109</v>
      </c>
      <c r="B2289" s="1">
        <v>45794.454861111109</v>
      </c>
      <c r="D2289" t="s">
        <v>1</v>
      </c>
      <c r="E2289" t="s">
        <v>149</v>
      </c>
      <c r="F2289" t="s">
        <v>147</v>
      </c>
      <c r="G2289" t="s">
        <v>1046</v>
      </c>
      <c r="I2289" s="4">
        <v>15</v>
      </c>
      <c r="J2289" s="4">
        <v>50</v>
      </c>
      <c r="L2289" t="s">
        <v>253</v>
      </c>
      <c r="M2289" t="s">
        <v>414</v>
      </c>
      <c r="N2289" s="4">
        <f>IF(L2289="","",IF(OR(Registro2[[#This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289" t="str">
        <f t="shared" si="41"/>
        <v>mai/25</v>
      </c>
      <c r="P2289" t="str">
        <f>IF(Registro2[[#This Row],[Data de Pagamento]]&gt;0,TEXT(A2289,"mmm/aa"),"")</f>
        <v>mai/25</v>
      </c>
      <c r="T2289" s="4">
        <f>IF(Registro2[[#This Row],[Data de Pagamento]]="",0,IF(Registro2[[#This Row],[Conta Financeira]]=base!$A$6,0,Registro2[[#This Row],[Valor Unitário]]))</f>
        <v>15</v>
      </c>
      <c r="U22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89" t="str">
        <f>VLOOKUP(Registro2[[#This Row],[Categoria]],'Plano de Contas'!$V$3:W2343,2,0)</f>
        <v>Receitas Serviços</v>
      </c>
      <c r="X228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90" spans="1:24" hidden="1">
      <c r="A2290" s="1">
        <v>45794.454861111109</v>
      </c>
      <c r="B2290" s="1">
        <v>45794.454861111109</v>
      </c>
      <c r="D2290" t="s">
        <v>1</v>
      </c>
      <c r="E2290" t="s">
        <v>149</v>
      </c>
      <c r="F2290" t="s">
        <v>147</v>
      </c>
      <c r="G2290" t="s">
        <v>163</v>
      </c>
      <c r="I2290" s="4">
        <v>35</v>
      </c>
      <c r="J2290" s="4">
        <v>0</v>
      </c>
      <c r="L2290" t="s">
        <v>253</v>
      </c>
      <c r="M2290" t="s">
        <v>414</v>
      </c>
      <c r="N2290" s="4">
        <f>IF(L2290="","",IF(OR(Registro2[[#This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90" t="str">
        <f t="shared" si="41"/>
        <v>mai/25</v>
      </c>
      <c r="P2290" t="str">
        <f>IF(Registro2[[#This Row],[Data de Pagamento]]&gt;0,TEXT(A2290,"mmm/aa"),"")</f>
        <v>mai/25</v>
      </c>
      <c r="T2290" s="4">
        <f>IF(Registro2[[#This Row],[Data de Pagamento]]="",0,IF(Registro2[[#This Row],[Conta Financeira]]=base!$A$6,0,Registro2[[#This Row],[Valor Unitário]]))</f>
        <v>35</v>
      </c>
      <c r="U22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90" t="str">
        <f>VLOOKUP(Registro2[[#This Row],[Categoria]],'Plano de Contas'!$V$3:W2344,2,0)</f>
        <v>Receitas Serviços</v>
      </c>
      <c r="X229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91" spans="1:24" hidden="1">
      <c r="A2291" s="1">
        <v>45794.534722222219</v>
      </c>
      <c r="B2291" s="1">
        <v>45794.534722222219</v>
      </c>
      <c r="D2291" t="s">
        <v>882</v>
      </c>
      <c r="E2291" t="s">
        <v>149</v>
      </c>
      <c r="F2291" t="s">
        <v>147</v>
      </c>
      <c r="G2291" t="s">
        <v>163</v>
      </c>
      <c r="I2291" s="4">
        <v>35</v>
      </c>
      <c r="J2291" s="4">
        <v>75</v>
      </c>
      <c r="L2291" t="s">
        <v>253</v>
      </c>
      <c r="M2291" t="s">
        <v>207</v>
      </c>
      <c r="N2291" s="4">
        <f>IF(L2291="","",IF(OR(Registro2[[#This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91" t="str">
        <f t="shared" si="41"/>
        <v>mai/25</v>
      </c>
      <c r="P2291" t="str">
        <f>IF(Registro2[[#This Row],[Data de Pagamento]]&gt;0,TEXT(A2291,"mmm/aa"),"")</f>
        <v>mai/25</v>
      </c>
      <c r="T2291" s="4">
        <f>IF(Registro2[[#This Row],[Data de Pagamento]]="",0,IF(Registro2[[#This Row],[Conta Financeira]]=base!$A$6,0,Registro2[[#This Row],[Valor Unitário]]))</f>
        <v>35</v>
      </c>
      <c r="U22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91" t="str">
        <f>VLOOKUP(Registro2[[#This Row],[Categoria]],'Plano de Contas'!$V$3:W2345,2,0)</f>
        <v>Receitas Serviços</v>
      </c>
      <c r="X229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92" spans="1:24" hidden="1">
      <c r="A2292" s="1">
        <v>45794.534722222219</v>
      </c>
      <c r="B2292" s="1">
        <v>45794.534722222219</v>
      </c>
      <c r="D2292" t="s">
        <v>882</v>
      </c>
      <c r="E2292" t="s">
        <v>149</v>
      </c>
      <c r="F2292" t="s">
        <v>150</v>
      </c>
      <c r="G2292" t="s">
        <v>472</v>
      </c>
      <c r="I2292" s="4">
        <v>40</v>
      </c>
      <c r="J2292" s="4">
        <v>0</v>
      </c>
      <c r="L2292" t="s">
        <v>253</v>
      </c>
      <c r="M2292" t="s">
        <v>207</v>
      </c>
      <c r="N2292" s="4">
        <f>IF(L2292="","",IF(OR(Registro2[[#This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2292" t="str">
        <f t="shared" si="41"/>
        <v>mai/25</v>
      </c>
      <c r="P2292" t="str">
        <f>IF(Registro2[[#This Row],[Data de Pagamento]]&gt;0,TEXT(A2292,"mmm/aa"),"")</f>
        <v>mai/25</v>
      </c>
      <c r="T2292" s="4">
        <f>IF(Registro2[[#This Row],[Data de Pagamento]]="",0,IF(Registro2[[#This Row],[Conta Financeira]]=base!$A$6,0,Registro2[[#This Row],[Valor Unitário]]))</f>
        <v>40</v>
      </c>
      <c r="U22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92" t="str">
        <f>VLOOKUP(Registro2[[#This Row],[Categoria]],'Plano de Contas'!$V$3:W2346,2,0)</f>
        <v>Receitas Produtos</v>
      </c>
      <c r="X229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93" spans="1:24" hidden="1">
      <c r="A2293" s="1">
        <v>45794.621527777781</v>
      </c>
      <c r="B2293" s="1">
        <v>45794.621527777781</v>
      </c>
      <c r="D2293" t="s">
        <v>310</v>
      </c>
      <c r="E2293" t="s">
        <v>149</v>
      </c>
      <c r="F2293" t="s">
        <v>147</v>
      </c>
      <c r="G2293" t="s">
        <v>163</v>
      </c>
      <c r="I2293" s="4">
        <v>35</v>
      </c>
      <c r="J2293" s="4">
        <v>55</v>
      </c>
      <c r="L2293" t="s">
        <v>252</v>
      </c>
      <c r="M2293" t="s">
        <v>281</v>
      </c>
      <c r="N2293" s="4">
        <f>IF(L2293="","",IF(OR(Registro2[[#This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93" t="str">
        <f t="shared" si="41"/>
        <v>mai/25</v>
      </c>
      <c r="P2293" t="str">
        <f>IF(Registro2[[#This Row],[Data de Pagamento]]&gt;0,TEXT(A2293,"mmm/aa"),"")</f>
        <v>mai/25</v>
      </c>
      <c r="T2293" s="4">
        <f>IF(Registro2[[#This Row],[Data de Pagamento]]="",0,IF(Registro2[[#This Row],[Conta Financeira]]=base!$A$6,0,Registro2[[#This Row],[Valor Unitário]]))</f>
        <v>35</v>
      </c>
      <c r="U22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93" t="str">
        <f>VLOOKUP(Registro2[[#This Row],[Categoria]],'Plano de Contas'!$V$3:W2347,2,0)</f>
        <v>Receitas Serviços</v>
      </c>
      <c r="X229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294" spans="1:24" hidden="1">
      <c r="A2294" s="1">
        <v>45794.621527777781</v>
      </c>
      <c r="B2294" s="1">
        <v>45794.621527777781</v>
      </c>
      <c r="D2294" t="s">
        <v>310</v>
      </c>
      <c r="E2294" t="s">
        <v>149</v>
      </c>
      <c r="F2294" t="s">
        <v>147</v>
      </c>
      <c r="G2294" t="s">
        <v>166</v>
      </c>
      <c r="I2294" s="4">
        <v>20</v>
      </c>
      <c r="J2294" s="4">
        <v>0</v>
      </c>
      <c r="L2294" t="s">
        <v>252</v>
      </c>
      <c r="M2294" t="s">
        <v>281</v>
      </c>
      <c r="N2294" s="4">
        <f>IF(L2294="","",IF(OR(Registro2[[#This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294" t="str">
        <f t="shared" si="41"/>
        <v>mai/25</v>
      </c>
      <c r="P2294" t="str">
        <f>IF(Registro2[[#This Row],[Data de Pagamento]]&gt;0,TEXT(A2294,"mmm/aa"),"")</f>
        <v>mai/25</v>
      </c>
      <c r="T2294" s="4">
        <f>IF(Registro2[[#This Row],[Data de Pagamento]]="",0,IF(Registro2[[#This Row],[Conta Financeira]]=base!$A$6,0,Registro2[[#This Row],[Valor Unitário]]))</f>
        <v>20</v>
      </c>
      <c r="U22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94" t="str">
        <f>VLOOKUP(Registro2[[#This Row],[Categoria]],'Plano de Contas'!$V$3:W2348,2,0)</f>
        <v>Receitas Serviços</v>
      </c>
      <c r="X229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</row>
    <row r="2295" spans="1:24" hidden="1">
      <c r="A2295" s="1">
        <v>45794.6875</v>
      </c>
      <c r="B2295" s="1">
        <v>45794.6875</v>
      </c>
      <c r="D2295" t="s">
        <v>310</v>
      </c>
      <c r="E2295" t="s">
        <v>149</v>
      </c>
      <c r="F2295" t="s">
        <v>147</v>
      </c>
      <c r="G2295" t="s">
        <v>163</v>
      </c>
      <c r="I2295" s="4">
        <v>35</v>
      </c>
      <c r="J2295" s="4">
        <v>35</v>
      </c>
      <c r="L2295" t="s">
        <v>252</v>
      </c>
      <c r="M2295" t="s">
        <v>44</v>
      </c>
      <c r="N2295" s="4">
        <f>IF(L2295="","",IF(OR(Registro2[[#This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95" t="str">
        <f t="shared" si="41"/>
        <v>mai/25</v>
      </c>
      <c r="P2295" t="str">
        <f>IF(Registro2[[#This Row],[Data de Pagamento]]&gt;0,TEXT(A2295,"mmm/aa"),"")</f>
        <v>mai/25</v>
      </c>
      <c r="T2295" s="4">
        <f>IF(Registro2[[#This Row],[Data de Pagamento]]="",0,IF(Registro2[[#This Row],[Conta Financeira]]=base!$A$6,0,Registro2[[#This Row],[Valor Unitário]]))</f>
        <v>35</v>
      </c>
      <c r="U22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95" t="str">
        <f>VLOOKUP(Registro2[[#This Row],[Categoria]],'Plano de Contas'!$V$3:W2349,2,0)</f>
        <v>Receitas Serviços</v>
      </c>
      <c r="X229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296" spans="1:24" hidden="1">
      <c r="A2296" s="1">
        <v>45794.659722222219</v>
      </c>
      <c r="B2296" s="1">
        <v>45794.659722222219</v>
      </c>
      <c r="D2296" t="s">
        <v>1</v>
      </c>
      <c r="E2296" t="s">
        <v>149</v>
      </c>
      <c r="F2296" t="s">
        <v>147</v>
      </c>
      <c r="G2296" t="s">
        <v>163</v>
      </c>
      <c r="I2296" s="4">
        <v>35</v>
      </c>
      <c r="J2296" s="4">
        <v>55</v>
      </c>
      <c r="L2296" t="s">
        <v>252</v>
      </c>
      <c r="M2296" t="s">
        <v>93</v>
      </c>
      <c r="N2296" s="4">
        <f>IF(L2296="","",IF(OR(Registro2[[#This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96" t="str">
        <f t="shared" si="41"/>
        <v>mai/25</v>
      </c>
      <c r="P2296" t="str">
        <f>IF(Registro2[[#This Row],[Data de Pagamento]]&gt;0,TEXT(A2296,"mmm/aa"),"")</f>
        <v>mai/25</v>
      </c>
      <c r="T2296" s="4">
        <f>IF(Registro2[[#This Row],[Data de Pagamento]]="",0,IF(Registro2[[#This Row],[Conta Financeira]]=base!$A$6,0,Registro2[[#This Row],[Valor Unitário]]))</f>
        <v>35</v>
      </c>
      <c r="U22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96" t="str">
        <f>VLOOKUP(Registro2[[#This Row],[Categoria]],'Plano de Contas'!$V$3:W2350,2,0)</f>
        <v>Receitas Serviços</v>
      </c>
      <c r="X229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97" spans="1:24" hidden="1">
      <c r="A2297" s="1">
        <v>45794.659722222219</v>
      </c>
      <c r="B2297" s="1">
        <v>45794.659722222219</v>
      </c>
      <c r="D2297" t="s">
        <v>1</v>
      </c>
      <c r="E2297" t="s">
        <v>149</v>
      </c>
      <c r="F2297" t="s">
        <v>147</v>
      </c>
      <c r="G2297" t="s">
        <v>163</v>
      </c>
      <c r="I2297" s="4">
        <v>20</v>
      </c>
      <c r="J2297" s="4">
        <v>0</v>
      </c>
      <c r="L2297" t="s">
        <v>253</v>
      </c>
      <c r="M2297" t="s">
        <v>93</v>
      </c>
      <c r="N2297" s="4">
        <f>IF(L2297="","",IF(OR(Registro2[[#This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297" t="str">
        <f t="shared" si="41"/>
        <v>mai/25</v>
      </c>
      <c r="P2297" t="str">
        <f>IF(Registro2[[#This Row],[Data de Pagamento]]&gt;0,TEXT(A2297,"mmm/aa"),"")</f>
        <v>mai/25</v>
      </c>
      <c r="T2297" s="4">
        <f>IF(Registro2[[#This Row],[Data de Pagamento]]="",0,IF(Registro2[[#This Row],[Conta Financeira]]=base!$A$6,0,Registro2[[#This Row],[Valor Unitário]]))</f>
        <v>20</v>
      </c>
      <c r="U22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97" t="str">
        <f>VLOOKUP(Registro2[[#This Row],[Categoria]],'Plano de Contas'!$V$3:W2351,2,0)</f>
        <v>Receitas Serviços</v>
      </c>
      <c r="X229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98" spans="1:24" hidden="1">
      <c r="A2298" s="1">
        <v>45794.697916666664</v>
      </c>
      <c r="B2298" s="1">
        <v>45794.697916666664</v>
      </c>
      <c r="D2298" t="s">
        <v>2</v>
      </c>
      <c r="E2298" t="s">
        <v>149</v>
      </c>
      <c r="F2298" t="s">
        <v>147</v>
      </c>
      <c r="G2298" t="s">
        <v>163</v>
      </c>
      <c r="I2298" s="4">
        <v>35</v>
      </c>
      <c r="J2298" s="4">
        <v>35</v>
      </c>
      <c r="L2298" t="s">
        <v>253</v>
      </c>
      <c r="M2298" t="s">
        <v>485</v>
      </c>
      <c r="N2298" s="4">
        <f>IF(L2298="","",IF(OR(Registro2[[#This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98" t="str">
        <f t="shared" si="41"/>
        <v>mai/25</v>
      </c>
      <c r="P2298" t="str">
        <f>IF(Registro2[[#This Row],[Data de Pagamento]]&gt;0,TEXT(A2298,"mmm/aa"),"")</f>
        <v>mai/25</v>
      </c>
      <c r="T2298" s="4">
        <f>IF(Registro2[[#This Row],[Data de Pagamento]]="",0,IF(Registro2[[#This Row],[Conta Financeira]]=base!$A$6,0,Registro2[[#This Row],[Valor Unitário]]))</f>
        <v>35</v>
      </c>
      <c r="U22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98" t="str">
        <f>VLOOKUP(Registro2[[#This Row],[Categoria]],'Plano de Contas'!$V$3:W2352,2,0)</f>
        <v>Receitas Serviços</v>
      </c>
      <c r="X229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299" spans="1:24" hidden="1">
      <c r="A2299" s="1">
        <v>45794.680555555555</v>
      </c>
      <c r="B2299" s="1">
        <v>45794.680555555555</v>
      </c>
      <c r="D2299" t="s">
        <v>310</v>
      </c>
      <c r="E2299" t="s">
        <v>149</v>
      </c>
      <c r="F2299" t="s">
        <v>147</v>
      </c>
      <c r="G2299" t="s">
        <v>163</v>
      </c>
      <c r="I2299" s="4">
        <v>35</v>
      </c>
      <c r="J2299" s="4">
        <v>35</v>
      </c>
      <c r="L2299" t="s">
        <v>253</v>
      </c>
      <c r="M2299" t="s">
        <v>382</v>
      </c>
      <c r="N2299" s="4">
        <f>IF(L2299="","",IF(OR(Registro2[[#This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299" t="str">
        <f t="shared" si="41"/>
        <v>mai/25</v>
      </c>
      <c r="P2299" t="str">
        <f>IF(Registro2[[#This Row],[Data de Pagamento]]&gt;0,TEXT(A2299,"mmm/aa"),"")</f>
        <v>mai/25</v>
      </c>
      <c r="T2299" s="4">
        <f>IF(Registro2[[#This Row],[Data de Pagamento]]="",0,IF(Registro2[[#This Row],[Conta Financeira]]=base!$A$6,0,Registro2[[#This Row],[Valor Unitário]]))</f>
        <v>35</v>
      </c>
      <c r="U22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299" t="str">
        <f>VLOOKUP(Registro2[[#This Row],[Categoria]],'Plano de Contas'!$V$3:W2353,2,0)</f>
        <v>Receitas Serviços</v>
      </c>
      <c r="X229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300" spans="1:24" hidden="1">
      <c r="A2300" s="1">
        <v>45794.71875</v>
      </c>
      <c r="B2300" s="1">
        <v>45794.71875</v>
      </c>
      <c r="D2300" t="s">
        <v>1</v>
      </c>
      <c r="E2300" t="s">
        <v>149</v>
      </c>
      <c r="F2300" t="s">
        <v>147</v>
      </c>
      <c r="G2300" t="s">
        <v>163</v>
      </c>
      <c r="I2300" s="4">
        <v>35</v>
      </c>
      <c r="J2300" s="4">
        <v>50</v>
      </c>
      <c r="L2300" t="s">
        <v>253</v>
      </c>
      <c r="M2300" t="s">
        <v>28</v>
      </c>
      <c r="N2300" s="4">
        <f>IF(L2300="","",IF(OR(Registro2[[#This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00" t="str">
        <f t="shared" si="41"/>
        <v>mai/25</v>
      </c>
      <c r="P2300" t="str">
        <f>IF(Registro2[[#This Row],[Data de Pagamento]]&gt;0,TEXT(A2300,"mmm/aa"),"")</f>
        <v>mai/25</v>
      </c>
      <c r="T2300" s="4">
        <f>IF(Registro2[[#This Row],[Data de Pagamento]]="",0,IF(Registro2[[#This Row],[Conta Financeira]]=base!$A$6,0,Registro2[[#This Row],[Valor Unitário]]))</f>
        <v>35</v>
      </c>
      <c r="U23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00" t="str">
        <f>VLOOKUP(Registro2[[#This Row],[Categoria]],'Plano de Contas'!$V$3:W2354,2,0)</f>
        <v>Receitas Serviços</v>
      </c>
      <c r="X230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01" spans="1:24" hidden="1">
      <c r="A2301" s="1">
        <v>45794.71875</v>
      </c>
      <c r="B2301" s="1">
        <v>45794.71875</v>
      </c>
      <c r="D2301" t="s">
        <v>1</v>
      </c>
      <c r="E2301" t="s">
        <v>149</v>
      </c>
      <c r="F2301" t="s">
        <v>147</v>
      </c>
      <c r="G2301" t="s">
        <v>1046</v>
      </c>
      <c r="I2301" s="4">
        <v>15</v>
      </c>
      <c r="J2301" s="4">
        <v>0</v>
      </c>
      <c r="L2301" t="s">
        <v>253</v>
      </c>
      <c r="M2301" t="s">
        <v>28</v>
      </c>
      <c r="N2301" s="4">
        <f>IF(L2301="","",IF(OR(Registro2[[#This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301" t="str">
        <f t="shared" si="41"/>
        <v>mai/25</v>
      </c>
      <c r="P2301" t="str">
        <f>IF(Registro2[[#This Row],[Data de Pagamento]]&gt;0,TEXT(A2301,"mmm/aa"),"")</f>
        <v>mai/25</v>
      </c>
      <c r="T2301" s="4">
        <f>IF(Registro2[[#This Row],[Data de Pagamento]]="",0,IF(Registro2[[#This Row],[Conta Financeira]]=base!$A$6,0,Registro2[[#This Row],[Valor Unitário]]))</f>
        <v>15</v>
      </c>
      <c r="U23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01" t="str">
        <f>VLOOKUP(Registro2[[#This Row],[Categoria]],'Plano de Contas'!$V$3:W2355,2,0)</f>
        <v>Receitas Serviços</v>
      </c>
      <c r="X230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02" spans="1:24" hidden="1">
      <c r="A2302" s="1">
        <v>45794.701388888891</v>
      </c>
      <c r="B2302" s="1">
        <v>45794.701388888891</v>
      </c>
      <c r="D2302" t="s">
        <v>1</v>
      </c>
      <c r="E2302" t="s">
        <v>149</v>
      </c>
      <c r="F2302" t="s">
        <v>147</v>
      </c>
      <c r="G2302" t="s">
        <v>163</v>
      </c>
      <c r="I2302" s="4">
        <v>35</v>
      </c>
      <c r="J2302" s="4">
        <v>50</v>
      </c>
      <c r="L2302" t="s">
        <v>253</v>
      </c>
      <c r="M2302" t="s">
        <v>1499</v>
      </c>
      <c r="N2302" s="4">
        <f>IF(L2302="","",IF(OR(Registro2[[#This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02" t="str">
        <f t="shared" si="41"/>
        <v>mai/25</v>
      </c>
      <c r="P2302" t="str">
        <f>IF(Registro2[[#This Row],[Data de Pagamento]]&gt;0,TEXT(A2302,"mmm/aa"),"")</f>
        <v>mai/25</v>
      </c>
      <c r="T2302" s="4">
        <f>IF(Registro2[[#This Row],[Data de Pagamento]]="",0,IF(Registro2[[#This Row],[Conta Financeira]]=base!$A$6,0,Registro2[[#This Row],[Valor Unitário]]))</f>
        <v>35</v>
      </c>
      <c r="U23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02" t="str">
        <f>VLOOKUP(Registro2[[#This Row],[Categoria]],'Plano de Contas'!$V$3:W2356,2,0)</f>
        <v>Receitas Serviços</v>
      </c>
      <c r="X230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03" spans="1:24" hidden="1">
      <c r="A2303" s="1">
        <v>45794.701388888891</v>
      </c>
      <c r="B2303" s="1">
        <v>45794.701388888891</v>
      </c>
      <c r="D2303" t="s">
        <v>1</v>
      </c>
      <c r="E2303" t="s">
        <v>149</v>
      </c>
      <c r="F2303" t="s">
        <v>147</v>
      </c>
      <c r="G2303" t="s">
        <v>1046</v>
      </c>
      <c r="I2303" s="4">
        <v>15</v>
      </c>
      <c r="J2303" s="4">
        <v>0</v>
      </c>
      <c r="L2303" t="s">
        <v>253</v>
      </c>
      <c r="M2303" t="s">
        <v>1499</v>
      </c>
      <c r="N2303" s="4">
        <f>IF(L2303="","",IF(OR(Registro2[[#This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303" t="str">
        <f t="shared" si="41"/>
        <v>mai/25</v>
      </c>
      <c r="P2303" t="str">
        <f>IF(Registro2[[#This Row],[Data de Pagamento]]&gt;0,TEXT(A2303,"mmm/aa"),"")</f>
        <v>mai/25</v>
      </c>
      <c r="T2303" s="4">
        <f>IF(Registro2[[#This Row],[Data de Pagamento]]="",0,IF(Registro2[[#This Row],[Conta Financeira]]=base!$A$6,0,Registro2[[#This Row],[Valor Unitário]]))</f>
        <v>15</v>
      </c>
      <c r="U23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03" t="str">
        <f>VLOOKUP(Registro2[[#This Row],[Categoria]],'Plano de Contas'!$V$3:W2357,2,0)</f>
        <v>Receitas Serviços</v>
      </c>
      <c r="X23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04" spans="1:24" hidden="1">
      <c r="A2304" s="1">
        <v>45794.715277777781</v>
      </c>
      <c r="B2304" s="1">
        <v>45794.715277777781</v>
      </c>
      <c r="D2304" t="s">
        <v>1</v>
      </c>
      <c r="E2304" t="s">
        <v>149</v>
      </c>
      <c r="F2304" t="s">
        <v>147</v>
      </c>
      <c r="G2304" t="s">
        <v>163</v>
      </c>
      <c r="I2304" s="4">
        <v>35</v>
      </c>
      <c r="J2304" s="4">
        <v>35</v>
      </c>
      <c r="L2304" t="s">
        <v>252</v>
      </c>
      <c r="M2304" t="s">
        <v>206</v>
      </c>
      <c r="N2304" s="4">
        <f>IF(L2304="","",IF(OR(Registro2[[#This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04" t="str">
        <f t="shared" ref="O2304:O2309" si="42">TEXT(B2304,"mmm/aa")</f>
        <v>mai/25</v>
      </c>
      <c r="P2304" t="str">
        <f>IF(Registro2[[#This Row],[Data de Pagamento]]&gt;0,TEXT(A2304,"mmm/aa"),"")</f>
        <v>mai/25</v>
      </c>
      <c r="T2304" s="4">
        <f>IF(Registro2[[#This Row],[Data de Pagamento]]="",0,IF(Registro2[[#This Row],[Conta Financeira]]=base!$A$6,0,Registro2[[#This Row],[Valor Unitário]]))</f>
        <v>35</v>
      </c>
      <c r="U23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04" t="str">
        <f>VLOOKUP(Registro2[[#This Row],[Categoria]],'Plano de Contas'!$V$3:W2358,2,0)</f>
        <v>Receitas Serviços</v>
      </c>
      <c r="X23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05" spans="1:24" hidden="1">
      <c r="A2305" s="1">
        <v>45794.791666666664</v>
      </c>
      <c r="B2305" s="1">
        <v>45794.791666666664</v>
      </c>
      <c r="D2305" t="s">
        <v>1</v>
      </c>
      <c r="E2305" t="s">
        <v>149</v>
      </c>
      <c r="F2305" t="s">
        <v>147</v>
      </c>
      <c r="G2305" t="s">
        <v>163</v>
      </c>
      <c r="I2305" s="4">
        <v>20</v>
      </c>
      <c r="J2305" s="4">
        <v>40</v>
      </c>
      <c r="L2305" t="s">
        <v>252</v>
      </c>
      <c r="M2305" t="s">
        <v>796</v>
      </c>
      <c r="N2305" s="4">
        <f>IF(L2305="","",IF(OR(Registro2[[#This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305" t="str">
        <f t="shared" si="42"/>
        <v>mai/25</v>
      </c>
      <c r="P2305" t="str">
        <f>IF(Registro2[[#This Row],[Data de Pagamento]]&gt;0,TEXT(A2305,"mmm/aa"),"")</f>
        <v>mai/25</v>
      </c>
      <c r="T2305" s="4">
        <f>IF(Registro2[[#This Row],[Data de Pagamento]]="",0,IF(Registro2[[#This Row],[Conta Financeira]]=base!$A$6,0,Registro2[[#This Row],[Valor Unitário]]))</f>
        <v>20</v>
      </c>
      <c r="U23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05" t="str">
        <f>VLOOKUP(Registro2[[#This Row],[Categoria]],'Plano de Contas'!$V$3:W2359,2,0)</f>
        <v>Receitas Serviços</v>
      </c>
      <c r="X23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06" spans="1:24">
      <c r="A2306" s="1">
        <v>45794.791666666664</v>
      </c>
      <c r="B2306" s="1">
        <v>45794.791666666664</v>
      </c>
      <c r="D2306" t="s">
        <v>1</v>
      </c>
      <c r="E2306" t="s">
        <v>149</v>
      </c>
      <c r="F2306" t="s">
        <v>910</v>
      </c>
      <c r="G2306" t="s">
        <v>910</v>
      </c>
      <c r="I2306" s="4">
        <v>20</v>
      </c>
      <c r="J2306" s="4">
        <v>0</v>
      </c>
      <c r="L2306" t="s">
        <v>252</v>
      </c>
      <c r="M2306" t="s">
        <v>796</v>
      </c>
      <c r="N2306" s="4" t="str">
        <f>IF(L2306="","",IF(OR(Registro2[[#This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306" t="str">
        <f t="shared" si="42"/>
        <v>mai/25</v>
      </c>
      <c r="P2306" t="str">
        <f>IF(Registro2[[#This Row],[Data de Pagamento]]&gt;0,TEXT(A2306,"mmm/aa"),"")</f>
        <v>mai/25</v>
      </c>
      <c r="T2306" s="4">
        <f>IF(Registro2[[#This Row],[Data de Pagamento]]="",0,IF(Registro2[[#This Row],[Conta Financeira]]=base!$A$6,0,Registro2[[#This Row],[Valor Unitário]]))</f>
        <v>20</v>
      </c>
      <c r="U23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06" t="str">
        <f>VLOOKUP(Registro2[[#This Row],[Categoria]],'Plano de Contas'!$V$3:W2360,2,0)</f>
        <v>Outras Receitas</v>
      </c>
      <c r="X230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07" spans="1:24" hidden="1">
      <c r="A2307" s="1">
        <v>45794.885416666664</v>
      </c>
      <c r="B2307" s="1">
        <v>45794.885416666664</v>
      </c>
      <c r="D2307" t="s">
        <v>354</v>
      </c>
      <c r="E2307" t="s">
        <v>149</v>
      </c>
      <c r="F2307" t="s">
        <v>152</v>
      </c>
      <c r="G2307" t="s">
        <v>353</v>
      </c>
      <c r="I2307" s="4">
        <v>60</v>
      </c>
      <c r="J2307" s="4">
        <v>60</v>
      </c>
      <c r="L2307" t="s">
        <v>253</v>
      </c>
      <c r="M2307" t="s">
        <v>95</v>
      </c>
      <c r="N2307" s="4">
        <f>IF(L2307="","",IF(OR(Registro2[[#This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307" t="str">
        <f t="shared" si="42"/>
        <v>mai/25</v>
      </c>
      <c r="P2307" t="str">
        <f>IF(Registro2[[#This Row],[Data de Pagamento]]&gt;0,TEXT(A2307,"mmm/aa"),"")</f>
        <v>mai/25</v>
      </c>
      <c r="T2307" s="4">
        <f>IF(Registro2[[#This Row],[Data de Pagamento]]="",0,IF(Registro2[[#This Row],[Conta Financeira]]=base!$A$6,0,Registro2[[#This Row],[Valor Unitário]]))</f>
        <v>60</v>
      </c>
      <c r="U23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07" t="str">
        <f>VLOOKUP(Registro2[[#This Row],[Categoria]],'Plano de Contas'!$V$3:W2361,2,0)</f>
        <v>Receitas Serviços</v>
      </c>
      <c r="X230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</row>
    <row r="2308" spans="1:24" hidden="1">
      <c r="A2308" s="1">
        <v>45794.885416666664</v>
      </c>
      <c r="B2308" s="1">
        <v>45794.885416666664</v>
      </c>
      <c r="D2308" t="s">
        <v>1</v>
      </c>
      <c r="E2308" t="s">
        <v>149</v>
      </c>
      <c r="F2308" t="s">
        <v>147</v>
      </c>
      <c r="G2308" t="s">
        <v>163</v>
      </c>
      <c r="I2308" s="4">
        <v>35</v>
      </c>
      <c r="J2308" s="4">
        <v>45</v>
      </c>
      <c r="L2308" t="s">
        <v>253</v>
      </c>
      <c r="M2308" t="s">
        <v>3088</v>
      </c>
      <c r="N2308" s="4">
        <f>IF(L2308="","",IF(OR(Registro2[[#This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08" t="str">
        <f t="shared" si="42"/>
        <v>mai/25</v>
      </c>
      <c r="P2308" t="str">
        <f>IF(Registro2[[#This Row],[Data de Pagamento]]&gt;0,TEXT(A2308,"mmm/aa"),"")</f>
        <v>mai/25</v>
      </c>
      <c r="T2308" s="4">
        <f>IF(Registro2[[#This Row],[Data de Pagamento]]="",0,IF(Registro2[[#This Row],[Conta Financeira]]=base!$A$6,0,Registro2[[#This Row],[Valor Unitário]]))</f>
        <v>35</v>
      </c>
      <c r="U23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08" t="str">
        <f>VLOOKUP(Registro2[[#This Row],[Categoria]],'Plano de Contas'!$V$3:W2362,2,0)</f>
        <v>Receitas Serviços</v>
      </c>
      <c r="X230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09" spans="1:24" hidden="1">
      <c r="A2309" s="1">
        <v>45794.885416666664</v>
      </c>
      <c r="B2309" s="1">
        <v>45794.885416666664</v>
      </c>
      <c r="D2309" t="s">
        <v>1</v>
      </c>
      <c r="E2309" t="s">
        <v>149</v>
      </c>
      <c r="F2309" t="s">
        <v>147</v>
      </c>
      <c r="G2309" t="s">
        <v>167</v>
      </c>
      <c r="I2309" s="4">
        <v>10</v>
      </c>
      <c r="J2309" s="4">
        <v>0</v>
      </c>
      <c r="L2309" t="s">
        <v>253</v>
      </c>
      <c r="M2309" t="s">
        <v>3088</v>
      </c>
      <c r="N2309" s="4">
        <f>IF(L2309="","",IF(OR(Registro2[[#This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309" t="str">
        <f t="shared" si="42"/>
        <v>mai/25</v>
      </c>
      <c r="P2309" t="str">
        <f>IF(Registro2[[#This Row],[Data de Pagamento]]&gt;0,TEXT(A2309,"mmm/aa"),"")</f>
        <v>mai/25</v>
      </c>
      <c r="T2309" s="4">
        <f>IF(Registro2[[#This Row],[Data de Pagamento]]="",0,IF(Registro2[[#This Row],[Conta Financeira]]=base!$A$6,0,Registro2[[#This Row],[Valor Unitário]]))</f>
        <v>10</v>
      </c>
      <c r="U23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09" t="str">
        <f>VLOOKUP(Registro2[[#This Row],[Categoria]],'Plano de Contas'!$V$3:W2363,2,0)</f>
        <v>Receitas Serviços</v>
      </c>
      <c r="X230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10" spans="1:24" hidden="1">
      <c r="A2310" s="1">
        <v>45790</v>
      </c>
      <c r="B2310" s="1">
        <v>45790</v>
      </c>
      <c r="D2310" t="s">
        <v>947</v>
      </c>
      <c r="E2310" t="s">
        <v>137</v>
      </c>
      <c r="F2310" t="s">
        <v>967</v>
      </c>
      <c r="G2310" t="s">
        <v>449</v>
      </c>
      <c r="H2310" t="s">
        <v>3089</v>
      </c>
      <c r="I2310" s="4">
        <v>117</v>
      </c>
      <c r="J2310" s="4"/>
      <c r="N2310" s="4" t="str">
        <f>IF(L2310="","",IF(OR(Registro2[[#This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310" t="str">
        <f>TEXT(B2310,"mmm/aa")</f>
        <v>mai/25</v>
      </c>
      <c r="P2310" t="str">
        <f>IF(Registro2[[#This Row],[Data de Pagamento]]&gt;0,TEXT(A2310,"mmm/aa"),"")</f>
        <v>mai/25</v>
      </c>
      <c r="T2310" s="4">
        <f>IF(Registro2[[#This Row],[Data de Pagamento]]="",0,IF(Registro2[[#This Row],[Conta Financeira]]=base!$A$6,0,Registro2[[#This Row],[Valor Unitário]]))</f>
        <v>117</v>
      </c>
      <c r="U23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10" t="str">
        <f>VLOOKUP(Registro2[[#This Row],[Categoria]],'Plano de Contas'!$V$3:W2364,2,0)</f>
        <v>Despesas Administrativas</v>
      </c>
      <c r="X231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11" spans="1:24" hidden="1">
      <c r="A2311" s="1">
        <v>45790</v>
      </c>
      <c r="B2311" s="1">
        <v>45790</v>
      </c>
      <c r="D2311" t="s">
        <v>947</v>
      </c>
      <c r="E2311" t="s">
        <v>137</v>
      </c>
      <c r="F2311" t="s">
        <v>967</v>
      </c>
      <c r="G2311" t="s">
        <v>449</v>
      </c>
      <c r="H2311" t="s">
        <v>3090</v>
      </c>
      <c r="I2311" s="4">
        <v>7.99</v>
      </c>
      <c r="J2311" s="4"/>
      <c r="N2311" s="4" t="str">
        <f>IF(L2311="","",IF(OR(Registro2[[#This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311" t="str">
        <f>TEXT(B2311,"mmm/aa")</f>
        <v>mai/25</v>
      </c>
      <c r="P2311" t="str">
        <f>IF(Registro2[[#This Row],[Data de Pagamento]]&gt;0,TEXT(A2311,"mmm/aa"),"")</f>
        <v>mai/25</v>
      </c>
      <c r="T2311" s="4">
        <f>IF(Registro2[[#This Row],[Data de Pagamento]]="",0,IF(Registro2[[#This Row],[Conta Financeira]]=base!$A$6,0,Registro2[[#This Row],[Valor Unitário]]))</f>
        <v>7.99</v>
      </c>
      <c r="U23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11" t="str">
        <f>VLOOKUP(Registro2[[#This Row],[Categoria]],'Plano de Contas'!$V$3:W2365,2,0)</f>
        <v>Despesas Administrativas</v>
      </c>
      <c r="X23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12" spans="1:24" hidden="1">
      <c r="A2312" s="1">
        <v>45795</v>
      </c>
      <c r="B2312" s="1">
        <v>45795</v>
      </c>
      <c r="D2312" t="s">
        <v>947</v>
      </c>
      <c r="E2312" t="s">
        <v>137</v>
      </c>
      <c r="F2312" t="s">
        <v>139</v>
      </c>
      <c r="G2312" t="s">
        <v>331</v>
      </c>
      <c r="I2312" s="4">
        <f>207+154.5+83.4</f>
        <v>444.9</v>
      </c>
      <c r="J2312" s="4"/>
      <c r="N2312" s="4" t="str">
        <f>IF(L2312="","",IF(OR(Registro2[[#This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312" t="str">
        <f>TEXT(B2312,"mmm/aa")</f>
        <v>mai/25</v>
      </c>
      <c r="P2312" t="str">
        <f>IF(Registro2[[#This Row],[Data de Pagamento]]&gt;0,TEXT(A2312,"mmm/aa"),"")</f>
        <v>mai/25</v>
      </c>
      <c r="T2312" s="4">
        <f>IF(Registro2[[#This Row],[Data de Pagamento]]="",0,IF(Registro2[[#This Row],[Conta Financeira]]=base!$A$6,0,Registro2[[#This Row],[Valor Unitário]]))</f>
        <v>444.9</v>
      </c>
      <c r="U23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12" t="str">
        <f>VLOOKUP(Registro2[[#This Row],[Categoria]],'Plano de Contas'!$V$3:W2366,2,0)</f>
        <v>Custos Operacionais Produtos</v>
      </c>
      <c r="X231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13" spans="1:24" hidden="1">
      <c r="A2313" s="1">
        <v>45795</v>
      </c>
      <c r="B2313" s="1">
        <v>45795</v>
      </c>
      <c r="D2313" t="s">
        <v>947</v>
      </c>
      <c r="E2313" t="s">
        <v>137</v>
      </c>
      <c r="F2313" t="s">
        <v>139</v>
      </c>
      <c r="G2313" t="s">
        <v>332</v>
      </c>
      <c r="I2313" s="4">
        <f>318+65.7+80+129.5+44.7+107.7+85</f>
        <v>830.60000000000014</v>
      </c>
      <c r="J2313" s="4"/>
      <c r="N2313" s="4" t="str">
        <f>IF(L2313="","",IF(OR(Registro2[[#This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313" t="str">
        <f>TEXT(B2313,"mmm/aa")</f>
        <v>mai/25</v>
      </c>
      <c r="P2313" t="str">
        <f>IF(Registro2[[#This Row],[Data de Pagamento]]&gt;0,TEXT(A2313,"mmm/aa"),"")</f>
        <v>mai/25</v>
      </c>
      <c r="T2313" s="4">
        <f>IF(Registro2[[#This Row],[Data de Pagamento]]="",0,IF(Registro2[[#This Row],[Conta Financeira]]=base!$A$6,0,Registro2[[#This Row],[Valor Unitário]]))</f>
        <v>830.60000000000014</v>
      </c>
      <c r="U23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13" t="str">
        <f>VLOOKUP(Registro2[[#This Row],[Categoria]],'Plano de Contas'!$V$3:W2367,2,0)</f>
        <v>Custos Operacionais</v>
      </c>
      <c r="X231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14" spans="1:24" hidden="1">
      <c r="A2314" s="1">
        <v>45787</v>
      </c>
      <c r="B2314" s="1">
        <v>45787</v>
      </c>
      <c r="D2314" t="s">
        <v>947</v>
      </c>
      <c r="E2314" t="s">
        <v>137</v>
      </c>
      <c r="F2314" t="s">
        <v>3108</v>
      </c>
      <c r="G2314" t="s">
        <v>3109</v>
      </c>
      <c r="I2314" s="4">
        <v>500</v>
      </c>
      <c r="J2314" s="4"/>
      <c r="N2314" s="4" t="str">
        <f>IF(L2314="","",IF(OR(Registro2[[#This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314" t="str">
        <f>TEXT(B2314,"mmm/aa")</f>
        <v>mai/25</v>
      </c>
      <c r="P2314" t="str">
        <f>IF(Registro2[[#This Row],[Data de Pagamento]]&gt;0,TEXT(A2314,"mmm/aa"),"")</f>
        <v>mai/25</v>
      </c>
      <c r="T2314" s="4">
        <f>IF(Registro2[[#This Row],[Data de Pagamento]]="",0,IF(Registro2[[#This Row],[Conta Financeira]]=base!$A$6,0,Registro2[[#This Row],[Valor Unitário]]))</f>
        <v>500</v>
      </c>
      <c r="U23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14" t="e">
        <f>VLOOKUP(Registro2[[#This Row],[Categoria]],'Plano de Contas'!$V$3:W2368,2,0)</f>
        <v>#N/A</v>
      </c>
      <c r="X231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15" spans="1:24" hidden="1">
      <c r="A2315" s="1">
        <v>45796.645833333336</v>
      </c>
      <c r="B2315" s="1">
        <v>45796.645833333336</v>
      </c>
      <c r="D2315" t="s">
        <v>1</v>
      </c>
      <c r="E2315" t="s">
        <v>149</v>
      </c>
      <c r="F2315" t="s">
        <v>147</v>
      </c>
      <c r="G2315" t="s">
        <v>163</v>
      </c>
      <c r="I2315" s="4">
        <v>35</v>
      </c>
      <c r="J2315" s="4">
        <v>70</v>
      </c>
      <c r="L2315" t="s">
        <v>253</v>
      </c>
      <c r="M2315" t="s">
        <v>781</v>
      </c>
      <c r="N2315" s="4">
        <f>IF(L2315="","",IF(OR(Registro2[[#This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15" t="str">
        <f t="shared" ref="O2315:O2336" si="43">TEXT(B2315,"mmm/aa")</f>
        <v>mai/25</v>
      </c>
      <c r="P2315" t="str">
        <f>IF(Registro2[[#This Row],[Data de Pagamento]]&gt;0,TEXT(A2315,"mmm/aa"),"")</f>
        <v>mai/25</v>
      </c>
      <c r="T2315" s="4">
        <f>IF(Registro2[[#This Row],[Data de Pagamento]]="",0,IF(Registro2[[#This Row],[Conta Financeira]]=base!$A$6,0,Registro2[[#This Row],[Valor Unitário]]))</f>
        <v>35</v>
      </c>
      <c r="U23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15" t="str">
        <f>VLOOKUP(Registro2[[#This Row],[Categoria]],'Plano de Contas'!$V$3:W2369,2,0)</f>
        <v>Receitas Serviços</v>
      </c>
      <c r="X231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16" spans="1:24" hidden="1">
      <c r="A2316" s="1">
        <v>45796.645833333336</v>
      </c>
      <c r="B2316" s="1">
        <v>45796.645833333336</v>
      </c>
      <c r="D2316" t="s">
        <v>1</v>
      </c>
      <c r="E2316" t="s">
        <v>149</v>
      </c>
      <c r="F2316" t="s">
        <v>147</v>
      </c>
      <c r="G2316" t="s">
        <v>163</v>
      </c>
      <c r="I2316" s="4">
        <v>35</v>
      </c>
      <c r="J2316" s="4">
        <v>0</v>
      </c>
      <c r="L2316" t="s">
        <v>252</v>
      </c>
      <c r="M2316" t="s">
        <v>781</v>
      </c>
      <c r="N2316" s="4">
        <f>IF(L2316="","",IF(OR(Registro2[[#This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16" t="str">
        <f t="shared" si="43"/>
        <v>mai/25</v>
      </c>
      <c r="P2316" t="str">
        <f>IF(Registro2[[#This Row],[Data de Pagamento]]&gt;0,TEXT(A2316,"mmm/aa"),"")</f>
        <v>mai/25</v>
      </c>
      <c r="T2316" s="4">
        <f>IF(Registro2[[#This Row],[Data de Pagamento]]="",0,IF(Registro2[[#This Row],[Conta Financeira]]=base!$A$6,0,Registro2[[#This Row],[Valor Unitário]]))</f>
        <v>35</v>
      </c>
      <c r="U23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16" t="str">
        <f>VLOOKUP(Registro2[[#This Row],[Categoria]],'Plano de Contas'!$V$3:W2370,2,0)</f>
        <v>Receitas Serviços</v>
      </c>
      <c r="X231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17" spans="1:24" hidden="1">
      <c r="A2317" s="1">
        <v>45796.416666666664</v>
      </c>
      <c r="B2317" s="1">
        <v>45796.416666666664</v>
      </c>
      <c r="D2317" t="s">
        <v>1</v>
      </c>
      <c r="E2317" t="s">
        <v>149</v>
      </c>
      <c r="F2317" t="s">
        <v>147</v>
      </c>
      <c r="G2317" t="s">
        <v>163</v>
      </c>
      <c r="I2317" s="4">
        <v>35</v>
      </c>
      <c r="J2317" s="4">
        <v>35</v>
      </c>
      <c r="L2317" t="s">
        <v>252</v>
      </c>
      <c r="M2317" t="s">
        <v>277</v>
      </c>
      <c r="N2317" s="4">
        <f>IF(L2317="","",IF(OR(Registro2[[#This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17" t="str">
        <f t="shared" si="43"/>
        <v>mai/25</v>
      </c>
      <c r="P2317" t="str">
        <f>IF(Registro2[[#This Row],[Data de Pagamento]]&gt;0,TEXT(A2317,"mmm/aa"),"")</f>
        <v>mai/25</v>
      </c>
      <c r="T2317" s="4">
        <f>IF(Registro2[[#This Row],[Data de Pagamento]]="",0,IF(Registro2[[#This Row],[Conta Financeira]]=base!$A$6,0,Registro2[[#This Row],[Valor Unitário]]))</f>
        <v>35</v>
      </c>
      <c r="U23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17" t="str">
        <f>VLOOKUP(Registro2[[#This Row],[Categoria]],'Plano de Contas'!$V$3:W2371,2,0)</f>
        <v>Receitas Serviços</v>
      </c>
      <c r="X231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18" spans="1:24" hidden="1">
      <c r="A2318" s="1">
        <v>45796.416666666664</v>
      </c>
      <c r="B2318" s="1">
        <v>45796.416666666664</v>
      </c>
      <c r="D2318" t="s">
        <v>1</v>
      </c>
      <c r="E2318" t="s">
        <v>149</v>
      </c>
      <c r="F2318" t="s">
        <v>147</v>
      </c>
      <c r="G2318" t="s">
        <v>163</v>
      </c>
      <c r="I2318" s="4">
        <v>35</v>
      </c>
      <c r="J2318" s="4">
        <v>35</v>
      </c>
      <c r="L2318" t="s">
        <v>253</v>
      </c>
      <c r="M2318" t="s">
        <v>1457</v>
      </c>
      <c r="N2318" s="4">
        <f>IF(L2318="","",IF(OR(Registro2[[#This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18" t="str">
        <f t="shared" si="43"/>
        <v>mai/25</v>
      </c>
      <c r="P2318" t="str">
        <f>IF(Registro2[[#This Row],[Data de Pagamento]]&gt;0,TEXT(A2318,"mmm/aa"),"")</f>
        <v>mai/25</v>
      </c>
      <c r="T2318" s="4">
        <f>IF(Registro2[[#This Row],[Data de Pagamento]]="",0,IF(Registro2[[#This Row],[Conta Financeira]]=base!$A$6,0,Registro2[[#This Row],[Valor Unitário]]))</f>
        <v>35</v>
      </c>
      <c r="U23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18" t="str">
        <f>VLOOKUP(Registro2[[#This Row],[Categoria]],'Plano de Contas'!$V$3:W2372,2,0)</f>
        <v>Receitas Serviços</v>
      </c>
      <c r="X23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19" spans="1:24" hidden="1">
      <c r="A2319" s="1">
        <v>45796.479166666664</v>
      </c>
      <c r="B2319" s="1">
        <v>45796.479166666664</v>
      </c>
      <c r="D2319" t="s">
        <v>2</v>
      </c>
      <c r="E2319" t="s">
        <v>149</v>
      </c>
      <c r="F2319" t="s">
        <v>147</v>
      </c>
      <c r="G2319" t="s">
        <v>163</v>
      </c>
      <c r="I2319" s="4">
        <v>35</v>
      </c>
      <c r="J2319" s="4">
        <v>70</v>
      </c>
      <c r="L2319" t="s">
        <v>253</v>
      </c>
      <c r="M2319" t="s">
        <v>71</v>
      </c>
      <c r="N2319" s="4">
        <f>IF(L2319="","",IF(OR(Registro2[[#This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19" t="str">
        <f t="shared" si="43"/>
        <v>mai/25</v>
      </c>
      <c r="P2319" t="str">
        <f>IF(Registro2[[#This Row],[Data de Pagamento]]&gt;0,TEXT(A2319,"mmm/aa"),"")</f>
        <v>mai/25</v>
      </c>
      <c r="T2319" s="4">
        <f>IF(Registro2[[#This Row],[Data de Pagamento]]="",0,IF(Registro2[[#This Row],[Conta Financeira]]=base!$A$6,0,Registro2[[#This Row],[Valor Unitário]]))</f>
        <v>35</v>
      </c>
      <c r="U23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19" t="str">
        <f>VLOOKUP(Registro2[[#This Row],[Categoria]],'Plano de Contas'!$V$3:W2373,2,0)</f>
        <v>Receitas Serviços</v>
      </c>
      <c r="X231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20" spans="1:24" hidden="1">
      <c r="A2320" s="1">
        <v>45796.479166666664</v>
      </c>
      <c r="B2320" s="1">
        <v>45796.479166666664</v>
      </c>
      <c r="D2320" t="s">
        <v>2</v>
      </c>
      <c r="E2320" t="s">
        <v>149</v>
      </c>
      <c r="F2320" t="s">
        <v>150</v>
      </c>
      <c r="G2320" t="s">
        <v>472</v>
      </c>
      <c r="I2320" s="4">
        <v>40</v>
      </c>
      <c r="J2320" s="4">
        <v>0</v>
      </c>
      <c r="L2320" t="s">
        <v>253</v>
      </c>
      <c r="M2320" t="s">
        <v>71</v>
      </c>
      <c r="N2320" s="4">
        <f>IF(L2320="","",IF(OR(Registro2[[#This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2320" t="str">
        <f t="shared" si="43"/>
        <v>mai/25</v>
      </c>
      <c r="P2320" t="str">
        <f>IF(Registro2[[#This Row],[Data de Pagamento]]&gt;0,TEXT(A2320,"mmm/aa"),"")</f>
        <v>mai/25</v>
      </c>
      <c r="T2320" s="4">
        <f>IF(Registro2[[#This Row],[Data de Pagamento]]="",0,IF(Registro2[[#This Row],[Conta Financeira]]=base!$A$6,0,Registro2[[#This Row],[Valor Unitário]]))</f>
        <v>40</v>
      </c>
      <c r="U23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20" t="str">
        <f>VLOOKUP(Registro2[[#This Row],[Categoria]],'Plano de Contas'!$V$3:W2374,2,0)</f>
        <v>Receitas Produtos</v>
      </c>
      <c r="X232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21" spans="1:24" hidden="1">
      <c r="A2321" s="1">
        <v>45796.447916666664</v>
      </c>
      <c r="B2321" s="1">
        <v>45796.447916666664</v>
      </c>
      <c r="D2321" t="s">
        <v>310</v>
      </c>
      <c r="E2321" t="s">
        <v>149</v>
      </c>
      <c r="F2321" t="s">
        <v>147</v>
      </c>
      <c r="G2321" t="s">
        <v>163</v>
      </c>
      <c r="I2321" s="4">
        <v>35</v>
      </c>
      <c r="J2321" s="4">
        <v>70</v>
      </c>
      <c r="L2321" t="s">
        <v>253</v>
      </c>
      <c r="M2321" t="s">
        <v>1216</v>
      </c>
      <c r="N2321" s="4">
        <f>IF(L2321="","",IF(OR(Registro2[[#This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21" t="str">
        <f t="shared" si="43"/>
        <v>mai/25</v>
      </c>
      <c r="P2321" t="str">
        <f>IF(Registro2[[#This Row],[Data de Pagamento]]&gt;0,TEXT(A2321,"mmm/aa"),"")</f>
        <v>mai/25</v>
      </c>
      <c r="T2321" s="4">
        <f>IF(Registro2[[#This Row],[Data de Pagamento]]="",0,IF(Registro2[[#This Row],[Conta Financeira]]=base!$A$6,0,Registro2[[#This Row],[Valor Unitário]]))</f>
        <v>35</v>
      </c>
      <c r="U23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21" t="str">
        <f>VLOOKUP(Registro2[[#This Row],[Categoria]],'Plano de Contas'!$V$3:W2375,2,0)</f>
        <v>Receitas Serviços</v>
      </c>
      <c r="X232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322" spans="1:24" hidden="1">
      <c r="A2322" s="1">
        <v>45796.447916666664</v>
      </c>
      <c r="B2322" s="1">
        <v>45796.447916666664</v>
      </c>
      <c r="D2322" t="s">
        <v>310</v>
      </c>
      <c r="E2322" t="s">
        <v>149</v>
      </c>
      <c r="F2322" t="s">
        <v>147</v>
      </c>
      <c r="G2322" t="s">
        <v>163</v>
      </c>
      <c r="I2322" s="4">
        <v>35</v>
      </c>
      <c r="J2322" s="4">
        <v>0</v>
      </c>
      <c r="L2322" t="s">
        <v>252</v>
      </c>
      <c r="M2322" t="s">
        <v>1216</v>
      </c>
      <c r="N2322" s="4">
        <f>IF(L2322="","",IF(OR(Registro2[[#This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22" t="str">
        <f t="shared" si="43"/>
        <v>mai/25</v>
      </c>
      <c r="P2322" t="str">
        <f>IF(Registro2[[#This Row],[Data de Pagamento]]&gt;0,TEXT(A2322,"mmm/aa"),"")</f>
        <v>mai/25</v>
      </c>
      <c r="T2322" s="4">
        <f>IF(Registro2[[#This Row],[Data de Pagamento]]="",0,IF(Registro2[[#This Row],[Conta Financeira]]=base!$A$6,0,Registro2[[#This Row],[Valor Unitário]]))</f>
        <v>35</v>
      </c>
      <c r="U23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22" t="str">
        <f>VLOOKUP(Registro2[[#This Row],[Categoria]],'Plano de Contas'!$V$3:W2376,2,0)</f>
        <v>Receitas Serviços</v>
      </c>
      <c r="X232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323" spans="1:24" hidden="1">
      <c r="A2323" s="1">
        <v>45796.510416666664</v>
      </c>
      <c r="B2323" s="1">
        <v>45796.510416666664</v>
      </c>
      <c r="D2323" t="s">
        <v>1</v>
      </c>
      <c r="E2323" t="s">
        <v>149</v>
      </c>
      <c r="F2323" t="s">
        <v>147</v>
      </c>
      <c r="G2323" t="s">
        <v>163</v>
      </c>
      <c r="I2323" s="4">
        <v>35</v>
      </c>
      <c r="J2323" s="4">
        <v>45</v>
      </c>
      <c r="L2323" t="s">
        <v>252</v>
      </c>
      <c r="M2323" t="s">
        <v>2008</v>
      </c>
      <c r="N2323" s="4">
        <f>IF(L2323="","",IF(OR(Registro2[[#This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23" t="str">
        <f t="shared" si="43"/>
        <v>mai/25</v>
      </c>
      <c r="P2323" t="str">
        <f>IF(Registro2[[#This Row],[Data de Pagamento]]&gt;0,TEXT(A2323,"mmm/aa"),"")</f>
        <v>mai/25</v>
      </c>
      <c r="T2323" s="4">
        <f>IF(Registro2[[#This Row],[Data de Pagamento]]="",0,IF(Registro2[[#This Row],[Conta Financeira]]=base!$A$6,0,Registro2[[#This Row],[Valor Unitário]]))</f>
        <v>35</v>
      </c>
      <c r="U23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23" t="str">
        <f>VLOOKUP(Registro2[[#This Row],[Categoria]],'Plano de Contas'!$V$3:W2377,2,0)</f>
        <v>Receitas Serviços</v>
      </c>
      <c r="X232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24" spans="1:24" hidden="1">
      <c r="A2324" s="1">
        <v>45796.510416666664</v>
      </c>
      <c r="B2324" s="1">
        <v>45796.510416666664</v>
      </c>
      <c r="D2324" t="s">
        <v>1</v>
      </c>
      <c r="E2324" t="s">
        <v>149</v>
      </c>
      <c r="F2324" t="s">
        <v>147</v>
      </c>
      <c r="G2324" t="s">
        <v>167</v>
      </c>
      <c r="I2324" s="4">
        <v>10</v>
      </c>
      <c r="J2324" s="4">
        <v>0</v>
      </c>
      <c r="L2324" t="s">
        <v>252</v>
      </c>
      <c r="M2324" t="s">
        <v>2008</v>
      </c>
      <c r="N2324" s="4">
        <f>IF(L2324="","",IF(OR(Registro2[[#This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324" t="str">
        <f t="shared" si="43"/>
        <v>mai/25</v>
      </c>
      <c r="P2324" t="str">
        <f>IF(Registro2[[#This Row],[Data de Pagamento]]&gt;0,TEXT(A2324,"mmm/aa"),"")</f>
        <v>mai/25</v>
      </c>
      <c r="T2324" s="4">
        <f>IF(Registro2[[#This Row],[Data de Pagamento]]="",0,IF(Registro2[[#This Row],[Conta Financeira]]=base!$A$6,0,Registro2[[#This Row],[Valor Unitário]]))</f>
        <v>10</v>
      </c>
      <c r="U23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24" t="str">
        <f>VLOOKUP(Registro2[[#This Row],[Categoria]],'Plano de Contas'!$V$3:W2378,2,0)</f>
        <v>Receitas Serviços</v>
      </c>
      <c r="X232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25" spans="1:24" hidden="1">
      <c r="A2325" s="1">
        <v>45796.510416666664</v>
      </c>
      <c r="B2325" s="1">
        <v>45796.510416666664</v>
      </c>
      <c r="D2325" t="s">
        <v>1</v>
      </c>
      <c r="E2325" t="s">
        <v>149</v>
      </c>
      <c r="F2325" t="s">
        <v>147</v>
      </c>
      <c r="G2325" t="s">
        <v>163</v>
      </c>
      <c r="I2325" s="4">
        <v>35</v>
      </c>
      <c r="J2325" s="4">
        <v>35</v>
      </c>
      <c r="L2325" t="s">
        <v>252</v>
      </c>
      <c r="M2325" t="s">
        <v>1109</v>
      </c>
      <c r="N2325" s="4">
        <f>IF(L2325="","",IF(OR(Registro2[[#This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25" t="str">
        <f t="shared" si="43"/>
        <v>mai/25</v>
      </c>
      <c r="P2325" t="str">
        <f>IF(Registro2[[#This Row],[Data de Pagamento]]&gt;0,TEXT(A2325,"mmm/aa"),"")</f>
        <v>mai/25</v>
      </c>
      <c r="T2325" s="4">
        <f>IF(Registro2[[#This Row],[Data de Pagamento]]="",0,IF(Registro2[[#This Row],[Conta Financeira]]=base!$A$6,0,Registro2[[#This Row],[Valor Unitário]]))</f>
        <v>35</v>
      </c>
      <c r="U23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25" t="str">
        <f>VLOOKUP(Registro2[[#This Row],[Categoria]],'Plano de Contas'!$V$3:W2379,2,0)</f>
        <v>Receitas Serviços</v>
      </c>
      <c r="X232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26" spans="1:24" hidden="1">
      <c r="A2326" s="1">
        <v>45796.65625</v>
      </c>
      <c r="B2326" s="1">
        <v>45796.65625</v>
      </c>
      <c r="D2326" t="s">
        <v>1</v>
      </c>
      <c r="E2326" t="s">
        <v>149</v>
      </c>
      <c r="F2326" t="s">
        <v>147</v>
      </c>
      <c r="G2326" t="s">
        <v>163</v>
      </c>
      <c r="I2326" s="4">
        <v>20</v>
      </c>
      <c r="J2326" s="4">
        <v>60</v>
      </c>
      <c r="L2326" t="s">
        <v>252</v>
      </c>
      <c r="M2326" t="s">
        <v>852</v>
      </c>
      <c r="N2326" s="4">
        <f>IF(L2326="","",IF(OR(Registro2[[#This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326" t="str">
        <f t="shared" si="43"/>
        <v>mai/25</v>
      </c>
      <c r="P2326" t="str">
        <f>IF(Registro2[[#This Row],[Data de Pagamento]]&gt;0,TEXT(A2326,"mmm/aa"),"")</f>
        <v>mai/25</v>
      </c>
      <c r="T2326" s="4">
        <f>IF(Registro2[[#This Row],[Data de Pagamento]]="",0,IF(Registro2[[#This Row],[Conta Financeira]]=base!$A$6,0,Registro2[[#This Row],[Valor Unitário]]))</f>
        <v>20</v>
      </c>
      <c r="U23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26" t="str">
        <f>VLOOKUP(Registro2[[#This Row],[Categoria]],'Plano de Contas'!$V$3:W2380,2,0)</f>
        <v>Receitas Serviços</v>
      </c>
      <c r="X232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27" spans="1:24" hidden="1">
      <c r="A2327" s="1">
        <v>45796.65625</v>
      </c>
      <c r="B2327" s="1">
        <v>45796.65625</v>
      </c>
      <c r="D2327" t="s">
        <v>1</v>
      </c>
      <c r="E2327" t="s">
        <v>149</v>
      </c>
      <c r="F2327" t="s">
        <v>147</v>
      </c>
      <c r="G2327" t="s">
        <v>2825</v>
      </c>
      <c r="I2327" s="4">
        <v>20</v>
      </c>
      <c r="J2327" s="4">
        <v>0</v>
      </c>
      <c r="L2327" t="s">
        <v>252</v>
      </c>
      <c r="M2327" t="s">
        <v>852</v>
      </c>
      <c r="N2327" s="4">
        <f>IF(L2327="","",IF(OR(Registro2[[#This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327" t="str">
        <f t="shared" si="43"/>
        <v>mai/25</v>
      </c>
      <c r="P2327" t="str">
        <f>IF(Registro2[[#This Row],[Data de Pagamento]]&gt;0,TEXT(A2327,"mmm/aa"),"")</f>
        <v>mai/25</v>
      </c>
      <c r="T2327" s="4">
        <f>IF(Registro2[[#This Row],[Data de Pagamento]]="",0,IF(Registro2[[#This Row],[Conta Financeira]]=base!$A$6,0,Registro2[[#This Row],[Valor Unitário]]))</f>
        <v>20</v>
      </c>
      <c r="U23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27" t="e">
        <f>VLOOKUP(Registro2[[#This Row],[Categoria]],'Plano de Contas'!$V$3:W2381,2,0)</f>
        <v>#N/A</v>
      </c>
      <c r="X23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28" spans="1:24" hidden="1">
      <c r="A2328" s="1">
        <v>45796.65625</v>
      </c>
      <c r="B2328" s="1">
        <v>45796.65625</v>
      </c>
      <c r="D2328" t="s">
        <v>1</v>
      </c>
      <c r="E2328" t="s">
        <v>149</v>
      </c>
      <c r="F2328" t="s">
        <v>152</v>
      </c>
      <c r="G2328" t="s">
        <v>352</v>
      </c>
      <c r="I2328" s="4">
        <v>20</v>
      </c>
      <c r="J2328" s="4">
        <v>0</v>
      </c>
      <c r="L2328" t="s">
        <v>252</v>
      </c>
      <c r="M2328" t="s">
        <v>852</v>
      </c>
      <c r="N2328" s="4">
        <f>IF(L2328="","",IF(OR(Registro2[[#This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328" t="str">
        <f t="shared" si="43"/>
        <v>mai/25</v>
      </c>
      <c r="P2328" t="str">
        <f>IF(Registro2[[#This Row],[Data de Pagamento]]&gt;0,TEXT(A2328,"mmm/aa"),"")</f>
        <v>mai/25</v>
      </c>
      <c r="T2328" s="4">
        <f>IF(Registro2[[#This Row],[Data de Pagamento]]="",0,IF(Registro2[[#This Row],[Conta Financeira]]=base!$A$6,0,Registro2[[#This Row],[Valor Unitário]]))</f>
        <v>20</v>
      </c>
      <c r="U23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28" t="str">
        <f>VLOOKUP(Registro2[[#This Row],[Categoria]],'Plano de Contas'!$V$3:W2382,2,0)</f>
        <v>Receitas Serviços</v>
      </c>
      <c r="X232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29" spans="1:24" hidden="1">
      <c r="A2329" s="1">
        <v>45796.677083333336</v>
      </c>
      <c r="B2329" s="1">
        <v>45796.677083333336</v>
      </c>
      <c r="D2329" t="s">
        <v>1</v>
      </c>
      <c r="E2329" t="s">
        <v>149</v>
      </c>
      <c r="F2329" t="s">
        <v>147</v>
      </c>
      <c r="G2329" t="s">
        <v>163</v>
      </c>
      <c r="I2329" s="4">
        <v>35</v>
      </c>
      <c r="J2329" s="4">
        <v>35</v>
      </c>
      <c r="L2329" t="s">
        <v>253</v>
      </c>
      <c r="M2329" t="s">
        <v>1381</v>
      </c>
      <c r="N2329" s="4">
        <f>IF(L2329="","",IF(OR(Registro2[[#This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29" t="str">
        <f t="shared" si="43"/>
        <v>mai/25</v>
      </c>
      <c r="P2329" t="str">
        <f>IF(Registro2[[#This Row],[Data de Pagamento]]&gt;0,TEXT(A2329,"mmm/aa"),"")</f>
        <v>mai/25</v>
      </c>
      <c r="T2329" s="4">
        <f>IF(Registro2[[#This Row],[Data de Pagamento]]="",0,IF(Registro2[[#This Row],[Conta Financeira]]=base!$A$6,0,Registro2[[#This Row],[Valor Unitário]]))</f>
        <v>35</v>
      </c>
      <c r="U23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29" t="str">
        <f>VLOOKUP(Registro2[[#This Row],[Categoria]],'Plano de Contas'!$V$3:W2383,2,0)</f>
        <v>Receitas Serviços</v>
      </c>
      <c r="X23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30" spans="1:24" hidden="1">
      <c r="A2330" s="1">
        <v>45796.819444444445</v>
      </c>
      <c r="B2330" s="1">
        <v>45796.819444444445</v>
      </c>
      <c r="D2330" t="s">
        <v>1</v>
      </c>
      <c r="E2330" t="s">
        <v>149</v>
      </c>
      <c r="F2330" t="s">
        <v>152</v>
      </c>
      <c r="G2330" t="s">
        <v>353</v>
      </c>
      <c r="I2330" s="4">
        <v>60</v>
      </c>
      <c r="J2330" s="4">
        <v>60</v>
      </c>
      <c r="L2330" t="s">
        <v>252</v>
      </c>
      <c r="M2330" t="s">
        <v>190</v>
      </c>
      <c r="N2330" s="4">
        <f>IF(L2330="","",IF(OR(Registro2[[#This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330" t="str">
        <f t="shared" si="43"/>
        <v>mai/25</v>
      </c>
      <c r="P2330" t="str">
        <f>IF(Registro2[[#This Row],[Data de Pagamento]]&gt;0,TEXT(A2330,"mmm/aa"),"")</f>
        <v>mai/25</v>
      </c>
      <c r="T2330" s="4">
        <f>IF(Registro2[[#This Row],[Data de Pagamento]]="",0,IF(Registro2[[#This Row],[Conta Financeira]]=base!$A$6,0,Registro2[[#This Row],[Valor Unitário]]))</f>
        <v>60</v>
      </c>
      <c r="U23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30" t="str">
        <f>VLOOKUP(Registro2[[#This Row],[Categoria]],'Plano de Contas'!$V$3:W2384,2,0)</f>
        <v>Receitas Serviços</v>
      </c>
      <c r="X233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31" spans="1:24" hidden="1">
      <c r="A2331" s="1">
        <v>45797.770833333336</v>
      </c>
      <c r="B2331" s="1">
        <v>45797.770833333336</v>
      </c>
      <c r="D2331" t="s">
        <v>354</v>
      </c>
      <c r="E2331" t="s">
        <v>149</v>
      </c>
      <c r="F2331" t="s">
        <v>147</v>
      </c>
      <c r="G2331" t="s">
        <v>163</v>
      </c>
      <c r="I2331" s="4">
        <v>35</v>
      </c>
      <c r="J2331" s="4">
        <v>35</v>
      </c>
      <c r="L2331" t="s">
        <v>252</v>
      </c>
      <c r="M2331" t="s">
        <v>85</v>
      </c>
      <c r="N2331" s="4">
        <f>IF(L2331="","",IF(OR(Registro2[[#This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31" t="str">
        <f t="shared" si="43"/>
        <v>mai/25</v>
      </c>
      <c r="P2331" t="str">
        <f>IF(Registro2[[#This Row],[Data de Pagamento]]&gt;0,TEXT(A2331,"mmm/aa"),"")</f>
        <v>mai/25</v>
      </c>
      <c r="T2331" s="4">
        <f>IF(Registro2[[#This Row],[Data de Pagamento]]="",0,IF(Registro2[[#This Row],[Conta Financeira]]=base!$A$6,0,Registro2[[#This Row],[Valor Unitário]]))</f>
        <v>35</v>
      </c>
      <c r="U23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31" t="str">
        <f>VLOOKUP(Registro2[[#This Row],[Categoria]],'Plano de Contas'!$V$3:W2385,2,0)</f>
        <v>Receitas Serviços</v>
      </c>
      <c r="X233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332" spans="1:24" hidden="1">
      <c r="A2332" s="1">
        <v>45797.53125</v>
      </c>
      <c r="B2332" s="1">
        <v>45797.53125</v>
      </c>
      <c r="D2332" t="s">
        <v>310</v>
      </c>
      <c r="E2332" t="s">
        <v>149</v>
      </c>
      <c r="F2332" t="s">
        <v>147</v>
      </c>
      <c r="G2332" t="s">
        <v>163</v>
      </c>
      <c r="I2332" s="4">
        <v>35</v>
      </c>
      <c r="J2332" s="4">
        <v>35</v>
      </c>
      <c r="L2332" t="s">
        <v>252</v>
      </c>
      <c r="M2332" t="s">
        <v>473</v>
      </c>
      <c r="N2332" s="4">
        <f>IF(L2332="","",IF(OR(Registro2[[#This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32" t="str">
        <f t="shared" si="43"/>
        <v>mai/25</v>
      </c>
      <c r="P2332" t="str">
        <f>IF(Registro2[[#This Row],[Data de Pagamento]]&gt;0,TEXT(A2332,"mmm/aa"),"")</f>
        <v>mai/25</v>
      </c>
      <c r="T2332" s="4">
        <f>IF(Registro2[[#This Row],[Data de Pagamento]]="",0,IF(Registro2[[#This Row],[Conta Financeira]]=base!$A$6,0,Registro2[[#This Row],[Valor Unitário]]))</f>
        <v>35</v>
      </c>
      <c r="U23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32" t="str">
        <f>VLOOKUP(Registro2[[#This Row],[Categoria]],'Plano de Contas'!$V$3:W2386,2,0)</f>
        <v>Receitas Serviços</v>
      </c>
      <c r="X233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333" spans="1:24" hidden="1">
      <c r="A2333" s="1">
        <v>45797.625</v>
      </c>
      <c r="B2333" s="1">
        <v>45797.625</v>
      </c>
      <c r="D2333" t="s">
        <v>1</v>
      </c>
      <c r="E2333" t="s">
        <v>149</v>
      </c>
      <c r="F2333" t="s">
        <v>152</v>
      </c>
      <c r="G2333" t="s">
        <v>353</v>
      </c>
      <c r="I2333" s="4">
        <v>60</v>
      </c>
      <c r="J2333" s="4">
        <v>60</v>
      </c>
      <c r="L2333" t="s">
        <v>264</v>
      </c>
      <c r="M2333" t="s">
        <v>2162</v>
      </c>
      <c r="N2333" s="4">
        <f>IF(L2333="","",IF(OR(Registro2[[#This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333" t="str">
        <f t="shared" si="43"/>
        <v>mai/25</v>
      </c>
      <c r="P2333" t="str">
        <f>IF(Registro2[[#This Row],[Data de Pagamento]]&gt;0,TEXT(A2333,"mmm/aa"),"")</f>
        <v>mai/25</v>
      </c>
      <c r="T2333" s="4">
        <f>IF(Registro2[[#This Row],[Data de Pagamento]]="",0,IF(Registro2[[#This Row],[Conta Financeira]]=base!$A$6,0,Registro2[[#This Row],[Valor Unitário]]))</f>
        <v>60</v>
      </c>
      <c r="U23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33" t="str">
        <f>VLOOKUP(Registro2[[#This Row],[Categoria]],'Plano de Contas'!$V$3:W2387,2,0)</f>
        <v>Receitas Serviços</v>
      </c>
      <c r="X233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34" spans="1:24" hidden="1">
      <c r="A2334" s="1">
        <v>45797.802083333336</v>
      </c>
      <c r="B2334" s="1">
        <v>45797.802083333336</v>
      </c>
      <c r="D2334" t="s">
        <v>1</v>
      </c>
      <c r="E2334" t="s">
        <v>149</v>
      </c>
      <c r="F2334" t="s">
        <v>152</v>
      </c>
      <c r="G2334" t="s">
        <v>353</v>
      </c>
      <c r="I2334" s="4">
        <v>60</v>
      </c>
      <c r="J2334" s="4">
        <v>60</v>
      </c>
      <c r="L2334" t="s">
        <v>252</v>
      </c>
      <c r="M2334" t="s">
        <v>48</v>
      </c>
      <c r="N2334" s="4">
        <f>IF(L2334="","",IF(OR(Registro2[[#This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334" t="str">
        <f t="shared" si="43"/>
        <v>mai/25</v>
      </c>
      <c r="P2334" t="str">
        <f>IF(Registro2[[#This Row],[Data de Pagamento]]&gt;0,TEXT(A2334,"mmm/aa"),"")</f>
        <v>mai/25</v>
      </c>
      <c r="T2334" s="4">
        <f>IF(Registro2[[#This Row],[Data de Pagamento]]="",0,IF(Registro2[[#This Row],[Conta Financeira]]=base!$A$6,0,Registro2[[#This Row],[Valor Unitário]]))</f>
        <v>60</v>
      </c>
      <c r="U23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34" t="str">
        <f>VLOOKUP(Registro2[[#This Row],[Categoria]],'Plano de Contas'!$V$3:W2388,2,0)</f>
        <v>Receitas Serviços</v>
      </c>
      <c r="X233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35" spans="1:24" hidden="1">
      <c r="A2335" s="1">
        <v>45797.802083333336</v>
      </c>
      <c r="B2335" s="1">
        <v>45797.802083333336</v>
      </c>
      <c r="D2335" t="s">
        <v>1</v>
      </c>
      <c r="E2335" t="s">
        <v>149</v>
      </c>
      <c r="F2335" t="s">
        <v>147</v>
      </c>
      <c r="G2335" t="s">
        <v>163</v>
      </c>
      <c r="I2335" s="4">
        <v>35</v>
      </c>
      <c r="J2335" s="4">
        <v>35</v>
      </c>
      <c r="L2335" t="s">
        <v>264</v>
      </c>
      <c r="M2335" t="s">
        <v>1175</v>
      </c>
      <c r="N2335" s="4">
        <f>IF(L2335="","",IF(OR(Registro2[[#This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35" t="str">
        <f t="shared" si="43"/>
        <v>mai/25</v>
      </c>
      <c r="P2335" t="str">
        <f>IF(Registro2[[#This Row],[Data de Pagamento]]&gt;0,TEXT(A2335,"mmm/aa"),"")</f>
        <v>mai/25</v>
      </c>
      <c r="T2335" s="4">
        <f>IF(Registro2[[#This Row],[Data de Pagamento]]="",0,IF(Registro2[[#This Row],[Conta Financeira]]=base!$A$6,0,Registro2[[#This Row],[Valor Unitário]]))</f>
        <v>35</v>
      </c>
      <c r="U23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35" t="str">
        <f>VLOOKUP(Registro2[[#This Row],[Categoria]],'Plano de Contas'!$V$3:W2389,2,0)</f>
        <v>Receitas Serviços</v>
      </c>
      <c r="X233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36" spans="1:24" hidden="1">
      <c r="A2336" s="1">
        <v>45797.829861111109</v>
      </c>
      <c r="B2336" s="1">
        <v>45797.829861111109</v>
      </c>
      <c r="D2336" t="s">
        <v>1</v>
      </c>
      <c r="E2336" t="s">
        <v>149</v>
      </c>
      <c r="F2336" t="s">
        <v>147</v>
      </c>
      <c r="G2336" t="s">
        <v>163</v>
      </c>
      <c r="I2336" s="4">
        <v>20</v>
      </c>
      <c r="J2336" s="4">
        <v>20</v>
      </c>
      <c r="L2336" t="s">
        <v>264</v>
      </c>
      <c r="M2336" t="s">
        <v>3107</v>
      </c>
      <c r="N2336" s="4">
        <f>IF(L2336="","",IF(OR(Registro2[[#This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336" t="str">
        <f t="shared" si="43"/>
        <v>mai/25</v>
      </c>
      <c r="P2336" t="str">
        <f>IF(Registro2[[#This Row],[Data de Pagamento]]&gt;0,TEXT(A2336,"mmm/aa"),"")</f>
        <v>mai/25</v>
      </c>
      <c r="T2336" s="4">
        <f>IF(Registro2[[#This Row],[Data de Pagamento]]="",0,IF(Registro2[[#This Row],[Conta Financeira]]=base!$A$6,0,Registro2[[#This Row],[Valor Unitário]]))</f>
        <v>20</v>
      </c>
      <c r="U23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36" t="str">
        <f>VLOOKUP(Registro2[[#This Row],[Categoria]],'Plano de Contas'!$V$3:W2390,2,0)</f>
        <v>Receitas Serviços</v>
      </c>
      <c r="X233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37" spans="1:24" hidden="1">
      <c r="A2337" s="1">
        <v>45794</v>
      </c>
      <c r="B2337" s="1">
        <v>45794</v>
      </c>
      <c r="D2337" t="s">
        <v>310</v>
      </c>
      <c r="E2337" t="s">
        <v>149</v>
      </c>
      <c r="F2337" t="s">
        <v>147</v>
      </c>
      <c r="G2337" t="s">
        <v>163</v>
      </c>
      <c r="I2337" s="4">
        <v>35</v>
      </c>
      <c r="J2337" s="4">
        <v>45</v>
      </c>
      <c r="L2337" t="s">
        <v>252</v>
      </c>
      <c r="M2337" t="s">
        <v>2866</v>
      </c>
      <c r="N2337" s="4">
        <f>IF(L2337="","",IF(OR(Registro2[[#This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37" t="str">
        <f t="shared" ref="O2337:O2338" si="44">TEXT(B2337,"mmm/aa")</f>
        <v>mai/25</v>
      </c>
      <c r="P2337" t="str">
        <f>IF(Registro2[[#This Row],[Data de Pagamento]]&gt;0,TEXT(A2337,"mmm/aa"),"")</f>
        <v>mai/25</v>
      </c>
      <c r="T2337" s="4">
        <f>IF(Registro2[[#This Row],[Data de Pagamento]]="",0,IF(Registro2[[#This Row],[Conta Financeira]]=base!$A$6,0,Registro2[[#This Row],[Valor Unitário]]))</f>
        <v>35</v>
      </c>
      <c r="U23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37" t="str">
        <f>VLOOKUP(Registro2[[#This Row],[Categoria]],'Plano de Contas'!$V$3:W2391,2,0)</f>
        <v>Receitas Serviços</v>
      </c>
      <c r="X233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338" spans="1:24" hidden="1">
      <c r="A2338" s="1">
        <v>45794</v>
      </c>
      <c r="B2338" s="1">
        <v>45794</v>
      </c>
      <c r="D2338" t="s">
        <v>310</v>
      </c>
      <c r="E2338" t="s">
        <v>149</v>
      </c>
      <c r="F2338" t="s">
        <v>147</v>
      </c>
      <c r="G2338" t="s">
        <v>167</v>
      </c>
      <c r="I2338" s="4">
        <v>10</v>
      </c>
      <c r="J2338" s="4" t="s">
        <v>1604</v>
      </c>
      <c r="L2338" t="s">
        <v>252</v>
      </c>
      <c r="M2338" t="s">
        <v>2866</v>
      </c>
      <c r="N2338" s="4">
        <f>IF(L2338="","",IF(OR(Registro2[[#This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338" t="str">
        <f t="shared" si="44"/>
        <v>mai/25</v>
      </c>
      <c r="P2338" t="str">
        <f>IF(Registro2[[#This Row],[Data de Pagamento]]&gt;0,TEXT(A2338,"mmm/aa"),"")</f>
        <v>mai/25</v>
      </c>
      <c r="T2338" s="4">
        <f>IF(Registro2[[#This Row],[Data de Pagamento]]="",0,IF(Registro2[[#This Row],[Conta Financeira]]=base!$A$6,0,Registro2[[#This Row],[Valor Unitário]]))</f>
        <v>10</v>
      </c>
      <c r="U23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38" t="str">
        <f>VLOOKUP(Registro2[[#This Row],[Categoria]],'Plano de Contas'!$V$3:W2392,2,0)</f>
        <v>Receitas Serviços</v>
      </c>
      <c r="X233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8.8999999999999996E-2</v>
      </c>
    </row>
    <row r="2339" spans="1:24" hidden="1">
      <c r="A2339" s="1">
        <v>45799</v>
      </c>
      <c r="B2339" s="1">
        <v>45799</v>
      </c>
      <c r="D2339" t="s">
        <v>1</v>
      </c>
      <c r="E2339" t="s">
        <v>149</v>
      </c>
      <c r="F2339" t="s">
        <v>147</v>
      </c>
      <c r="G2339" t="s">
        <v>163</v>
      </c>
      <c r="I2339" s="4">
        <v>35</v>
      </c>
      <c r="J2339" s="4">
        <v>35</v>
      </c>
      <c r="L2339" t="s">
        <v>252</v>
      </c>
      <c r="M2339" t="s">
        <v>364</v>
      </c>
      <c r="N2339" s="4">
        <f>IF(L2339="","",IF(OR(Registro2[[#This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39" t="str">
        <f t="shared" ref="O2339:O2370" si="45">TEXT(B2339,"mmm/aa")</f>
        <v>mai/25</v>
      </c>
      <c r="P2339" t="str">
        <f>IF(Registro2[[#This Row],[Data de Pagamento]]&gt;0,TEXT(A2339,"mmm/aa"),"")</f>
        <v>mai/25</v>
      </c>
      <c r="T2339" s="4">
        <f>IF(Registro2[[#This Row],[Data de Pagamento]]="",0,IF(Registro2[[#This Row],[Conta Financeira]]=base!$A$6,0,Registro2[[#This Row],[Valor Unitário]]))</f>
        <v>35</v>
      </c>
      <c r="U23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39" t="str">
        <f>VLOOKUP(Registro2[[#This Row],[Categoria]],'Plano de Contas'!$V$3:W2393,2,0)</f>
        <v>Receitas Serviços</v>
      </c>
      <c r="X233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40" spans="1:24" hidden="1">
      <c r="A2340" s="1">
        <v>45799</v>
      </c>
      <c r="B2340" s="1">
        <v>45799</v>
      </c>
      <c r="D2340" t="s">
        <v>1</v>
      </c>
      <c r="E2340" t="s">
        <v>149</v>
      </c>
      <c r="F2340" t="s">
        <v>147</v>
      </c>
      <c r="G2340" t="s">
        <v>163</v>
      </c>
      <c r="I2340" s="4">
        <v>35</v>
      </c>
      <c r="J2340" s="4">
        <v>45</v>
      </c>
      <c r="L2340" t="s">
        <v>252</v>
      </c>
      <c r="M2340" t="s">
        <v>31</v>
      </c>
      <c r="N2340" s="4">
        <f>IF(L2340="","",IF(OR(Registro2[[#This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40" t="str">
        <f t="shared" si="45"/>
        <v>mai/25</v>
      </c>
      <c r="P2340" t="str">
        <f>IF(Registro2[[#This Row],[Data de Pagamento]]&gt;0,TEXT(A2340,"mmm/aa"),"")</f>
        <v>mai/25</v>
      </c>
      <c r="T2340" s="4">
        <f>IF(Registro2[[#This Row],[Data de Pagamento]]="",0,IF(Registro2[[#This Row],[Conta Financeira]]=base!$A$6,0,Registro2[[#This Row],[Valor Unitário]]))</f>
        <v>35</v>
      </c>
      <c r="U23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40" t="str">
        <f>VLOOKUP(Registro2[[#This Row],[Categoria]],'Plano de Contas'!$V$3:W2394,2,0)</f>
        <v>Receitas Serviços</v>
      </c>
      <c r="X234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41" spans="1:24" hidden="1">
      <c r="A2341" s="1">
        <v>45799</v>
      </c>
      <c r="B2341" s="1">
        <v>45799</v>
      </c>
      <c r="D2341" t="s">
        <v>1</v>
      </c>
      <c r="E2341" t="s">
        <v>149</v>
      </c>
      <c r="F2341" t="s">
        <v>147</v>
      </c>
      <c r="G2341" t="s">
        <v>167</v>
      </c>
      <c r="I2341" s="4">
        <v>10</v>
      </c>
      <c r="J2341" s="4" t="s">
        <v>1604</v>
      </c>
      <c r="L2341" t="s">
        <v>252</v>
      </c>
      <c r="M2341" t="s">
        <v>31</v>
      </c>
      <c r="N2341" s="4">
        <f>IF(L2341="","",IF(OR(Registro2[[#This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341" t="str">
        <f t="shared" si="45"/>
        <v>mai/25</v>
      </c>
      <c r="P2341" t="str">
        <f>IF(Registro2[[#This Row],[Data de Pagamento]]&gt;0,TEXT(A2341,"mmm/aa"),"")</f>
        <v>mai/25</v>
      </c>
      <c r="T2341" s="4">
        <f>IF(Registro2[[#This Row],[Data de Pagamento]]="",0,IF(Registro2[[#This Row],[Conta Financeira]]=base!$A$6,0,Registro2[[#This Row],[Valor Unitário]]))</f>
        <v>10</v>
      </c>
      <c r="U23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41" t="str">
        <f>VLOOKUP(Registro2[[#This Row],[Categoria]],'Plano de Contas'!$V$3:W2395,2,0)</f>
        <v>Receitas Serviços</v>
      </c>
      <c r="X234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42" spans="1:24" hidden="1">
      <c r="A2342" s="1">
        <v>45800</v>
      </c>
      <c r="B2342" s="1">
        <v>45800</v>
      </c>
      <c r="D2342" t="s">
        <v>1</v>
      </c>
      <c r="E2342" t="s">
        <v>149</v>
      </c>
      <c r="F2342" t="s">
        <v>147</v>
      </c>
      <c r="G2342" t="s">
        <v>163</v>
      </c>
      <c r="I2342" s="4">
        <v>35</v>
      </c>
      <c r="J2342" s="4">
        <v>50</v>
      </c>
      <c r="L2342" t="s">
        <v>252</v>
      </c>
      <c r="M2342" t="s">
        <v>475</v>
      </c>
      <c r="N2342" s="4">
        <f>IF(L2342="","",IF(OR(Registro2[[#This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42" t="str">
        <f t="shared" si="45"/>
        <v>mai/25</v>
      </c>
      <c r="P2342" t="str">
        <f>IF(Registro2[[#This Row],[Data de Pagamento]]&gt;0,TEXT(A2342,"mmm/aa"),"")</f>
        <v>mai/25</v>
      </c>
      <c r="T2342" s="4">
        <f>IF(Registro2[[#This Row],[Data de Pagamento]]="",0,IF(Registro2[[#This Row],[Conta Financeira]]=base!$A$6,0,Registro2[[#This Row],[Valor Unitário]]))</f>
        <v>35</v>
      </c>
      <c r="U23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42" t="str">
        <f>VLOOKUP(Registro2[[#This Row],[Categoria]],'Plano de Contas'!$V$3:W2396,2,0)</f>
        <v>Receitas Serviços</v>
      </c>
      <c r="X234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43" spans="1:24" hidden="1">
      <c r="A2343" s="1">
        <v>45800</v>
      </c>
      <c r="B2343" s="1">
        <v>45800</v>
      </c>
      <c r="D2343" t="s">
        <v>1</v>
      </c>
      <c r="E2343" t="s">
        <v>149</v>
      </c>
      <c r="F2343" t="s">
        <v>147</v>
      </c>
      <c r="G2343" t="s">
        <v>160</v>
      </c>
      <c r="I2343" s="4">
        <v>15</v>
      </c>
      <c r="J2343" s="4" t="s">
        <v>1604</v>
      </c>
      <c r="L2343" t="s">
        <v>252</v>
      </c>
      <c r="M2343" t="s">
        <v>475</v>
      </c>
      <c r="N2343" s="4">
        <f>IF(L2343="","",IF(OR(Registro2[[#This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343" t="str">
        <f t="shared" si="45"/>
        <v>mai/25</v>
      </c>
      <c r="P2343" t="str">
        <f>IF(Registro2[[#This Row],[Data de Pagamento]]&gt;0,TEXT(A2343,"mmm/aa"),"")</f>
        <v>mai/25</v>
      </c>
      <c r="T2343" s="4">
        <f>IF(Registro2[[#This Row],[Data de Pagamento]]="",0,IF(Registro2[[#This Row],[Conta Financeira]]=base!$A$6,0,Registro2[[#This Row],[Valor Unitário]]))</f>
        <v>15</v>
      </c>
      <c r="U23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43" t="str">
        <f>VLOOKUP(Registro2[[#This Row],[Categoria]],'Plano de Contas'!$V$3:W2397,2,0)</f>
        <v>Receitas Serviços</v>
      </c>
      <c r="X234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44" spans="1:24" hidden="1">
      <c r="A2344" s="1">
        <v>45798</v>
      </c>
      <c r="B2344" s="1">
        <v>45798</v>
      </c>
      <c r="D2344" t="s">
        <v>1</v>
      </c>
      <c r="E2344" t="s">
        <v>149</v>
      </c>
      <c r="F2344" t="s">
        <v>147</v>
      </c>
      <c r="G2344" t="s">
        <v>163</v>
      </c>
      <c r="I2344" s="4">
        <v>30</v>
      </c>
      <c r="J2344" s="4">
        <v>0</v>
      </c>
      <c r="L2344" t="s">
        <v>253</v>
      </c>
      <c r="M2344" t="s">
        <v>122</v>
      </c>
      <c r="N2344" s="4">
        <f>IF(L2344="","",IF(OR(Registro2[[#This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2344" t="str">
        <f t="shared" si="45"/>
        <v>mai/25</v>
      </c>
      <c r="P2344" t="str">
        <f>IF(Registro2[[#This Row],[Data de Pagamento]]&gt;0,TEXT(A2344,"mmm/aa"),"")</f>
        <v>mai/25</v>
      </c>
      <c r="T2344" s="4">
        <f>IF(Registro2[[#This Row],[Data de Pagamento]]="",0,IF(Registro2[[#This Row],[Conta Financeira]]=base!$A$6,0,Registro2[[#This Row],[Valor Unitário]]))</f>
        <v>30</v>
      </c>
      <c r="U23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2344" t="str">
        <f>VLOOKUP(Registro2[[#This Row],[Categoria]],'Plano de Contas'!$V$3:W2398,2,0)</f>
        <v>Receitas Serviços</v>
      </c>
      <c r="X234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45" spans="1:24" hidden="1">
      <c r="A2345" s="1">
        <v>45798</v>
      </c>
      <c r="B2345" s="1">
        <v>45798</v>
      </c>
      <c r="D2345" t="s">
        <v>310</v>
      </c>
      <c r="E2345" t="s">
        <v>149</v>
      </c>
      <c r="F2345" t="s">
        <v>147</v>
      </c>
      <c r="G2345" t="s">
        <v>163</v>
      </c>
      <c r="I2345" s="4">
        <v>35</v>
      </c>
      <c r="J2345" s="4">
        <v>45</v>
      </c>
      <c r="L2345" t="s">
        <v>253</v>
      </c>
      <c r="M2345" t="s">
        <v>3123</v>
      </c>
      <c r="N2345" s="4">
        <f>IF(L2345="","",IF(OR(Registro2[[#This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45" t="str">
        <f t="shared" si="45"/>
        <v>mai/25</v>
      </c>
      <c r="P2345" t="str">
        <f>IF(Registro2[[#This Row],[Data de Pagamento]]&gt;0,TEXT(A2345,"mmm/aa"),"")</f>
        <v>mai/25</v>
      </c>
      <c r="T2345" s="4">
        <f>IF(Registro2[[#This Row],[Data de Pagamento]]="",0,IF(Registro2[[#This Row],[Conta Financeira]]=base!$A$6,0,Registro2[[#This Row],[Valor Unitário]]))</f>
        <v>35</v>
      </c>
      <c r="U23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45" t="str">
        <f>VLOOKUP(Registro2[[#This Row],[Categoria]],'Plano de Contas'!$V$3:W2399,2,0)</f>
        <v>Receitas Serviços</v>
      </c>
      <c r="X234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346" spans="1:24" hidden="1">
      <c r="A2346" s="1">
        <v>45798</v>
      </c>
      <c r="B2346" s="1">
        <v>45798</v>
      </c>
      <c r="D2346" t="s">
        <v>310</v>
      </c>
      <c r="E2346" t="s">
        <v>149</v>
      </c>
      <c r="F2346" t="s">
        <v>147</v>
      </c>
      <c r="G2346" t="s">
        <v>167</v>
      </c>
      <c r="I2346" s="4">
        <v>10</v>
      </c>
      <c r="J2346" s="4" t="s">
        <v>1604</v>
      </c>
      <c r="L2346" t="s">
        <v>253</v>
      </c>
      <c r="M2346" t="s">
        <v>3123</v>
      </c>
      <c r="N2346" s="4">
        <f>IF(L2346="","",IF(OR(Registro2[[#This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346" t="str">
        <f t="shared" si="45"/>
        <v>mai/25</v>
      </c>
      <c r="P2346" t="str">
        <f>IF(Registro2[[#This Row],[Data de Pagamento]]&gt;0,TEXT(A2346,"mmm/aa"),"")</f>
        <v>mai/25</v>
      </c>
      <c r="T2346" s="4">
        <f>IF(Registro2[[#This Row],[Data de Pagamento]]="",0,IF(Registro2[[#This Row],[Conta Financeira]]=base!$A$6,0,Registro2[[#This Row],[Valor Unitário]]))</f>
        <v>10</v>
      </c>
      <c r="U23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46" t="str">
        <f>VLOOKUP(Registro2[[#This Row],[Categoria]],'Plano de Contas'!$V$3:W2400,2,0)</f>
        <v>Receitas Serviços</v>
      </c>
      <c r="X234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8.8999999999999996E-2</v>
      </c>
    </row>
    <row r="2347" spans="1:24" hidden="1">
      <c r="A2347" s="1">
        <v>45798</v>
      </c>
      <c r="B2347" s="1">
        <v>45798</v>
      </c>
      <c r="D2347" t="s">
        <v>310</v>
      </c>
      <c r="E2347" t="s">
        <v>149</v>
      </c>
      <c r="F2347" t="s">
        <v>147</v>
      </c>
      <c r="G2347" t="s">
        <v>163</v>
      </c>
      <c r="I2347" s="4">
        <v>35</v>
      </c>
      <c r="J2347" s="4">
        <v>35</v>
      </c>
      <c r="L2347" t="s">
        <v>264</v>
      </c>
      <c r="M2347" t="s">
        <v>121</v>
      </c>
      <c r="N2347" s="4">
        <f>IF(L2347="","",IF(OR(Registro2[[#This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47" t="str">
        <f t="shared" si="45"/>
        <v>mai/25</v>
      </c>
      <c r="P2347" t="str">
        <f>IF(Registro2[[#This Row],[Data de Pagamento]]&gt;0,TEXT(A2347,"mmm/aa"),"")</f>
        <v>mai/25</v>
      </c>
      <c r="T2347" s="4">
        <f>IF(Registro2[[#This Row],[Data de Pagamento]]="",0,IF(Registro2[[#This Row],[Conta Financeira]]=base!$A$6,0,Registro2[[#This Row],[Valor Unitário]]))</f>
        <v>35</v>
      </c>
      <c r="U23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47" t="str">
        <f>VLOOKUP(Registro2[[#This Row],[Categoria]],'Plano de Contas'!$V$3:W2401,2,0)</f>
        <v>Receitas Serviços</v>
      </c>
      <c r="X234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348" spans="1:24" hidden="1">
      <c r="A2348" s="1">
        <v>45798</v>
      </c>
      <c r="B2348" s="1">
        <v>45798</v>
      </c>
      <c r="D2348" t="s">
        <v>2</v>
      </c>
      <c r="E2348" t="s">
        <v>149</v>
      </c>
      <c r="F2348" t="s">
        <v>147</v>
      </c>
      <c r="G2348" t="s">
        <v>163</v>
      </c>
      <c r="I2348" s="4">
        <v>35</v>
      </c>
      <c r="J2348" s="4">
        <v>70</v>
      </c>
      <c r="L2348" t="s">
        <v>253</v>
      </c>
      <c r="M2348" t="s">
        <v>16</v>
      </c>
      <c r="N2348" s="4">
        <f>IF(L2348="","",IF(OR(Registro2[[#This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48" t="str">
        <f t="shared" si="45"/>
        <v>mai/25</v>
      </c>
      <c r="P2348" t="str">
        <f>IF(Registro2[[#This Row],[Data de Pagamento]]&gt;0,TEXT(A2348,"mmm/aa"),"")</f>
        <v>mai/25</v>
      </c>
      <c r="T2348" s="4">
        <f>IF(Registro2[[#This Row],[Data de Pagamento]]="",0,IF(Registro2[[#This Row],[Conta Financeira]]=base!$A$6,0,Registro2[[#This Row],[Valor Unitário]]))</f>
        <v>35</v>
      </c>
      <c r="U23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48" t="str">
        <f>VLOOKUP(Registro2[[#This Row],[Categoria]],'Plano de Contas'!$V$3:W2402,2,0)</f>
        <v>Receitas Serviços</v>
      </c>
      <c r="X234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49" spans="1:24" hidden="1">
      <c r="A2349" s="1">
        <v>45798</v>
      </c>
      <c r="B2349" s="1">
        <v>45798</v>
      </c>
      <c r="D2349" t="s">
        <v>2</v>
      </c>
      <c r="E2349" t="s">
        <v>149</v>
      </c>
      <c r="F2349" t="s">
        <v>147</v>
      </c>
      <c r="G2349" t="s">
        <v>163</v>
      </c>
      <c r="I2349" s="4">
        <v>35</v>
      </c>
      <c r="J2349" s="4" t="s">
        <v>1604</v>
      </c>
      <c r="L2349" t="s">
        <v>253</v>
      </c>
      <c r="M2349" t="s">
        <v>16</v>
      </c>
      <c r="N2349" s="4">
        <f>IF(L2349="","",IF(OR(Registro2[[#This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49" t="str">
        <f t="shared" si="45"/>
        <v>mai/25</v>
      </c>
      <c r="P2349" t="str">
        <f>IF(Registro2[[#This Row],[Data de Pagamento]]&gt;0,TEXT(A2349,"mmm/aa"),"")</f>
        <v>mai/25</v>
      </c>
      <c r="T2349" s="4">
        <f>IF(Registro2[[#This Row],[Data de Pagamento]]="",0,IF(Registro2[[#This Row],[Conta Financeira]]=base!$A$6,0,Registro2[[#This Row],[Valor Unitário]]))</f>
        <v>35</v>
      </c>
      <c r="U23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49" t="str">
        <f>VLOOKUP(Registro2[[#This Row],[Categoria]],'Plano de Contas'!$V$3:W2403,2,0)</f>
        <v>Receitas Serviços</v>
      </c>
      <c r="X234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50" spans="1:24" hidden="1">
      <c r="A2350" s="1">
        <v>45798</v>
      </c>
      <c r="B2350" s="1">
        <v>45798</v>
      </c>
      <c r="D2350" t="s">
        <v>1</v>
      </c>
      <c r="E2350" t="s">
        <v>149</v>
      </c>
      <c r="F2350" t="s">
        <v>147</v>
      </c>
      <c r="G2350" t="s">
        <v>163</v>
      </c>
      <c r="I2350" s="4">
        <v>35</v>
      </c>
      <c r="J2350" s="4">
        <v>45</v>
      </c>
      <c r="L2350" t="s">
        <v>253</v>
      </c>
      <c r="M2350" t="s">
        <v>35</v>
      </c>
      <c r="N2350" s="4">
        <f>IF(L2350="","",IF(OR(Registro2[[#This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50" t="str">
        <f t="shared" si="45"/>
        <v>mai/25</v>
      </c>
      <c r="P2350" t="str">
        <f>IF(Registro2[[#This Row],[Data de Pagamento]]&gt;0,TEXT(A2350,"mmm/aa"),"")</f>
        <v>mai/25</v>
      </c>
      <c r="T2350" s="4">
        <f>IF(Registro2[[#This Row],[Data de Pagamento]]="",0,IF(Registro2[[#This Row],[Conta Financeira]]=base!$A$6,0,Registro2[[#This Row],[Valor Unitário]]))</f>
        <v>35</v>
      </c>
      <c r="U23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50" t="str">
        <f>VLOOKUP(Registro2[[#This Row],[Categoria]],'Plano de Contas'!$V$3:W2404,2,0)</f>
        <v>Receitas Serviços</v>
      </c>
      <c r="X235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51" spans="1:24" hidden="1">
      <c r="A2351" s="1">
        <v>45798</v>
      </c>
      <c r="B2351" s="1">
        <v>45798</v>
      </c>
      <c r="D2351" t="s">
        <v>1</v>
      </c>
      <c r="E2351" t="s">
        <v>149</v>
      </c>
      <c r="F2351" t="s">
        <v>147</v>
      </c>
      <c r="G2351" t="s">
        <v>167</v>
      </c>
      <c r="I2351" s="4">
        <v>10</v>
      </c>
      <c r="J2351" s="4" t="s">
        <v>1604</v>
      </c>
      <c r="L2351" t="s">
        <v>253</v>
      </c>
      <c r="M2351" t="s">
        <v>35</v>
      </c>
      <c r="N2351" s="4">
        <f>IF(L2351="","",IF(OR(Registro2[[#This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351" t="str">
        <f t="shared" si="45"/>
        <v>mai/25</v>
      </c>
      <c r="P2351" t="str">
        <f>IF(Registro2[[#This Row],[Data de Pagamento]]&gt;0,TEXT(A2351,"mmm/aa"),"")</f>
        <v>mai/25</v>
      </c>
      <c r="T2351" s="4">
        <f>IF(Registro2[[#This Row],[Data de Pagamento]]="",0,IF(Registro2[[#This Row],[Conta Financeira]]=base!$A$6,0,Registro2[[#This Row],[Valor Unitário]]))</f>
        <v>10</v>
      </c>
      <c r="U23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51" t="str">
        <f>VLOOKUP(Registro2[[#This Row],[Categoria]],'Plano de Contas'!$V$3:W2405,2,0)</f>
        <v>Receitas Serviços</v>
      </c>
      <c r="X235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52" spans="1:24" hidden="1">
      <c r="A2352" s="1">
        <v>45798</v>
      </c>
      <c r="B2352" s="1">
        <v>45798</v>
      </c>
      <c r="D2352" t="s">
        <v>1</v>
      </c>
      <c r="E2352" t="s">
        <v>149</v>
      </c>
      <c r="F2352" t="s">
        <v>147</v>
      </c>
      <c r="G2352" t="s">
        <v>163</v>
      </c>
      <c r="I2352" s="4">
        <v>40</v>
      </c>
      <c r="J2352" s="4">
        <v>40</v>
      </c>
      <c r="L2352" t="s">
        <v>264</v>
      </c>
      <c r="M2352" t="s">
        <v>495</v>
      </c>
      <c r="N2352" s="4">
        <f>IF(L2352="","",IF(OR(Registro2[[#This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2352" t="str">
        <f t="shared" si="45"/>
        <v>mai/25</v>
      </c>
      <c r="P2352" t="str">
        <f>IF(Registro2[[#This Row],[Data de Pagamento]]&gt;0,TEXT(A2352,"mmm/aa"),"")</f>
        <v>mai/25</v>
      </c>
      <c r="T2352" s="4">
        <f>IF(Registro2[[#This Row],[Data de Pagamento]]="",0,IF(Registro2[[#This Row],[Conta Financeira]]=base!$A$6,0,Registro2[[#This Row],[Valor Unitário]]))</f>
        <v>40</v>
      </c>
      <c r="U23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52" t="str">
        <f>VLOOKUP(Registro2[[#This Row],[Categoria]],'Plano de Contas'!$V$3:W2406,2,0)</f>
        <v>Receitas Serviços</v>
      </c>
      <c r="X235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53" spans="1:24" hidden="1">
      <c r="A2353" s="1">
        <v>45798</v>
      </c>
      <c r="B2353" s="1">
        <v>45798</v>
      </c>
      <c r="D2353" t="s">
        <v>1</v>
      </c>
      <c r="E2353" t="s">
        <v>149</v>
      </c>
      <c r="F2353" t="s">
        <v>147</v>
      </c>
      <c r="G2353" t="s">
        <v>163</v>
      </c>
      <c r="I2353" s="4">
        <v>35</v>
      </c>
      <c r="J2353" s="4">
        <v>35</v>
      </c>
      <c r="L2353" t="s">
        <v>264</v>
      </c>
      <c r="M2353" t="s">
        <v>59</v>
      </c>
      <c r="N2353" s="4">
        <f>IF(L2353="","",IF(OR(Registro2[[#This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53" t="str">
        <f t="shared" si="45"/>
        <v>mai/25</v>
      </c>
      <c r="P2353" t="str">
        <f>IF(Registro2[[#This Row],[Data de Pagamento]]&gt;0,TEXT(A2353,"mmm/aa"),"")</f>
        <v>mai/25</v>
      </c>
      <c r="T2353" s="4">
        <f>IF(Registro2[[#This Row],[Data de Pagamento]]="",0,IF(Registro2[[#This Row],[Conta Financeira]]=base!$A$6,0,Registro2[[#This Row],[Valor Unitário]]))</f>
        <v>35</v>
      </c>
      <c r="U23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53" t="str">
        <f>VLOOKUP(Registro2[[#This Row],[Categoria]],'Plano de Contas'!$V$3:W2407,2,0)</f>
        <v>Receitas Serviços</v>
      </c>
      <c r="X235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54" spans="1:24" hidden="1">
      <c r="A2354" s="1">
        <v>45799</v>
      </c>
      <c r="B2354" s="1">
        <v>45799</v>
      </c>
      <c r="D2354" t="s">
        <v>1</v>
      </c>
      <c r="E2354" t="s">
        <v>149</v>
      </c>
      <c r="F2354" t="s">
        <v>147</v>
      </c>
      <c r="G2354" t="s">
        <v>163</v>
      </c>
      <c r="I2354" s="4">
        <v>35</v>
      </c>
      <c r="J2354" s="4">
        <v>35</v>
      </c>
      <c r="L2354" t="s">
        <v>264</v>
      </c>
      <c r="M2354" t="s">
        <v>2850</v>
      </c>
      <c r="N2354" s="4">
        <f>IF(L2354="","",IF(OR(Registro2[[#This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54" t="str">
        <f t="shared" si="45"/>
        <v>mai/25</v>
      </c>
      <c r="P2354" t="str">
        <f>IF(Registro2[[#This Row],[Data de Pagamento]]&gt;0,TEXT(A2354,"mmm/aa"),"")</f>
        <v>mai/25</v>
      </c>
      <c r="T2354" s="4">
        <f>IF(Registro2[[#This Row],[Data de Pagamento]]="",0,IF(Registro2[[#This Row],[Conta Financeira]]=base!$A$6,0,Registro2[[#This Row],[Valor Unitário]]))</f>
        <v>35</v>
      </c>
      <c r="U23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54" t="str">
        <f>VLOOKUP(Registro2[[#This Row],[Categoria]],'Plano de Contas'!$V$3:W2408,2,0)</f>
        <v>Receitas Serviços</v>
      </c>
      <c r="X235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55" spans="1:24" hidden="1">
      <c r="A2355" s="1">
        <v>45798</v>
      </c>
      <c r="B2355" s="1">
        <v>45798</v>
      </c>
      <c r="D2355" t="s">
        <v>1</v>
      </c>
      <c r="E2355" t="s">
        <v>149</v>
      </c>
      <c r="F2355" t="s">
        <v>152</v>
      </c>
      <c r="G2355" t="s">
        <v>353</v>
      </c>
      <c r="I2355" s="4">
        <v>60</v>
      </c>
      <c r="J2355" s="4">
        <v>0</v>
      </c>
      <c r="L2355" t="s">
        <v>253</v>
      </c>
      <c r="M2355" t="s">
        <v>126</v>
      </c>
      <c r="N2355" s="4">
        <f>IF(L2355="","",IF(OR(Registro2[[#This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355" t="str">
        <f t="shared" si="45"/>
        <v>mai/25</v>
      </c>
      <c r="P2355" t="str">
        <f>IF(Registro2[[#This Row],[Data de Pagamento]]&gt;0,TEXT(A2355,"mmm/aa"),"")</f>
        <v>mai/25</v>
      </c>
      <c r="T2355" s="4">
        <f>IF(Registro2[[#This Row],[Data de Pagamento]]="",0,IF(Registro2[[#This Row],[Conta Financeira]]=base!$A$6,0,Registro2[[#This Row],[Valor Unitário]]))</f>
        <v>60</v>
      </c>
      <c r="U23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55" t="str">
        <f>VLOOKUP(Registro2[[#This Row],[Categoria]],'Plano de Contas'!$V$3:W2409,2,0)</f>
        <v>Receitas Serviços</v>
      </c>
      <c r="X23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56" spans="1:24" hidden="1">
      <c r="A2356" s="1">
        <v>45798</v>
      </c>
      <c r="B2356" s="1">
        <v>45798</v>
      </c>
      <c r="D2356" t="s">
        <v>1</v>
      </c>
      <c r="E2356" t="s">
        <v>149</v>
      </c>
      <c r="F2356" t="s">
        <v>152</v>
      </c>
      <c r="G2356" t="s">
        <v>352</v>
      </c>
      <c r="I2356" s="4">
        <v>20</v>
      </c>
      <c r="J2356" s="4" t="s">
        <v>1604</v>
      </c>
      <c r="L2356" t="s">
        <v>253</v>
      </c>
      <c r="M2356" t="s">
        <v>126</v>
      </c>
      <c r="N2356" s="4">
        <f>IF(L2356="","",IF(OR(Registro2[[#This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356" t="str">
        <f t="shared" si="45"/>
        <v>mai/25</v>
      </c>
      <c r="P2356" t="str">
        <f>IF(Registro2[[#This Row],[Data de Pagamento]]&gt;0,TEXT(A2356,"mmm/aa"),"")</f>
        <v>mai/25</v>
      </c>
      <c r="T2356" s="4">
        <f>IF(Registro2[[#This Row],[Data de Pagamento]]="",0,IF(Registro2[[#This Row],[Conta Financeira]]=base!$A$6,0,Registro2[[#This Row],[Valor Unitário]]))</f>
        <v>20</v>
      </c>
      <c r="U23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56" t="str">
        <f>VLOOKUP(Registro2[[#This Row],[Categoria]],'Plano de Contas'!$V$3:W2410,2,0)</f>
        <v>Receitas Serviços</v>
      </c>
      <c r="X235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57" spans="1:24" hidden="1">
      <c r="A2357" s="1">
        <v>45799</v>
      </c>
      <c r="B2357" s="1">
        <v>45799</v>
      </c>
      <c r="D2357" t="s">
        <v>1</v>
      </c>
      <c r="E2357" t="s">
        <v>149</v>
      </c>
      <c r="F2357" t="s">
        <v>147</v>
      </c>
      <c r="G2357" t="s">
        <v>163</v>
      </c>
      <c r="I2357" s="4">
        <v>35</v>
      </c>
      <c r="J2357" s="4">
        <v>60</v>
      </c>
      <c r="L2357" t="s">
        <v>252</v>
      </c>
      <c r="M2357" t="s">
        <v>289</v>
      </c>
      <c r="N2357" s="4">
        <f>IF(L2357="","",IF(OR(Registro2[[#This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57" t="str">
        <f t="shared" si="45"/>
        <v>mai/25</v>
      </c>
      <c r="P2357" t="str">
        <f>IF(Registro2[[#This Row],[Data de Pagamento]]&gt;0,TEXT(A2357,"mmm/aa"),"")</f>
        <v>mai/25</v>
      </c>
      <c r="T2357" s="4">
        <f>IF(Registro2[[#This Row],[Data de Pagamento]]="",0,IF(Registro2[[#This Row],[Conta Financeira]]=base!$A$6,0,Registro2[[#This Row],[Valor Unitário]]))</f>
        <v>35</v>
      </c>
      <c r="U23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57" t="str">
        <f>VLOOKUP(Registro2[[#This Row],[Categoria]],'Plano de Contas'!$V$3:W2411,2,0)</f>
        <v>Receitas Serviços</v>
      </c>
      <c r="X23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58" spans="1:24" hidden="1">
      <c r="A2358" s="1">
        <v>45799</v>
      </c>
      <c r="B2358" s="1">
        <v>45799</v>
      </c>
      <c r="D2358" t="s">
        <v>1</v>
      </c>
      <c r="E2358" t="s">
        <v>149</v>
      </c>
      <c r="F2358" t="s">
        <v>147</v>
      </c>
      <c r="G2358" t="s">
        <v>1046</v>
      </c>
      <c r="I2358" s="4">
        <v>35</v>
      </c>
      <c r="J2358" s="4" t="s">
        <v>1604</v>
      </c>
      <c r="L2358" t="s">
        <v>252</v>
      </c>
      <c r="M2358" t="s">
        <v>289</v>
      </c>
      <c r="N2358" s="4">
        <f>IF(L2358="","",IF(OR(Registro2[[#This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58" t="str">
        <f t="shared" si="45"/>
        <v>mai/25</v>
      </c>
      <c r="P2358" t="str">
        <f>IF(Registro2[[#This Row],[Data de Pagamento]]&gt;0,TEXT(A2358,"mmm/aa"),"")</f>
        <v>mai/25</v>
      </c>
      <c r="T2358" s="4">
        <f>IF(Registro2[[#This Row],[Data de Pagamento]]="",0,IF(Registro2[[#This Row],[Conta Financeira]]=base!$A$6,0,Registro2[[#This Row],[Valor Unitário]]))</f>
        <v>35</v>
      </c>
      <c r="U23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58" t="str">
        <f>VLOOKUP(Registro2[[#This Row],[Categoria]],'Plano de Contas'!$V$3:W2412,2,0)</f>
        <v>Receitas Serviços</v>
      </c>
      <c r="X23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59" spans="1:24" hidden="1">
      <c r="A2359" s="1">
        <v>45799</v>
      </c>
      <c r="B2359" s="1">
        <v>45799</v>
      </c>
      <c r="D2359" t="s">
        <v>1</v>
      </c>
      <c r="E2359" t="s">
        <v>149</v>
      </c>
      <c r="F2359" t="s">
        <v>147</v>
      </c>
      <c r="G2359" t="s">
        <v>163</v>
      </c>
      <c r="I2359" s="4">
        <v>35</v>
      </c>
      <c r="J2359" s="4">
        <v>35</v>
      </c>
      <c r="L2359" t="s">
        <v>253</v>
      </c>
      <c r="M2359" t="s">
        <v>3141</v>
      </c>
      <c r="N2359" s="4">
        <f>IF(L2359="","",IF(OR(Registro2[[#This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59" t="str">
        <f t="shared" si="45"/>
        <v>mai/25</v>
      </c>
      <c r="P2359" t="str">
        <f>IF(Registro2[[#This Row],[Data de Pagamento]]&gt;0,TEXT(A2359,"mmm/aa"),"")</f>
        <v>mai/25</v>
      </c>
      <c r="T2359" s="4">
        <f>IF(Registro2[[#This Row],[Data de Pagamento]]="",0,IF(Registro2[[#This Row],[Conta Financeira]]=base!$A$6,0,Registro2[[#This Row],[Valor Unitário]]))</f>
        <v>35</v>
      </c>
      <c r="U23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59" t="str">
        <f>VLOOKUP(Registro2[[#This Row],[Categoria]],'Plano de Contas'!$V$3:W2413,2,0)</f>
        <v>Receitas Serviços</v>
      </c>
      <c r="X235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60" spans="1:24" hidden="1">
      <c r="A2360" s="1">
        <v>45801</v>
      </c>
      <c r="B2360" s="1">
        <v>45801</v>
      </c>
      <c r="D2360" t="s">
        <v>2</v>
      </c>
      <c r="E2360" t="s">
        <v>149</v>
      </c>
      <c r="F2360" t="s">
        <v>147</v>
      </c>
      <c r="G2360" t="s">
        <v>163</v>
      </c>
      <c r="I2360" s="4">
        <v>25</v>
      </c>
      <c r="J2360" s="4">
        <v>50</v>
      </c>
      <c r="L2360" t="s">
        <v>253</v>
      </c>
      <c r="M2360" t="s">
        <v>3141</v>
      </c>
      <c r="N2360" s="4">
        <f>IF(L2360="","",IF(OR(Registro2[[#This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2360" t="str">
        <f t="shared" si="45"/>
        <v>mai/25</v>
      </c>
      <c r="P2360" t="str">
        <f>IF(Registro2[[#This Row],[Data de Pagamento]]&gt;0,TEXT(A2360,"mmm/aa"),"")</f>
        <v>mai/25</v>
      </c>
      <c r="T2360" s="4">
        <f>IF(Registro2[[#This Row],[Data de Pagamento]]="",0,IF(Registro2[[#This Row],[Conta Financeira]]=base!$A$6,0,Registro2[[#This Row],[Valor Unitário]]))</f>
        <v>25</v>
      </c>
      <c r="U23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60" t="str">
        <f>VLOOKUP(Registro2[[#This Row],[Categoria]],'Plano de Contas'!$V$3:W2414,2,0)</f>
        <v>Receitas Serviços</v>
      </c>
      <c r="X23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61" spans="1:24" hidden="1">
      <c r="A2361" s="1">
        <v>45801</v>
      </c>
      <c r="B2361" s="1">
        <v>45801</v>
      </c>
      <c r="D2361" t="s">
        <v>2</v>
      </c>
      <c r="E2361" t="s">
        <v>149</v>
      </c>
      <c r="F2361" t="s">
        <v>150</v>
      </c>
      <c r="G2361" t="s">
        <v>2931</v>
      </c>
      <c r="I2361" s="4">
        <v>25</v>
      </c>
      <c r="J2361" s="4" t="s">
        <v>1604</v>
      </c>
      <c r="L2361" t="s">
        <v>253</v>
      </c>
      <c r="M2361" t="s">
        <v>3141</v>
      </c>
      <c r="N2361" s="4">
        <f>IF(L2361="","",IF(OR(Registro2[[#This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2361" t="str">
        <f t="shared" si="45"/>
        <v>mai/25</v>
      </c>
      <c r="P2361" t="str">
        <f>IF(Registro2[[#This Row],[Data de Pagamento]]&gt;0,TEXT(A2361,"mmm/aa"),"")</f>
        <v>mai/25</v>
      </c>
      <c r="T2361" s="4">
        <f>IF(Registro2[[#This Row],[Data de Pagamento]]="",0,IF(Registro2[[#This Row],[Conta Financeira]]=base!$A$6,0,Registro2[[#This Row],[Valor Unitário]]))</f>
        <v>25</v>
      </c>
      <c r="U23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61" t="e">
        <f>VLOOKUP(Registro2[[#This Row],[Categoria]],'Plano de Contas'!$V$3:W2415,2,0)</f>
        <v>#N/A</v>
      </c>
      <c r="X23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62" spans="1:24" hidden="1">
      <c r="A2362" s="1">
        <v>45799</v>
      </c>
      <c r="B2362" s="1">
        <v>45799</v>
      </c>
      <c r="D2362" t="s">
        <v>1</v>
      </c>
      <c r="E2362" t="s">
        <v>149</v>
      </c>
      <c r="F2362" t="s">
        <v>147</v>
      </c>
      <c r="G2362" t="s">
        <v>163</v>
      </c>
      <c r="I2362" s="4">
        <v>35</v>
      </c>
      <c r="J2362" s="4">
        <v>35</v>
      </c>
      <c r="L2362" t="s">
        <v>264</v>
      </c>
      <c r="M2362" t="s">
        <v>1325</v>
      </c>
      <c r="N2362" s="4">
        <f>IF(L2362="","",IF(OR(Registro2[[#This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62" t="str">
        <f t="shared" si="45"/>
        <v>mai/25</v>
      </c>
      <c r="P2362" t="str">
        <f>IF(Registro2[[#This Row],[Data de Pagamento]]&gt;0,TEXT(A2362,"mmm/aa"),"")</f>
        <v>mai/25</v>
      </c>
      <c r="T2362" s="4">
        <f>IF(Registro2[[#This Row],[Data de Pagamento]]="",0,IF(Registro2[[#This Row],[Conta Financeira]]=base!$A$6,0,Registro2[[#This Row],[Valor Unitário]]))</f>
        <v>35</v>
      </c>
      <c r="U23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62" t="str">
        <f>VLOOKUP(Registro2[[#This Row],[Categoria]],'Plano de Contas'!$V$3:W2416,2,0)</f>
        <v>Receitas Serviços</v>
      </c>
      <c r="X236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63" spans="1:24" hidden="1">
      <c r="A2363" s="1">
        <v>45799</v>
      </c>
      <c r="B2363" s="1">
        <v>45799</v>
      </c>
      <c r="D2363" t="s">
        <v>310</v>
      </c>
      <c r="E2363" t="s">
        <v>149</v>
      </c>
      <c r="F2363" t="s">
        <v>147</v>
      </c>
      <c r="G2363" t="s">
        <v>163</v>
      </c>
      <c r="I2363" s="4">
        <v>20</v>
      </c>
      <c r="J2363" s="4">
        <v>35</v>
      </c>
      <c r="L2363" t="s">
        <v>253</v>
      </c>
      <c r="M2363" t="s">
        <v>3147</v>
      </c>
      <c r="N2363" s="4">
        <f>IF(L2363="","",IF(OR(Registro2[[#This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363" t="str">
        <f t="shared" si="45"/>
        <v>mai/25</v>
      </c>
      <c r="P2363" t="str">
        <f>IF(Registro2[[#This Row],[Data de Pagamento]]&gt;0,TEXT(A2363,"mmm/aa"),"")</f>
        <v>mai/25</v>
      </c>
      <c r="T2363" s="4">
        <f>IF(Registro2[[#This Row],[Data de Pagamento]]="",0,IF(Registro2[[#This Row],[Conta Financeira]]=base!$A$6,0,Registro2[[#This Row],[Valor Unitário]]))</f>
        <v>20</v>
      </c>
      <c r="U23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63" t="str">
        <f>VLOOKUP(Registro2[[#This Row],[Categoria]],'Plano de Contas'!$V$3:W2417,2,0)</f>
        <v>Receitas Serviços</v>
      </c>
      <c r="X236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</row>
    <row r="2364" spans="1:24" hidden="1">
      <c r="A2364" s="1">
        <v>45799</v>
      </c>
      <c r="B2364" s="1">
        <v>45799</v>
      </c>
      <c r="D2364" t="s">
        <v>310</v>
      </c>
      <c r="E2364" t="s">
        <v>149</v>
      </c>
      <c r="F2364" t="s">
        <v>147</v>
      </c>
      <c r="G2364" t="s">
        <v>1187</v>
      </c>
      <c r="I2364" s="4">
        <v>15</v>
      </c>
      <c r="J2364" s="4" t="s">
        <v>1604</v>
      </c>
      <c r="L2364" t="s">
        <v>253</v>
      </c>
      <c r="M2364" t="s">
        <v>3147</v>
      </c>
      <c r="N2364" s="4">
        <f>IF(L2364="","",IF(OR(Registro2[[#This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364" t="str">
        <f t="shared" si="45"/>
        <v>mai/25</v>
      </c>
      <c r="P2364" t="str">
        <f>IF(Registro2[[#This Row],[Data de Pagamento]]&gt;0,TEXT(A2364,"mmm/aa"),"")</f>
        <v>mai/25</v>
      </c>
      <c r="T2364" s="4">
        <f>IF(Registro2[[#This Row],[Data de Pagamento]]="",0,IF(Registro2[[#This Row],[Conta Financeira]]=base!$A$6,0,Registro2[[#This Row],[Valor Unitário]]))</f>
        <v>15</v>
      </c>
      <c r="U23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64" t="str">
        <f>VLOOKUP(Registro2[[#This Row],[Categoria]],'Plano de Contas'!$V$3:W2418,2,0)</f>
        <v>Receitas Serviços</v>
      </c>
      <c r="X236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</row>
    <row r="2365" spans="1:24" hidden="1">
      <c r="A2365" s="1">
        <v>45799</v>
      </c>
      <c r="B2365" s="1">
        <v>45799</v>
      </c>
      <c r="D2365" t="s">
        <v>310</v>
      </c>
      <c r="E2365" t="s">
        <v>149</v>
      </c>
      <c r="F2365" t="s">
        <v>147</v>
      </c>
      <c r="G2365" t="s">
        <v>163</v>
      </c>
      <c r="I2365" s="4">
        <v>35</v>
      </c>
      <c r="J2365" s="4">
        <v>45</v>
      </c>
      <c r="L2365" t="s">
        <v>253</v>
      </c>
      <c r="M2365" t="s">
        <v>3150</v>
      </c>
      <c r="N2365" s="4">
        <f>IF(L2365="","",IF(OR(Registro2[[#This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65" t="str">
        <f t="shared" si="45"/>
        <v>mai/25</v>
      </c>
      <c r="P2365" t="str">
        <f>IF(Registro2[[#This Row],[Data de Pagamento]]&gt;0,TEXT(A2365,"mmm/aa"),"")</f>
        <v>mai/25</v>
      </c>
      <c r="T2365" s="4">
        <f>IF(Registro2[[#This Row],[Data de Pagamento]]="",0,IF(Registro2[[#This Row],[Conta Financeira]]=base!$A$6,0,Registro2[[#This Row],[Valor Unitário]]))</f>
        <v>35</v>
      </c>
      <c r="U23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65" t="str">
        <f>VLOOKUP(Registro2[[#This Row],[Categoria]],'Plano de Contas'!$V$3:W2419,2,0)</f>
        <v>Receitas Serviços</v>
      </c>
      <c r="X236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366" spans="1:24" hidden="1">
      <c r="A2366" s="1">
        <v>45799</v>
      </c>
      <c r="B2366" s="1">
        <v>45799</v>
      </c>
      <c r="D2366" t="s">
        <v>310</v>
      </c>
      <c r="E2366" t="s">
        <v>149</v>
      </c>
      <c r="F2366" t="s">
        <v>147</v>
      </c>
      <c r="G2366" t="s">
        <v>167</v>
      </c>
      <c r="I2366" s="4">
        <v>10</v>
      </c>
      <c r="J2366" s="4" t="s">
        <v>1604</v>
      </c>
      <c r="L2366" t="s">
        <v>253</v>
      </c>
      <c r="M2366" t="s">
        <v>3150</v>
      </c>
      <c r="N2366" s="4">
        <f>IF(L2366="","",IF(OR(Registro2[[#This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366" t="str">
        <f t="shared" si="45"/>
        <v>mai/25</v>
      </c>
      <c r="P2366" t="str">
        <f>IF(Registro2[[#This Row],[Data de Pagamento]]&gt;0,TEXT(A2366,"mmm/aa"),"")</f>
        <v>mai/25</v>
      </c>
      <c r="T2366" s="4">
        <f>IF(Registro2[[#This Row],[Data de Pagamento]]="",0,IF(Registro2[[#This Row],[Conta Financeira]]=base!$A$6,0,Registro2[[#This Row],[Valor Unitário]]))</f>
        <v>10</v>
      </c>
      <c r="U23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66" t="str">
        <f>VLOOKUP(Registro2[[#This Row],[Categoria]],'Plano de Contas'!$V$3:W2420,2,0)</f>
        <v>Receitas Serviços</v>
      </c>
      <c r="X236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8.8999999999999996E-2</v>
      </c>
    </row>
    <row r="2367" spans="1:24" hidden="1">
      <c r="A2367" s="1">
        <v>45799</v>
      </c>
      <c r="B2367" s="1">
        <v>45799</v>
      </c>
      <c r="D2367" t="s">
        <v>2</v>
      </c>
      <c r="E2367" t="s">
        <v>149</v>
      </c>
      <c r="F2367" t="s">
        <v>147</v>
      </c>
      <c r="G2367" t="s">
        <v>163</v>
      </c>
      <c r="I2367" s="4">
        <v>35</v>
      </c>
      <c r="J2367" s="4">
        <v>35</v>
      </c>
      <c r="L2367" t="s">
        <v>252</v>
      </c>
      <c r="M2367" t="s">
        <v>1981</v>
      </c>
      <c r="N2367" s="4">
        <f>IF(L2367="","",IF(OR(Registro2[[#This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67" t="str">
        <f t="shared" si="45"/>
        <v>mai/25</v>
      </c>
      <c r="P2367" t="str">
        <f>IF(Registro2[[#This Row],[Data de Pagamento]]&gt;0,TEXT(A2367,"mmm/aa"),"")</f>
        <v>mai/25</v>
      </c>
      <c r="T2367" s="4">
        <f>IF(Registro2[[#This Row],[Data de Pagamento]]="",0,IF(Registro2[[#This Row],[Conta Financeira]]=base!$A$6,0,Registro2[[#This Row],[Valor Unitário]]))</f>
        <v>35</v>
      </c>
      <c r="U23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67" t="str">
        <f>VLOOKUP(Registro2[[#This Row],[Categoria]],'Plano de Contas'!$V$3:W2421,2,0)</f>
        <v>Receitas Serviços</v>
      </c>
      <c r="X236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68" spans="1:24" hidden="1">
      <c r="A2368" s="1">
        <v>45799</v>
      </c>
      <c r="B2368" s="1">
        <v>45799</v>
      </c>
      <c r="D2368" t="s">
        <v>2</v>
      </c>
      <c r="E2368" t="s">
        <v>149</v>
      </c>
      <c r="F2368" t="s">
        <v>147</v>
      </c>
      <c r="G2368" t="s">
        <v>163</v>
      </c>
      <c r="I2368" s="4">
        <v>35</v>
      </c>
      <c r="J2368" s="4">
        <v>35</v>
      </c>
      <c r="L2368" t="s">
        <v>264</v>
      </c>
      <c r="M2368" t="s">
        <v>3154</v>
      </c>
      <c r="N2368" s="4">
        <f>IF(L2368="","",IF(OR(Registro2[[#This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68" t="str">
        <f t="shared" si="45"/>
        <v>mai/25</v>
      </c>
      <c r="P2368" t="str">
        <f>IF(Registro2[[#This Row],[Data de Pagamento]]&gt;0,TEXT(A2368,"mmm/aa"),"")</f>
        <v>mai/25</v>
      </c>
      <c r="T2368" s="4">
        <f>IF(Registro2[[#This Row],[Data de Pagamento]]="",0,IF(Registro2[[#This Row],[Conta Financeira]]=base!$A$6,0,Registro2[[#This Row],[Valor Unitário]]))</f>
        <v>35</v>
      </c>
      <c r="U23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68" t="str">
        <f>VLOOKUP(Registro2[[#This Row],[Categoria]],'Plano de Contas'!$V$3:W2422,2,0)</f>
        <v>Receitas Serviços</v>
      </c>
      <c r="X236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69" spans="1:24" hidden="1">
      <c r="A2369" s="1">
        <v>45799</v>
      </c>
      <c r="B2369" s="1">
        <v>45799</v>
      </c>
      <c r="D2369" t="s">
        <v>1</v>
      </c>
      <c r="E2369" t="s">
        <v>149</v>
      </c>
      <c r="F2369" t="s">
        <v>147</v>
      </c>
      <c r="G2369" t="s">
        <v>163</v>
      </c>
      <c r="I2369" s="4">
        <v>35</v>
      </c>
      <c r="J2369" s="4">
        <v>35</v>
      </c>
      <c r="L2369" t="s">
        <v>264</v>
      </c>
      <c r="M2369" t="s">
        <v>2247</v>
      </c>
      <c r="N2369" s="4">
        <f>IF(L2369="","",IF(OR(Registro2[[#This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69" t="str">
        <f t="shared" si="45"/>
        <v>mai/25</v>
      </c>
      <c r="P2369" t="str">
        <f>IF(Registro2[[#This Row],[Data de Pagamento]]&gt;0,TEXT(A2369,"mmm/aa"),"")</f>
        <v>mai/25</v>
      </c>
      <c r="T2369" s="4">
        <f>IF(Registro2[[#This Row],[Data de Pagamento]]="",0,IF(Registro2[[#This Row],[Conta Financeira]]=base!$A$6,0,Registro2[[#This Row],[Valor Unitário]]))</f>
        <v>35</v>
      </c>
      <c r="U23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69" t="str">
        <f>VLOOKUP(Registro2[[#This Row],[Categoria]],'Plano de Contas'!$V$3:W2423,2,0)</f>
        <v>Receitas Serviços</v>
      </c>
      <c r="X236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70" spans="1:24" hidden="1">
      <c r="A2370" s="1">
        <v>45799</v>
      </c>
      <c r="B2370" s="1">
        <v>45799</v>
      </c>
      <c r="D2370" t="s">
        <v>354</v>
      </c>
      <c r="E2370" t="s">
        <v>149</v>
      </c>
      <c r="F2370" t="s">
        <v>147</v>
      </c>
      <c r="G2370" t="s">
        <v>163</v>
      </c>
      <c r="I2370" s="4">
        <v>35</v>
      </c>
      <c r="J2370" s="4">
        <v>45</v>
      </c>
      <c r="L2370" t="s">
        <v>252</v>
      </c>
      <c r="M2370" t="s">
        <v>372</v>
      </c>
      <c r="N2370" s="4">
        <f>IF(L2370="","",IF(OR(Registro2[[#This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70" t="str">
        <f t="shared" si="45"/>
        <v>mai/25</v>
      </c>
      <c r="P2370" t="str">
        <f>IF(Registro2[[#This Row],[Data de Pagamento]]&gt;0,TEXT(A2370,"mmm/aa"),"")</f>
        <v>mai/25</v>
      </c>
      <c r="T2370" s="4">
        <f>IF(Registro2[[#This Row],[Data de Pagamento]]="",0,IF(Registro2[[#This Row],[Conta Financeira]]=base!$A$6,0,Registro2[[#This Row],[Valor Unitário]]))</f>
        <v>35</v>
      </c>
      <c r="U23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70" t="str">
        <f>VLOOKUP(Registro2[[#This Row],[Categoria]],'Plano de Contas'!$V$3:W2424,2,0)</f>
        <v>Receitas Serviços</v>
      </c>
      <c r="X237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371" spans="1:24" hidden="1">
      <c r="A2371" s="1">
        <v>45799</v>
      </c>
      <c r="B2371" s="1">
        <v>45799</v>
      </c>
      <c r="D2371" t="s">
        <v>354</v>
      </c>
      <c r="E2371" t="s">
        <v>149</v>
      </c>
      <c r="F2371" t="s">
        <v>147</v>
      </c>
      <c r="G2371" t="s">
        <v>167</v>
      </c>
      <c r="I2371" s="4">
        <v>10</v>
      </c>
      <c r="J2371" s="4" t="s">
        <v>1604</v>
      </c>
      <c r="L2371" t="s">
        <v>252</v>
      </c>
      <c r="M2371" t="s">
        <v>372</v>
      </c>
      <c r="N2371" s="4">
        <f>IF(L2371="","",IF(OR(Registro2[[#This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371" t="str">
        <f t="shared" ref="O2371:O2402" si="46">TEXT(B2371,"mmm/aa")</f>
        <v>mai/25</v>
      </c>
      <c r="P2371" t="str">
        <f>IF(Registro2[[#This Row],[Data de Pagamento]]&gt;0,TEXT(A2371,"mmm/aa"),"")</f>
        <v>mai/25</v>
      </c>
      <c r="T2371" s="4">
        <f>IF(Registro2[[#This Row],[Data de Pagamento]]="",0,IF(Registro2[[#This Row],[Conta Financeira]]=base!$A$6,0,Registro2[[#This Row],[Valor Unitário]]))</f>
        <v>10</v>
      </c>
      <c r="U23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71" t="str">
        <f>VLOOKUP(Registro2[[#This Row],[Categoria]],'Plano de Contas'!$V$3:W2425,2,0)</f>
        <v>Receitas Serviços</v>
      </c>
      <c r="X237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</row>
    <row r="2372" spans="1:24" hidden="1">
      <c r="A2372" s="1">
        <v>45799</v>
      </c>
      <c r="B2372" s="1">
        <v>45799</v>
      </c>
      <c r="D2372" t="s">
        <v>1</v>
      </c>
      <c r="E2372" t="s">
        <v>149</v>
      </c>
      <c r="F2372" t="s">
        <v>147</v>
      </c>
      <c r="G2372" t="s">
        <v>163</v>
      </c>
      <c r="I2372" s="4">
        <v>35</v>
      </c>
      <c r="J2372" s="4">
        <v>35</v>
      </c>
      <c r="L2372" t="s">
        <v>252</v>
      </c>
      <c r="M2372" t="s">
        <v>68</v>
      </c>
      <c r="N2372" s="4">
        <f>IF(L2372="","",IF(OR(Registro2[[#This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72" t="str">
        <f t="shared" si="46"/>
        <v>mai/25</v>
      </c>
      <c r="P2372" t="str">
        <f>IF(Registro2[[#This Row],[Data de Pagamento]]&gt;0,TEXT(A2372,"mmm/aa"),"")</f>
        <v>mai/25</v>
      </c>
      <c r="T2372" s="4">
        <f>IF(Registro2[[#This Row],[Data de Pagamento]]="",0,IF(Registro2[[#This Row],[Conta Financeira]]=base!$A$6,0,Registro2[[#This Row],[Valor Unitário]]))</f>
        <v>35</v>
      </c>
      <c r="U23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72" t="str">
        <f>VLOOKUP(Registro2[[#This Row],[Categoria]],'Plano de Contas'!$V$3:W2426,2,0)</f>
        <v>Receitas Serviços</v>
      </c>
      <c r="X237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73" spans="1:24" hidden="1">
      <c r="A2373" s="1">
        <v>45799</v>
      </c>
      <c r="B2373" s="1">
        <v>45799</v>
      </c>
      <c r="D2373" t="s">
        <v>2</v>
      </c>
      <c r="E2373" t="s">
        <v>149</v>
      </c>
      <c r="F2373" t="s">
        <v>147</v>
      </c>
      <c r="G2373" t="s">
        <v>163</v>
      </c>
      <c r="I2373" s="4">
        <v>35</v>
      </c>
      <c r="J2373" s="4">
        <v>35</v>
      </c>
      <c r="L2373" t="s">
        <v>253</v>
      </c>
      <c r="M2373" t="s">
        <v>95</v>
      </c>
      <c r="N2373" s="4">
        <f>IF(L2373="","",IF(OR(Registro2[[#This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73" t="str">
        <f t="shared" si="46"/>
        <v>mai/25</v>
      </c>
      <c r="P2373" t="str">
        <f>IF(Registro2[[#This Row],[Data de Pagamento]]&gt;0,TEXT(A2373,"mmm/aa"),"")</f>
        <v>mai/25</v>
      </c>
      <c r="T2373" s="4">
        <f>IF(Registro2[[#This Row],[Data de Pagamento]]="",0,IF(Registro2[[#This Row],[Conta Financeira]]=base!$A$6,0,Registro2[[#This Row],[Valor Unitário]]))</f>
        <v>35</v>
      </c>
      <c r="U23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73" t="str">
        <f>VLOOKUP(Registro2[[#This Row],[Categoria]],'Plano de Contas'!$V$3:W2427,2,0)</f>
        <v>Receitas Serviços</v>
      </c>
      <c r="X237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74" spans="1:24" hidden="1">
      <c r="A2374" s="1">
        <v>45799</v>
      </c>
      <c r="B2374" s="1">
        <v>45799</v>
      </c>
      <c r="D2374" t="s">
        <v>354</v>
      </c>
      <c r="E2374" t="s">
        <v>149</v>
      </c>
      <c r="F2374" t="s">
        <v>152</v>
      </c>
      <c r="G2374" t="s">
        <v>353</v>
      </c>
      <c r="I2374" s="4">
        <v>50</v>
      </c>
      <c r="J2374" s="4">
        <v>50</v>
      </c>
      <c r="L2374" t="s">
        <v>264</v>
      </c>
      <c r="M2374" t="s">
        <v>1184</v>
      </c>
      <c r="N2374" s="4">
        <f>IF(L2374="","",IF(OR(Registro2[[#This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2374" t="str">
        <f t="shared" si="46"/>
        <v>mai/25</v>
      </c>
      <c r="P2374" t="str">
        <f>IF(Registro2[[#This Row],[Data de Pagamento]]&gt;0,TEXT(A2374,"mmm/aa"),"")</f>
        <v>mai/25</v>
      </c>
      <c r="T2374" s="4">
        <f>IF(Registro2[[#This Row],[Data de Pagamento]]="",0,IF(Registro2[[#This Row],[Conta Financeira]]=base!$A$6,0,Registro2[[#This Row],[Valor Unitário]]))</f>
        <v>50</v>
      </c>
      <c r="U23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74" t="str">
        <f>VLOOKUP(Registro2[[#This Row],[Categoria]],'Plano de Contas'!$V$3:W2428,2,0)</f>
        <v>Receitas Serviços</v>
      </c>
      <c r="X237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1.575</v>
      </c>
    </row>
    <row r="2375" spans="1:24" hidden="1">
      <c r="A2375" s="1">
        <v>45799</v>
      </c>
      <c r="B2375" s="1">
        <v>45799</v>
      </c>
      <c r="D2375" t="s">
        <v>1</v>
      </c>
      <c r="E2375" t="s">
        <v>149</v>
      </c>
      <c r="F2375" t="s">
        <v>147</v>
      </c>
      <c r="G2375" t="s">
        <v>163</v>
      </c>
      <c r="I2375" s="4">
        <v>35</v>
      </c>
      <c r="J2375" s="4">
        <v>35</v>
      </c>
      <c r="L2375" t="s">
        <v>252</v>
      </c>
      <c r="M2375" t="s">
        <v>1127</v>
      </c>
      <c r="N2375" s="4">
        <f>IF(L2375="","",IF(OR(Registro2[[#This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75" t="str">
        <f t="shared" si="46"/>
        <v>mai/25</v>
      </c>
      <c r="P2375" t="str">
        <f>IF(Registro2[[#This Row],[Data de Pagamento]]&gt;0,TEXT(A2375,"mmm/aa"),"")</f>
        <v>mai/25</v>
      </c>
      <c r="T2375" s="4">
        <f>IF(Registro2[[#This Row],[Data de Pagamento]]="",0,IF(Registro2[[#This Row],[Conta Financeira]]=base!$A$6,0,Registro2[[#This Row],[Valor Unitário]]))</f>
        <v>35</v>
      </c>
      <c r="U23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75" t="str">
        <f>VLOOKUP(Registro2[[#This Row],[Categoria]],'Plano de Contas'!$V$3:W2429,2,0)</f>
        <v>Receitas Serviços</v>
      </c>
      <c r="X237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76" spans="1:24" hidden="1">
      <c r="A2376" s="1">
        <v>45799</v>
      </c>
      <c r="B2376" s="1">
        <v>45799</v>
      </c>
      <c r="D2376" t="s">
        <v>1</v>
      </c>
      <c r="E2376" t="s">
        <v>149</v>
      </c>
      <c r="F2376" t="s">
        <v>147</v>
      </c>
      <c r="G2376" t="s">
        <v>163</v>
      </c>
      <c r="I2376" s="4">
        <v>30</v>
      </c>
      <c r="J2376" s="4">
        <v>10</v>
      </c>
      <c r="L2376" t="s">
        <v>264</v>
      </c>
      <c r="M2376" t="s">
        <v>1348</v>
      </c>
      <c r="N2376" s="4">
        <f>IF(L2376="","",IF(OR(Registro2[[#This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2376" t="str">
        <f t="shared" si="46"/>
        <v>mai/25</v>
      </c>
      <c r="P2376" t="str">
        <f>IF(Registro2[[#This Row],[Data de Pagamento]]&gt;0,TEXT(A2376,"mmm/aa"),"")</f>
        <v>mai/25</v>
      </c>
      <c r="T2376" s="4">
        <f>IF(Registro2[[#This Row],[Data de Pagamento]]="",0,IF(Registro2[[#This Row],[Conta Financeira]]=base!$A$6,0,Registro2[[#This Row],[Valor Unitário]]))</f>
        <v>30</v>
      </c>
      <c r="U23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76" t="str">
        <f>VLOOKUP(Registro2[[#This Row],[Categoria]],'Plano de Contas'!$V$3:W2430,2,0)</f>
        <v>Receitas Serviços</v>
      </c>
      <c r="X237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77" spans="1:24" hidden="1">
      <c r="A2377" s="1">
        <v>45799</v>
      </c>
      <c r="B2377" s="1">
        <v>45799</v>
      </c>
      <c r="D2377" t="s">
        <v>1</v>
      </c>
      <c r="E2377" t="s">
        <v>149</v>
      </c>
      <c r="F2377" t="s">
        <v>147</v>
      </c>
      <c r="G2377" t="s">
        <v>167</v>
      </c>
      <c r="I2377" s="4">
        <v>10</v>
      </c>
      <c r="J2377" s="4" t="s">
        <v>1604</v>
      </c>
      <c r="L2377" t="s">
        <v>264</v>
      </c>
      <c r="M2377" t="s">
        <v>1348</v>
      </c>
      <c r="N2377" s="4">
        <f>IF(L2377="","",IF(OR(Registro2[[#This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377" t="str">
        <f t="shared" si="46"/>
        <v>mai/25</v>
      </c>
      <c r="P2377" t="str">
        <f>IF(Registro2[[#This Row],[Data de Pagamento]]&gt;0,TEXT(A2377,"mmm/aa"),"")</f>
        <v>mai/25</v>
      </c>
      <c r="T2377" s="4">
        <f>IF(Registro2[[#This Row],[Data de Pagamento]]="",0,IF(Registro2[[#This Row],[Conta Financeira]]=base!$A$6,0,Registro2[[#This Row],[Valor Unitário]]))</f>
        <v>10</v>
      </c>
      <c r="U23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77" t="str">
        <f>VLOOKUP(Registro2[[#This Row],[Categoria]],'Plano de Contas'!$V$3:W2431,2,0)</f>
        <v>Receitas Serviços</v>
      </c>
      <c r="X237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78" spans="1:24" hidden="1">
      <c r="A2378" s="1">
        <v>45799</v>
      </c>
      <c r="B2378" s="1">
        <v>45799</v>
      </c>
      <c r="D2378" t="s">
        <v>1</v>
      </c>
      <c r="E2378" t="s">
        <v>149</v>
      </c>
      <c r="F2378" t="s">
        <v>147</v>
      </c>
      <c r="G2378" t="s">
        <v>163</v>
      </c>
      <c r="I2378" s="4">
        <v>35</v>
      </c>
      <c r="J2378" s="4">
        <v>35</v>
      </c>
      <c r="L2378" t="s">
        <v>252</v>
      </c>
      <c r="M2378" t="s">
        <v>1089</v>
      </c>
      <c r="N2378" s="4">
        <f>IF(L2378="","",IF(OR(Registro2[[#This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78" t="str">
        <f t="shared" si="46"/>
        <v>mai/25</v>
      </c>
      <c r="P2378" t="str">
        <f>IF(Registro2[[#This Row],[Data de Pagamento]]&gt;0,TEXT(A2378,"mmm/aa"),"")</f>
        <v>mai/25</v>
      </c>
      <c r="T2378" s="4">
        <f>IF(Registro2[[#This Row],[Data de Pagamento]]="",0,IF(Registro2[[#This Row],[Conta Financeira]]=base!$A$6,0,Registro2[[#This Row],[Valor Unitário]]))</f>
        <v>35</v>
      </c>
      <c r="U23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78" t="str">
        <f>VLOOKUP(Registro2[[#This Row],[Categoria]],'Plano de Contas'!$V$3:W2432,2,0)</f>
        <v>Receitas Serviços</v>
      </c>
      <c r="X23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79" spans="1:24" hidden="1">
      <c r="A2379" s="1">
        <v>45800</v>
      </c>
      <c r="B2379" s="1">
        <v>45800</v>
      </c>
      <c r="D2379" t="s">
        <v>1</v>
      </c>
      <c r="E2379" t="s">
        <v>149</v>
      </c>
      <c r="F2379" t="s">
        <v>147</v>
      </c>
      <c r="G2379" t="s">
        <v>163</v>
      </c>
      <c r="I2379" s="4">
        <v>35</v>
      </c>
      <c r="J2379" s="4">
        <v>45</v>
      </c>
      <c r="L2379" t="s">
        <v>253</v>
      </c>
      <c r="M2379" t="s">
        <v>210</v>
      </c>
      <c r="N2379" s="4">
        <f>IF(L2379="","",IF(OR(Registro2[[#This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79" t="str">
        <f t="shared" si="46"/>
        <v>mai/25</v>
      </c>
      <c r="P2379" t="str">
        <f>IF(Registro2[[#This Row],[Data de Pagamento]]&gt;0,TEXT(A2379,"mmm/aa"),"")</f>
        <v>mai/25</v>
      </c>
      <c r="T2379" s="4">
        <f>IF(Registro2[[#This Row],[Data de Pagamento]]="",0,IF(Registro2[[#This Row],[Conta Financeira]]=base!$A$6,0,Registro2[[#This Row],[Valor Unitário]]))</f>
        <v>35</v>
      </c>
      <c r="U23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79" t="str">
        <f>VLOOKUP(Registro2[[#This Row],[Categoria]],'Plano de Contas'!$V$3:W2433,2,0)</f>
        <v>Receitas Serviços</v>
      </c>
      <c r="X237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80" spans="1:24" hidden="1">
      <c r="A2380" s="1">
        <v>45800</v>
      </c>
      <c r="B2380" s="1">
        <v>45800</v>
      </c>
      <c r="D2380" t="s">
        <v>1</v>
      </c>
      <c r="E2380" t="s">
        <v>149</v>
      </c>
      <c r="F2380" t="s">
        <v>147</v>
      </c>
      <c r="G2380" t="s">
        <v>167</v>
      </c>
      <c r="I2380" s="4">
        <v>10</v>
      </c>
      <c r="J2380" s="4" t="s">
        <v>1604</v>
      </c>
      <c r="L2380" t="s">
        <v>253</v>
      </c>
      <c r="M2380" t="s">
        <v>210</v>
      </c>
      <c r="N2380" s="4">
        <f>IF(L2380="","",IF(OR(Registro2[[#This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380" t="str">
        <f t="shared" si="46"/>
        <v>mai/25</v>
      </c>
      <c r="P2380" t="str">
        <f>IF(Registro2[[#This Row],[Data de Pagamento]]&gt;0,TEXT(A2380,"mmm/aa"),"")</f>
        <v>mai/25</v>
      </c>
      <c r="T2380" s="4">
        <f>IF(Registro2[[#This Row],[Data de Pagamento]]="",0,IF(Registro2[[#This Row],[Conta Financeira]]=base!$A$6,0,Registro2[[#This Row],[Valor Unitário]]))</f>
        <v>10</v>
      </c>
      <c r="U23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80" t="str">
        <f>VLOOKUP(Registro2[[#This Row],[Categoria]],'Plano de Contas'!$V$3:W2434,2,0)</f>
        <v>Receitas Serviços</v>
      </c>
      <c r="X238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81" spans="1:24" hidden="1">
      <c r="A2381" s="1">
        <v>45800</v>
      </c>
      <c r="B2381" s="1">
        <v>45800</v>
      </c>
      <c r="D2381" t="s">
        <v>1</v>
      </c>
      <c r="E2381" t="s">
        <v>149</v>
      </c>
      <c r="F2381" t="s">
        <v>147</v>
      </c>
      <c r="G2381" t="s">
        <v>163</v>
      </c>
      <c r="I2381" s="4">
        <v>35</v>
      </c>
      <c r="J2381" s="4">
        <v>115</v>
      </c>
      <c r="L2381" t="s">
        <v>264</v>
      </c>
      <c r="M2381" t="s">
        <v>895</v>
      </c>
      <c r="N2381" s="4">
        <f>IF(L2381="","",IF(OR(Registro2[[#This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81" t="str">
        <f t="shared" si="46"/>
        <v>mai/25</v>
      </c>
      <c r="P2381" t="str">
        <f>IF(Registro2[[#This Row],[Data de Pagamento]]&gt;0,TEXT(A2381,"mmm/aa"),"")</f>
        <v>mai/25</v>
      </c>
      <c r="T2381" s="4">
        <f>IF(Registro2[[#This Row],[Data de Pagamento]]="",0,IF(Registro2[[#This Row],[Conta Financeira]]=base!$A$6,0,Registro2[[#This Row],[Valor Unitário]]))</f>
        <v>35</v>
      </c>
      <c r="U23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81" t="str">
        <f>VLOOKUP(Registro2[[#This Row],[Categoria]],'Plano de Contas'!$V$3:W2435,2,0)</f>
        <v>Receitas Serviços</v>
      </c>
      <c r="X238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82" spans="1:24" hidden="1">
      <c r="A2382" s="1">
        <v>45800</v>
      </c>
      <c r="B2382" s="1">
        <v>45800</v>
      </c>
      <c r="D2382" t="s">
        <v>1</v>
      </c>
      <c r="E2382" t="s">
        <v>149</v>
      </c>
      <c r="F2382" t="s">
        <v>147</v>
      </c>
      <c r="G2382" t="s">
        <v>163</v>
      </c>
      <c r="I2382" s="4">
        <v>35</v>
      </c>
      <c r="J2382" s="4" t="s">
        <v>1604</v>
      </c>
      <c r="L2382" t="s">
        <v>253</v>
      </c>
      <c r="M2382" t="s">
        <v>895</v>
      </c>
      <c r="N2382" s="4">
        <f>IF(L2382="","",IF(OR(Registro2[[#This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82" t="str">
        <f t="shared" si="46"/>
        <v>mai/25</v>
      </c>
      <c r="P2382" t="str">
        <f>IF(Registro2[[#This Row],[Data de Pagamento]]&gt;0,TEXT(A2382,"mmm/aa"),"")</f>
        <v>mai/25</v>
      </c>
      <c r="T2382" s="4">
        <f>IF(Registro2[[#This Row],[Data de Pagamento]]="",0,IF(Registro2[[#This Row],[Conta Financeira]]=base!$A$6,0,Registro2[[#This Row],[Valor Unitário]]))</f>
        <v>35</v>
      </c>
      <c r="U23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82" t="str">
        <f>VLOOKUP(Registro2[[#This Row],[Categoria]],'Plano de Contas'!$V$3:W2436,2,0)</f>
        <v>Receitas Serviços</v>
      </c>
      <c r="X23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83" spans="1:24" hidden="1">
      <c r="A2383" s="1">
        <v>45800</v>
      </c>
      <c r="B2383" s="1">
        <v>45800</v>
      </c>
      <c r="D2383" t="s">
        <v>1</v>
      </c>
      <c r="E2383" t="s">
        <v>149</v>
      </c>
      <c r="F2383" t="s">
        <v>147</v>
      </c>
      <c r="G2383" t="s">
        <v>163</v>
      </c>
      <c r="I2383" s="4">
        <v>35</v>
      </c>
      <c r="J2383" s="4" t="s">
        <v>1604</v>
      </c>
      <c r="L2383" t="s">
        <v>252</v>
      </c>
      <c r="M2383" t="s">
        <v>895</v>
      </c>
      <c r="N2383" s="4">
        <f>IF(L2383="","",IF(OR(Registro2[[#This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83" t="str">
        <f t="shared" si="46"/>
        <v>mai/25</v>
      </c>
      <c r="P2383" t="str">
        <f>IF(Registro2[[#This Row],[Data de Pagamento]]&gt;0,TEXT(A2383,"mmm/aa"),"")</f>
        <v>mai/25</v>
      </c>
      <c r="T2383" s="4">
        <f>IF(Registro2[[#This Row],[Data de Pagamento]]="",0,IF(Registro2[[#This Row],[Conta Financeira]]=base!$A$6,0,Registro2[[#This Row],[Valor Unitário]]))</f>
        <v>35</v>
      </c>
      <c r="U23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83" t="str">
        <f>VLOOKUP(Registro2[[#This Row],[Categoria]],'Plano de Contas'!$V$3:W2437,2,0)</f>
        <v>Receitas Serviços</v>
      </c>
      <c r="X23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84" spans="1:24" hidden="1">
      <c r="A2384" s="1">
        <v>45800</v>
      </c>
      <c r="B2384" s="1">
        <v>45800</v>
      </c>
      <c r="D2384" t="s">
        <v>1</v>
      </c>
      <c r="E2384" t="s">
        <v>149</v>
      </c>
      <c r="F2384" t="s">
        <v>147</v>
      </c>
      <c r="G2384" t="s">
        <v>167</v>
      </c>
      <c r="I2384" s="4">
        <v>10</v>
      </c>
      <c r="J2384" s="4" t="s">
        <v>1604</v>
      </c>
      <c r="L2384" t="s">
        <v>253</v>
      </c>
      <c r="M2384" t="s">
        <v>895</v>
      </c>
      <c r="N2384" s="4">
        <f>IF(L2384="","",IF(OR(Registro2[[#This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384" t="str">
        <f t="shared" si="46"/>
        <v>mai/25</v>
      </c>
      <c r="P2384" t="str">
        <f>IF(Registro2[[#This Row],[Data de Pagamento]]&gt;0,TEXT(A2384,"mmm/aa"),"")</f>
        <v>mai/25</v>
      </c>
      <c r="T2384" s="4">
        <f>IF(Registro2[[#This Row],[Data de Pagamento]]="",0,IF(Registro2[[#This Row],[Conta Financeira]]=base!$A$6,0,Registro2[[#This Row],[Valor Unitário]]))</f>
        <v>10</v>
      </c>
      <c r="U23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84" t="str">
        <f>VLOOKUP(Registro2[[#This Row],[Categoria]],'Plano de Contas'!$V$3:W2438,2,0)</f>
        <v>Receitas Serviços</v>
      </c>
      <c r="X238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85" spans="1:24" hidden="1">
      <c r="A2385" s="1">
        <v>45799</v>
      </c>
      <c r="B2385" s="1">
        <v>45799</v>
      </c>
      <c r="D2385" t="s">
        <v>1</v>
      </c>
      <c r="E2385" t="s">
        <v>149</v>
      </c>
      <c r="F2385" t="s">
        <v>147</v>
      </c>
      <c r="G2385" t="s">
        <v>2825</v>
      </c>
      <c r="I2385" s="4">
        <v>20</v>
      </c>
      <c r="J2385" s="4">
        <v>65</v>
      </c>
      <c r="L2385" t="s">
        <v>252</v>
      </c>
      <c r="M2385" t="s">
        <v>105</v>
      </c>
      <c r="N2385" s="4">
        <f>IF(L2385="","",IF(OR(Registro2[[#This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385" t="str">
        <f t="shared" si="46"/>
        <v>mai/25</v>
      </c>
      <c r="P2385" t="str">
        <f>IF(Registro2[[#This Row],[Data de Pagamento]]&gt;0,TEXT(A2385,"mmm/aa"),"")</f>
        <v>mai/25</v>
      </c>
      <c r="T2385" s="4">
        <f>IF(Registro2[[#This Row],[Data de Pagamento]]="",0,IF(Registro2[[#This Row],[Conta Financeira]]=base!$A$6,0,Registro2[[#This Row],[Valor Unitário]]))</f>
        <v>20</v>
      </c>
      <c r="U23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85" t="e">
        <f>VLOOKUP(Registro2[[#This Row],[Categoria]],'Plano de Contas'!$V$3:W2439,2,0)</f>
        <v>#N/A</v>
      </c>
      <c r="X238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86" spans="1:24" hidden="1">
      <c r="A2386" s="1">
        <v>45799</v>
      </c>
      <c r="B2386" s="1">
        <v>45799</v>
      </c>
      <c r="D2386" t="s">
        <v>1</v>
      </c>
      <c r="E2386" t="s">
        <v>149</v>
      </c>
      <c r="F2386" t="s">
        <v>147</v>
      </c>
      <c r="G2386" t="s">
        <v>163</v>
      </c>
      <c r="I2386" s="4">
        <v>35</v>
      </c>
      <c r="J2386" s="4" t="s">
        <v>1604</v>
      </c>
      <c r="L2386" t="s">
        <v>252</v>
      </c>
      <c r="M2386" t="s">
        <v>105</v>
      </c>
      <c r="N2386" s="4">
        <f>IF(L2386="","",IF(OR(Registro2[[#This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86" t="str">
        <f t="shared" si="46"/>
        <v>mai/25</v>
      </c>
      <c r="P2386" t="str">
        <f>IF(Registro2[[#This Row],[Data de Pagamento]]&gt;0,TEXT(A2386,"mmm/aa"),"")</f>
        <v>mai/25</v>
      </c>
      <c r="T2386" s="4">
        <f>IF(Registro2[[#This Row],[Data de Pagamento]]="",0,IF(Registro2[[#This Row],[Conta Financeira]]=base!$A$6,0,Registro2[[#This Row],[Valor Unitário]]))</f>
        <v>35</v>
      </c>
      <c r="U23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86" t="str">
        <f>VLOOKUP(Registro2[[#This Row],[Categoria]],'Plano de Contas'!$V$3:W2440,2,0)</f>
        <v>Receitas Serviços</v>
      </c>
      <c r="X238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87" spans="1:24" hidden="1">
      <c r="A2387" s="1">
        <v>45799</v>
      </c>
      <c r="B2387" s="1">
        <v>45799</v>
      </c>
      <c r="D2387" t="s">
        <v>1</v>
      </c>
      <c r="E2387" t="s">
        <v>149</v>
      </c>
      <c r="F2387" t="s">
        <v>147</v>
      </c>
      <c r="G2387" t="s">
        <v>1046</v>
      </c>
      <c r="I2387" s="4">
        <v>15</v>
      </c>
      <c r="J2387" s="4" t="s">
        <v>1604</v>
      </c>
      <c r="L2387" t="s">
        <v>252</v>
      </c>
      <c r="M2387" t="s">
        <v>105</v>
      </c>
      <c r="N2387" s="4">
        <f>IF(L2387="","",IF(OR(Registro2[[#This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387" t="str">
        <f t="shared" si="46"/>
        <v>mai/25</v>
      </c>
      <c r="P2387" t="str">
        <f>IF(Registro2[[#This Row],[Data de Pagamento]]&gt;0,TEXT(A2387,"mmm/aa"),"")</f>
        <v>mai/25</v>
      </c>
      <c r="T2387" s="4">
        <f>IF(Registro2[[#This Row],[Data de Pagamento]]="",0,IF(Registro2[[#This Row],[Conta Financeira]]=base!$A$6,0,Registro2[[#This Row],[Valor Unitário]]))</f>
        <v>15</v>
      </c>
      <c r="U23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87" t="str">
        <f>VLOOKUP(Registro2[[#This Row],[Categoria]],'Plano de Contas'!$V$3:W2441,2,0)</f>
        <v>Receitas Serviços</v>
      </c>
      <c r="X238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88" spans="1:24" hidden="1">
      <c r="A2388" s="1">
        <v>45800</v>
      </c>
      <c r="B2388" s="1">
        <v>45800</v>
      </c>
      <c r="D2388" t="s">
        <v>1</v>
      </c>
      <c r="E2388" t="s">
        <v>149</v>
      </c>
      <c r="F2388" t="s">
        <v>147</v>
      </c>
      <c r="G2388" t="s">
        <v>163</v>
      </c>
      <c r="I2388" s="4">
        <v>35</v>
      </c>
      <c r="J2388" s="4">
        <v>35</v>
      </c>
      <c r="L2388" t="s">
        <v>252</v>
      </c>
      <c r="M2388" t="s">
        <v>22</v>
      </c>
      <c r="N2388" s="4">
        <f>IF(L2388="","",IF(OR(Registro2[[#This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88" t="str">
        <f t="shared" si="46"/>
        <v>mai/25</v>
      </c>
      <c r="P2388" t="str">
        <f>IF(Registro2[[#This Row],[Data de Pagamento]]&gt;0,TEXT(A2388,"mmm/aa"),"")</f>
        <v>mai/25</v>
      </c>
      <c r="T2388" s="4">
        <f>IF(Registro2[[#This Row],[Data de Pagamento]]="",0,IF(Registro2[[#This Row],[Conta Financeira]]=base!$A$6,0,Registro2[[#This Row],[Valor Unitário]]))</f>
        <v>35</v>
      </c>
      <c r="U23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88" t="str">
        <f>VLOOKUP(Registro2[[#This Row],[Categoria]],'Plano de Contas'!$V$3:W2442,2,0)</f>
        <v>Receitas Serviços</v>
      </c>
      <c r="X238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89" spans="1:24" hidden="1">
      <c r="A2389" s="1">
        <v>45800</v>
      </c>
      <c r="B2389" s="1">
        <v>45800</v>
      </c>
      <c r="D2389" t="s">
        <v>1</v>
      </c>
      <c r="E2389" t="s">
        <v>149</v>
      </c>
      <c r="F2389" t="s">
        <v>147</v>
      </c>
      <c r="G2389" t="s">
        <v>163</v>
      </c>
      <c r="I2389" s="4">
        <v>35</v>
      </c>
      <c r="J2389" s="4">
        <v>65</v>
      </c>
      <c r="L2389" t="s">
        <v>253</v>
      </c>
      <c r="M2389" t="s">
        <v>28</v>
      </c>
      <c r="N2389" s="4">
        <f>IF(L2389="","",IF(OR(Registro2[[#This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89" t="str">
        <f t="shared" si="46"/>
        <v>mai/25</v>
      </c>
      <c r="P2389" t="str">
        <f>IF(Registro2[[#This Row],[Data de Pagamento]]&gt;0,TEXT(A2389,"mmm/aa"),"")</f>
        <v>mai/25</v>
      </c>
      <c r="T2389" s="4">
        <f>IF(Registro2[[#This Row],[Data de Pagamento]]="",0,IF(Registro2[[#This Row],[Conta Financeira]]=base!$A$6,0,Registro2[[#This Row],[Valor Unitário]]))</f>
        <v>35</v>
      </c>
      <c r="U23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89" t="str">
        <f>VLOOKUP(Registro2[[#This Row],[Categoria]],'Plano de Contas'!$V$3:W2443,2,0)</f>
        <v>Receitas Serviços</v>
      </c>
      <c r="X238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90" spans="1:24" hidden="1">
      <c r="A2390" s="1">
        <v>45800</v>
      </c>
      <c r="B2390" s="1">
        <v>45800</v>
      </c>
      <c r="D2390" t="s">
        <v>1</v>
      </c>
      <c r="E2390" t="s">
        <v>149</v>
      </c>
      <c r="F2390" t="s">
        <v>147</v>
      </c>
      <c r="G2390" t="s">
        <v>1046</v>
      </c>
      <c r="I2390" s="4">
        <v>15</v>
      </c>
      <c r="J2390" s="4" t="s">
        <v>1604</v>
      </c>
      <c r="L2390" t="s">
        <v>253</v>
      </c>
      <c r="M2390" t="s">
        <v>28</v>
      </c>
      <c r="N2390" s="4">
        <f>IF(L2390="","",IF(OR(Registro2[[#This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390" t="str">
        <f t="shared" si="46"/>
        <v>mai/25</v>
      </c>
      <c r="P2390" t="str">
        <f>IF(Registro2[[#This Row],[Data de Pagamento]]&gt;0,TEXT(A2390,"mmm/aa"),"")</f>
        <v>mai/25</v>
      </c>
      <c r="T2390" s="4">
        <f>IF(Registro2[[#This Row],[Data de Pagamento]]="",0,IF(Registro2[[#This Row],[Conta Financeira]]=base!$A$6,0,Registro2[[#This Row],[Valor Unitário]]))</f>
        <v>15</v>
      </c>
      <c r="U23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90" t="str">
        <f>VLOOKUP(Registro2[[#This Row],[Categoria]],'Plano de Contas'!$V$3:W2444,2,0)</f>
        <v>Receitas Serviços</v>
      </c>
      <c r="X239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91" spans="1:24" hidden="1">
      <c r="A2391" s="1">
        <v>45800</v>
      </c>
      <c r="B2391" s="1">
        <v>45800</v>
      </c>
      <c r="D2391" t="s">
        <v>1</v>
      </c>
      <c r="E2391" t="s">
        <v>149</v>
      </c>
      <c r="F2391" t="s">
        <v>147</v>
      </c>
      <c r="G2391" t="s">
        <v>1187</v>
      </c>
      <c r="I2391" s="4">
        <v>15</v>
      </c>
      <c r="J2391" s="4" t="s">
        <v>1604</v>
      </c>
      <c r="L2391" t="s">
        <v>253</v>
      </c>
      <c r="M2391" t="s">
        <v>28</v>
      </c>
      <c r="N2391" s="4">
        <f>IF(L2391="","",IF(OR(Registro2[[#This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391" t="str">
        <f t="shared" si="46"/>
        <v>mai/25</v>
      </c>
      <c r="P2391" t="str">
        <f>IF(Registro2[[#This Row],[Data de Pagamento]]&gt;0,TEXT(A2391,"mmm/aa"),"")</f>
        <v>mai/25</v>
      </c>
      <c r="T2391" s="4">
        <f>IF(Registro2[[#This Row],[Data de Pagamento]]="",0,IF(Registro2[[#This Row],[Conta Financeira]]=base!$A$6,0,Registro2[[#This Row],[Valor Unitário]]))</f>
        <v>15</v>
      </c>
      <c r="U23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91" t="str">
        <f>VLOOKUP(Registro2[[#This Row],[Categoria]],'Plano de Contas'!$V$3:W2445,2,0)</f>
        <v>Receitas Serviços</v>
      </c>
      <c r="X239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92" spans="1:24" hidden="1">
      <c r="A2392" s="1">
        <v>45800</v>
      </c>
      <c r="B2392" s="1">
        <v>45800</v>
      </c>
      <c r="D2392" t="s">
        <v>1</v>
      </c>
      <c r="E2392" t="s">
        <v>149</v>
      </c>
      <c r="F2392" t="s">
        <v>147</v>
      </c>
      <c r="G2392" t="s">
        <v>163</v>
      </c>
      <c r="I2392" s="4">
        <v>35</v>
      </c>
      <c r="J2392" s="4">
        <v>35</v>
      </c>
      <c r="L2392" t="s">
        <v>253</v>
      </c>
      <c r="M2392" t="s">
        <v>193</v>
      </c>
      <c r="N2392" s="4">
        <f>IF(L2392="","",IF(OR(Registro2[[#This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92" t="str">
        <f t="shared" si="46"/>
        <v>mai/25</v>
      </c>
      <c r="P2392" t="str">
        <f>IF(Registro2[[#This Row],[Data de Pagamento]]&gt;0,TEXT(A2392,"mmm/aa"),"")</f>
        <v>mai/25</v>
      </c>
      <c r="T2392" s="4">
        <f>IF(Registro2[[#This Row],[Data de Pagamento]]="",0,IF(Registro2[[#This Row],[Conta Financeira]]=base!$A$6,0,Registro2[[#This Row],[Valor Unitário]]))</f>
        <v>35</v>
      </c>
      <c r="U23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92" t="str">
        <f>VLOOKUP(Registro2[[#This Row],[Categoria]],'Plano de Contas'!$V$3:W2446,2,0)</f>
        <v>Receitas Serviços</v>
      </c>
      <c r="X239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93" spans="1:24" hidden="1">
      <c r="A2393" s="1">
        <v>45800</v>
      </c>
      <c r="B2393" s="1">
        <v>45800</v>
      </c>
      <c r="D2393" t="s">
        <v>1</v>
      </c>
      <c r="E2393" t="s">
        <v>149</v>
      </c>
      <c r="F2393" t="s">
        <v>147</v>
      </c>
      <c r="G2393" t="s">
        <v>163</v>
      </c>
      <c r="I2393" s="4">
        <v>35</v>
      </c>
      <c r="J2393" s="4">
        <v>35</v>
      </c>
      <c r="L2393" t="s">
        <v>252</v>
      </c>
      <c r="M2393" t="s">
        <v>480</v>
      </c>
      <c r="N2393" s="4">
        <f>IF(L2393="","",IF(OR(Registro2[[#This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93" t="str">
        <f t="shared" si="46"/>
        <v>mai/25</v>
      </c>
      <c r="P2393" t="str">
        <f>IF(Registro2[[#This Row],[Data de Pagamento]]&gt;0,TEXT(A2393,"mmm/aa"),"")</f>
        <v>mai/25</v>
      </c>
      <c r="T2393" s="4">
        <f>IF(Registro2[[#This Row],[Data de Pagamento]]="",0,IF(Registro2[[#This Row],[Conta Financeira]]=base!$A$6,0,Registro2[[#This Row],[Valor Unitário]]))</f>
        <v>35</v>
      </c>
      <c r="U23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93" t="str">
        <f>VLOOKUP(Registro2[[#This Row],[Categoria]],'Plano de Contas'!$V$3:W2447,2,0)</f>
        <v>Receitas Serviços</v>
      </c>
      <c r="X239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94" spans="1:24" hidden="1">
      <c r="A2394" s="1">
        <v>45800</v>
      </c>
      <c r="B2394" s="1">
        <v>45800</v>
      </c>
      <c r="D2394" t="s">
        <v>1</v>
      </c>
      <c r="E2394" t="s">
        <v>149</v>
      </c>
      <c r="F2394" t="s">
        <v>147</v>
      </c>
      <c r="G2394" t="s">
        <v>163</v>
      </c>
      <c r="I2394" s="4">
        <v>35</v>
      </c>
      <c r="J2394" s="4">
        <v>35</v>
      </c>
      <c r="L2394" t="s">
        <v>264</v>
      </c>
      <c r="M2394" t="s">
        <v>87</v>
      </c>
      <c r="N2394" s="4">
        <f>IF(L2394="","",IF(OR(Registro2[[#This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94" t="str">
        <f t="shared" si="46"/>
        <v>mai/25</v>
      </c>
      <c r="P2394" t="str">
        <f>IF(Registro2[[#This Row],[Data de Pagamento]]&gt;0,TEXT(A2394,"mmm/aa"),"")</f>
        <v>mai/25</v>
      </c>
      <c r="T2394" s="4">
        <f>IF(Registro2[[#This Row],[Data de Pagamento]]="",0,IF(Registro2[[#This Row],[Conta Financeira]]=base!$A$6,0,Registro2[[#This Row],[Valor Unitário]]))</f>
        <v>35</v>
      </c>
      <c r="U23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94" t="str">
        <f>VLOOKUP(Registro2[[#This Row],[Categoria]],'Plano de Contas'!$V$3:W2448,2,0)</f>
        <v>Receitas Serviços</v>
      </c>
      <c r="X239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95" spans="1:24" hidden="1">
      <c r="A2395" s="1">
        <v>45800</v>
      </c>
      <c r="B2395" s="1">
        <v>45800</v>
      </c>
      <c r="D2395" t="s">
        <v>1</v>
      </c>
      <c r="E2395" t="s">
        <v>149</v>
      </c>
      <c r="F2395" t="s">
        <v>147</v>
      </c>
      <c r="G2395" t="s">
        <v>167</v>
      </c>
      <c r="I2395" s="4">
        <v>15</v>
      </c>
      <c r="J2395" s="4">
        <v>15</v>
      </c>
      <c r="L2395" t="s">
        <v>253</v>
      </c>
      <c r="M2395" t="s">
        <v>14</v>
      </c>
      <c r="N2395" s="4">
        <f>IF(L2395="","",IF(OR(Registro2[[#This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395" t="str">
        <f t="shared" si="46"/>
        <v>mai/25</v>
      </c>
      <c r="P2395" t="str">
        <f>IF(Registro2[[#This Row],[Data de Pagamento]]&gt;0,TEXT(A2395,"mmm/aa"),"")</f>
        <v>mai/25</v>
      </c>
      <c r="T2395" s="4">
        <f>IF(Registro2[[#This Row],[Data de Pagamento]]="",0,IF(Registro2[[#This Row],[Conta Financeira]]=base!$A$6,0,Registro2[[#This Row],[Valor Unitário]]))</f>
        <v>15</v>
      </c>
      <c r="U23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95" t="str">
        <f>VLOOKUP(Registro2[[#This Row],[Categoria]],'Plano de Contas'!$V$3:W2449,2,0)</f>
        <v>Receitas Serviços</v>
      </c>
      <c r="X239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96" spans="1:24" hidden="1">
      <c r="A2396" s="1">
        <v>45801</v>
      </c>
      <c r="B2396" s="1">
        <v>45801</v>
      </c>
      <c r="D2396" t="s">
        <v>1</v>
      </c>
      <c r="E2396" t="s">
        <v>149</v>
      </c>
      <c r="F2396" t="s">
        <v>147</v>
      </c>
      <c r="G2396" t="s">
        <v>163</v>
      </c>
      <c r="I2396" s="4">
        <v>35</v>
      </c>
      <c r="J2396" s="4">
        <v>60</v>
      </c>
      <c r="L2396" t="s">
        <v>253</v>
      </c>
      <c r="M2396" t="s">
        <v>37</v>
      </c>
      <c r="N2396" s="4">
        <f>IF(L2396="","",IF(OR(Registro2[[#This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396" t="str">
        <f t="shared" si="46"/>
        <v>mai/25</v>
      </c>
      <c r="P2396" t="str">
        <f>IF(Registro2[[#This Row],[Data de Pagamento]]&gt;0,TEXT(A2396,"mmm/aa"),"")</f>
        <v>mai/25</v>
      </c>
      <c r="T2396" s="4">
        <f>IF(Registro2[[#This Row],[Data de Pagamento]]="",0,IF(Registro2[[#This Row],[Conta Financeira]]=base!$A$6,0,Registro2[[#This Row],[Valor Unitário]]))</f>
        <v>35</v>
      </c>
      <c r="U23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96" t="str">
        <f>VLOOKUP(Registro2[[#This Row],[Categoria]],'Plano de Contas'!$V$3:W2450,2,0)</f>
        <v>Receitas Serviços</v>
      </c>
      <c r="X239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97" spans="1:24" hidden="1">
      <c r="A2397" s="1">
        <v>45801</v>
      </c>
      <c r="B2397" s="1">
        <v>45801</v>
      </c>
      <c r="D2397" t="s">
        <v>1</v>
      </c>
      <c r="E2397" t="s">
        <v>149</v>
      </c>
      <c r="F2397" t="s">
        <v>147</v>
      </c>
      <c r="G2397" t="s">
        <v>1046</v>
      </c>
      <c r="I2397" s="4">
        <v>25</v>
      </c>
      <c r="J2397" s="4" t="s">
        <v>1604</v>
      </c>
      <c r="L2397" t="s">
        <v>253</v>
      </c>
      <c r="M2397" t="s">
        <v>37</v>
      </c>
      <c r="N2397" s="4">
        <f>IF(L2397="","",IF(OR(Registro2[[#This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2397" t="str">
        <f t="shared" si="46"/>
        <v>mai/25</v>
      </c>
      <c r="P2397" t="str">
        <f>IF(Registro2[[#This Row],[Data de Pagamento]]&gt;0,TEXT(A2397,"mmm/aa"),"")</f>
        <v>mai/25</v>
      </c>
      <c r="T2397" s="4">
        <f>IF(Registro2[[#This Row],[Data de Pagamento]]="",0,IF(Registro2[[#This Row],[Conta Financeira]]=base!$A$6,0,Registro2[[#This Row],[Valor Unitário]]))</f>
        <v>25</v>
      </c>
      <c r="U23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97" t="str">
        <f>VLOOKUP(Registro2[[#This Row],[Categoria]],'Plano de Contas'!$V$3:W2451,2,0)</f>
        <v>Receitas Serviços</v>
      </c>
      <c r="X239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98" spans="1:24" hidden="1">
      <c r="A2398" s="1">
        <v>45800</v>
      </c>
      <c r="B2398" s="1">
        <v>45800</v>
      </c>
      <c r="D2398" t="s">
        <v>2</v>
      </c>
      <c r="E2398" t="s">
        <v>149</v>
      </c>
      <c r="F2398" t="s">
        <v>152</v>
      </c>
      <c r="G2398" t="s">
        <v>353</v>
      </c>
      <c r="I2398" s="4">
        <v>60</v>
      </c>
      <c r="J2398" s="4">
        <v>70</v>
      </c>
      <c r="L2398" t="s">
        <v>253</v>
      </c>
      <c r="M2398" t="s">
        <v>2088</v>
      </c>
      <c r="N2398" s="4">
        <f>IF(L2398="","",IF(OR(Registro2[[#This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398" t="str">
        <f t="shared" si="46"/>
        <v>mai/25</v>
      </c>
      <c r="P2398" t="str">
        <f>IF(Registro2[[#This Row],[Data de Pagamento]]&gt;0,TEXT(A2398,"mmm/aa"),"")</f>
        <v>mai/25</v>
      </c>
      <c r="T2398" s="4">
        <f>IF(Registro2[[#This Row],[Data de Pagamento]]="",0,IF(Registro2[[#This Row],[Conta Financeira]]=base!$A$6,0,Registro2[[#This Row],[Valor Unitário]]))</f>
        <v>60</v>
      </c>
      <c r="U23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98" t="str">
        <f>VLOOKUP(Registro2[[#This Row],[Categoria]],'Plano de Contas'!$V$3:W2452,2,0)</f>
        <v>Receitas Serviços</v>
      </c>
      <c r="X239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399" spans="1:24" hidden="1">
      <c r="A2399" s="1">
        <v>45800</v>
      </c>
      <c r="B2399" s="1">
        <v>45800</v>
      </c>
      <c r="D2399" t="s">
        <v>2</v>
      </c>
      <c r="E2399" t="s">
        <v>149</v>
      </c>
      <c r="F2399" t="s">
        <v>147</v>
      </c>
      <c r="G2399" t="s">
        <v>166</v>
      </c>
      <c r="I2399" s="4">
        <v>10</v>
      </c>
      <c r="J2399" s="4" t="s">
        <v>1604</v>
      </c>
      <c r="L2399" t="s">
        <v>253</v>
      </c>
      <c r="M2399" t="s">
        <v>2088</v>
      </c>
      <c r="N2399" s="4">
        <f>IF(L2399="","",IF(OR(Registro2[[#This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399" t="str">
        <f t="shared" si="46"/>
        <v>mai/25</v>
      </c>
      <c r="P2399" t="str">
        <f>IF(Registro2[[#This Row],[Data de Pagamento]]&gt;0,TEXT(A2399,"mmm/aa"),"")</f>
        <v>mai/25</v>
      </c>
      <c r="T2399" s="4">
        <f>IF(Registro2[[#This Row],[Data de Pagamento]]="",0,IF(Registro2[[#This Row],[Conta Financeira]]=base!$A$6,0,Registro2[[#This Row],[Valor Unitário]]))</f>
        <v>10</v>
      </c>
      <c r="U23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399" t="str">
        <f>VLOOKUP(Registro2[[#This Row],[Categoria]],'Plano de Contas'!$V$3:W2453,2,0)</f>
        <v>Receitas Serviços</v>
      </c>
      <c r="X239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00" spans="1:24" hidden="1">
      <c r="A2400" s="1">
        <v>45800</v>
      </c>
      <c r="B2400" s="1">
        <v>45800</v>
      </c>
      <c r="D2400" t="s">
        <v>354</v>
      </c>
      <c r="E2400" t="s">
        <v>149</v>
      </c>
      <c r="F2400" t="s">
        <v>147</v>
      </c>
      <c r="G2400" t="s">
        <v>163</v>
      </c>
      <c r="I2400" s="4">
        <v>35</v>
      </c>
      <c r="J2400" s="4">
        <v>55</v>
      </c>
      <c r="L2400" t="s">
        <v>253</v>
      </c>
      <c r="M2400" t="s">
        <v>8</v>
      </c>
      <c r="N2400" s="4">
        <f>IF(L2400="","",IF(OR(Registro2[[#This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00" t="str">
        <f t="shared" si="46"/>
        <v>mai/25</v>
      </c>
      <c r="P2400" t="str">
        <f>IF(Registro2[[#This Row],[Data de Pagamento]]&gt;0,TEXT(A2400,"mmm/aa"),"")</f>
        <v>mai/25</v>
      </c>
      <c r="T2400" s="4">
        <f>IF(Registro2[[#This Row],[Data de Pagamento]]="",0,IF(Registro2[[#This Row],[Conta Financeira]]=base!$A$6,0,Registro2[[#This Row],[Valor Unitário]]))</f>
        <v>35</v>
      </c>
      <c r="U24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00" t="str">
        <f>VLOOKUP(Registro2[[#This Row],[Categoria]],'Plano de Contas'!$V$3:W2454,2,0)</f>
        <v>Receitas Serviços</v>
      </c>
      <c r="X240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401" spans="1:24" hidden="1">
      <c r="A2401" s="1">
        <v>45800</v>
      </c>
      <c r="B2401" s="1">
        <v>45800</v>
      </c>
      <c r="D2401" t="s">
        <v>354</v>
      </c>
      <c r="E2401" t="s">
        <v>149</v>
      </c>
      <c r="F2401" t="s">
        <v>152</v>
      </c>
      <c r="G2401" t="s">
        <v>352</v>
      </c>
      <c r="I2401" s="4">
        <v>20</v>
      </c>
      <c r="J2401" s="4" t="s">
        <v>1604</v>
      </c>
      <c r="L2401" t="s">
        <v>253</v>
      </c>
      <c r="M2401" t="s">
        <v>8</v>
      </c>
      <c r="N2401" s="4">
        <f>IF(L2401="","",IF(OR(Registro2[[#This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401" t="str">
        <f t="shared" si="46"/>
        <v>mai/25</v>
      </c>
      <c r="P2401" t="str">
        <f>IF(Registro2[[#This Row],[Data de Pagamento]]&gt;0,TEXT(A2401,"mmm/aa"),"")</f>
        <v>mai/25</v>
      </c>
      <c r="T2401" s="4">
        <f>IF(Registro2[[#This Row],[Data de Pagamento]]="",0,IF(Registro2[[#This Row],[Conta Financeira]]=base!$A$6,0,Registro2[[#This Row],[Valor Unitário]]))</f>
        <v>20</v>
      </c>
      <c r="U24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01" t="str">
        <f>VLOOKUP(Registro2[[#This Row],[Categoria]],'Plano de Contas'!$V$3:W2455,2,0)</f>
        <v>Receitas Serviços</v>
      </c>
      <c r="X240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0.63</v>
      </c>
    </row>
    <row r="2402" spans="1:24" hidden="1">
      <c r="A2402" s="1">
        <v>45800</v>
      </c>
      <c r="B2402" s="1">
        <v>45800</v>
      </c>
      <c r="D2402" t="s">
        <v>354</v>
      </c>
      <c r="E2402" t="s">
        <v>149</v>
      </c>
      <c r="F2402" t="s">
        <v>147</v>
      </c>
      <c r="G2402" t="s">
        <v>163</v>
      </c>
      <c r="I2402" s="4">
        <v>35</v>
      </c>
      <c r="J2402" s="4">
        <v>35</v>
      </c>
      <c r="L2402" t="s">
        <v>252</v>
      </c>
      <c r="M2402" t="s">
        <v>96</v>
      </c>
      <c r="N2402" s="4">
        <f>IF(L2402="","",IF(OR(Registro2[[#This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02" t="str">
        <f t="shared" si="46"/>
        <v>mai/25</v>
      </c>
      <c r="P2402" t="str">
        <f>IF(Registro2[[#This Row],[Data de Pagamento]]&gt;0,TEXT(A2402,"mmm/aa"),"")</f>
        <v>mai/25</v>
      </c>
      <c r="T2402" s="4">
        <f>IF(Registro2[[#This Row],[Data de Pagamento]]="",0,IF(Registro2[[#This Row],[Conta Financeira]]=base!$A$6,0,Registro2[[#This Row],[Valor Unitário]]))</f>
        <v>35</v>
      </c>
      <c r="U24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02" t="str">
        <f>VLOOKUP(Registro2[[#This Row],[Categoria]],'Plano de Contas'!$V$3:W2456,2,0)</f>
        <v>Receitas Serviços</v>
      </c>
      <c r="X240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403" spans="1:24" hidden="1">
      <c r="A2403" s="1">
        <v>45800</v>
      </c>
      <c r="B2403" s="1">
        <v>45800</v>
      </c>
      <c r="D2403" t="s">
        <v>1</v>
      </c>
      <c r="E2403" t="s">
        <v>149</v>
      </c>
      <c r="F2403" t="s">
        <v>147</v>
      </c>
      <c r="G2403" t="s">
        <v>163</v>
      </c>
      <c r="I2403" s="4">
        <v>35</v>
      </c>
      <c r="J2403" s="4">
        <v>50</v>
      </c>
      <c r="L2403" t="s">
        <v>253</v>
      </c>
      <c r="M2403" t="s">
        <v>12</v>
      </c>
      <c r="N2403" s="4">
        <f>IF(L2403="","",IF(OR(Registro2[[#This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03" t="str">
        <f t="shared" ref="O2403:O2434" si="47">TEXT(B2403,"mmm/aa")</f>
        <v>mai/25</v>
      </c>
      <c r="P2403" t="str">
        <f>IF(Registro2[[#This Row],[Data de Pagamento]]&gt;0,TEXT(A2403,"mmm/aa"),"")</f>
        <v>mai/25</v>
      </c>
      <c r="T2403" s="4">
        <f>IF(Registro2[[#This Row],[Data de Pagamento]]="",0,IF(Registro2[[#This Row],[Conta Financeira]]=base!$A$6,0,Registro2[[#This Row],[Valor Unitário]]))</f>
        <v>35</v>
      </c>
      <c r="U24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03" t="str">
        <f>VLOOKUP(Registro2[[#This Row],[Categoria]],'Plano de Contas'!$V$3:W2457,2,0)</f>
        <v>Receitas Serviços</v>
      </c>
      <c r="X24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04" spans="1:24" hidden="1">
      <c r="A2404" s="1">
        <v>45800</v>
      </c>
      <c r="B2404" s="1">
        <v>45800</v>
      </c>
      <c r="D2404" t="s">
        <v>1</v>
      </c>
      <c r="E2404" t="s">
        <v>149</v>
      </c>
      <c r="F2404" t="s">
        <v>147</v>
      </c>
      <c r="G2404" t="s">
        <v>167</v>
      </c>
      <c r="I2404" s="4">
        <v>15</v>
      </c>
      <c r="J2404" s="4" t="s">
        <v>1604</v>
      </c>
      <c r="L2404" t="s">
        <v>253</v>
      </c>
      <c r="M2404" t="s">
        <v>12</v>
      </c>
      <c r="N2404" s="4">
        <f>IF(L2404="","",IF(OR(Registro2[[#This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404" t="str">
        <f t="shared" si="47"/>
        <v>mai/25</v>
      </c>
      <c r="P2404" t="str">
        <f>IF(Registro2[[#This Row],[Data de Pagamento]]&gt;0,TEXT(A2404,"mmm/aa"),"")</f>
        <v>mai/25</v>
      </c>
      <c r="T2404" s="4">
        <f>IF(Registro2[[#This Row],[Data de Pagamento]]="",0,IF(Registro2[[#This Row],[Conta Financeira]]=base!$A$6,0,Registro2[[#This Row],[Valor Unitário]]))</f>
        <v>15</v>
      </c>
      <c r="U24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04" t="str">
        <f>VLOOKUP(Registro2[[#This Row],[Categoria]],'Plano de Contas'!$V$3:W2458,2,0)</f>
        <v>Receitas Serviços</v>
      </c>
      <c r="X24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05" spans="1:24" hidden="1">
      <c r="A2405" s="1">
        <v>45800</v>
      </c>
      <c r="B2405" s="1">
        <v>45800</v>
      </c>
      <c r="D2405" t="s">
        <v>1</v>
      </c>
      <c r="E2405" t="s">
        <v>149</v>
      </c>
      <c r="F2405" t="s">
        <v>147</v>
      </c>
      <c r="G2405" t="s">
        <v>163</v>
      </c>
      <c r="I2405" s="4">
        <v>35</v>
      </c>
      <c r="J2405" s="4">
        <v>35</v>
      </c>
      <c r="L2405" t="s">
        <v>264</v>
      </c>
      <c r="M2405" t="s">
        <v>67</v>
      </c>
      <c r="N2405" s="4">
        <f>IF(L2405="","",IF(OR(Registro2[[#This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05" t="str">
        <f t="shared" si="47"/>
        <v>mai/25</v>
      </c>
      <c r="P2405" t="str">
        <f>IF(Registro2[[#This Row],[Data de Pagamento]]&gt;0,TEXT(A2405,"mmm/aa"),"")</f>
        <v>mai/25</v>
      </c>
      <c r="T2405" s="4">
        <f>IF(Registro2[[#This Row],[Data de Pagamento]]="",0,IF(Registro2[[#This Row],[Conta Financeira]]=base!$A$6,0,Registro2[[#This Row],[Valor Unitário]]))</f>
        <v>35</v>
      </c>
      <c r="U24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05" t="str">
        <f>VLOOKUP(Registro2[[#This Row],[Categoria]],'Plano de Contas'!$V$3:W2459,2,0)</f>
        <v>Receitas Serviços</v>
      </c>
      <c r="X24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06" spans="1:24" hidden="1">
      <c r="A2406" s="1">
        <v>45800</v>
      </c>
      <c r="B2406" s="1">
        <v>45800</v>
      </c>
      <c r="D2406" t="s">
        <v>1</v>
      </c>
      <c r="E2406" t="s">
        <v>149</v>
      </c>
      <c r="F2406" t="s">
        <v>147</v>
      </c>
      <c r="G2406" t="s">
        <v>163</v>
      </c>
      <c r="I2406" s="4">
        <v>35</v>
      </c>
      <c r="J2406" s="4">
        <v>35</v>
      </c>
      <c r="L2406" t="s">
        <v>253</v>
      </c>
      <c r="M2406" t="s">
        <v>107</v>
      </c>
      <c r="N2406" s="4">
        <f>IF(L2406="","",IF(OR(Registro2[[#This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06" t="str">
        <f t="shared" si="47"/>
        <v>mai/25</v>
      </c>
      <c r="P2406" t="str">
        <f>IF(Registro2[[#This Row],[Data de Pagamento]]&gt;0,TEXT(A2406,"mmm/aa"),"")</f>
        <v>mai/25</v>
      </c>
      <c r="T2406" s="4">
        <f>IF(Registro2[[#This Row],[Data de Pagamento]]="",0,IF(Registro2[[#This Row],[Conta Financeira]]=base!$A$6,0,Registro2[[#This Row],[Valor Unitário]]))</f>
        <v>35</v>
      </c>
      <c r="U24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06" t="str">
        <f>VLOOKUP(Registro2[[#This Row],[Categoria]],'Plano de Contas'!$V$3:W2460,2,0)</f>
        <v>Receitas Serviços</v>
      </c>
      <c r="X240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07" spans="1:24" hidden="1">
      <c r="A2407" s="1">
        <v>45800</v>
      </c>
      <c r="B2407" s="1">
        <v>45800</v>
      </c>
      <c r="D2407" t="s">
        <v>1</v>
      </c>
      <c r="E2407" t="s">
        <v>149</v>
      </c>
      <c r="F2407" t="s">
        <v>147</v>
      </c>
      <c r="G2407" t="s">
        <v>163</v>
      </c>
      <c r="I2407" s="4">
        <v>35</v>
      </c>
      <c r="J2407" s="4">
        <v>35</v>
      </c>
      <c r="L2407" t="s">
        <v>253</v>
      </c>
      <c r="M2407" t="s">
        <v>482</v>
      </c>
      <c r="N2407" s="4">
        <f>IF(L2407="","",IF(OR(Registro2[[#This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07" t="str">
        <f t="shared" si="47"/>
        <v>mai/25</v>
      </c>
      <c r="P2407" t="str">
        <f>IF(Registro2[[#This Row],[Data de Pagamento]]&gt;0,TEXT(A2407,"mmm/aa"),"")</f>
        <v>mai/25</v>
      </c>
      <c r="T2407" s="4">
        <f>IF(Registro2[[#This Row],[Data de Pagamento]]="",0,IF(Registro2[[#This Row],[Conta Financeira]]=base!$A$6,0,Registro2[[#This Row],[Valor Unitário]]))</f>
        <v>35</v>
      </c>
      <c r="U24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07" t="str">
        <f>VLOOKUP(Registro2[[#This Row],[Categoria]],'Plano de Contas'!$V$3:W2461,2,0)</f>
        <v>Receitas Serviços</v>
      </c>
      <c r="X240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08" spans="1:24" hidden="1">
      <c r="A2408" s="1">
        <v>45800</v>
      </c>
      <c r="B2408" s="1">
        <v>45800</v>
      </c>
      <c r="D2408" t="s">
        <v>1</v>
      </c>
      <c r="E2408" t="s">
        <v>149</v>
      </c>
      <c r="F2408" t="s">
        <v>147</v>
      </c>
      <c r="G2408" t="s">
        <v>163</v>
      </c>
      <c r="I2408" s="4">
        <v>35</v>
      </c>
      <c r="J2408" s="4">
        <v>35</v>
      </c>
      <c r="L2408" t="s">
        <v>253</v>
      </c>
      <c r="M2408" t="s">
        <v>278</v>
      </c>
      <c r="N2408" s="4">
        <f>IF(L2408="","",IF(OR(Registro2[[#This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08" t="str">
        <f t="shared" si="47"/>
        <v>mai/25</v>
      </c>
      <c r="P2408" t="str">
        <f>IF(Registro2[[#This Row],[Data de Pagamento]]&gt;0,TEXT(A2408,"mmm/aa"),"")</f>
        <v>mai/25</v>
      </c>
      <c r="T2408" s="4">
        <f>IF(Registro2[[#This Row],[Data de Pagamento]]="",0,IF(Registro2[[#This Row],[Conta Financeira]]=base!$A$6,0,Registro2[[#This Row],[Valor Unitário]]))</f>
        <v>35</v>
      </c>
      <c r="U24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08" t="str">
        <f>VLOOKUP(Registro2[[#This Row],[Categoria]],'Plano de Contas'!$V$3:W2462,2,0)</f>
        <v>Receitas Serviços</v>
      </c>
      <c r="X240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09" spans="1:24" hidden="1">
      <c r="A2409" s="1">
        <v>45800</v>
      </c>
      <c r="B2409" s="1">
        <v>45800</v>
      </c>
      <c r="D2409" t="s">
        <v>354</v>
      </c>
      <c r="E2409" t="s">
        <v>149</v>
      </c>
      <c r="F2409" t="s">
        <v>147</v>
      </c>
      <c r="G2409" t="s">
        <v>163</v>
      </c>
      <c r="I2409" s="4">
        <v>35</v>
      </c>
      <c r="J2409" s="4">
        <v>45</v>
      </c>
      <c r="L2409" t="s">
        <v>264</v>
      </c>
      <c r="M2409" t="s">
        <v>3204</v>
      </c>
      <c r="N2409" s="4">
        <f>IF(L2409="","",IF(OR(Registro2[[#This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09" t="str">
        <f t="shared" si="47"/>
        <v>mai/25</v>
      </c>
      <c r="P2409" t="str">
        <f>IF(Registro2[[#This Row],[Data de Pagamento]]&gt;0,TEXT(A2409,"mmm/aa"),"")</f>
        <v>mai/25</v>
      </c>
      <c r="T2409" s="4">
        <f>IF(Registro2[[#This Row],[Data de Pagamento]]="",0,IF(Registro2[[#This Row],[Conta Financeira]]=base!$A$6,0,Registro2[[#This Row],[Valor Unitário]]))</f>
        <v>35</v>
      </c>
      <c r="U24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09" t="str">
        <f>VLOOKUP(Registro2[[#This Row],[Categoria]],'Plano de Contas'!$V$3:W2463,2,0)</f>
        <v>Receitas Serviços</v>
      </c>
      <c r="X240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410" spans="1:24" hidden="1">
      <c r="A2410" s="1">
        <v>45800</v>
      </c>
      <c r="B2410" s="1">
        <v>45800</v>
      </c>
      <c r="D2410" t="s">
        <v>354</v>
      </c>
      <c r="E2410" t="s">
        <v>149</v>
      </c>
      <c r="F2410" t="s">
        <v>147</v>
      </c>
      <c r="G2410" t="s">
        <v>167</v>
      </c>
      <c r="I2410" s="4">
        <v>10</v>
      </c>
      <c r="J2410" s="4" t="s">
        <v>1604</v>
      </c>
      <c r="L2410" t="s">
        <v>264</v>
      </c>
      <c r="M2410" t="s">
        <v>3204</v>
      </c>
      <c r="N2410" s="4">
        <f>IF(L2410="","",IF(OR(Registro2[[#This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410" t="str">
        <f t="shared" si="47"/>
        <v>mai/25</v>
      </c>
      <c r="P2410" t="str">
        <f>IF(Registro2[[#This Row],[Data de Pagamento]]&gt;0,TEXT(A2410,"mmm/aa"),"")</f>
        <v>mai/25</v>
      </c>
      <c r="T2410" s="4">
        <f>IF(Registro2[[#This Row],[Data de Pagamento]]="",0,IF(Registro2[[#This Row],[Conta Financeira]]=base!$A$6,0,Registro2[[#This Row],[Valor Unitário]]))</f>
        <v>10</v>
      </c>
      <c r="U24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10" t="str">
        <f>VLOOKUP(Registro2[[#This Row],[Categoria]],'Plano de Contas'!$V$3:W2464,2,0)</f>
        <v>Receitas Serviços</v>
      </c>
      <c r="X241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</row>
    <row r="2411" spans="1:24" hidden="1">
      <c r="A2411" s="1">
        <v>45801</v>
      </c>
      <c r="B2411" s="1">
        <v>45801</v>
      </c>
      <c r="D2411" t="s">
        <v>2</v>
      </c>
      <c r="E2411" t="s">
        <v>149</v>
      </c>
      <c r="F2411" t="s">
        <v>147</v>
      </c>
      <c r="G2411" t="s">
        <v>163</v>
      </c>
      <c r="I2411" s="4">
        <v>35</v>
      </c>
      <c r="J2411" s="4">
        <v>70</v>
      </c>
      <c r="L2411" t="s">
        <v>264</v>
      </c>
      <c r="M2411" t="s">
        <v>496</v>
      </c>
      <c r="N2411" s="4">
        <f>IF(L2411="","",IF(OR(Registro2[[#This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11" t="str">
        <f t="shared" si="47"/>
        <v>mai/25</v>
      </c>
      <c r="P2411" t="str">
        <f>IF(Registro2[[#This Row],[Data de Pagamento]]&gt;0,TEXT(A2411,"mmm/aa"),"")</f>
        <v>mai/25</v>
      </c>
      <c r="T2411" s="4">
        <f>IF(Registro2[[#This Row],[Data de Pagamento]]="",0,IF(Registro2[[#This Row],[Conta Financeira]]=base!$A$6,0,Registro2[[#This Row],[Valor Unitário]]))</f>
        <v>35</v>
      </c>
      <c r="U24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11" t="str">
        <f>VLOOKUP(Registro2[[#This Row],[Categoria]],'Plano de Contas'!$V$3:W2465,2,0)</f>
        <v>Receitas Serviços</v>
      </c>
      <c r="X24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12" spans="1:24" hidden="1">
      <c r="A2412" s="1">
        <v>45801</v>
      </c>
      <c r="B2412" s="1">
        <v>45801</v>
      </c>
      <c r="D2412" t="s">
        <v>2</v>
      </c>
      <c r="E2412" t="s">
        <v>149</v>
      </c>
      <c r="F2412" t="s">
        <v>150</v>
      </c>
      <c r="G2412" t="s">
        <v>2536</v>
      </c>
      <c r="I2412" s="4">
        <v>35</v>
      </c>
      <c r="J2412" s="4" t="s">
        <v>1604</v>
      </c>
      <c r="L2412" t="s">
        <v>264</v>
      </c>
      <c r="M2412" t="s">
        <v>496</v>
      </c>
      <c r="N2412" s="4">
        <f>IF(L2412="","",IF(OR(Registro2[[#This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14</v>
      </c>
      <c r="O2412" t="str">
        <f t="shared" si="47"/>
        <v>mai/25</v>
      </c>
      <c r="P2412" t="str">
        <f>IF(Registro2[[#This Row],[Data de Pagamento]]&gt;0,TEXT(A2412,"mmm/aa"),"")</f>
        <v>mai/25</v>
      </c>
      <c r="T2412" s="4">
        <f>IF(Registro2[[#This Row],[Data de Pagamento]]="",0,IF(Registro2[[#This Row],[Conta Financeira]]=base!$A$6,0,Registro2[[#This Row],[Valor Unitário]]))</f>
        <v>35</v>
      </c>
      <c r="U24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12" t="e">
        <f>VLOOKUP(Registro2[[#This Row],[Categoria]],'Plano de Contas'!$V$3:W2466,2,0)</f>
        <v>#N/A</v>
      </c>
      <c r="X241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13" spans="1:24" hidden="1">
      <c r="A2413" s="1">
        <v>45800</v>
      </c>
      <c r="B2413" s="1">
        <v>45800</v>
      </c>
      <c r="D2413" t="s">
        <v>354</v>
      </c>
      <c r="E2413" t="s">
        <v>149</v>
      </c>
      <c r="F2413" t="s">
        <v>152</v>
      </c>
      <c r="G2413" t="s">
        <v>353</v>
      </c>
      <c r="I2413" s="4">
        <v>60</v>
      </c>
      <c r="J2413" s="4">
        <v>100</v>
      </c>
      <c r="L2413" t="s">
        <v>253</v>
      </c>
      <c r="M2413" t="s">
        <v>1405</v>
      </c>
      <c r="N2413" s="4">
        <f>IF(L2413="","",IF(OR(Registro2[[#This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413" t="str">
        <f t="shared" si="47"/>
        <v>mai/25</v>
      </c>
      <c r="P2413" t="str">
        <f>IF(Registro2[[#This Row],[Data de Pagamento]]&gt;0,TEXT(A2413,"mmm/aa"),"")</f>
        <v>mai/25</v>
      </c>
      <c r="T2413" s="4">
        <f>IF(Registro2[[#This Row],[Data de Pagamento]]="",0,IF(Registro2[[#This Row],[Conta Financeira]]=base!$A$6,0,Registro2[[#This Row],[Valor Unitário]]))</f>
        <v>60</v>
      </c>
      <c r="U24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13" t="str">
        <f>VLOOKUP(Registro2[[#This Row],[Categoria]],'Plano de Contas'!$V$3:W2467,2,0)</f>
        <v>Receitas Serviços</v>
      </c>
      <c r="X241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</row>
    <row r="2414" spans="1:24" hidden="1">
      <c r="A2414" s="1">
        <v>45800</v>
      </c>
      <c r="B2414" s="1">
        <v>45800</v>
      </c>
      <c r="D2414" t="s">
        <v>354</v>
      </c>
      <c r="E2414" t="s">
        <v>149</v>
      </c>
      <c r="F2414" t="s">
        <v>150</v>
      </c>
      <c r="G2414" t="s">
        <v>472</v>
      </c>
      <c r="I2414" s="4">
        <v>40</v>
      </c>
      <c r="J2414" s="4" t="s">
        <v>1604</v>
      </c>
      <c r="L2414" t="s">
        <v>253</v>
      </c>
      <c r="M2414" t="s">
        <v>1405</v>
      </c>
      <c r="N2414" s="4">
        <f>IF(L2414="","",IF(OR(Registro2[[#This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2414" t="str">
        <f t="shared" si="47"/>
        <v>mai/25</v>
      </c>
      <c r="P2414" t="str">
        <f>IF(Registro2[[#This Row],[Data de Pagamento]]&gt;0,TEXT(A2414,"mmm/aa"),"")</f>
        <v>mai/25</v>
      </c>
      <c r="T2414" s="4">
        <f>IF(Registro2[[#This Row],[Data de Pagamento]]="",0,IF(Registro2[[#This Row],[Conta Financeira]]=base!$A$6,0,Registro2[[#This Row],[Valor Unitário]]))</f>
        <v>40</v>
      </c>
      <c r="U24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14" t="str">
        <f>VLOOKUP(Registro2[[#This Row],[Categoria]],'Plano de Contas'!$V$3:W2468,2,0)</f>
        <v>Receitas Produtos</v>
      </c>
      <c r="X241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1.26</v>
      </c>
    </row>
    <row r="2415" spans="1:24" hidden="1">
      <c r="A2415" s="1">
        <v>45801</v>
      </c>
      <c r="B2415" s="1">
        <v>45801</v>
      </c>
      <c r="D2415" t="s">
        <v>1</v>
      </c>
      <c r="E2415" t="s">
        <v>149</v>
      </c>
      <c r="F2415" t="s">
        <v>147</v>
      </c>
      <c r="G2415" t="s">
        <v>163</v>
      </c>
      <c r="I2415" s="4">
        <v>35</v>
      </c>
      <c r="J2415" s="4">
        <v>35</v>
      </c>
      <c r="L2415" t="s">
        <v>252</v>
      </c>
      <c r="M2415" t="s">
        <v>38</v>
      </c>
      <c r="N2415" s="4">
        <f>IF(L2415="","",IF(OR(Registro2[[#This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15" t="str">
        <f t="shared" si="47"/>
        <v>mai/25</v>
      </c>
      <c r="P2415" t="str">
        <f>IF(Registro2[[#This Row],[Data de Pagamento]]&gt;0,TEXT(A2415,"mmm/aa"),"")</f>
        <v>mai/25</v>
      </c>
      <c r="T2415" s="4">
        <f>IF(Registro2[[#This Row],[Data de Pagamento]]="",0,IF(Registro2[[#This Row],[Conta Financeira]]=base!$A$6,0,Registro2[[#This Row],[Valor Unitário]]))</f>
        <v>35</v>
      </c>
      <c r="U24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15" t="str">
        <f>VLOOKUP(Registro2[[#This Row],[Categoria]],'Plano de Contas'!$V$3:W2469,2,0)</f>
        <v>Receitas Serviços</v>
      </c>
      <c r="X241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16" spans="1:24" hidden="1">
      <c r="A2416" s="1">
        <v>45801</v>
      </c>
      <c r="B2416" s="1">
        <v>45801</v>
      </c>
      <c r="D2416" t="s">
        <v>310</v>
      </c>
      <c r="E2416" t="s">
        <v>149</v>
      </c>
      <c r="F2416" t="s">
        <v>152</v>
      </c>
      <c r="G2416" t="s">
        <v>353</v>
      </c>
      <c r="I2416" s="4">
        <v>60</v>
      </c>
      <c r="J2416" s="4">
        <v>110</v>
      </c>
      <c r="L2416" t="s">
        <v>252</v>
      </c>
      <c r="M2416" t="s">
        <v>11</v>
      </c>
      <c r="N2416" s="4">
        <f>IF(L2416="","",IF(OR(Registro2[[#This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416" t="str">
        <f t="shared" si="47"/>
        <v>mai/25</v>
      </c>
      <c r="P2416" t="str">
        <f>IF(Registro2[[#This Row],[Data de Pagamento]]&gt;0,TEXT(A2416,"mmm/aa"),"")</f>
        <v>mai/25</v>
      </c>
      <c r="T2416" s="4">
        <f>IF(Registro2[[#This Row],[Data de Pagamento]]="",0,IF(Registro2[[#This Row],[Conta Financeira]]=base!$A$6,0,Registro2[[#This Row],[Valor Unitário]]))</f>
        <v>60</v>
      </c>
      <c r="U24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16" t="str">
        <f>VLOOKUP(Registro2[[#This Row],[Categoria]],'Plano de Contas'!$V$3:W2470,2,0)</f>
        <v>Receitas Serviços</v>
      </c>
      <c r="X241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</row>
    <row r="2417" spans="1:24" hidden="1">
      <c r="A2417" s="1">
        <v>45801</v>
      </c>
      <c r="B2417" s="1">
        <v>45801</v>
      </c>
      <c r="D2417" t="s">
        <v>310</v>
      </c>
      <c r="E2417" t="s">
        <v>149</v>
      </c>
      <c r="F2417" t="s">
        <v>147</v>
      </c>
      <c r="G2417" t="s">
        <v>163</v>
      </c>
      <c r="I2417" s="4">
        <v>35</v>
      </c>
      <c r="J2417" s="4" t="s">
        <v>1604</v>
      </c>
      <c r="L2417" t="s">
        <v>253</v>
      </c>
      <c r="M2417" t="s">
        <v>11</v>
      </c>
      <c r="N2417" s="4">
        <f>IF(L2417="","",IF(OR(Registro2[[#This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17" t="str">
        <f t="shared" si="47"/>
        <v>mai/25</v>
      </c>
      <c r="P2417" t="str">
        <f>IF(Registro2[[#This Row],[Data de Pagamento]]&gt;0,TEXT(A2417,"mmm/aa"),"")</f>
        <v>mai/25</v>
      </c>
      <c r="T2417" s="4">
        <f>IF(Registro2[[#This Row],[Data de Pagamento]]="",0,IF(Registro2[[#This Row],[Conta Financeira]]=base!$A$6,0,Registro2[[#This Row],[Valor Unitário]]))</f>
        <v>35</v>
      </c>
      <c r="U24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17" t="str">
        <f>VLOOKUP(Registro2[[#This Row],[Categoria]],'Plano de Contas'!$V$3:W2471,2,0)</f>
        <v>Receitas Serviços</v>
      </c>
      <c r="X241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418" spans="1:24" hidden="1">
      <c r="A2418" s="1">
        <v>45801</v>
      </c>
      <c r="B2418" s="1">
        <v>45801</v>
      </c>
      <c r="D2418" t="s">
        <v>310</v>
      </c>
      <c r="E2418" t="s">
        <v>149</v>
      </c>
      <c r="F2418" t="s">
        <v>147</v>
      </c>
      <c r="G2418" t="s">
        <v>1446</v>
      </c>
      <c r="I2418" s="4">
        <v>15</v>
      </c>
      <c r="J2418" s="4" t="s">
        <v>1604</v>
      </c>
      <c r="L2418" t="s">
        <v>252</v>
      </c>
      <c r="M2418" t="s">
        <v>11</v>
      </c>
      <c r="N2418" s="4">
        <f>IF(L2418="","",IF(OR(Registro2[[#This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418" t="str">
        <f t="shared" si="47"/>
        <v>mai/25</v>
      </c>
      <c r="P2418" t="str">
        <f>IF(Registro2[[#This Row],[Data de Pagamento]]&gt;0,TEXT(A2418,"mmm/aa"),"")</f>
        <v>mai/25</v>
      </c>
      <c r="T2418" s="4">
        <f>IF(Registro2[[#This Row],[Data de Pagamento]]="",0,IF(Registro2[[#This Row],[Conta Financeira]]=base!$A$6,0,Registro2[[#This Row],[Valor Unitário]]))</f>
        <v>15</v>
      </c>
      <c r="U24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18" t="e">
        <f>VLOOKUP(Registro2[[#This Row],[Categoria]],'Plano de Contas'!$V$3:W2472,2,0)</f>
        <v>#N/A</v>
      </c>
      <c r="X241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</row>
    <row r="2419" spans="1:24" hidden="1">
      <c r="A2419" s="1">
        <v>45800</v>
      </c>
      <c r="B2419" s="1">
        <v>45800</v>
      </c>
      <c r="D2419" t="s">
        <v>2</v>
      </c>
      <c r="E2419" t="s">
        <v>149</v>
      </c>
      <c r="F2419" t="s">
        <v>147</v>
      </c>
      <c r="G2419" t="s">
        <v>163</v>
      </c>
      <c r="I2419" s="4">
        <v>35</v>
      </c>
      <c r="J2419" s="4">
        <v>35</v>
      </c>
      <c r="L2419" t="s">
        <v>252</v>
      </c>
      <c r="M2419" t="s">
        <v>200</v>
      </c>
      <c r="N2419" s="4">
        <f>IF(L2419="","",IF(OR(Registro2[[#This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19" t="str">
        <f t="shared" si="47"/>
        <v>mai/25</v>
      </c>
      <c r="P2419" t="str">
        <f>IF(Registro2[[#This Row],[Data de Pagamento]]&gt;0,TEXT(A2419,"mmm/aa"),"")</f>
        <v>mai/25</v>
      </c>
      <c r="T2419" s="4">
        <f>IF(Registro2[[#This Row],[Data de Pagamento]]="",0,IF(Registro2[[#This Row],[Conta Financeira]]=base!$A$6,0,Registro2[[#This Row],[Valor Unitário]]))</f>
        <v>35</v>
      </c>
      <c r="U24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19" t="str">
        <f>VLOOKUP(Registro2[[#This Row],[Categoria]],'Plano de Contas'!$V$3:W2473,2,0)</f>
        <v>Receitas Serviços</v>
      </c>
      <c r="X241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20" spans="1:24" hidden="1">
      <c r="A2420" s="1">
        <v>45800</v>
      </c>
      <c r="B2420" s="1">
        <v>45800</v>
      </c>
      <c r="D2420" t="s">
        <v>2</v>
      </c>
      <c r="E2420" t="s">
        <v>149</v>
      </c>
      <c r="F2420" t="s">
        <v>147</v>
      </c>
      <c r="G2420" t="s">
        <v>163</v>
      </c>
      <c r="I2420" s="4">
        <v>35</v>
      </c>
      <c r="J2420" s="4">
        <v>35</v>
      </c>
      <c r="L2420" t="s">
        <v>252</v>
      </c>
      <c r="M2420" t="s">
        <v>2585</v>
      </c>
      <c r="N2420" s="4">
        <f>IF(L2420="","",IF(OR(Registro2[[#This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20" t="str">
        <f t="shared" si="47"/>
        <v>mai/25</v>
      </c>
      <c r="P2420" t="str">
        <f>IF(Registro2[[#This Row],[Data de Pagamento]]&gt;0,TEXT(A2420,"mmm/aa"),"")</f>
        <v>mai/25</v>
      </c>
      <c r="T2420" s="4">
        <f>IF(Registro2[[#This Row],[Data de Pagamento]]="",0,IF(Registro2[[#This Row],[Conta Financeira]]=base!$A$6,0,Registro2[[#This Row],[Valor Unitário]]))</f>
        <v>35</v>
      </c>
      <c r="U24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20" t="str">
        <f>VLOOKUP(Registro2[[#This Row],[Categoria]],'Plano de Contas'!$V$3:W2474,2,0)</f>
        <v>Receitas Serviços</v>
      </c>
      <c r="X242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21" spans="1:24" hidden="1">
      <c r="A2421" s="1">
        <v>45800</v>
      </c>
      <c r="B2421" s="1">
        <v>45800</v>
      </c>
      <c r="D2421" t="s">
        <v>1</v>
      </c>
      <c r="E2421" t="s">
        <v>149</v>
      </c>
      <c r="F2421" t="s">
        <v>147</v>
      </c>
      <c r="G2421" t="s">
        <v>163</v>
      </c>
      <c r="I2421" s="4">
        <v>35</v>
      </c>
      <c r="J2421" s="4">
        <v>35</v>
      </c>
      <c r="L2421" t="s">
        <v>264</v>
      </c>
      <c r="M2421" t="s">
        <v>2403</v>
      </c>
      <c r="N2421" s="4">
        <f>IF(L2421="","",IF(OR(Registro2[[#This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21" t="str">
        <f t="shared" si="47"/>
        <v>mai/25</v>
      </c>
      <c r="P2421" t="str">
        <f>IF(Registro2[[#This Row],[Data de Pagamento]]&gt;0,TEXT(A2421,"mmm/aa"),"")</f>
        <v>mai/25</v>
      </c>
      <c r="T2421" s="4">
        <f>IF(Registro2[[#This Row],[Data de Pagamento]]="",0,IF(Registro2[[#This Row],[Conta Financeira]]=base!$A$6,0,Registro2[[#This Row],[Valor Unitário]]))</f>
        <v>35</v>
      </c>
      <c r="U24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21" t="str">
        <f>VLOOKUP(Registro2[[#This Row],[Categoria]],'Plano de Contas'!$V$3:W2475,2,0)</f>
        <v>Receitas Serviços</v>
      </c>
      <c r="X242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22" spans="1:24" hidden="1">
      <c r="A2422" s="1">
        <v>45800</v>
      </c>
      <c r="B2422" s="1">
        <v>45800</v>
      </c>
      <c r="D2422" t="s">
        <v>354</v>
      </c>
      <c r="E2422" t="s">
        <v>149</v>
      </c>
      <c r="F2422" t="s">
        <v>152</v>
      </c>
      <c r="G2422" t="s">
        <v>353</v>
      </c>
      <c r="I2422" s="4">
        <v>60</v>
      </c>
      <c r="J2422" s="4">
        <v>75</v>
      </c>
      <c r="L2422" t="s">
        <v>252</v>
      </c>
      <c r="M2422" t="s">
        <v>398</v>
      </c>
      <c r="N2422" s="4">
        <f>IF(L2422="","",IF(OR(Registro2[[#This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422" t="str">
        <f t="shared" si="47"/>
        <v>mai/25</v>
      </c>
      <c r="P2422" t="str">
        <f>IF(Registro2[[#This Row],[Data de Pagamento]]&gt;0,TEXT(A2422,"mmm/aa"),"")</f>
        <v>mai/25</v>
      </c>
      <c r="T2422" s="4">
        <f>IF(Registro2[[#This Row],[Data de Pagamento]]="",0,IF(Registro2[[#This Row],[Conta Financeira]]=base!$A$6,0,Registro2[[#This Row],[Valor Unitário]]))</f>
        <v>60</v>
      </c>
      <c r="U24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22" t="str">
        <f>VLOOKUP(Registro2[[#This Row],[Categoria]],'Plano de Contas'!$V$3:W2476,2,0)</f>
        <v>Receitas Serviços</v>
      </c>
      <c r="X242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1.8900000000000001</v>
      </c>
    </row>
    <row r="2423" spans="1:24" hidden="1">
      <c r="A2423" s="1">
        <v>45800</v>
      </c>
      <c r="B2423" s="1">
        <v>45800</v>
      </c>
      <c r="D2423" t="s">
        <v>354</v>
      </c>
      <c r="E2423" t="s">
        <v>149</v>
      </c>
      <c r="F2423" t="s">
        <v>147</v>
      </c>
      <c r="G2423" t="s">
        <v>1187</v>
      </c>
      <c r="I2423" s="4">
        <v>15</v>
      </c>
      <c r="J2423" s="4" t="s">
        <v>1604</v>
      </c>
      <c r="L2423" t="s">
        <v>252</v>
      </c>
      <c r="M2423" t="s">
        <v>398</v>
      </c>
      <c r="N2423" s="4">
        <f>IF(L2423="","",IF(OR(Registro2[[#This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423" t="str">
        <f t="shared" si="47"/>
        <v>mai/25</v>
      </c>
      <c r="P2423" t="str">
        <f>IF(Registro2[[#This Row],[Data de Pagamento]]&gt;0,TEXT(A2423,"mmm/aa"),"")</f>
        <v>mai/25</v>
      </c>
      <c r="T2423" s="4">
        <f>IF(Registro2[[#This Row],[Data de Pagamento]]="",0,IF(Registro2[[#This Row],[Conta Financeira]]=base!$A$6,0,Registro2[[#This Row],[Valor Unitário]]))</f>
        <v>15</v>
      </c>
      <c r="U24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23" t="str">
        <f>VLOOKUP(Registro2[[#This Row],[Categoria]],'Plano de Contas'!$V$3:W2477,2,0)</f>
        <v>Receitas Serviços</v>
      </c>
      <c r="X242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0.47250000000000003</v>
      </c>
    </row>
    <row r="2424" spans="1:24" hidden="1">
      <c r="A2424" s="1">
        <v>45801</v>
      </c>
      <c r="B2424" s="1">
        <v>45801</v>
      </c>
      <c r="D2424" t="s">
        <v>1</v>
      </c>
      <c r="E2424" t="s">
        <v>149</v>
      </c>
      <c r="F2424" t="s">
        <v>147</v>
      </c>
      <c r="G2424" t="s">
        <v>163</v>
      </c>
      <c r="I2424" s="4">
        <v>35</v>
      </c>
      <c r="J2424" s="4">
        <v>85</v>
      </c>
      <c r="L2424" t="s">
        <v>252</v>
      </c>
      <c r="M2424" t="s">
        <v>286</v>
      </c>
      <c r="N2424" s="4">
        <f>IF(L2424="","",IF(OR(Registro2[[#This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24" t="str">
        <f t="shared" si="47"/>
        <v>mai/25</v>
      </c>
      <c r="P2424" t="str">
        <f>IF(Registro2[[#This Row],[Data de Pagamento]]&gt;0,TEXT(A2424,"mmm/aa"),"")</f>
        <v>mai/25</v>
      </c>
      <c r="T2424" s="4">
        <f>IF(Registro2[[#This Row],[Data de Pagamento]]="",0,IF(Registro2[[#This Row],[Conta Financeira]]=base!$A$6,0,Registro2[[#This Row],[Valor Unitário]]))</f>
        <v>35</v>
      </c>
      <c r="U24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24" t="str">
        <f>VLOOKUP(Registro2[[#This Row],[Categoria]],'Plano de Contas'!$V$3:W2478,2,0)</f>
        <v>Receitas Serviços</v>
      </c>
      <c r="X242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25" spans="1:24" hidden="1">
      <c r="A2425" s="1">
        <v>45801</v>
      </c>
      <c r="B2425" s="1">
        <v>45801</v>
      </c>
      <c r="D2425" t="s">
        <v>1</v>
      </c>
      <c r="E2425" t="s">
        <v>149</v>
      </c>
      <c r="F2425" t="s">
        <v>147</v>
      </c>
      <c r="G2425" t="s">
        <v>167</v>
      </c>
      <c r="I2425" s="4">
        <v>10</v>
      </c>
      <c r="J2425" s="4" t="s">
        <v>1604</v>
      </c>
      <c r="L2425" t="s">
        <v>252</v>
      </c>
      <c r="M2425" t="s">
        <v>286</v>
      </c>
      <c r="N2425" s="4">
        <f>IF(L2425="","",IF(OR(Registro2[[#This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425" t="str">
        <f t="shared" si="47"/>
        <v>mai/25</v>
      </c>
      <c r="P2425" t="str">
        <f>IF(Registro2[[#This Row],[Data de Pagamento]]&gt;0,TEXT(A2425,"mmm/aa"),"")</f>
        <v>mai/25</v>
      </c>
      <c r="T2425" s="4">
        <f>IF(Registro2[[#This Row],[Data de Pagamento]]="",0,IF(Registro2[[#This Row],[Conta Financeira]]=base!$A$6,0,Registro2[[#This Row],[Valor Unitário]]))</f>
        <v>10</v>
      </c>
      <c r="U24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25" t="str">
        <f>VLOOKUP(Registro2[[#This Row],[Categoria]],'Plano de Contas'!$V$3:W2479,2,0)</f>
        <v>Receitas Serviços</v>
      </c>
      <c r="X242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26" spans="1:24" hidden="1">
      <c r="A2426" s="1">
        <v>45801</v>
      </c>
      <c r="B2426" s="1">
        <v>45801</v>
      </c>
      <c r="D2426" t="s">
        <v>1</v>
      </c>
      <c r="E2426" t="s">
        <v>149</v>
      </c>
      <c r="F2426" t="s">
        <v>147</v>
      </c>
      <c r="G2426" t="s">
        <v>1187</v>
      </c>
      <c r="I2426" s="4">
        <v>15</v>
      </c>
      <c r="J2426" s="4" t="s">
        <v>1604</v>
      </c>
      <c r="L2426" t="s">
        <v>252</v>
      </c>
      <c r="M2426" t="s">
        <v>286</v>
      </c>
      <c r="N2426" s="4">
        <f>IF(L2426="","",IF(OR(Registro2[[#This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426" t="str">
        <f t="shared" si="47"/>
        <v>mai/25</v>
      </c>
      <c r="P2426" t="str">
        <f>IF(Registro2[[#This Row],[Data de Pagamento]]&gt;0,TEXT(A2426,"mmm/aa"),"")</f>
        <v>mai/25</v>
      </c>
      <c r="T2426" s="4">
        <f>IF(Registro2[[#This Row],[Data de Pagamento]]="",0,IF(Registro2[[#This Row],[Conta Financeira]]=base!$A$6,0,Registro2[[#This Row],[Valor Unitário]]))</f>
        <v>15</v>
      </c>
      <c r="U24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26" t="str">
        <f>VLOOKUP(Registro2[[#This Row],[Categoria]],'Plano de Contas'!$V$3:W2480,2,0)</f>
        <v>Receitas Serviços</v>
      </c>
      <c r="X242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27" spans="1:24" hidden="1">
      <c r="A2427" s="1">
        <v>45801</v>
      </c>
      <c r="B2427" s="1">
        <v>45801</v>
      </c>
      <c r="D2427" t="s">
        <v>1</v>
      </c>
      <c r="E2427" t="s">
        <v>149</v>
      </c>
      <c r="F2427" t="s">
        <v>147</v>
      </c>
      <c r="G2427" t="s">
        <v>2830</v>
      </c>
      <c r="I2427" s="4">
        <v>25</v>
      </c>
      <c r="J2427" s="4" t="s">
        <v>1604</v>
      </c>
      <c r="L2427" t="s">
        <v>252</v>
      </c>
      <c r="M2427" t="s">
        <v>286</v>
      </c>
      <c r="N2427" s="4">
        <f>IF(L2427="","",IF(OR(Registro2[[#This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2427" t="str">
        <f t="shared" si="47"/>
        <v>mai/25</v>
      </c>
      <c r="P2427" t="str">
        <f>IF(Registro2[[#This Row],[Data de Pagamento]]&gt;0,TEXT(A2427,"mmm/aa"),"")</f>
        <v>mai/25</v>
      </c>
      <c r="T2427" s="4">
        <f>IF(Registro2[[#This Row],[Data de Pagamento]]="",0,IF(Registro2[[#This Row],[Conta Financeira]]=base!$A$6,0,Registro2[[#This Row],[Valor Unitário]]))</f>
        <v>25</v>
      </c>
      <c r="U24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27" t="e">
        <f>VLOOKUP(Registro2[[#This Row],[Categoria]],'Plano de Contas'!$V$3:W2481,2,0)</f>
        <v>#N/A</v>
      </c>
      <c r="X242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28" spans="1:24" hidden="1">
      <c r="A2428" s="1">
        <v>45801</v>
      </c>
      <c r="B2428" s="1">
        <v>45801</v>
      </c>
      <c r="D2428" t="s">
        <v>1</v>
      </c>
      <c r="E2428" t="s">
        <v>149</v>
      </c>
      <c r="F2428" t="s">
        <v>147</v>
      </c>
      <c r="G2428" t="s">
        <v>163</v>
      </c>
      <c r="I2428" s="4">
        <v>35</v>
      </c>
      <c r="J2428" s="4">
        <v>35</v>
      </c>
      <c r="L2428" t="s">
        <v>253</v>
      </c>
      <c r="M2428" t="s">
        <v>1130</v>
      </c>
      <c r="N2428" s="4">
        <f>IF(L2428="","",IF(OR(Registro2[[#This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28" t="str">
        <f t="shared" si="47"/>
        <v>mai/25</v>
      </c>
      <c r="P2428" t="str">
        <f>IF(Registro2[[#This Row],[Data de Pagamento]]&gt;0,TEXT(A2428,"mmm/aa"),"")</f>
        <v>mai/25</v>
      </c>
      <c r="T2428" s="4">
        <f>IF(Registro2[[#This Row],[Data de Pagamento]]="",0,IF(Registro2[[#This Row],[Conta Financeira]]=base!$A$6,0,Registro2[[#This Row],[Valor Unitário]]))</f>
        <v>35</v>
      </c>
      <c r="U24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28" t="str">
        <f>VLOOKUP(Registro2[[#This Row],[Categoria]],'Plano de Contas'!$V$3:W2482,2,0)</f>
        <v>Receitas Serviços</v>
      </c>
      <c r="X242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29" spans="1:24" hidden="1">
      <c r="A2429" s="1">
        <v>45800</v>
      </c>
      <c r="B2429" s="1">
        <v>45800</v>
      </c>
      <c r="D2429" t="s">
        <v>1</v>
      </c>
      <c r="E2429" t="s">
        <v>149</v>
      </c>
      <c r="F2429" t="s">
        <v>147</v>
      </c>
      <c r="G2429" t="s">
        <v>163</v>
      </c>
      <c r="I2429" s="4">
        <v>35</v>
      </c>
      <c r="J2429" s="4">
        <v>55</v>
      </c>
      <c r="L2429" t="s">
        <v>264</v>
      </c>
      <c r="M2429" t="s">
        <v>202</v>
      </c>
      <c r="N2429" s="4">
        <f>IF(L2429="","",IF(OR(Registro2[[#This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29" t="str">
        <f t="shared" si="47"/>
        <v>mai/25</v>
      </c>
      <c r="P2429" t="str">
        <f>IF(Registro2[[#This Row],[Data de Pagamento]]&gt;0,TEXT(A2429,"mmm/aa"),"")</f>
        <v>mai/25</v>
      </c>
      <c r="T2429" s="4">
        <f>IF(Registro2[[#This Row],[Data de Pagamento]]="",0,IF(Registro2[[#This Row],[Conta Financeira]]=base!$A$6,0,Registro2[[#This Row],[Valor Unitário]]))</f>
        <v>35</v>
      </c>
      <c r="U24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29" t="str">
        <f>VLOOKUP(Registro2[[#This Row],[Categoria]],'Plano de Contas'!$V$3:W2483,2,0)</f>
        <v>Receitas Serviços</v>
      </c>
      <c r="X24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30" spans="1:24" hidden="1">
      <c r="A2430" s="1">
        <v>45800</v>
      </c>
      <c r="B2430" s="1">
        <v>45800</v>
      </c>
      <c r="D2430" t="s">
        <v>1</v>
      </c>
      <c r="E2430" t="s">
        <v>149</v>
      </c>
      <c r="F2430" t="s">
        <v>147</v>
      </c>
      <c r="G2430" t="s">
        <v>166</v>
      </c>
      <c r="I2430" s="4">
        <v>20</v>
      </c>
      <c r="J2430" s="4" t="s">
        <v>1604</v>
      </c>
      <c r="L2430" t="s">
        <v>264</v>
      </c>
      <c r="M2430" t="s">
        <v>202</v>
      </c>
      <c r="N2430" s="4">
        <f>IF(L2430="","",IF(OR(Registro2[[#This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430" t="str">
        <f t="shared" si="47"/>
        <v>mai/25</v>
      </c>
      <c r="P2430" t="str">
        <f>IF(Registro2[[#This Row],[Data de Pagamento]]&gt;0,TEXT(A2430,"mmm/aa"),"")</f>
        <v>mai/25</v>
      </c>
      <c r="T2430" s="4">
        <f>IF(Registro2[[#This Row],[Data de Pagamento]]="",0,IF(Registro2[[#This Row],[Conta Financeira]]=base!$A$6,0,Registro2[[#This Row],[Valor Unitário]]))</f>
        <v>20</v>
      </c>
      <c r="U24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30" t="str">
        <f>VLOOKUP(Registro2[[#This Row],[Categoria]],'Plano de Contas'!$V$3:W2484,2,0)</f>
        <v>Receitas Serviços</v>
      </c>
      <c r="X243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31" spans="1:24" hidden="1">
      <c r="A2431" s="1">
        <v>45801</v>
      </c>
      <c r="B2431" s="1">
        <v>45801</v>
      </c>
      <c r="D2431" t="s">
        <v>1</v>
      </c>
      <c r="E2431" t="s">
        <v>149</v>
      </c>
      <c r="F2431" t="s">
        <v>147</v>
      </c>
      <c r="G2431" t="s">
        <v>163</v>
      </c>
      <c r="I2431" s="4">
        <v>35</v>
      </c>
      <c r="J2431" s="4">
        <v>45</v>
      </c>
      <c r="L2431" t="s">
        <v>253</v>
      </c>
      <c r="M2431" t="s">
        <v>476</v>
      </c>
      <c r="N2431" s="4">
        <f>IF(L2431="","",IF(OR(Registro2[[#This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31" t="str">
        <f t="shared" si="47"/>
        <v>mai/25</v>
      </c>
      <c r="P2431" t="str">
        <f>IF(Registro2[[#This Row],[Data de Pagamento]]&gt;0,TEXT(A2431,"mmm/aa"),"")</f>
        <v>mai/25</v>
      </c>
      <c r="T2431" s="4">
        <f>IF(Registro2[[#This Row],[Data de Pagamento]]="",0,IF(Registro2[[#This Row],[Conta Financeira]]=base!$A$6,0,Registro2[[#This Row],[Valor Unitário]]))</f>
        <v>35</v>
      </c>
      <c r="U24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31" t="str">
        <f>VLOOKUP(Registro2[[#This Row],[Categoria]],'Plano de Contas'!$V$3:W2485,2,0)</f>
        <v>Receitas Serviços</v>
      </c>
      <c r="X243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32" spans="1:24" hidden="1">
      <c r="A2432" s="1">
        <v>45801</v>
      </c>
      <c r="B2432" s="1">
        <v>45801</v>
      </c>
      <c r="D2432" t="s">
        <v>1</v>
      </c>
      <c r="E2432" t="s">
        <v>149</v>
      </c>
      <c r="F2432" t="s">
        <v>147</v>
      </c>
      <c r="G2432" t="s">
        <v>167</v>
      </c>
      <c r="I2432" s="4">
        <v>10</v>
      </c>
      <c r="J2432" s="4" t="s">
        <v>1604</v>
      </c>
      <c r="L2432" t="s">
        <v>253</v>
      </c>
      <c r="M2432" t="s">
        <v>476</v>
      </c>
      <c r="N2432" s="4">
        <f>IF(L2432="","",IF(OR(Registro2[[#This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432" t="str">
        <f t="shared" si="47"/>
        <v>mai/25</v>
      </c>
      <c r="P2432" t="str">
        <f>IF(Registro2[[#This Row],[Data de Pagamento]]&gt;0,TEXT(A2432,"mmm/aa"),"")</f>
        <v>mai/25</v>
      </c>
      <c r="T2432" s="4">
        <f>IF(Registro2[[#This Row],[Data de Pagamento]]="",0,IF(Registro2[[#This Row],[Conta Financeira]]=base!$A$6,0,Registro2[[#This Row],[Valor Unitário]]))</f>
        <v>10</v>
      </c>
      <c r="U24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32" t="str">
        <f>VLOOKUP(Registro2[[#This Row],[Categoria]],'Plano de Contas'!$V$3:W2486,2,0)</f>
        <v>Receitas Serviços</v>
      </c>
      <c r="X243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33" spans="1:24" hidden="1">
      <c r="A2433" s="1">
        <v>45800</v>
      </c>
      <c r="B2433" s="1">
        <v>45800</v>
      </c>
      <c r="D2433" t="s">
        <v>1</v>
      </c>
      <c r="E2433" t="s">
        <v>149</v>
      </c>
      <c r="F2433" t="s">
        <v>147</v>
      </c>
      <c r="G2433" t="s">
        <v>163</v>
      </c>
      <c r="I2433" s="4">
        <v>35</v>
      </c>
      <c r="J2433" s="4">
        <v>45</v>
      </c>
      <c r="L2433" t="s">
        <v>253</v>
      </c>
      <c r="M2433" t="s">
        <v>2488</v>
      </c>
      <c r="N2433" s="4">
        <f>IF(L2433="","",IF(OR(Registro2[[#This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33" t="str">
        <f t="shared" si="47"/>
        <v>mai/25</v>
      </c>
      <c r="P2433" t="str">
        <f>IF(Registro2[[#This Row],[Data de Pagamento]]&gt;0,TEXT(A2433,"mmm/aa"),"")</f>
        <v>mai/25</v>
      </c>
      <c r="T2433" s="4">
        <f>IF(Registro2[[#This Row],[Data de Pagamento]]="",0,IF(Registro2[[#This Row],[Conta Financeira]]=base!$A$6,0,Registro2[[#This Row],[Valor Unitário]]))</f>
        <v>35</v>
      </c>
      <c r="U24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33" t="str">
        <f>VLOOKUP(Registro2[[#This Row],[Categoria]],'Plano de Contas'!$V$3:W2487,2,0)</f>
        <v>Receitas Serviços</v>
      </c>
      <c r="X243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34" spans="1:24" hidden="1">
      <c r="A2434" s="1">
        <v>45800</v>
      </c>
      <c r="B2434" s="1">
        <v>45800</v>
      </c>
      <c r="D2434" t="s">
        <v>1</v>
      </c>
      <c r="E2434" t="s">
        <v>149</v>
      </c>
      <c r="F2434" t="s">
        <v>147</v>
      </c>
      <c r="G2434" t="s">
        <v>167</v>
      </c>
      <c r="I2434" s="4">
        <v>10</v>
      </c>
      <c r="J2434" s="4" t="s">
        <v>1604</v>
      </c>
      <c r="L2434" t="s">
        <v>253</v>
      </c>
      <c r="M2434" t="s">
        <v>2488</v>
      </c>
      <c r="N2434" s="4">
        <f>IF(L2434="","",IF(OR(Registro2[[#This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434" t="str">
        <f t="shared" si="47"/>
        <v>mai/25</v>
      </c>
      <c r="P2434" t="str">
        <f>IF(Registro2[[#This Row],[Data de Pagamento]]&gt;0,TEXT(A2434,"mmm/aa"),"")</f>
        <v>mai/25</v>
      </c>
      <c r="T2434" s="4">
        <f>IF(Registro2[[#This Row],[Data de Pagamento]]="",0,IF(Registro2[[#This Row],[Conta Financeira]]=base!$A$6,0,Registro2[[#This Row],[Valor Unitário]]))</f>
        <v>10</v>
      </c>
      <c r="U24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34" t="str">
        <f>VLOOKUP(Registro2[[#This Row],[Categoria]],'Plano de Contas'!$V$3:W2488,2,0)</f>
        <v>Receitas Serviços</v>
      </c>
      <c r="X243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35" spans="1:24" hidden="1">
      <c r="A2435" s="1">
        <v>45800</v>
      </c>
      <c r="B2435" s="1">
        <v>45800</v>
      </c>
      <c r="D2435" t="s">
        <v>310</v>
      </c>
      <c r="E2435" t="s">
        <v>149</v>
      </c>
      <c r="F2435" t="s">
        <v>147</v>
      </c>
      <c r="G2435" t="s">
        <v>2825</v>
      </c>
      <c r="I2435" s="4">
        <v>20</v>
      </c>
      <c r="J2435" s="4">
        <v>100</v>
      </c>
      <c r="L2435" t="s">
        <v>264</v>
      </c>
      <c r="M2435" t="s">
        <v>1533</v>
      </c>
      <c r="N2435" s="4">
        <f>IF(L2435="","",IF(OR(Registro2[[#This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435" t="str">
        <f t="shared" ref="O2435:O2466" si="48">TEXT(B2435,"mmm/aa")</f>
        <v>mai/25</v>
      </c>
      <c r="P2435" t="str">
        <f>IF(Registro2[[#This Row],[Data de Pagamento]]&gt;0,TEXT(A2435,"mmm/aa"),"")</f>
        <v>mai/25</v>
      </c>
      <c r="T2435" s="4">
        <f>IF(Registro2[[#This Row],[Data de Pagamento]]="",0,IF(Registro2[[#This Row],[Conta Financeira]]=base!$A$6,0,Registro2[[#This Row],[Valor Unitário]]))</f>
        <v>20</v>
      </c>
      <c r="U24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35" t="e">
        <f>VLOOKUP(Registro2[[#This Row],[Categoria]],'Plano de Contas'!$V$3:W2489,2,0)</f>
        <v>#N/A</v>
      </c>
      <c r="X243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</row>
    <row r="2436" spans="1:24" hidden="1">
      <c r="A2436" s="1">
        <v>45800</v>
      </c>
      <c r="B2436" s="1">
        <v>45800</v>
      </c>
      <c r="D2436" t="s">
        <v>310</v>
      </c>
      <c r="E2436" t="s">
        <v>149</v>
      </c>
      <c r="F2436" t="s">
        <v>147</v>
      </c>
      <c r="G2436" t="s">
        <v>163</v>
      </c>
      <c r="I2436" s="4">
        <v>35</v>
      </c>
      <c r="J2436" s="4" t="s">
        <v>1604</v>
      </c>
      <c r="L2436" t="s">
        <v>264</v>
      </c>
      <c r="M2436" t="s">
        <v>1533</v>
      </c>
      <c r="N2436" s="4">
        <f>IF(L2436="","",IF(OR(Registro2[[#This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36" t="str">
        <f t="shared" si="48"/>
        <v>mai/25</v>
      </c>
      <c r="P2436" t="str">
        <f>IF(Registro2[[#This Row],[Data de Pagamento]]&gt;0,TEXT(A2436,"mmm/aa"),"")</f>
        <v>mai/25</v>
      </c>
      <c r="T2436" s="4">
        <f>IF(Registro2[[#This Row],[Data de Pagamento]]="",0,IF(Registro2[[#This Row],[Conta Financeira]]=base!$A$6,0,Registro2[[#This Row],[Valor Unitário]]))</f>
        <v>35</v>
      </c>
      <c r="U24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36" t="str">
        <f>VLOOKUP(Registro2[[#This Row],[Categoria]],'Plano de Contas'!$V$3:W2490,2,0)</f>
        <v>Receitas Serviços</v>
      </c>
      <c r="X243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437" spans="1:24" hidden="1">
      <c r="A2437" s="1">
        <v>45800</v>
      </c>
      <c r="B2437" s="1">
        <v>45800</v>
      </c>
      <c r="D2437" t="s">
        <v>310</v>
      </c>
      <c r="E2437" t="s">
        <v>149</v>
      </c>
      <c r="F2437" t="s">
        <v>147</v>
      </c>
      <c r="G2437" t="s">
        <v>1046</v>
      </c>
      <c r="I2437" s="4">
        <v>15</v>
      </c>
      <c r="J2437" s="4" t="s">
        <v>1604</v>
      </c>
      <c r="L2437" t="s">
        <v>264</v>
      </c>
      <c r="M2437" t="s">
        <v>1533</v>
      </c>
      <c r="N2437" s="4">
        <f>IF(L2437="","",IF(OR(Registro2[[#This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437" t="str">
        <f t="shared" si="48"/>
        <v>mai/25</v>
      </c>
      <c r="P2437" t="str">
        <f>IF(Registro2[[#This Row],[Data de Pagamento]]&gt;0,TEXT(A2437,"mmm/aa"),"")</f>
        <v>mai/25</v>
      </c>
      <c r="T2437" s="4">
        <f>IF(Registro2[[#This Row],[Data de Pagamento]]="",0,IF(Registro2[[#This Row],[Conta Financeira]]=base!$A$6,0,Registro2[[#This Row],[Valor Unitário]]))</f>
        <v>15</v>
      </c>
      <c r="U24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37" t="str">
        <f>VLOOKUP(Registro2[[#This Row],[Categoria]],'Plano de Contas'!$V$3:W2491,2,0)</f>
        <v>Receitas Serviços</v>
      </c>
      <c r="X243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</row>
    <row r="2438" spans="1:24" hidden="1">
      <c r="A2438" s="1">
        <v>45800</v>
      </c>
      <c r="B2438" s="1">
        <v>45800</v>
      </c>
      <c r="D2438" t="s">
        <v>310</v>
      </c>
      <c r="E2438" t="s">
        <v>149</v>
      </c>
      <c r="F2438" t="s">
        <v>152</v>
      </c>
      <c r="G2438" t="s">
        <v>352</v>
      </c>
      <c r="I2438" s="4">
        <v>20</v>
      </c>
      <c r="J2438" s="4" t="s">
        <v>1604</v>
      </c>
      <c r="L2438" t="s">
        <v>264</v>
      </c>
      <c r="M2438" t="s">
        <v>1533</v>
      </c>
      <c r="N2438" s="4">
        <f>IF(L2438="","",IF(OR(Registro2[[#This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438" t="str">
        <f t="shared" si="48"/>
        <v>mai/25</v>
      </c>
      <c r="P2438" t="str">
        <f>IF(Registro2[[#This Row],[Data de Pagamento]]&gt;0,TEXT(A2438,"mmm/aa"),"")</f>
        <v>mai/25</v>
      </c>
      <c r="T2438" s="4">
        <f>IF(Registro2[[#This Row],[Data de Pagamento]]="",0,IF(Registro2[[#This Row],[Conta Financeira]]=base!$A$6,0,Registro2[[#This Row],[Valor Unitário]]))</f>
        <v>20</v>
      </c>
      <c r="U24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38" t="str">
        <f>VLOOKUP(Registro2[[#This Row],[Categoria]],'Plano de Contas'!$V$3:W2492,2,0)</f>
        <v>Receitas Serviços</v>
      </c>
      <c r="X243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</row>
    <row r="2439" spans="1:24">
      <c r="A2439" s="1">
        <v>45800</v>
      </c>
      <c r="B2439" s="1">
        <v>45800</v>
      </c>
      <c r="D2439" t="s">
        <v>310</v>
      </c>
      <c r="E2439" t="s">
        <v>149</v>
      </c>
      <c r="F2439" t="s">
        <v>910</v>
      </c>
      <c r="G2439" t="s">
        <v>910</v>
      </c>
      <c r="I2439" s="4">
        <v>10</v>
      </c>
      <c r="J2439" s="4" t="s">
        <v>1604</v>
      </c>
      <c r="L2439" t="s">
        <v>264</v>
      </c>
      <c r="M2439" t="s">
        <v>1533</v>
      </c>
      <c r="N2439" s="4" t="str">
        <f>IF(L2439="","",IF(OR(Registro2[[#This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439" t="str">
        <f t="shared" si="48"/>
        <v>mai/25</v>
      </c>
      <c r="P2439" t="str">
        <f>IF(Registro2[[#This Row],[Data de Pagamento]]&gt;0,TEXT(A2439,"mmm/aa"),"")</f>
        <v>mai/25</v>
      </c>
      <c r="T2439" s="4">
        <f>IF(Registro2[[#This Row],[Data de Pagamento]]="",0,IF(Registro2[[#This Row],[Conta Financeira]]=base!$A$6,0,Registro2[[#This Row],[Valor Unitário]]))</f>
        <v>10</v>
      </c>
      <c r="U24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39" t="str">
        <f>VLOOKUP(Registro2[[#This Row],[Categoria]],'Plano de Contas'!$V$3:W2493,2,0)</f>
        <v>Outras Receitas</v>
      </c>
      <c r="X243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8.8999999999999996E-2</v>
      </c>
    </row>
    <row r="2440" spans="1:24" hidden="1">
      <c r="A2440" s="1">
        <v>45801</v>
      </c>
      <c r="B2440" s="1">
        <v>45801</v>
      </c>
      <c r="D2440" t="s">
        <v>1</v>
      </c>
      <c r="E2440" t="s">
        <v>149</v>
      </c>
      <c r="F2440" t="s">
        <v>152</v>
      </c>
      <c r="G2440" t="s">
        <v>353</v>
      </c>
      <c r="I2440" s="4">
        <v>60</v>
      </c>
      <c r="J2440" s="4">
        <v>100</v>
      </c>
      <c r="L2440" t="s">
        <v>253</v>
      </c>
      <c r="M2440" t="s">
        <v>1167</v>
      </c>
      <c r="N2440" s="4">
        <f>IF(L2440="","",IF(OR(Registro2[[#This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440" t="str">
        <f t="shared" si="48"/>
        <v>mai/25</v>
      </c>
      <c r="P2440" t="str">
        <f>IF(Registro2[[#This Row],[Data de Pagamento]]&gt;0,TEXT(A2440,"mmm/aa"),"")</f>
        <v>mai/25</v>
      </c>
      <c r="T2440" s="4">
        <f>IF(Registro2[[#This Row],[Data de Pagamento]]="",0,IF(Registro2[[#This Row],[Conta Financeira]]=base!$A$6,0,Registro2[[#This Row],[Valor Unitário]]))</f>
        <v>60</v>
      </c>
      <c r="U24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40" t="str">
        <f>VLOOKUP(Registro2[[#This Row],[Categoria]],'Plano de Contas'!$V$3:W2494,2,0)</f>
        <v>Receitas Serviços</v>
      </c>
      <c r="X244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41" spans="1:24" hidden="1">
      <c r="A2441" s="1">
        <v>45801</v>
      </c>
      <c r="B2441" s="1">
        <v>45801</v>
      </c>
      <c r="D2441" t="s">
        <v>1</v>
      </c>
      <c r="E2441" t="s">
        <v>149</v>
      </c>
      <c r="F2441" t="s">
        <v>150</v>
      </c>
      <c r="G2441" t="s">
        <v>2536</v>
      </c>
      <c r="I2441" s="4">
        <v>40</v>
      </c>
      <c r="J2441" s="4" t="s">
        <v>1604</v>
      </c>
      <c r="L2441" t="s">
        <v>253</v>
      </c>
      <c r="M2441" t="s">
        <v>1167</v>
      </c>
      <c r="N2441" s="4">
        <f>IF(L2441="","",IF(OR(Registro2[[#This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2441" t="str">
        <f t="shared" si="48"/>
        <v>mai/25</v>
      </c>
      <c r="P2441" t="str">
        <f>IF(Registro2[[#This Row],[Data de Pagamento]]&gt;0,TEXT(A2441,"mmm/aa"),"")</f>
        <v>mai/25</v>
      </c>
      <c r="T2441" s="4">
        <f>IF(Registro2[[#This Row],[Data de Pagamento]]="",0,IF(Registro2[[#This Row],[Conta Financeira]]=base!$A$6,0,Registro2[[#This Row],[Valor Unitário]]))</f>
        <v>40</v>
      </c>
      <c r="U24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41" t="e">
        <f>VLOOKUP(Registro2[[#This Row],[Categoria]],'Plano de Contas'!$V$3:W2495,2,0)</f>
        <v>#N/A</v>
      </c>
      <c r="X244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42" spans="1:24" hidden="1">
      <c r="A2442" s="1">
        <v>45801</v>
      </c>
      <c r="B2442" s="1">
        <v>45801</v>
      </c>
      <c r="D2442" t="s">
        <v>1</v>
      </c>
      <c r="E2442" t="s">
        <v>149</v>
      </c>
      <c r="F2442" t="s">
        <v>147</v>
      </c>
      <c r="G2442" t="s">
        <v>163</v>
      </c>
      <c r="I2442" s="4">
        <v>35</v>
      </c>
      <c r="J2442" s="4">
        <v>35</v>
      </c>
      <c r="L2442" t="s">
        <v>264</v>
      </c>
      <c r="M2442" t="s">
        <v>487</v>
      </c>
      <c r="N2442" s="4">
        <f>IF(L2442="","",IF(OR(Registro2[[#This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42" t="str">
        <f t="shared" si="48"/>
        <v>mai/25</v>
      </c>
      <c r="P2442" t="str">
        <f>IF(Registro2[[#This Row],[Data de Pagamento]]&gt;0,TEXT(A2442,"mmm/aa"),"")</f>
        <v>mai/25</v>
      </c>
      <c r="T2442" s="4">
        <f>IF(Registro2[[#This Row],[Data de Pagamento]]="",0,IF(Registro2[[#This Row],[Conta Financeira]]=base!$A$6,0,Registro2[[#This Row],[Valor Unitário]]))</f>
        <v>35</v>
      </c>
      <c r="U24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42" t="str">
        <f>VLOOKUP(Registro2[[#This Row],[Categoria]],'Plano de Contas'!$V$3:W2496,2,0)</f>
        <v>Receitas Serviços</v>
      </c>
      <c r="X244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43" spans="1:24" hidden="1">
      <c r="A2443" s="1">
        <v>45801</v>
      </c>
      <c r="B2443" s="1">
        <v>45801</v>
      </c>
      <c r="D2443" t="s">
        <v>1</v>
      </c>
      <c r="E2443" t="s">
        <v>149</v>
      </c>
      <c r="F2443" t="s">
        <v>152</v>
      </c>
      <c r="G2443" t="s">
        <v>353</v>
      </c>
      <c r="I2443" s="4">
        <v>60</v>
      </c>
      <c r="J2443" s="4">
        <v>60</v>
      </c>
      <c r="L2443" t="s">
        <v>253</v>
      </c>
      <c r="M2443" t="s">
        <v>183</v>
      </c>
      <c r="N2443" s="4">
        <f>IF(L2443="","",IF(OR(Registro2[[#This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443" t="str">
        <f t="shared" si="48"/>
        <v>mai/25</v>
      </c>
      <c r="P2443" t="str">
        <f>IF(Registro2[[#This Row],[Data de Pagamento]]&gt;0,TEXT(A2443,"mmm/aa"),"")</f>
        <v>mai/25</v>
      </c>
      <c r="T2443" s="4">
        <f>IF(Registro2[[#This Row],[Data de Pagamento]]="",0,IF(Registro2[[#This Row],[Conta Financeira]]=base!$A$6,0,Registro2[[#This Row],[Valor Unitário]]))</f>
        <v>60</v>
      </c>
      <c r="U24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43" t="str">
        <f>VLOOKUP(Registro2[[#This Row],[Categoria]],'Plano de Contas'!$V$3:W2497,2,0)</f>
        <v>Receitas Serviços</v>
      </c>
      <c r="X244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44" spans="1:24" hidden="1">
      <c r="A2444" s="1">
        <v>45801</v>
      </c>
      <c r="B2444" s="1">
        <v>45801</v>
      </c>
      <c r="D2444" t="s">
        <v>2</v>
      </c>
      <c r="E2444" t="s">
        <v>149</v>
      </c>
      <c r="F2444" t="s">
        <v>147</v>
      </c>
      <c r="G2444" t="s">
        <v>163</v>
      </c>
      <c r="I2444" s="4">
        <v>35</v>
      </c>
      <c r="J2444" s="4">
        <v>55</v>
      </c>
      <c r="L2444" t="s">
        <v>253</v>
      </c>
      <c r="M2444" t="s">
        <v>185</v>
      </c>
      <c r="N2444" s="4">
        <f>IF(L2444="","",IF(OR(Registro2[[#This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44" t="str">
        <f t="shared" si="48"/>
        <v>mai/25</v>
      </c>
      <c r="P2444" t="str">
        <f>IF(Registro2[[#This Row],[Data de Pagamento]]&gt;0,TEXT(A2444,"mmm/aa"),"")</f>
        <v>mai/25</v>
      </c>
      <c r="T2444" s="4">
        <f>IF(Registro2[[#This Row],[Data de Pagamento]]="",0,IF(Registro2[[#This Row],[Conta Financeira]]=base!$A$6,0,Registro2[[#This Row],[Valor Unitário]]))</f>
        <v>35</v>
      </c>
      <c r="U24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44" t="str">
        <f>VLOOKUP(Registro2[[#This Row],[Categoria]],'Plano de Contas'!$V$3:W2498,2,0)</f>
        <v>Receitas Serviços</v>
      </c>
      <c r="X244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45" spans="1:24" hidden="1">
      <c r="A2445" s="1">
        <v>45801</v>
      </c>
      <c r="B2445" s="1">
        <v>45801</v>
      </c>
      <c r="D2445" t="s">
        <v>2</v>
      </c>
      <c r="E2445" t="s">
        <v>149</v>
      </c>
      <c r="F2445" t="s">
        <v>147</v>
      </c>
      <c r="G2445" t="s">
        <v>166</v>
      </c>
      <c r="I2445" s="4">
        <v>20</v>
      </c>
      <c r="J2445" s="4" t="s">
        <v>1604</v>
      </c>
      <c r="L2445" t="s">
        <v>253</v>
      </c>
      <c r="M2445" t="s">
        <v>185</v>
      </c>
      <c r="N2445" s="4">
        <f>IF(L2445="","",IF(OR(Registro2[[#This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445" t="str">
        <f t="shared" si="48"/>
        <v>mai/25</v>
      </c>
      <c r="P2445" t="str">
        <f>IF(Registro2[[#This Row],[Data de Pagamento]]&gt;0,TEXT(A2445,"mmm/aa"),"")</f>
        <v>mai/25</v>
      </c>
      <c r="T2445" s="4">
        <f>IF(Registro2[[#This Row],[Data de Pagamento]]="",0,IF(Registro2[[#This Row],[Conta Financeira]]=base!$A$6,0,Registro2[[#This Row],[Valor Unitário]]))</f>
        <v>20</v>
      </c>
      <c r="U24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45" t="str">
        <f>VLOOKUP(Registro2[[#This Row],[Categoria]],'Plano de Contas'!$V$3:W2499,2,0)</f>
        <v>Receitas Serviços</v>
      </c>
      <c r="X24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46" spans="1:24" hidden="1">
      <c r="A2446" s="1">
        <v>45801</v>
      </c>
      <c r="B2446" s="1">
        <v>45801</v>
      </c>
      <c r="D2446" t="s">
        <v>354</v>
      </c>
      <c r="E2446" t="s">
        <v>149</v>
      </c>
      <c r="F2446" t="s">
        <v>147</v>
      </c>
      <c r="G2446" t="s">
        <v>163</v>
      </c>
      <c r="I2446" s="4">
        <v>35</v>
      </c>
      <c r="J2446" s="4">
        <v>35</v>
      </c>
      <c r="L2446" t="s">
        <v>252</v>
      </c>
      <c r="M2446" t="s">
        <v>296</v>
      </c>
      <c r="N2446" s="4">
        <f>IF(L2446="","",IF(OR(Registro2[[#This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46" t="str">
        <f t="shared" si="48"/>
        <v>mai/25</v>
      </c>
      <c r="P2446" t="str">
        <f>IF(Registro2[[#This Row],[Data de Pagamento]]&gt;0,TEXT(A2446,"mmm/aa"),"")</f>
        <v>mai/25</v>
      </c>
      <c r="T2446" s="4">
        <f>IF(Registro2[[#This Row],[Data de Pagamento]]="",0,IF(Registro2[[#This Row],[Conta Financeira]]=base!$A$6,0,Registro2[[#This Row],[Valor Unitário]]))</f>
        <v>35</v>
      </c>
      <c r="U24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46" t="str">
        <f>VLOOKUP(Registro2[[#This Row],[Categoria]],'Plano de Contas'!$V$3:W2500,2,0)</f>
        <v>Receitas Serviços</v>
      </c>
      <c r="X244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447" spans="1:24" hidden="1">
      <c r="A2447" s="1">
        <v>45801</v>
      </c>
      <c r="B2447" s="1">
        <v>45801</v>
      </c>
      <c r="D2447" t="s">
        <v>2</v>
      </c>
      <c r="E2447" t="s">
        <v>149</v>
      </c>
      <c r="F2447" t="s">
        <v>147</v>
      </c>
      <c r="G2447" t="s">
        <v>163</v>
      </c>
      <c r="I2447" s="4">
        <v>35</v>
      </c>
      <c r="J2447" s="4">
        <v>50</v>
      </c>
      <c r="L2447" t="s">
        <v>253</v>
      </c>
      <c r="M2447" t="s">
        <v>3240</v>
      </c>
      <c r="N2447" s="4">
        <f>IF(L2447="","",IF(OR(Registro2[[#This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47" t="str">
        <f t="shared" si="48"/>
        <v>mai/25</v>
      </c>
      <c r="P2447" t="str">
        <f>IF(Registro2[[#This Row],[Data de Pagamento]]&gt;0,TEXT(A2447,"mmm/aa"),"")</f>
        <v>mai/25</v>
      </c>
      <c r="T2447" s="4">
        <f>IF(Registro2[[#This Row],[Data de Pagamento]]="",0,IF(Registro2[[#This Row],[Conta Financeira]]=base!$A$6,0,Registro2[[#This Row],[Valor Unitário]]))</f>
        <v>35</v>
      </c>
      <c r="U24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47" t="str">
        <f>VLOOKUP(Registro2[[#This Row],[Categoria]],'Plano de Contas'!$V$3:W2501,2,0)</f>
        <v>Receitas Serviços</v>
      </c>
      <c r="X244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48" spans="1:24" hidden="1">
      <c r="A2448" s="1">
        <v>45801</v>
      </c>
      <c r="B2448" s="1">
        <v>45801</v>
      </c>
      <c r="D2448" t="s">
        <v>2</v>
      </c>
      <c r="E2448" t="s">
        <v>149</v>
      </c>
      <c r="F2448" t="s">
        <v>147</v>
      </c>
      <c r="G2448" t="s">
        <v>1046</v>
      </c>
      <c r="I2448" s="4">
        <v>15</v>
      </c>
      <c r="J2448" s="4" t="s">
        <v>1604</v>
      </c>
      <c r="L2448" t="s">
        <v>253</v>
      </c>
      <c r="M2448" t="s">
        <v>3240</v>
      </c>
      <c r="N2448" s="4">
        <f>IF(L2448="","",IF(OR(Registro2[[#This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448" t="str">
        <f t="shared" si="48"/>
        <v>mai/25</v>
      </c>
      <c r="P2448" t="str">
        <f>IF(Registro2[[#This Row],[Data de Pagamento]]&gt;0,TEXT(A2448,"mmm/aa"),"")</f>
        <v>mai/25</v>
      </c>
      <c r="T2448" s="4">
        <f>IF(Registro2[[#This Row],[Data de Pagamento]]="",0,IF(Registro2[[#This Row],[Conta Financeira]]=base!$A$6,0,Registro2[[#This Row],[Valor Unitário]]))</f>
        <v>15</v>
      </c>
      <c r="U24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48" t="str">
        <f>VLOOKUP(Registro2[[#This Row],[Categoria]],'Plano de Contas'!$V$3:W2502,2,0)</f>
        <v>Receitas Serviços</v>
      </c>
      <c r="X244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49" spans="1:24" hidden="1">
      <c r="A2449" s="1">
        <v>45801</v>
      </c>
      <c r="B2449" s="1">
        <v>45801</v>
      </c>
      <c r="D2449" t="s">
        <v>1</v>
      </c>
      <c r="E2449" t="s">
        <v>149</v>
      </c>
      <c r="F2449" t="s">
        <v>147</v>
      </c>
      <c r="G2449" t="s">
        <v>163</v>
      </c>
      <c r="I2449" s="4">
        <v>35</v>
      </c>
      <c r="J2449" s="4">
        <v>35</v>
      </c>
      <c r="L2449" t="s">
        <v>253</v>
      </c>
      <c r="M2449" t="s">
        <v>1988</v>
      </c>
      <c r="N2449" s="4">
        <f>IF(L2449="","",IF(OR(Registro2[[#This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49" t="str">
        <f t="shared" si="48"/>
        <v>mai/25</v>
      </c>
      <c r="P2449" t="str">
        <f>IF(Registro2[[#This Row],[Data de Pagamento]]&gt;0,TEXT(A2449,"mmm/aa"),"")</f>
        <v>mai/25</v>
      </c>
      <c r="T2449" s="4">
        <f>IF(Registro2[[#This Row],[Data de Pagamento]]="",0,IF(Registro2[[#This Row],[Conta Financeira]]=base!$A$6,0,Registro2[[#This Row],[Valor Unitário]]))</f>
        <v>35</v>
      </c>
      <c r="U24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49" t="str">
        <f>VLOOKUP(Registro2[[#This Row],[Categoria]],'Plano de Contas'!$V$3:W2503,2,0)</f>
        <v>Receitas Serviços</v>
      </c>
      <c r="X244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50" spans="1:24" hidden="1">
      <c r="A2450" s="1">
        <v>45801</v>
      </c>
      <c r="B2450" s="1">
        <v>45801</v>
      </c>
      <c r="D2450" t="s">
        <v>1</v>
      </c>
      <c r="E2450" t="s">
        <v>149</v>
      </c>
      <c r="F2450" t="s">
        <v>147</v>
      </c>
      <c r="G2450" t="s">
        <v>163</v>
      </c>
      <c r="I2450" s="4">
        <v>35</v>
      </c>
      <c r="J2450" s="4">
        <v>35</v>
      </c>
      <c r="L2450" t="s">
        <v>264</v>
      </c>
      <c r="M2450" t="s">
        <v>403</v>
      </c>
      <c r="N2450" s="4">
        <f>IF(L2450="","",IF(OR(Registro2[[#This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50" t="str">
        <f t="shared" si="48"/>
        <v>mai/25</v>
      </c>
      <c r="P2450" t="str">
        <f>IF(Registro2[[#This Row],[Data de Pagamento]]&gt;0,TEXT(A2450,"mmm/aa"),"")</f>
        <v>mai/25</v>
      </c>
      <c r="T2450" s="4">
        <f>IF(Registro2[[#This Row],[Data de Pagamento]]="",0,IF(Registro2[[#This Row],[Conta Financeira]]=base!$A$6,0,Registro2[[#This Row],[Valor Unitário]]))</f>
        <v>35</v>
      </c>
      <c r="U24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50" t="str">
        <f>VLOOKUP(Registro2[[#This Row],[Categoria]],'Plano de Contas'!$V$3:W2504,2,0)</f>
        <v>Receitas Serviços</v>
      </c>
      <c r="X245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51" spans="1:24" hidden="1">
      <c r="A2451" s="1">
        <v>45801</v>
      </c>
      <c r="B2451" s="1">
        <v>45801</v>
      </c>
      <c r="D2451" t="s">
        <v>1</v>
      </c>
      <c r="E2451" t="s">
        <v>149</v>
      </c>
      <c r="F2451" t="s">
        <v>147</v>
      </c>
      <c r="G2451" t="s">
        <v>163</v>
      </c>
      <c r="I2451" s="4">
        <v>35</v>
      </c>
      <c r="J2451" s="4">
        <v>35</v>
      </c>
      <c r="L2451" t="s">
        <v>253</v>
      </c>
      <c r="M2451" t="s">
        <v>282</v>
      </c>
      <c r="N2451" s="4">
        <f>IF(L2451="","",IF(OR(Registro2[[#This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51" t="str">
        <f t="shared" si="48"/>
        <v>mai/25</v>
      </c>
      <c r="P2451" t="str">
        <f>IF(Registro2[[#This Row],[Data de Pagamento]]&gt;0,TEXT(A2451,"mmm/aa"),"")</f>
        <v>mai/25</v>
      </c>
      <c r="T2451" s="4">
        <f>IF(Registro2[[#This Row],[Data de Pagamento]]="",0,IF(Registro2[[#This Row],[Conta Financeira]]=base!$A$6,0,Registro2[[#This Row],[Valor Unitário]]))</f>
        <v>35</v>
      </c>
      <c r="U24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51" t="str">
        <f>VLOOKUP(Registro2[[#This Row],[Categoria]],'Plano de Contas'!$V$3:W2505,2,0)</f>
        <v>Receitas Serviços</v>
      </c>
      <c r="X245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52" spans="1:24" hidden="1">
      <c r="A2452" s="1">
        <v>45801</v>
      </c>
      <c r="B2452" s="1">
        <v>45801</v>
      </c>
      <c r="D2452" t="s">
        <v>1</v>
      </c>
      <c r="E2452" t="s">
        <v>149</v>
      </c>
      <c r="F2452" t="s">
        <v>147</v>
      </c>
      <c r="G2452" t="s">
        <v>163</v>
      </c>
      <c r="I2452" s="4">
        <v>40</v>
      </c>
      <c r="J2452" s="4">
        <v>40</v>
      </c>
      <c r="L2452" t="s">
        <v>264</v>
      </c>
      <c r="M2452" t="s">
        <v>3248</v>
      </c>
      <c r="N2452" s="4">
        <f>IF(L2452="","",IF(OR(Registro2[[#This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2452" t="str">
        <f t="shared" si="48"/>
        <v>mai/25</v>
      </c>
      <c r="P2452" t="str">
        <f>IF(Registro2[[#This Row],[Data de Pagamento]]&gt;0,TEXT(A2452,"mmm/aa"),"")</f>
        <v>mai/25</v>
      </c>
      <c r="T2452" s="4">
        <f>IF(Registro2[[#This Row],[Data de Pagamento]]="",0,IF(Registro2[[#This Row],[Conta Financeira]]=base!$A$6,0,Registro2[[#This Row],[Valor Unitário]]))</f>
        <v>40</v>
      </c>
      <c r="U24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52" t="str">
        <f>VLOOKUP(Registro2[[#This Row],[Categoria]],'Plano de Contas'!$V$3:W2506,2,0)</f>
        <v>Receitas Serviços</v>
      </c>
      <c r="X245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53" spans="1:24" hidden="1">
      <c r="A2453" s="1">
        <v>45801</v>
      </c>
      <c r="B2453" s="1">
        <v>45801</v>
      </c>
      <c r="D2453" t="s">
        <v>310</v>
      </c>
      <c r="E2453" t="s">
        <v>149</v>
      </c>
      <c r="F2453" t="s">
        <v>147</v>
      </c>
      <c r="G2453" t="s">
        <v>163</v>
      </c>
      <c r="I2453" s="4">
        <v>20</v>
      </c>
      <c r="J2453" s="4">
        <v>25</v>
      </c>
      <c r="L2453" t="s">
        <v>264</v>
      </c>
      <c r="M2453" t="s">
        <v>111</v>
      </c>
      <c r="N2453" s="4">
        <f>IF(L2453="","",IF(OR(Registro2[[#This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453" t="str">
        <f t="shared" si="48"/>
        <v>mai/25</v>
      </c>
      <c r="P2453" t="str">
        <f>IF(Registro2[[#This Row],[Data de Pagamento]]&gt;0,TEXT(A2453,"mmm/aa"),"")</f>
        <v>mai/25</v>
      </c>
      <c r="T2453" s="4">
        <f>IF(Registro2[[#This Row],[Data de Pagamento]]="",0,IF(Registro2[[#This Row],[Conta Financeira]]=base!$A$6,0,Registro2[[#This Row],[Valor Unitário]]))</f>
        <v>20</v>
      </c>
      <c r="U24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53" t="str">
        <f>VLOOKUP(Registro2[[#This Row],[Categoria]],'Plano de Contas'!$V$3:W2507,2,0)</f>
        <v>Receitas Serviços</v>
      </c>
      <c r="X245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</row>
    <row r="2454" spans="1:24">
      <c r="A2454" s="1">
        <v>45801</v>
      </c>
      <c r="B2454" s="1">
        <v>45801</v>
      </c>
      <c r="D2454" t="s">
        <v>310</v>
      </c>
      <c r="E2454" t="s">
        <v>149</v>
      </c>
      <c r="F2454" t="s">
        <v>910</v>
      </c>
      <c r="G2454" t="s">
        <v>910</v>
      </c>
      <c r="I2454" s="4">
        <v>5</v>
      </c>
      <c r="J2454" s="4" t="s">
        <v>1604</v>
      </c>
      <c r="L2454" t="s">
        <v>264</v>
      </c>
      <c r="M2454" t="s">
        <v>111</v>
      </c>
      <c r="N2454" s="4" t="str">
        <f>IF(L2454="","",IF(OR(Registro2[[#This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454" t="str">
        <f t="shared" si="48"/>
        <v>mai/25</v>
      </c>
      <c r="P2454" t="str">
        <f>IF(Registro2[[#This Row],[Data de Pagamento]]&gt;0,TEXT(A2454,"mmm/aa"),"")</f>
        <v>mai/25</v>
      </c>
      <c r="T2454" s="4">
        <f>IF(Registro2[[#This Row],[Data de Pagamento]]="",0,IF(Registro2[[#This Row],[Conta Financeira]]=base!$A$6,0,Registro2[[#This Row],[Valor Unitário]]))</f>
        <v>5</v>
      </c>
      <c r="U24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54" t="str">
        <f>VLOOKUP(Registro2[[#This Row],[Categoria]],'Plano de Contas'!$V$3:W2508,2,0)</f>
        <v>Outras Receitas</v>
      </c>
      <c r="X245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4.4499999999999998E-2</v>
      </c>
    </row>
    <row r="2455" spans="1:24" hidden="1">
      <c r="A2455" s="1">
        <v>45801</v>
      </c>
      <c r="B2455" s="1">
        <v>45801</v>
      </c>
      <c r="D2455" t="s">
        <v>310</v>
      </c>
      <c r="E2455" t="s">
        <v>149</v>
      </c>
      <c r="F2455" t="s">
        <v>147</v>
      </c>
      <c r="G2455" t="s">
        <v>163</v>
      </c>
      <c r="I2455" s="4">
        <v>35</v>
      </c>
      <c r="J2455" s="4">
        <v>35</v>
      </c>
      <c r="L2455" t="s">
        <v>253</v>
      </c>
      <c r="M2455" t="s">
        <v>2615</v>
      </c>
      <c r="N2455" s="4">
        <f>IF(L2455="","",IF(OR(Registro2[[#This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55" t="str">
        <f t="shared" si="48"/>
        <v>mai/25</v>
      </c>
      <c r="P2455" t="str">
        <f>IF(Registro2[[#This Row],[Data de Pagamento]]&gt;0,TEXT(A2455,"mmm/aa"),"")</f>
        <v>mai/25</v>
      </c>
      <c r="T2455" s="4">
        <f>IF(Registro2[[#This Row],[Data de Pagamento]]="",0,IF(Registro2[[#This Row],[Conta Financeira]]=base!$A$6,0,Registro2[[#This Row],[Valor Unitário]]))</f>
        <v>35</v>
      </c>
      <c r="U24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55" t="str">
        <f>VLOOKUP(Registro2[[#This Row],[Categoria]],'Plano de Contas'!$V$3:W2509,2,0)</f>
        <v>Receitas Serviços</v>
      </c>
      <c r="X245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456" spans="1:24" hidden="1">
      <c r="A2456" s="1">
        <v>45801</v>
      </c>
      <c r="B2456" s="1">
        <v>45801</v>
      </c>
      <c r="D2456" t="s">
        <v>354</v>
      </c>
      <c r="E2456" t="s">
        <v>149</v>
      </c>
      <c r="F2456" t="s">
        <v>152</v>
      </c>
      <c r="G2456" t="s">
        <v>353</v>
      </c>
      <c r="I2456" s="4">
        <v>55</v>
      </c>
      <c r="J2456" s="4">
        <v>55</v>
      </c>
      <c r="L2456" t="s">
        <v>264</v>
      </c>
      <c r="M2456" t="s">
        <v>1857</v>
      </c>
      <c r="N2456" s="4">
        <f>IF(L2456="","",IF(OR(Registro2[[#This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2456" t="str">
        <f t="shared" si="48"/>
        <v>mai/25</v>
      </c>
      <c r="P2456" t="str">
        <f>IF(Registro2[[#This Row],[Data de Pagamento]]&gt;0,TEXT(A2456,"mmm/aa"),"")</f>
        <v>mai/25</v>
      </c>
      <c r="T2456" s="4">
        <f>IF(Registro2[[#This Row],[Data de Pagamento]]="",0,IF(Registro2[[#This Row],[Conta Financeira]]=base!$A$6,0,Registro2[[#This Row],[Valor Unitário]]))</f>
        <v>55</v>
      </c>
      <c r="U24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56" t="str">
        <f>VLOOKUP(Registro2[[#This Row],[Categoria]],'Plano de Contas'!$V$3:W2510,2,0)</f>
        <v>Receitas Serviços</v>
      </c>
      <c r="X245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1.7324999999999999</v>
      </c>
    </row>
    <row r="2457" spans="1:24" hidden="1">
      <c r="A2457" s="1">
        <v>45801</v>
      </c>
      <c r="B2457" s="1">
        <v>45801</v>
      </c>
      <c r="D2457" t="s">
        <v>1</v>
      </c>
      <c r="E2457" t="s">
        <v>149</v>
      </c>
      <c r="F2457" t="s">
        <v>152</v>
      </c>
      <c r="G2457" t="s">
        <v>353</v>
      </c>
      <c r="I2457" s="4">
        <v>70</v>
      </c>
      <c r="J2457" s="4">
        <v>85</v>
      </c>
      <c r="L2457" t="s">
        <v>252</v>
      </c>
      <c r="M2457" t="s">
        <v>3256</v>
      </c>
      <c r="N2457" s="4">
        <f>IF(L2457="","",IF(OR(Registro2[[#This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31.5</v>
      </c>
      <c r="O2457" t="str">
        <f t="shared" si="48"/>
        <v>mai/25</v>
      </c>
      <c r="P2457" t="str">
        <f>IF(Registro2[[#This Row],[Data de Pagamento]]&gt;0,TEXT(A2457,"mmm/aa"),"")</f>
        <v>mai/25</v>
      </c>
      <c r="T2457" s="4">
        <f>IF(Registro2[[#This Row],[Data de Pagamento]]="",0,IF(Registro2[[#This Row],[Conta Financeira]]=base!$A$6,0,Registro2[[#This Row],[Valor Unitário]]))</f>
        <v>70</v>
      </c>
      <c r="U24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57" t="str">
        <f>VLOOKUP(Registro2[[#This Row],[Categoria]],'Plano de Contas'!$V$3:W2511,2,0)</f>
        <v>Receitas Serviços</v>
      </c>
      <c r="X24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58" spans="1:24" hidden="1">
      <c r="A2458" s="1">
        <v>45801</v>
      </c>
      <c r="B2458" s="1">
        <v>45801</v>
      </c>
      <c r="D2458" t="s">
        <v>1</v>
      </c>
      <c r="E2458" t="s">
        <v>149</v>
      </c>
      <c r="F2458" t="s">
        <v>147</v>
      </c>
      <c r="G2458" t="s">
        <v>1446</v>
      </c>
      <c r="I2458" s="4">
        <v>15</v>
      </c>
      <c r="J2458" s="4" t="s">
        <v>1604</v>
      </c>
      <c r="L2458" t="s">
        <v>252</v>
      </c>
      <c r="M2458" t="s">
        <v>3256</v>
      </c>
      <c r="N2458" s="4">
        <f>IF(L2458="","",IF(OR(Registro2[[#This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458" t="str">
        <f t="shared" si="48"/>
        <v>mai/25</v>
      </c>
      <c r="P2458" t="str">
        <f>IF(Registro2[[#This Row],[Data de Pagamento]]&gt;0,TEXT(A2458,"mmm/aa"),"")</f>
        <v>mai/25</v>
      </c>
      <c r="T2458" s="4">
        <f>IF(Registro2[[#This Row],[Data de Pagamento]]="",0,IF(Registro2[[#This Row],[Conta Financeira]]=base!$A$6,0,Registro2[[#This Row],[Valor Unitário]]))</f>
        <v>15</v>
      </c>
      <c r="U24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58" t="e">
        <f>VLOOKUP(Registro2[[#This Row],[Categoria]],'Plano de Contas'!$V$3:W2512,2,0)</f>
        <v>#N/A</v>
      </c>
      <c r="X24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59" spans="1:24" hidden="1">
      <c r="A2459" s="1">
        <v>45801</v>
      </c>
      <c r="B2459" s="1">
        <v>45801</v>
      </c>
      <c r="D2459" t="s">
        <v>1</v>
      </c>
      <c r="E2459" t="s">
        <v>149</v>
      </c>
      <c r="F2459" t="s">
        <v>147</v>
      </c>
      <c r="G2459" t="s">
        <v>163</v>
      </c>
      <c r="I2459" s="4">
        <v>35</v>
      </c>
      <c r="J2459" s="4">
        <v>35</v>
      </c>
      <c r="L2459" t="s">
        <v>252</v>
      </c>
      <c r="M2459" t="s">
        <v>73</v>
      </c>
      <c r="N2459" s="4">
        <f>IF(L2459="","",IF(OR(Registro2[[#This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59" t="str">
        <f t="shared" si="48"/>
        <v>mai/25</v>
      </c>
      <c r="P2459" t="str">
        <f>IF(Registro2[[#This Row],[Data de Pagamento]]&gt;0,TEXT(A2459,"mmm/aa"),"")</f>
        <v>mai/25</v>
      </c>
      <c r="T2459" s="4">
        <f>IF(Registro2[[#This Row],[Data de Pagamento]]="",0,IF(Registro2[[#This Row],[Conta Financeira]]=base!$A$6,0,Registro2[[#This Row],[Valor Unitário]]))</f>
        <v>35</v>
      </c>
      <c r="U24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59" t="str">
        <f>VLOOKUP(Registro2[[#This Row],[Categoria]],'Plano de Contas'!$V$3:W2513,2,0)</f>
        <v>Receitas Serviços</v>
      </c>
      <c r="X245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60" spans="1:24" hidden="1">
      <c r="A2460" s="1">
        <v>45801</v>
      </c>
      <c r="B2460" s="1">
        <v>45801</v>
      </c>
      <c r="D2460" t="s">
        <v>1</v>
      </c>
      <c r="E2460" t="s">
        <v>149</v>
      </c>
      <c r="F2460" t="s">
        <v>152</v>
      </c>
      <c r="G2460" t="s">
        <v>353</v>
      </c>
      <c r="I2460" s="4">
        <v>60</v>
      </c>
      <c r="J2460" s="4">
        <v>75</v>
      </c>
      <c r="L2460" t="s">
        <v>253</v>
      </c>
      <c r="M2460" t="s">
        <v>500</v>
      </c>
      <c r="N2460" s="4">
        <f>IF(L2460="","",IF(OR(Registro2[[#This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460" t="str">
        <f t="shared" si="48"/>
        <v>mai/25</v>
      </c>
      <c r="P2460" t="str">
        <f>IF(Registro2[[#This Row],[Data de Pagamento]]&gt;0,TEXT(A2460,"mmm/aa"),"")</f>
        <v>mai/25</v>
      </c>
      <c r="T2460" s="4">
        <f>IF(Registro2[[#This Row],[Data de Pagamento]]="",0,IF(Registro2[[#This Row],[Conta Financeira]]=base!$A$6,0,Registro2[[#This Row],[Valor Unitário]]))</f>
        <v>60</v>
      </c>
      <c r="U24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60" t="str">
        <f>VLOOKUP(Registro2[[#This Row],[Categoria]],'Plano de Contas'!$V$3:W2514,2,0)</f>
        <v>Receitas Serviços</v>
      </c>
      <c r="X24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61" spans="1:24" hidden="1">
      <c r="A2461" s="1">
        <v>45801</v>
      </c>
      <c r="B2461" s="1">
        <v>45801</v>
      </c>
      <c r="D2461" t="s">
        <v>1</v>
      </c>
      <c r="E2461" t="s">
        <v>149</v>
      </c>
      <c r="F2461" t="s">
        <v>147</v>
      </c>
      <c r="G2461" t="s">
        <v>1187</v>
      </c>
      <c r="I2461" s="4">
        <v>15</v>
      </c>
      <c r="J2461" s="4" t="s">
        <v>1604</v>
      </c>
      <c r="L2461" t="s">
        <v>253</v>
      </c>
      <c r="M2461" t="s">
        <v>500</v>
      </c>
      <c r="N2461" s="4">
        <f>IF(L2461="","",IF(OR(Registro2[[#This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461" t="str">
        <f t="shared" si="48"/>
        <v>mai/25</v>
      </c>
      <c r="P2461" t="str">
        <f>IF(Registro2[[#This Row],[Data de Pagamento]]&gt;0,TEXT(A2461,"mmm/aa"),"")</f>
        <v>mai/25</v>
      </c>
      <c r="T2461" s="4">
        <f>IF(Registro2[[#This Row],[Data de Pagamento]]="",0,IF(Registro2[[#This Row],[Conta Financeira]]=base!$A$6,0,Registro2[[#This Row],[Valor Unitário]]))</f>
        <v>15</v>
      </c>
      <c r="U24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61" t="str">
        <f>VLOOKUP(Registro2[[#This Row],[Categoria]],'Plano de Contas'!$V$3:W2515,2,0)</f>
        <v>Receitas Serviços</v>
      </c>
      <c r="X24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62" spans="1:24" hidden="1">
      <c r="A2462" s="1">
        <v>45801</v>
      </c>
      <c r="B2462" s="1">
        <v>45801</v>
      </c>
      <c r="D2462" t="s">
        <v>310</v>
      </c>
      <c r="E2462" t="s">
        <v>149</v>
      </c>
      <c r="F2462" t="s">
        <v>147</v>
      </c>
      <c r="G2462" t="s">
        <v>1046</v>
      </c>
      <c r="I2462" s="4">
        <v>35</v>
      </c>
      <c r="J2462" s="4">
        <v>35</v>
      </c>
      <c r="L2462" t="s">
        <v>264</v>
      </c>
      <c r="M2462" t="s">
        <v>376</v>
      </c>
      <c r="N2462" s="4">
        <f>IF(L2462="","",IF(OR(Registro2[[#This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62" t="str">
        <f t="shared" si="48"/>
        <v>mai/25</v>
      </c>
      <c r="P2462" t="str">
        <f>IF(Registro2[[#This Row],[Data de Pagamento]]&gt;0,TEXT(A2462,"mmm/aa"),"")</f>
        <v>mai/25</v>
      </c>
      <c r="T2462" s="4">
        <f>IF(Registro2[[#This Row],[Data de Pagamento]]="",0,IF(Registro2[[#This Row],[Conta Financeira]]=base!$A$6,0,Registro2[[#This Row],[Valor Unitário]]))</f>
        <v>35</v>
      </c>
      <c r="U24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62" t="str">
        <f>VLOOKUP(Registro2[[#This Row],[Categoria]],'Plano de Contas'!$V$3:W2516,2,0)</f>
        <v>Receitas Serviços</v>
      </c>
      <c r="X246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463" spans="1:24" hidden="1">
      <c r="A2463" s="1">
        <v>45801</v>
      </c>
      <c r="B2463" s="1">
        <v>45801</v>
      </c>
      <c r="D2463" t="s">
        <v>1</v>
      </c>
      <c r="E2463" t="s">
        <v>149</v>
      </c>
      <c r="F2463" t="s">
        <v>147</v>
      </c>
      <c r="G2463" t="s">
        <v>163</v>
      </c>
      <c r="I2463" s="4">
        <v>35</v>
      </c>
      <c r="J2463" s="4">
        <v>35</v>
      </c>
      <c r="L2463" t="s">
        <v>252</v>
      </c>
      <c r="M2463" t="s">
        <v>1121</v>
      </c>
      <c r="N2463" s="4">
        <f>IF(L2463="","",IF(OR(Registro2[[#This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63" t="str">
        <f t="shared" si="48"/>
        <v>mai/25</v>
      </c>
      <c r="P2463" t="str">
        <f>IF(Registro2[[#This Row],[Data de Pagamento]]&gt;0,TEXT(A2463,"mmm/aa"),"")</f>
        <v>mai/25</v>
      </c>
      <c r="T2463" s="4">
        <f>IF(Registro2[[#This Row],[Data de Pagamento]]="",0,IF(Registro2[[#This Row],[Conta Financeira]]=base!$A$6,0,Registro2[[#This Row],[Valor Unitário]]))</f>
        <v>35</v>
      </c>
      <c r="U24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63" t="str">
        <f>VLOOKUP(Registro2[[#This Row],[Categoria]],'Plano de Contas'!$V$3:W2517,2,0)</f>
        <v>Receitas Serviços</v>
      </c>
      <c r="X246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64" spans="1:24" hidden="1">
      <c r="A2464" s="1">
        <v>45801</v>
      </c>
      <c r="B2464" s="1">
        <v>45801</v>
      </c>
      <c r="D2464" t="s">
        <v>2</v>
      </c>
      <c r="E2464" t="s">
        <v>149</v>
      </c>
      <c r="F2464" t="s">
        <v>147</v>
      </c>
      <c r="G2464" t="s">
        <v>163</v>
      </c>
      <c r="I2464" s="4">
        <v>35</v>
      </c>
      <c r="J2464" s="4">
        <v>60</v>
      </c>
      <c r="L2464" t="s">
        <v>253</v>
      </c>
      <c r="M2464" t="s">
        <v>2908</v>
      </c>
      <c r="N2464" s="4">
        <f>IF(L2464="","",IF(OR(Registro2[[#This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64" t="str">
        <f t="shared" si="48"/>
        <v>mai/25</v>
      </c>
      <c r="P2464" t="str">
        <f>IF(Registro2[[#This Row],[Data de Pagamento]]&gt;0,TEXT(A2464,"mmm/aa"),"")</f>
        <v>mai/25</v>
      </c>
      <c r="T2464" s="4">
        <f>IF(Registro2[[#This Row],[Data de Pagamento]]="",0,IF(Registro2[[#This Row],[Conta Financeira]]=base!$A$6,0,Registro2[[#This Row],[Valor Unitário]]))</f>
        <v>35</v>
      </c>
      <c r="U24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64" t="str">
        <f>VLOOKUP(Registro2[[#This Row],[Categoria]],'Plano de Contas'!$V$3:W2518,2,0)</f>
        <v>Receitas Serviços</v>
      </c>
      <c r="X246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65" spans="1:24" hidden="1">
      <c r="A2465" s="1">
        <v>45801</v>
      </c>
      <c r="B2465" s="1">
        <v>45801</v>
      </c>
      <c r="D2465" t="s">
        <v>2</v>
      </c>
      <c r="E2465" t="s">
        <v>149</v>
      </c>
      <c r="F2465" t="s">
        <v>150</v>
      </c>
      <c r="G2465" t="s">
        <v>2931</v>
      </c>
      <c r="I2465" s="4">
        <v>25</v>
      </c>
      <c r="J2465" s="4" t="s">
        <v>1604</v>
      </c>
      <c r="L2465" t="s">
        <v>253</v>
      </c>
      <c r="M2465" t="s">
        <v>2908</v>
      </c>
      <c r="N2465" s="4">
        <f>IF(L2465="","",IF(OR(Registro2[[#This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10</v>
      </c>
      <c r="O2465" t="str">
        <f t="shared" si="48"/>
        <v>mai/25</v>
      </c>
      <c r="P2465" t="str">
        <f>IF(Registro2[[#This Row],[Data de Pagamento]]&gt;0,TEXT(A2465,"mmm/aa"),"")</f>
        <v>mai/25</v>
      </c>
      <c r="T2465" s="4">
        <f>IF(Registro2[[#This Row],[Data de Pagamento]]="",0,IF(Registro2[[#This Row],[Conta Financeira]]=base!$A$6,0,Registro2[[#This Row],[Valor Unitário]]))</f>
        <v>25</v>
      </c>
      <c r="U24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65" t="e">
        <f>VLOOKUP(Registro2[[#This Row],[Categoria]],'Plano de Contas'!$V$3:W2519,2,0)</f>
        <v>#N/A</v>
      </c>
      <c r="X246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66" spans="1:24" hidden="1">
      <c r="A2466" s="1">
        <v>45801</v>
      </c>
      <c r="B2466" s="1">
        <v>45801</v>
      </c>
      <c r="D2466" t="s">
        <v>1</v>
      </c>
      <c r="E2466" t="s">
        <v>149</v>
      </c>
      <c r="F2466" t="s">
        <v>147</v>
      </c>
      <c r="G2466" t="s">
        <v>163</v>
      </c>
      <c r="I2466" s="4">
        <v>20</v>
      </c>
      <c r="J2466" s="4">
        <v>20</v>
      </c>
      <c r="L2466" t="s">
        <v>264</v>
      </c>
      <c r="M2466" t="s">
        <v>274</v>
      </c>
      <c r="N2466" s="4">
        <f>IF(L2466="","",IF(OR(Registro2[[#This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466" t="str">
        <f t="shared" si="48"/>
        <v>mai/25</v>
      </c>
      <c r="P2466" t="str">
        <f>IF(Registro2[[#This Row],[Data de Pagamento]]&gt;0,TEXT(A2466,"mmm/aa"),"")</f>
        <v>mai/25</v>
      </c>
      <c r="T2466" s="4">
        <f>IF(Registro2[[#This Row],[Data de Pagamento]]="",0,IF(Registro2[[#This Row],[Conta Financeira]]=base!$A$6,0,Registro2[[#This Row],[Valor Unitário]]))</f>
        <v>20</v>
      </c>
      <c r="U24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66" t="str">
        <f>VLOOKUP(Registro2[[#This Row],[Categoria]],'Plano de Contas'!$V$3:W2520,2,0)</f>
        <v>Receitas Serviços</v>
      </c>
      <c r="X24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67" spans="1:24" hidden="1">
      <c r="A2467" s="1">
        <v>45801</v>
      </c>
      <c r="B2467" s="1">
        <v>45801</v>
      </c>
      <c r="D2467" t="s">
        <v>354</v>
      </c>
      <c r="E2467" t="s">
        <v>149</v>
      </c>
      <c r="F2467" t="s">
        <v>147</v>
      </c>
      <c r="G2467" t="s">
        <v>163</v>
      </c>
      <c r="I2467" s="4">
        <v>35</v>
      </c>
      <c r="J2467" s="4">
        <v>45</v>
      </c>
      <c r="L2467" t="s">
        <v>252</v>
      </c>
      <c r="M2467" t="s">
        <v>24</v>
      </c>
      <c r="N2467" s="4">
        <f>IF(L2467="","",IF(OR(Registro2[[#This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67" t="str">
        <f t="shared" ref="O2467:O2474" si="49">TEXT(B2467,"mmm/aa")</f>
        <v>mai/25</v>
      </c>
      <c r="P2467" t="str">
        <f>IF(Registro2[[#This Row],[Data de Pagamento]]&gt;0,TEXT(A2467,"mmm/aa"),"")</f>
        <v>mai/25</v>
      </c>
      <c r="T2467" s="4">
        <f>IF(Registro2[[#This Row],[Data de Pagamento]]="",0,IF(Registro2[[#This Row],[Conta Financeira]]=base!$A$6,0,Registro2[[#This Row],[Valor Unitário]]))</f>
        <v>35</v>
      </c>
      <c r="U24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67" t="str">
        <f>VLOOKUP(Registro2[[#This Row],[Categoria]],'Plano de Contas'!$V$3:W2521,2,0)</f>
        <v>Receitas Serviços</v>
      </c>
      <c r="X246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468" spans="1:24" hidden="1">
      <c r="A2468" s="1">
        <v>45801</v>
      </c>
      <c r="B2468" s="1">
        <v>45801</v>
      </c>
      <c r="D2468" t="s">
        <v>354</v>
      </c>
      <c r="E2468" t="s">
        <v>149</v>
      </c>
      <c r="F2468" t="s">
        <v>147</v>
      </c>
      <c r="G2468" t="s">
        <v>167</v>
      </c>
      <c r="I2468" s="4">
        <v>10</v>
      </c>
      <c r="J2468" s="4" t="s">
        <v>1604</v>
      </c>
      <c r="L2468" t="s">
        <v>252</v>
      </c>
      <c r="M2468" t="s">
        <v>24</v>
      </c>
      <c r="N2468" s="4">
        <f>IF(L2468="","",IF(OR(Registro2[[#This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468" t="str">
        <f t="shared" si="49"/>
        <v>mai/25</v>
      </c>
      <c r="P2468" t="str">
        <f>IF(Registro2[[#This Row],[Data de Pagamento]]&gt;0,TEXT(A2468,"mmm/aa"),"")</f>
        <v>mai/25</v>
      </c>
      <c r="T2468" s="4">
        <f>IF(Registro2[[#This Row],[Data de Pagamento]]="",0,IF(Registro2[[#This Row],[Conta Financeira]]=base!$A$6,0,Registro2[[#This Row],[Valor Unitário]]))</f>
        <v>10</v>
      </c>
      <c r="U24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68" t="str">
        <f>VLOOKUP(Registro2[[#This Row],[Categoria]],'Plano de Contas'!$V$3:W2522,2,0)</f>
        <v>Receitas Serviços</v>
      </c>
      <c r="X246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</row>
    <row r="2469" spans="1:24" hidden="1">
      <c r="A2469" s="1">
        <v>45801</v>
      </c>
      <c r="B2469" s="1">
        <v>45801</v>
      </c>
      <c r="D2469" t="s">
        <v>354</v>
      </c>
      <c r="E2469" t="s">
        <v>149</v>
      </c>
      <c r="F2469" t="s">
        <v>147</v>
      </c>
      <c r="G2469" t="s">
        <v>163</v>
      </c>
      <c r="I2469" s="4">
        <v>35</v>
      </c>
      <c r="J2469" s="4">
        <v>45</v>
      </c>
      <c r="L2469" t="s">
        <v>252</v>
      </c>
      <c r="M2469" t="s">
        <v>197</v>
      </c>
      <c r="N2469" s="4">
        <f>IF(L2469="","",IF(OR(Registro2[[#This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69" t="str">
        <f t="shared" si="49"/>
        <v>mai/25</v>
      </c>
      <c r="P2469" t="str">
        <f>IF(Registro2[[#This Row],[Data de Pagamento]]&gt;0,TEXT(A2469,"mmm/aa"),"")</f>
        <v>mai/25</v>
      </c>
      <c r="T2469" s="4">
        <f>IF(Registro2[[#This Row],[Data de Pagamento]]="",0,IF(Registro2[[#This Row],[Conta Financeira]]=base!$A$6,0,Registro2[[#This Row],[Valor Unitário]]))</f>
        <v>35</v>
      </c>
      <c r="U24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69" t="str">
        <f>VLOOKUP(Registro2[[#This Row],[Categoria]],'Plano de Contas'!$V$3:W2523,2,0)</f>
        <v>Receitas Serviços</v>
      </c>
      <c r="X246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470" spans="1:24" hidden="1">
      <c r="A2470" s="1">
        <v>45801</v>
      </c>
      <c r="B2470" s="1">
        <v>45801</v>
      </c>
      <c r="D2470" t="s">
        <v>354</v>
      </c>
      <c r="E2470" t="s">
        <v>149</v>
      </c>
      <c r="F2470" t="s">
        <v>147</v>
      </c>
      <c r="G2470" t="s">
        <v>167</v>
      </c>
      <c r="I2470" s="4">
        <v>10</v>
      </c>
      <c r="J2470" s="4" t="s">
        <v>1604</v>
      </c>
      <c r="L2470" t="s">
        <v>252</v>
      </c>
      <c r="M2470" t="s">
        <v>197</v>
      </c>
      <c r="N2470" s="4">
        <f>IF(L2470="","",IF(OR(Registro2[[#This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470" t="str">
        <f t="shared" si="49"/>
        <v>mai/25</v>
      </c>
      <c r="P2470" t="str">
        <f>IF(Registro2[[#This Row],[Data de Pagamento]]&gt;0,TEXT(A2470,"mmm/aa"),"")</f>
        <v>mai/25</v>
      </c>
      <c r="T2470" s="4">
        <f>IF(Registro2[[#This Row],[Data de Pagamento]]="",0,IF(Registro2[[#This Row],[Conta Financeira]]=base!$A$6,0,Registro2[[#This Row],[Valor Unitário]]))</f>
        <v>10</v>
      </c>
      <c r="U24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70" t="str">
        <f>VLOOKUP(Registro2[[#This Row],[Categoria]],'Plano de Contas'!$V$3:W2524,2,0)</f>
        <v>Receitas Serviços</v>
      </c>
      <c r="X247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</row>
    <row r="2471" spans="1:24" hidden="1">
      <c r="A2471" s="1">
        <v>45801</v>
      </c>
      <c r="B2471" s="1">
        <v>45801</v>
      </c>
      <c r="D2471" t="s">
        <v>1</v>
      </c>
      <c r="E2471" t="s">
        <v>149</v>
      </c>
      <c r="F2471" t="s">
        <v>147</v>
      </c>
      <c r="G2471" t="s">
        <v>163</v>
      </c>
      <c r="I2471" s="4">
        <v>35</v>
      </c>
      <c r="J2471" s="4">
        <v>35</v>
      </c>
      <c r="L2471" t="s">
        <v>264</v>
      </c>
      <c r="M2471" t="s">
        <v>424</v>
      </c>
      <c r="N2471" s="4">
        <f>IF(L2471="","",IF(OR(Registro2[[#This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71" t="str">
        <f t="shared" si="49"/>
        <v>mai/25</v>
      </c>
      <c r="P2471" t="str">
        <f>IF(Registro2[[#This Row],[Data de Pagamento]]&gt;0,TEXT(A2471,"mmm/aa"),"")</f>
        <v>mai/25</v>
      </c>
      <c r="T2471" s="4">
        <f>IF(Registro2[[#This Row],[Data de Pagamento]]="",0,IF(Registro2[[#This Row],[Conta Financeira]]=base!$A$6,0,Registro2[[#This Row],[Valor Unitário]]))</f>
        <v>35</v>
      </c>
      <c r="U24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71" t="str">
        <f>VLOOKUP(Registro2[[#This Row],[Categoria]],'Plano de Contas'!$V$3:W2525,2,0)</f>
        <v>Receitas Serviços</v>
      </c>
      <c r="X247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72" spans="1:24" hidden="1">
      <c r="A2472" s="1">
        <v>45801</v>
      </c>
      <c r="B2472" s="1">
        <v>45801</v>
      </c>
      <c r="D2472" t="s">
        <v>2</v>
      </c>
      <c r="E2472" t="s">
        <v>149</v>
      </c>
      <c r="F2472" t="s">
        <v>147</v>
      </c>
      <c r="G2472" t="s">
        <v>163</v>
      </c>
      <c r="I2472" s="4">
        <v>35</v>
      </c>
      <c r="J2472" s="4">
        <v>35</v>
      </c>
      <c r="L2472" t="s">
        <v>252</v>
      </c>
      <c r="M2472" t="s">
        <v>83</v>
      </c>
      <c r="N2472" s="4">
        <f>IF(L2472="","",IF(OR(Registro2[[#This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72" t="str">
        <f t="shared" si="49"/>
        <v>mai/25</v>
      </c>
      <c r="P2472" t="str">
        <f>IF(Registro2[[#This Row],[Data de Pagamento]]&gt;0,TEXT(A2472,"mmm/aa"),"")</f>
        <v>mai/25</v>
      </c>
      <c r="T2472" s="4">
        <f>IF(Registro2[[#This Row],[Data de Pagamento]]="",0,IF(Registro2[[#This Row],[Conta Financeira]]=base!$A$6,0,Registro2[[#This Row],[Valor Unitário]]))</f>
        <v>35</v>
      </c>
      <c r="U24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72" t="str">
        <f>VLOOKUP(Registro2[[#This Row],[Categoria]],'Plano de Contas'!$V$3:W2526,2,0)</f>
        <v>Receitas Serviços</v>
      </c>
      <c r="X247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73" spans="1:24" hidden="1">
      <c r="A2473" s="1">
        <v>45801</v>
      </c>
      <c r="B2473" s="1">
        <v>45801</v>
      </c>
      <c r="D2473" t="s">
        <v>1</v>
      </c>
      <c r="E2473" t="s">
        <v>149</v>
      </c>
      <c r="F2473" t="s">
        <v>147</v>
      </c>
      <c r="G2473" t="s">
        <v>163</v>
      </c>
      <c r="I2473" s="4">
        <v>20</v>
      </c>
      <c r="J2473" s="4">
        <v>20</v>
      </c>
      <c r="L2473" t="s">
        <v>264</v>
      </c>
      <c r="M2473" t="s">
        <v>274</v>
      </c>
      <c r="N2473" s="4">
        <f>IF(L2473="","",IF(OR(Registro2[[#This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473" t="str">
        <f t="shared" si="49"/>
        <v>mai/25</v>
      </c>
      <c r="P2473" t="str">
        <f>IF(Registro2[[#This Row],[Data de Pagamento]]&gt;0,TEXT(A2473,"mmm/aa"),"")</f>
        <v>mai/25</v>
      </c>
      <c r="T2473" s="4">
        <f>IF(Registro2[[#This Row],[Data de Pagamento]]="",0,IF(Registro2[[#This Row],[Conta Financeira]]=base!$A$6,0,Registro2[[#This Row],[Valor Unitário]]))</f>
        <v>20</v>
      </c>
      <c r="U24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73" t="str">
        <f>VLOOKUP(Registro2[[#This Row],[Categoria]],'Plano de Contas'!$V$3:W2527,2,0)</f>
        <v>Receitas Serviços</v>
      </c>
      <c r="X247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74" spans="1:24" hidden="1">
      <c r="A2474" s="1">
        <v>45801</v>
      </c>
      <c r="B2474" s="1">
        <v>45801</v>
      </c>
      <c r="D2474" t="s">
        <v>1</v>
      </c>
      <c r="E2474" t="s">
        <v>149</v>
      </c>
      <c r="F2474" t="s">
        <v>152</v>
      </c>
      <c r="G2474" t="s">
        <v>353</v>
      </c>
      <c r="I2474" s="4">
        <v>60</v>
      </c>
      <c r="J2474" s="4">
        <v>60</v>
      </c>
      <c r="L2474" t="s">
        <v>253</v>
      </c>
      <c r="M2474" t="s">
        <v>203</v>
      </c>
      <c r="N2474" s="4">
        <f>IF(L2474="","",IF(OR(Registro2[[#This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474" t="str">
        <f t="shared" si="49"/>
        <v>mai/25</v>
      </c>
      <c r="P2474" t="str">
        <f>IF(Registro2[[#This Row],[Data de Pagamento]]&gt;0,TEXT(A2474,"mmm/aa"),"")</f>
        <v>mai/25</v>
      </c>
      <c r="T2474" s="4">
        <f>IF(Registro2[[#This Row],[Data de Pagamento]]="",0,IF(Registro2[[#This Row],[Conta Financeira]]=base!$A$6,0,Registro2[[#This Row],[Valor Unitário]]))</f>
        <v>60</v>
      </c>
      <c r="U24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74" t="str">
        <f>VLOOKUP(Registro2[[#This Row],[Categoria]],'Plano de Contas'!$V$3:W2528,2,0)</f>
        <v>Receitas Serviços</v>
      </c>
      <c r="X247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75" spans="1:24" hidden="1">
      <c r="A2475" s="1">
        <v>45800</v>
      </c>
      <c r="B2475" s="1">
        <v>45800</v>
      </c>
      <c r="D2475" t="s">
        <v>947</v>
      </c>
      <c r="E2475" t="s">
        <v>137</v>
      </c>
      <c r="F2475" t="s">
        <v>967</v>
      </c>
      <c r="G2475" t="s">
        <v>144</v>
      </c>
      <c r="H2475" t="s">
        <v>144</v>
      </c>
      <c r="I2475" s="4">
        <v>40</v>
      </c>
      <c r="J2475" s="4"/>
      <c r="N2475" s="4" t="str">
        <f>IF(L2475="","",IF(OR(Registro2[[#This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475" t="str">
        <f t="shared" ref="O2475:O2476" si="50">TEXT(B2475,"mmm/aa")</f>
        <v>mai/25</v>
      </c>
      <c r="P2475" t="str">
        <f>IF(Registro2[[#This Row],[Data de Pagamento]]&gt;0,TEXT(A2475,"mmm/aa"),"")</f>
        <v>mai/25</v>
      </c>
      <c r="T2475" s="4">
        <f>IF(Registro2[[#This Row],[Data de Pagamento]]="",0,IF(Registro2[[#This Row],[Conta Financeira]]=base!$A$6,0,Registro2[[#This Row],[Valor Unitário]]))</f>
        <v>40</v>
      </c>
      <c r="U24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75" t="str">
        <f>VLOOKUP(Registro2[[#This Row],[Categoria]],'Plano de Contas'!$V$3:W2529,2,0)</f>
        <v>Despesas Administrativas</v>
      </c>
      <c r="X247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76" spans="1:24" hidden="1">
      <c r="A2476" s="1">
        <v>45801</v>
      </c>
      <c r="B2476" s="1">
        <v>45801</v>
      </c>
      <c r="D2476" t="s">
        <v>947</v>
      </c>
      <c r="E2476" t="s">
        <v>137</v>
      </c>
      <c r="F2476" t="s">
        <v>138</v>
      </c>
      <c r="G2476" t="s">
        <v>141</v>
      </c>
      <c r="H2476" t="s">
        <v>141</v>
      </c>
      <c r="I2476" s="4">
        <v>60</v>
      </c>
      <c r="J2476" s="4"/>
      <c r="N2476" s="4" t="str">
        <f>IF(L2476="","",IF(OR(Registro2[[#This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476" t="str">
        <f t="shared" si="50"/>
        <v>mai/25</v>
      </c>
      <c r="P2476" t="str">
        <f>IF(Registro2[[#This Row],[Data de Pagamento]]&gt;0,TEXT(A2476,"mmm/aa"),"")</f>
        <v>mai/25</v>
      </c>
      <c r="T2476" s="4">
        <f>IF(Registro2[[#This Row],[Data de Pagamento]]="",0,IF(Registro2[[#This Row],[Conta Financeira]]=base!$A$6,0,Registro2[[#This Row],[Valor Unitário]]))</f>
        <v>60</v>
      </c>
      <c r="U24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76" t="str">
        <f>VLOOKUP(Registro2[[#This Row],[Categoria]],'Plano de Contas'!$V$3:W2530,2,0)</f>
        <v>Custos Operacionais</v>
      </c>
      <c r="X247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77" spans="1:24">
      <c r="A2477" s="1">
        <v>45804</v>
      </c>
      <c r="B2477" s="1">
        <v>45804</v>
      </c>
      <c r="D2477" t="s">
        <v>310</v>
      </c>
      <c r="E2477" t="s">
        <v>149</v>
      </c>
      <c r="F2477" t="s">
        <v>147</v>
      </c>
      <c r="G2477" t="s">
        <v>163</v>
      </c>
      <c r="I2477" s="4">
        <v>35</v>
      </c>
      <c r="J2477" s="4">
        <v>35</v>
      </c>
      <c r="L2477" t="s">
        <v>253</v>
      </c>
      <c r="M2477" t="s">
        <v>1490</v>
      </c>
      <c r="N2477" s="4">
        <f>IF(L2477="","",IF(OR(Registro2[[#This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77" t="str">
        <f t="shared" ref="O2477:O2508" si="51">TEXT(B2477,"mmm/aa")</f>
        <v>mai/25</v>
      </c>
      <c r="P2477" t="str">
        <f>IF(Registro2[[#This Row],[Data de Pagamento]]&gt;0,TEXT(A2477,"mmm/aa"),"")</f>
        <v>mai/25</v>
      </c>
      <c r="T2477" s="4">
        <f>IF(Registro2[[#This Row],[Data de Pagamento]]="",0,IF(Registro2[[#This Row],[Conta Financeira]]=base!$A$6,0,Registro2[[#This Row],[Valor Unitário]]))</f>
        <v>35</v>
      </c>
      <c r="U24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77" t="str">
        <f>VLOOKUP(Registro2[[#This Row],[Categoria]],'Plano de Contas'!$V$3:W2531,2,0)</f>
        <v>Receitas Serviços</v>
      </c>
      <c r="X247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478" spans="1:24">
      <c r="A2478" s="1">
        <v>45803</v>
      </c>
      <c r="B2478" s="1">
        <v>45803</v>
      </c>
      <c r="D2478" t="s">
        <v>2</v>
      </c>
      <c r="E2478" t="s">
        <v>149</v>
      </c>
      <c r="F2478" t="s">
        <v>147</v>
      </c>
      <c r="G2478" t="s">
        <v>163</v>
      </c>
      <c r="I2478" s="4">
        <v>35</v>
      </c>
      <c r="J2478" s="4">
        <v>35</v>
      </c>
      <c r="L2478" t="s">
        <v>253</v>
      </c>
      <c r="M2478" t="s">
        <v>194</v>
      </c>
      <c r="N2478" s="4">
        <f>IF(L2478="","",IF(OR(Registro2[[#This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78" t="str">
        <f t="shared" si="51"/>
        <v>mai/25</v>
      </c>
      <c r="P2478" t="str">
        <f>IF(Registro2[[#This Row],[Data de Pagamento]]&gt;0,TEXT(A2478,"mmm/aa"),"")</f>
        <v>mai/25</v>
      </c>
      <c r="T2478" s="4">
        <f>IF(Registro2[[#This Row],[Data de Pagamento]]="",0,IF(Registro2[[#This Row],[Conta Financeira]]=base!$A$6,0,Registro2[[#This Row],[Valor Unitário]]))</f>
        <v>35</v>
      </c>
      <c r="U24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78" t="str">
        <f>VLOOKUP(Registro2[[#This Row],[Categoria]],'Plano de Contas'!$V$3:W2532,2,0)</f>
        <v>Receitas Serviços</v>
      </c>
      <c r="X24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79" spans="1:24">
      <c r="A2479" s="1">
        <v>45803</v>
      </c>
      <c r="B2479" s="1">
        <v>45803</v>
      </c>
      <c r="D2479" t="s">
        <v>1120</v>
      </c>
      <c r="E2479" t="s">
        <v>149</v>
      </c>
      <c r="F2479" t="s">
        <v>147</v>
      </c>
      <c r="G2479" t="s">
        <v>163</v>
      </c>
      <c r="I2479" s="4">
        <v>50</v>
      </c>
      <c r="J2479" s="4">
        <v>90</v>
      </c>
      <c r="L2479" t="s">
        <v>252</v>
      </c>
      <c r="M2479" t="s">
        <v>3284</v>
      </c>
      <c r="N2479" s="4">
        <f>IF(L2479="","",IF(OR(Registro2[[#This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2479" t="str">
        <f t="shared" si="51"/>
        <v>mai/25</v>
      </c>
      <c r="P2479" t="str">
        <f>IF(Registro2[[#This Row],[Data de Pagamento]]&gt;0,TEXT(A2479,"mmm/aa"),"")</f>
        <v>mai/25</v>
      </c>
      <c r="T2479" s="4">
        <f>IF(Registro2[[#This Row],[Data de Pagamento]]="",0,IF(Registro2[[#This Row],[Conta Financeira]]=base!$A$6,0,Registro2[[#This Row],[Valor Unitário]]))</f>
        <v>50</v>
      </c>
      <c r="U24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79" t="str">
        <f>VLOOKUP(Registro2[[#This Row],[Categoria]],'Plano de Contas'!$V$3:W2533,2,0)</f>
        <v>Receitas Serviços</v>
      </c>
      <c r="X247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80" spans="1:24">
      <c r="A2480" s="1">
        <v>45803</v>
      </c>
      <c r="B2480" s="1">
        <v>45803</v>
      </c>
      <c r="D2480" t="s">
        <v>1120</v>
      </c>
      <c r="E2480" t="s">
        <v>149</v>
      </c>
      <c r="F2480" t="s">
        <v>150</v>
      </c>
      <c r="G2480" t="s">
        <v>472</v>
      </c>
      <c r="I2480" s="4">
        <v>40</v>
      </c>
      <c r="J2480" s="4" t="s">
        <v>1604</v>
      </c>
      <c r="L2480" t="s">
        <v>252</v>
      </c>
      <c r="M2480" t="s">
        <v>3284</v>
      </c>
      <c r="N2480" s="4">
        <f>IF(L2480="","",IF(OR(Registro2[[#This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16</v>
      </c>
      <c r="O2480" t="str">
        <f t="shared" si="51"/>
        <v>mai/25</v>
      </c>
      <c r="P2480" t="str">
        <f>IF(Registro2[[#This Row],[Data de Pagamento]]&gt;0,TEXT(A2480,"mmm/aa"),"")</f>
        <v>mai/25</v>
      </c>
      <c r="T2480" s="4">
        <f>IF(Registro2[[#This Row],[Data de Pagamento]]="",0,IF(Registro2[[#This Row],[Conta Financeira]]=base!$A$6,0,Registro2[[#This Row],[Valor Unitário]]))</f>
        <v>40</v>
      </c>
      <c r="U24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80" t="str">
        <f>VLOOKUP(Registro2[[#This Row],[Categoria]],'Plano de Contas'!$V$3:W2534,2,0)</f>
        <v>Receitas Produtos</v>
      </c>
      <c r="X248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81" spans="1:24">
      <c r="A2481" s="1">
        <v>45803</v>
      </c>
      <c r="B2481" s="1">
        <v>45803</v>
      </c>
      <c r="D2481" t="s">
        <v>1</v>
      </c>
      <c r="E2481" t="s">
        <v>149</v>
      </c>
      <c r="F2481" t="s">
        <v>147</v>
      </c>
      <c r="G2481" t="s">
        <v>163</v>
      </c>
      <c r="I2481" s="4">
        <v>35</v>
      </c>
      <c r="J2481" s="4">
        <v>35</v>
      </c>
      <c r="L2481" t="s">
        <v>253</v>
      </c>
      <c r="M2481" t="s">
        <v>80</v>
      </c>
      <c r="N2481" s="4">
        <f>IF(L2481="","",IF(OR(Registro2[[#This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81" t="str">
        <f t="shared" si="51"/>
        <v>mai/25</v>
      </c>
      <c r="P2481" t="str">
        <f>IF(Registro2[[#This Row],[Data de Pagamento]]&gt;0,TEXT(A2481,"mmm/aa"),"")</f>
        <v>mai/25</v>
      </c>
      <c r="T2481" s="4">
        <f>IF(Registro2[[#This Row],[Data de Pagamento]]="",0,IF(Registro2[[#This Row],[Conta Financeira]]=base!$A$6,0,Registro2[[#This Row],[Valor Unitário]]))</f>
        <v>35</v>
      </c>
      <c r="U24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81" t="str">
        <f>VLOOKUP(Registro2[[#This Row],[Categoria]],'Plano de Contas'!$V$3:W2535,2,0)</f>
        <v>Receitas Serviços</v>
      </c>
      <c r="X248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82" spans="1:24">
      <c r="A2482" s="1">
        <v>45803</v>
      </c>
      <c r="B2482" s="1">
        <v>45803</v>
      </c>
      <c r="D2482" t="s">
        <v>1</v>
      </c>
      <c r="E2482" t="s">
        <v>149</v>
      </c>
      <c r="F2482" t="s">
        <v>147</v>
      </c>
      <c r="G2482" t="s">
        <v>163</v>
      </c>
      <c r="I2482" s="4">
        <v>35</v>
      </c>
      <c r="J2482" s="4">
        <v>57</v>
      </c>
      <c r="L2482" t="s">
        <v>253</v>
      </c>
      <c r="M2482" t="s">
        <v>110</v>
      </c>
      <c r="N2482" s="4">
        <f>IF(L2482="","",IF(OR(Registro2[[#This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82" t="str">
        <f t="shared" si="51"/>
        <v>mai/25</v>
      </c>
      <c r="P2482" t="str">
        <f>IF(Registro2[[#This Row],[Data de Pagamento]]&gt;0,TEXT(A2482,"mmm/aa"),"")</f>
        <v>mai/25</v>
      </c>
      <c r="T2482" s="4">
        <f>IF(Registro2[[#This Row],[Data de Pagamento]]="",0,IF(Registro2[[#This Row],[Conta Financeira]]=base!$A$6,0,Registro2[[#This Row],[Valor Unitário]]))</f>
        <v>35</v>
      </c>
      <c r="U24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82" t="str">
        <f>VLOOKUP(Registro2[[#This Row],[Categoria]],'Plano de Contas'!$V$3:W2536,2,0)</f>
        <v>Receitas Serviços</v>
      </c>
      <c r="X24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83" spans="1:24">
      <c r="A2483" s="1">
        <v>45803</v>
      </c>
      <c r="B2483" s="1">
        <v>45803</v>
      </c>
      <c r="D2483" t="s">
        <v>1</v>
      </c>
      <c r="E2483" t="s">
        <v>149</v>
      </c>
      <c r="F2483" t="s">
        <v>150</v>
      </c>
      <c r="G2483" t="s">
        <v>507</v>
      </c>
      <c r="I2483" s="4">
        <v>22</v>
      </c>
      <c r="J2483" s="4" t="s">
        <v>1604</v>
      </c>
      <c r="L2483" t="s">
        <v>253</v>
      </c>
      <c r="M2483" t="s">
        <v>110</v>
      </c>
      <c r="N2483" s="4">
        <f>IF(L2483="","",IF(OR(Registro2[[#This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8.8000000000000007</v>
      </c>
      <c r="O2483" t="str">
        <f t="shared" si="51"/>
        <v>mai/25</v>
      </c>
      <c r="P2483" t="str">
        <f>IF(Registro2[[#This Row],[Data de Pagamento]]&gt;0,TEXT(A2483,"mmm/aa"),"")</f>
        <v>mai/25</v>
      </c>
      <c r="T2483" s="4">
        <f>IF(Registro2[[#This Row],[Data de Pagamento]]="",0,IF(Registro2[[#This Row],[Conta Financeira]]=base!$A$6,0,Registro2[[#This Row],[Valor Unitário]]))</f>
        <v>22</v>
      </c>
      <c r="U24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83" t="str">
        <f>VLOOKUP(Registro2[[#This Row],[Categoria]],'Plano de Contas'!$V$3:W2537,2,0)</f>
        <v>Receitas Produtos</v>
      </c>
      <c r="X24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84" spans="1:24">
      <c r="A2484" s="1">
        <v>45803</v>
      </c>
      <c r="B2484" s="1">
        <v>45803</v>
      </c>
      <c r="D2484" t="s">
        <v>1</v>
      </c>
      <c r="E2484" t="s">
        <v>149</v>
      </c>
      <c r="F2484" t="s">
        <v>147</v>
      </c>
      <c r="G2484" t="s">
        <v>163</v>
      </c>
      <c r="I2484" s="4">
        <v>35</v>
      </c>
      <c r="J2484" s="4">
        <v>35</v>
      </c>
      <c r="L2484" t="s">
        <v>252</v>
      </c>
      <c r="M2484" t="s">
        <v>3290</v>
      </c>
      <c r="N2484" s="4">
        <f>IF(L2484="","",IF(OR(Registro2[[#This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84" t="str">
        <f t="shared" si="51"/>
        <v>mai/25</v>
      </c>
      <c r="P2484" t="str">
        <f>IF(Registro2[[#This Row],[Data de Pagamento]]&gt;0,TEXT(A2484,"mmm/aa"),"")</f>
        <v>mai/25</v>
      </c>
      <c r="T2484" s="4">
        <f>IF(Registro2[[#This Row],[Data de Pagamento]]="",0,IF(Registro2[[#This Row],[Conta Financeira]]=base!$A$6,0,Registro2[[#This Row],[Valor Unitário]]))</f>
        <v>35</v>
      </c>
      <c r="U24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84" t="str">
        <f>VLOOKUP(Registro2[[#This Row],[Categoria]],'Plano de Contas'!$V$3:W2538,2,0)</f>
        <v>Receitas Serviços</v>
      </c>
      <c r="X248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85" spans="1:24">
      <c r="A2485" s="1">
        <v>45803</v>
      </c>
      <c r="B2485" s="1">
        <v>45803</v>
      </c>
      <c r="D2485" t="s">
        <v>1</v>
      </c>
      <c r="E2485" t="s">
        <v>149</v>
      </c>
      <c r="F2485" t="s">
        <v>147</v>
      </c>
      <c r="G2485" t="s">
        <v>163</v>
      </c>
      <c r="I2485" s="4">
        <v>35</v>
      </c>
      <c r="J2485" s="4">
        <v>60</v>
      </c>
      <c r="L2485" t="s">
        <v>253</v>
      </c>
      <c r="M2485" t="s">
        <v>2025</v>
      </c>
      <c r="N2485" s="4">
        <f>IF(L2485="","",IF(OR(Registro2[[#This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85" t="str">
        <f t="shared" si="51"/>
        <v>mai/25</v>
      </c>
      <c r="P2485" t="str">
        <f>IF(Registro2[[#This Row],[Data de Pagamento]]&gt;0,TEXT(A2485,"mmm/aa"),"")</f>
        <v>mai/25</v>
      </c>
      <c r="T2485" s="4">
        <f>IF(Registro2[[#This Row],[Data de Pagamento]]="",0,IF(Registro2[[#This Row],[Conta Financeira]]=base!$A$6,0,Registro2[[#This Row],[Valor Unitário]]))</f>
        <v>35</v>
      </c>
      <c r="U24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85" t="str">
        <f>VLOOKUP(Registro2[[#This Row],[Categoria]],'Plano de Contas'!$V$3:W2539,2,0)</f>
        <v>Receitas Serviços</v>
      </c>
      <c r="X248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86" spans="1:24">
      <c r="A2486" s="1">
        <v>45803</v>
      </c>
      <c r="B2486" s="1">
        <v>45803</v>
      </c>
      <c r="D2486" t="s">
        <v>1</v>
      </c>
      <c r="E2486" t="s">
        <v>149</v>
      </c>
      <c r="F2486" t="s">
        <v>147</v>
      </c>
      <c r="G2486" t="s">
        <v>2825</v>
      </c>
      <c r="I2486" s="4">
        <v>10</v>
      </c>
      <c r="J2486" s="4" t="s">
        <v>1604</v>
      </c>
      <c r="L2486" t="s">
        <v>253</v>
      </c>
      <c r="M2486" t="s">
        <v>2025</v>
      </c>
      <c r="N2486" s="4">
        <f>IF(L2486="","",IF(OR(Registro2[[#This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486" t="str">
        <f t="shared" si="51"/>
        <v>mai/25</v>
      </c>
      <c r="P2486" t="str">
        <f>IF(Registro2[[#This Row],[Data de Pagamento]]&gt;0,TEXT(A2486,"mmm/aa"),"")</f>
        <v>mai/25</v>
      </c>
      <c r="T2486" s="4">
        <f>IF(Registro2[[#This Row],[Data de Pagamento]]="",0,IF(Registro2[[#This Row],[Conta Financeira]]=base!$A$6,0,Registro2[[#This Row],[Valor Unitário]]))</f>
        <v>10</v>
      </c>
      <c r="U24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86" t="e">
        <f>VLOOKUP(Registro2[[#This Row],[Categoria]],'Plano de Contas'!$V$3:W2540,2,0)</f>
        <v>#N/A</v>
      </c>
      <c r="X248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87" spans="1:24">
      <c r="A2487" s="1">
        <v>45803</v>
      </c>
      <c r="B2487" s="1">
        <v>45803</v>
      </c>
      <c r="D2487" t="s">
        <v>1</v>
      </c>
      <c r="E2487" t="s">
        <v>149</v>
      </c>
      <c r="F2487" t="s">
        <v>147</v>
      </c>
      <c r="G2487" t="s">
        <v>1187</v>
      </c>
      <c r="I2487" s="4">
        <v>15</v>
      </c>
      <c r="J2487" s="4" t="s">
        <v>1604</v>
      </c>
      <c r="L2487" t="s">
        <v>253</v>
      </c>
      <c r="M2487" t="s">
        <v>2025</v>
      </c>
      <c r="N2487" s="4">
        <f>IF(L2487="","",IF(OR(Registro2[[#This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487" t="str">
        <f t="shared" si="51"/>
        <v>mai/25</v>
      </c>
      <c r="P2487" t="str">
        <f>IF(Registro2[[#This Row],[Data de Pagamento]]&gt;0,TEXT(A2487,"mmm/aa"),"")</f>
        <v>mai/25</v>
      </c>
      <c r="T2487" s="4">
        <f>IF(Registro2[[#This Row],[Data de Pagamento]]="",0,IF(Registro2[[#This Row],[Conta Financeira]]=base!$A$6,0,Registro2[[#This Row],[Valor Unitário]]))</f>
        <v>15</v>
      </c>
      <c r="U24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87" t="str">
        <f>VLOOKUP(Registro2[[#This Row],[Categoria]],'Plano de Contas'!$V$3:W2541,2,0)</f>
        <v>Receitas Serviços</v>
      </c>
      <c r="X248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88" spans="1:24">
      <c r="A2488" s="1">
        <v>45803</v>
      </c>
      <c r="B2488" s="1">
        <v>45803</v>
      </c>
      <c r="D2488" t="s">
        <v>1</v>
      </c>
      <c r="E2488" t="s">
        <v>149</v>
      </c>
      <c r="F2488" t="s">
        <v>152</v>
      </c>
      <c r="G2488" t="s">
        <v>353</v>
      </c>
      <c r="I2488" s="4">
        <v>60</v>
      </c>
      <c r="J2488" s="4">
        <v>80</v>
      </c>
      <c r="L2488" t="s">
        <v>252</v>
      </c>
      <c r="M2488" t="s">
        <v>3295</v>
      </c>
      <c r="N2488" s="4">
        <f>IF(L2488="","",IF(OR(Registro2[[#This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488" t="str">
        <f t="shared" si="51"/>
        <v>mai/25</v>
      </c>
      <c r="P2488" t="str">
        <f>IF(Registro2[[#This Row],[Data de Pagamento]]&gt;0,TEXT(A2488,"mmm/aa"),"")</f>
        <v>mai/25</v>
      </c>
      <c r="T2488" s="4">
        <f>IF(Registro2[[#This Row],[Data de Pagamento]]="",0,IF(Registro2[[#This Row],[Conta Financeira]]=base!$A$6,0,Registro2[[#This Row],[Valor Unitário]]))</f>
        <v>60</v>
      </c>
      <c r="U24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88" t="str">
        <f>VLOOKUP(Registro2[[#This Row],[Categoria]],'Plano de Contas'!$V$3:W2542,2,0)</f>
        <v>Receitas Serviços</v>
      </c>
      <c r="X248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89" spans="1:24">
      <c r="A2489" s="1">
        <v>45803</v>
      </c>
      <c r="B2489" s="1">
        <v>45803</v>
      </c>
      <c r="D2489" t="s">
        <v>1</v>
      </c>
      <c r="E2489" t="s">
        <v>149</v>
      </c>
      <c r="F2489" t="s">
        <v>152</v>
      </c>
      <c r="G2489" t="s">
        <v>352</v>
      </c>
      <c r="I2489" s="4">
        <v>20</v>
      </c>
      <c r="J2489" s="4" t="s">
        <v>1604</v>
      </c>
      <c r="L2489" t="s">
        <v>252</v>
      </c>
      <c r="M2489" t="s">
        <v>3295</v>
      </c>
      <c r="N2489" s="4">
        <f>IF(L2489="","",IF(OR(Registro2[[#This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489" t="str">
        <f t="shared" si="51"/>
        <v>mai/25</v>
      </c>
      <c r="P2489" t="str">
        <f>IF(Registro2[[#This Row],[Data de Pagamento]]&gt;0,TEXT(A2489,"mmm/aa"),"")</f>
        <v>mai/25</v>
      </c>
      <c r="T2489" s="4">
        <f>IF(Registro2[[#This Row],[Data de Pagamento]]="",0,IF(Registro2[[#This Row],[Conta Financeira]]=base!$A$6,0,Registro2[[#This Row],[Valor Unitário]]))</f>
        <v>20</v>
      </c>
      <c r="U24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89" t="str">
        <f>VLOOKUP(Registro2[[#This Row],[Categoria]],'Plano de Contas'!$V$3:W2543,2,0)</f>
        <v>Receitas Serviços</v>
      </c>
      <c r="X248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90" spans="1:24">
      <c r="A2490" s="1">
        <v>45803</v>
      </c>
      <c r="B2490" s="1">
        <v>45803</v>
      </c>
      <c r="D2490" t="s">
        <v>1</v>
      </c>
      <c r="E2490" t="s">
        <v>149</v>
      </c>
      <c r="F2490" t="s">
        <v>147</v>
      </c>
      <c r="G2490" t="s">
        <v>163</v>
      </c>
      <c r="I2490" s="4">
        <v>35</v>
      </c>
      <c r="J2490" s="4">
        <v>35</v>
      </c>
      <c r="L2490" t="s">
        <v>252</v>
      </c>
      <c r="M2490" t="s">
        <v>58</v>
      </c>
      <c r="N2490" s="4">
        <f>IF(L2490="","",IF(OR(Registro2[[#This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90" t="str">
        <f t="shared" si="51"/>
        <v>mai/25</v>
      </c>
      <c r="P2490" t="str">
        <f>IF(Registro2[[#This Row],[Data de Pagamento]]&gt;0,TEXT(A2490,"mmm/aa"),"")</f>
        <v>mai/25</v>
      </c>
      <c r="T2490" s="4">
        <f>IF(Registro2[[#This Row],[Data de Pagamento]]="",0,IF(Registro2[[#This Row],[Conta Financeira]]=base!$A$6,0,Registro2[[#This Row],[Valor Unitário]]))</f>
        <v>35</v>
      </c>
      <c r="U24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90" t="str">
        <f>VLOOKUP(Registro2[[#This Row],[Categoria]],'Plano de Contas'!$V$3:W2544,2,0)</f>
        <v>Receitas Serviços</v>
      </c>
      <c r="X249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91" spans="1:24">
      <c r="A2491" s="1">
        <v>45806</v>
      </c>
      <c r="B2491" s="1">
        <v>45806</v>
      </c>
      <c r="D2491" t="s">
        <v>1</v>
      </c>
      <c r="E2491" t="s">
        <v>149</v>
      </c>
      <c r="F2491" t="s">
        <v>147</v>
      </c>
      <c r="G2491" t="s">
        <v>163</v>
      </c>
      <c r="I2491" s="4">
        <v>35</v>
      </c>
      <c r="J2491" s="4">
        <v>53</v>
      </c>
      <c r="L2491" t="s">
        <v>252</v>
      </c>
      <c r="M2491" t="s">
        <v>364</v>
      </c>
      <c r="N2491" s="4">
        <f>IF(L2491="","",IF(OR(Registro2[[#This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91" t="str">
        <f t="shared" si="51"/>
        <v>mai/25</v>
      </c>
      <c r="P2491" t="str">
        <f>IF(Registro2[[#This Row],[Data de Pagamento]]&gt;0,TEXT(A2491,"mmm/aa"),"")</f>
        <v>mai/25</v>
      </c>
      <c r="T2491" s="4">
        <f>IF(Registro2[[#This Row],[Data de Pagamento]]="",0,IF(Registro2[[#This Row],[Conta Financeira]]=base!$A$6,0,Registro2[[#This Row],[Valor Unitário]]))</f>
        <v>35</v>
      </c>
      <c r="U24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91" t="str">
        <f>VLOOKUP(Registro2[[#This Row],[Categoria]],'Plano de Contas'!$V$3:W2545,2,0)</f>
        <v>Receitas Serviços</v>
      </c>
      <c r="X249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92" spans="1:24">
      <c r="A2492" s="1">
        <v>45806</v>
      </c>
      <c r="B2492" s="1">
        <v>45806</v>
      </c>
      <c r="D2492" t="s">
        <v>1</v>
      </c>
      <c r="E2492" t="s">
        <v>149</v>
      </c>
      <c r="F2492" t="s">
        <v>150</v>
      </c>
      <c r="G2492" t="s">
        <v>2931</v>
      </c>
      <c r="I2492" s="4">
        <v>18</v>
      </c>
      <c r="J2492" s="4" t="s">
        <v>1604</v>
      </c>
      <c r="L2492" t="s">
        <v>252</v>
      </c>
      <c r="M2492" t="s">
        <v>364</v>
      </c>
      <c r="N2492" s="4">
        <f>IF(L2492="","",IF(OR(Registro2[[#This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7.2</v>
      </c>
      <c r="O2492" t="str">
        <f t="shared" si="51"/>
        <v>mai/25</v>
      </c>
      <c r="P2492" t="str">
        <f>IF(Registro2[[#This Row],[Data de Pagamento]]&gt;0,TEXT(A2492,"mmm/aa"),"")</f>
        <v>mai/25</v>
      </c>
      <c r="T2492" s="4">
        <f>IF(Registro2[[#This Row],[Data de Pagamento]]="",0,IF(Registro2[[#This Row],[Conta Financeira]]=base!$A$6,0,Registro2[[#This Row],[Valor Unitário]]))</f>
        <v>18</v>
      </c>
      <c r="U24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92" t="e">
        <f>VLOOKUP(Registro2[[#This Row],[Categoria]],'Plano de Contas'!$V$3:W2546,2,0)</f>
        <v>#N/A</v>
      </c>
      <c r="X249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93" spans="1:24">
      <c r="A2493" s="1">
        <v>45803</v>
      </c>
      <c r="B2493" s="1">
        <v>45803</v>
      </c>
      <c r="D2493" t="s">
        <v>1</v>
      </c>
      <c r="E2493" t="s">
        <v>149</v>
      </c>
      <c r="F2493" t="s">
        <v>147</v>
      </c>
      <c r="G2493" t="s">
        <v>163</v>
      </c>
      <c r="I2493" s="4">
        <v>35</v>
      </c>
      <c r="J2493" s="4">
        <v>35</v>
      </c>
      <c r="L2493" t="s">
        <v>252</v>
      </c>
      <c r="M2493" t="s">
        <v>360</v>
      </c>
      <c r="N2493" s="4">
        <f>IF(L2493="","",IF(OR(Registro2[[#This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93" t="str">
        <f t="shared" si="51"/>
        <v>mai/25</v>
      </c>
      <c r="P2493" t="str">
        <f>IF(Registro2[[#This Row],[Data de Pagamento]]&gt;0,TEXT(A2493,"mmm/aa"),"")</f>
        <v>mai/25</v>
      </c>
      <c r="T2493" s="4">
        <f>IF(Registro2[[#This Row],[Data de Pagamento]]="",0,IF(Registro2[[#This Row],[Conta Financeira]]=base!$A$6,0,Registro2[[#This Row],[Valor Unitário]]))</f>
        <v>35</v>
      </c>
      <c r="U24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93" t="str">
        <f>VLOOKUP(Registro2[[#This Row],[Categoria]],'Plano de Contas'!$V$3:W2547,2,0)</f>
        <v>Receitas Serviços</v>
      </c>
      <c r="X249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94" spans="1:24">
      <c r="A2494" s="1">
        <v>45807</v>
      </c>
      <c r="B2494" s="1">
        <v>45807</v>
      </c>
      <c r="D2494" t="s">
        <v>1</v>
      </c>
      <c r="E2494" t="s">
        <v>149</v>
      </c>
      <c r="F2494" t="s">
        <v>147</v>
      </c>
      <c r="G2494" t="s">
        <v>163</v>
      </c>
      <c r="I2494" s="4">
        <v>30</v>
      </c>
      <c r="J2494" s="4">
        <v>30</v>
      </c>
      <c r="L2494" t="s">
        <v>264</v>
      </c>
      <c r="M2494" t="s">
        <v>271</v>
      </c>
      <c r="N2494" s="4">
        <f>IF(L2494="","",IF(OR(Registro2[[#This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2494" t="str">
        <f t="shared" si="51"/>
        <v>mai/25</v>
      </c>
      <c r="P2494" t="str">
        <f>IF(Registro2[[#This Row],[Data de Pagamento]]&gt;0,TEXT(A2494,"mmm/aa"),"")</f>
        <v>mai/25</v>
      </c>
      <c r="T2494" s="4">
        <f>IF(Registro2[[#This Row],[Data de Pagamento]]="",0,IF(Registro2[[#This Row],[Conta Financeira]]=base!$A$6,0,Registro2[[#This Row],[Valor Unitário]]))</f>
        <v>30</v>
      </c>
      <c r="U24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94" t="str">
        <f>VLOOKUP(Registro2[[#This Row],[Categoria]],'Plano de Contas'!$V$3:W2548,2,0)</f>
        <v>Receitas Serviços</v>
      </c>
      <c r="X249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95" spans="1:24">
      <c r="A2495" s="1">
        <v>45804</v>
      </c>
      <c r="B2495" s="1">
        <v>45804</v>
      </c>
      <c r="D2495" t="s">
        <v>1</v>
      </c>
      <c r="E2495" t="s">
        <v>149</v>
      </c>
      <c r="F2495" t="s">
        <v>147</v>
      </c>
      <c r="G2495" t="s">
        <v>163</v>
      </c>
      <c r="I2495" s="4">
        <v>20</v>
      </c>
      <c r="J2495" s="4">
        <v>20</v>
      </c>
      <c r="L2495" t="s">
        <v>264</v>
      </c>
      <c r="M2495" t="s">
        <v>410</v>
      </c>
      <c r="N2495" s="4">
        <f>IF(L2495="","",IF(OR(Registro2[[#This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495" t="str">
        <f t="shared" si="51"/>
        <v>mai/25</v>
      </c>
      <c r="P2495" t="str">
        <f>IF(Registro2[[#This Row],[Data de Pagamento]]&gt;0,TEXT(A2495,"mmm/aa"),"")</f>
        <v>mai/25</v>
      </c>
      <c r="T2495" s="4">
        <f>IF(Registro2[[#This Row],[Data de Pagamento]]="",0,IF(Registro2[[#This Row],[Conta Financeira]]=base!$A$6,0,Registro2[[#This Row],[Valor Unitário]]))</f>
        <v>20</v>
      </c>
      <c r="U24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95" t="str">
        <f>VLOOKUP(Registro2[[#This Row],[Categoria]],'Plano de Contas'!$V$3:W2549,2,0)</f>
        <v>Receitas Serviços</v>
      </c>
      <c r="X249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96" spans="1:24">
      <c r="A2496" s="1">
        <v>45804</v>
      </c>
      <c r="B2496" s="1">
        <v>45804</v>
      </c>
      <c r="D2496" t="s">
        <v>1</v>
      </c>
      <c r="E2496" t="s">
        <v>149</v>
      </c>
      <c r="F2496" t="s">
        <v>147</v>
      </c>
      <c r="G2496" t="s">
        <v>163</v>
      </c>
      <c r="I2496" s="4">
        <v>35</v>
      </c>
      <c r="J2496" s="4">
        <v>35</v>
      </c>
      <c r="L2496" t="s">
        <v>264</v>
      </c>
      <c r="M2496" t="s">
        <v>375</v>
      </c>
      <c r="N2496" s="4">
        <f>IF(L2496="","",IF(OR(Registro2[[#This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96" t="str">
        <f t="shared" si="51"/>
        <v>mai/25</v>
      </c>
      <c r="P2496" t="str">
        <f>IF(Registro2[[#This Row],[Data de Pagamento]]&gt;0,TEXT(A2496,"mmm/aa"),"")</f>
        <v>mai/25</v>
      </c>
      <c r="T2496" s="4">
        <f>IF(Registro2[[#This Row],[Data de Pagamento]]="",0,IF(Registro2[[#This Row],[Conta Financeira]]=base!$A$6,0,Registro2[[#This Row],[Valor Unitário]]))</f>
        <v>35</v>
      </c>
      <c r="U24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96" t="str">
        <f>VLOOKUP(Registro2[[#This Row],[Categoria]],'Plano de Contas'!$V$3:W2550,2,0)</f>
        <v>Receitas Serviços</v>
      </c>
      <c r="X249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97" spans="1:24">
      <c r="A2497" s="1">
        <v>45804</v>
      </c>
      <c r="B2497" s="1">
        <v>45804</v>
      </c>
      <c r="D2497" t="s">
        <v>1</v>
      </c>
      <c r="E2497" t="s">
        <v>149</v>
      </c>
      <c r="F2497" t="s">
        <v>147</v>
      </c>
      <c r="G2497" t="s">
        <v>163</v>
      </c>
      <c r="I2497" s="4">
        <v>35</v>
      </c>
      <c r="J2497" s="4">
        <v>35</v>
      </c>
      <c r="L2497" t="s">
        <v>264</v>
      </c>
      <c r="M2497" t="s">
        <v>1083</v>
      </c>
      <c r="N2497" s="4">
        <f>IF(L2497="","",IF(OR(Registro2[[#This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97" t="str">
        <f t="shared" si="51"/>
        <v>mai/25</v>
      </c>
      <c r="P2497" t="str">
        <f>IF(Registro2[[#This Row],[Data de Pagamento]]&gt;0,TEXT(A2497,"mmm/aa"),"")</f>
        <v>mai/25</v>
      </c>
      <c r="T2497" s="4">
        <f>IF(Registro2[[#This Row],[Data de Pagamento]]="",0,IF(Registro2[[#This Row],[Conta Financeira]]=base!$A$6,0,Registro2[[#This Row],[Valor Unitário]]))</f>
        <v>35</v>
      </c>
      <c r="U24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97" t="str">
        <f>VLOOKUP(Registro2[[#This Row],[Categoria]],'Plano de Contas'!$V$3:W2551,2,0)</f>
        <v>Receitas Serviços</v>
      </c>
      <c r="X249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98" spans="1:24">
      <c r="A2498" s="1">
        <v>45804</v>
      </c>
      <c r="B2498" s="1">
        <v>45804</v>
      </c>
      <c r="D2498" t="s">
        <v>1</v>
      </c>
      <c r="E2498" t="s">
        <v>149</v>
      </c>
      <c r="F2498" t="s">
        <v>147</v>
      </c>
      <c r="G2498" t="s">
        <v>163</v>
      </c>
      <c r="I2498" s="4">
        <v>35</v>
      </c>
      <c r="J2498" s="4">
        <v>60</v>
      </c>
      <c r="L2498" t="s">
        <v>253</v>
      </c>
      <c r="M2498" t="s">
        <v>3312</v>
      </c>
      <c r="N2498" s="4">
        <f>IF(L2498="","",IF(OR(Registro2[[#This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498" t="str">
        <f t="shared" si="51"/>
        <v>mai/25</v>
      </c>
      <c r="P2498" t="str">
        <f>IF(Registro2[[#This Row],[Data de Pagamento]]&gt;0,TEXT(A2498,"mmm/aa"),"")</f>
        <v>mai/25</v>
      </c>
      <c r="T2498" s="4">
        <f>IF(Registro2[[#This Row],[Data de Pagamento]]="",0,IF(Registro2[[#This Row],[Conta Financeira]]=base!$A$6,0,Registro2[[#This Row],[Valor Unitário]]))</f>
        <v>35</v>
      </c>
      <c r="U24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98" t="str">
        <f>VLOOKUP(Registro2[[#This Row],[Categoria]],'Plano de Contas'!$V$3:W2552,2,0)</f>
        <v>Receitas Serviços</v>
      </c>
      <c r="X249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499" spans="1:24">
      <c r="A2499" s="1">
        <v>45804</v>
      </c>
      <c r="B2499" s="1">
        <v>45804</v>
      </c>
      <c r="D2499" t="s">
        <v>1</v>
      </c>
      <c r="E2499" t="s">
        <v>149</v>
      </c>
      <c r="F2499" t="s">
        <v>147</v>
      </c>
      <c r="G2499" t="s">
        <v>1046</v>
      </c>
      <c r="I2499" s="4">
        <v>25</v>
      </c>
      <c r="J2499" s="4" t="s">
        <v>1604</v>
      </c>
      <c r="L2499" t="s">
        <v>253</v>
      </c>
      <c r="M2499" t="s">
        <v>3312</v>
      </c>
      <c r="N2499" s="4">
        <f>IF(L2499="","",IF(OR(Registro2[[#This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2499" t="str">
        <f t="shared" si="51"/>
        <v>mai/25</v>
      </c>
      <c r="P2499" t="str">
        <f>IF(Registro2[[#This Row],[Data de Pagamento]]&gt;0,TEXT(A2499,"mmm/aa"),"")</f>
        <v>mai/25</v>
      </c>
      <c r="T2499" s="4">
        <f>IF(Registro2[[#This Row],[Data de Pagamento]]="",0,IF(Registro2[[#This Row],[Conta Financeira]]=base!$A$6,0,Registro2[[#This Row],[Valor Unitário]]))</f>
        <v>25</v>
      </c>
      <c r="U24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499" t="str">
        <f>VLOOKUP(Registro2[[#This Row],[Categoria]],'Plano de Contas'!$V$3:W2553,2,0)</f>
        <v>Receitas Serviços</v>
      </c>
      <c r="X249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00" spans="1:24">
      <c r="A2500" s="1">
        <v>45804</v>
      </c>
      <c r="B2500" s="1">
        <v>45804</v>
      </c>
      <c r="D2500" t="s">
        <v>1</v>
      </c>
      <c r="E2500" t="s">
        <v>149</v>
      </c>
      <c r="F2500" t="s">
        <v>147</v>
      </c>
      <c r="G2500" t="s">
        <v>1046</v>
      </c>
      <c r="I2500" s="4">
        <v>35</v>
      </c>
      <c r="J2500" s="4">
        <v>53</v>
      </c>
      <c r="L2500" t="s">
        <v>264</v>
      </c>
      <c r="M2500" t="s">
        <v>3315</v>
      </c>
      <c r="N2500" s="4">
        <f>IF(L2500="","",IF(OR(Registro2[[#This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00" t="str">
        <f t="shared" si="51"/>
        <v>mai/25</v>
      </c>
      <c r="P2500" t="str">
        <f>IF(Registro2[[#This Row],[Data de Pagamento]]&gt;0,TEXT(A2500,"mmm/aa"),"")</f>
        <v>mai/25</v>
      </c>
      <c r="T2500" s="4">
        <f>IF(Registro2[[#This Row],[Data de Pagamento]]="",0,IF(Registro2[[#This Row],[Conta Financeira]]=base!$A$6,0,Registro2[[#This Row],[Valor Unitário]]))</f>
        <v>35</v>
      </c>
      <c r="U25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00" t="str">
        <f>VLOOKUP(Registro2[[#This Row],[Categoria]],'Plano de Contas'!$V$3:W2554,2,0)</f>
        <v>Receitas Serviços</v>
      </c>
      <c r="X250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01" spans="1:24">
      <c r="A2501" s="1">
        <v>45804</v>
      </c>
      <c r="B2501" s="1">
        <v>45804</v>
      </c>
      <c r="D2501" t="s">
        <v>1</v>
      </c>
      <c r="E2501" t="s">
        <v>149</v>
      </c>
      <c r="F2501" t="s">
        <v>150</v>
      </c>
      <c r="G2501" t="s">
        <v>3316</v>
      </c>
      <c r="I2501" s="4">
        <v>18</v>
      </c>
      <c r="J2501" s="4" t="s">
        <v>1604</v>
      </c>
      <c r="L2501" t="s">
        <v>264</v>
      </c>
      <c r="M2501" t="s">
        <v>3315</v>
      </c>
      <c r="N2501" s="4">
        <f>IF(L2501="","",IF(OR(Registro2[[#This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7.2</v>
      </c>
      <c r="O2501" t="str">
        <f t="shared" si="51"/>
        <v>mai/25</v>
      </c>
      <c r="P2501" t="str">
        <f>IF(Registro2[[#This Row],[Data de Pagamento]]&gt;0,TEXT(A2501,"mmm/aa"),"")</f>
        <v>mai/25</v>
      </c>
      <c r="T2501" s="4">
        <f>IF(Registro2[[#This Row],[Data de Pagamento]]="",0,IF(Registro2[[#This Row],[Conta Financeira]]=base!$A$6,0,Registro2[[#This Row],[Valor Unitário]]))</f>
        <v>18</v>
      </c>
      <c r="U25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01" t="e">
        <f>VLOOKUP(Registro2[[#This Row],[Categoria]],'Plano de Contas'!$V$3:W2555,2,0)</f>
        <v>#N/A</v>
      </c>
      <c r="X250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02" spans="1:24">
      <c r="A2502" s="1">
        <v>45804</v>
      </c>
      <c r="B2502" s="1">
        <v>45804</v>
      </c>
      <c r="D2502" t="s">
        <v>1</v>
      </c>
      <c r="E2502" t="s">
        <v>149</v>
      </c>
      <c r="F2502" t="s">
        <v>147</v>
      </c>
      <c r="G2502" t="s">
        <v>163</v>
      </c>
      <c r="I2502" s="4">
        <v>20</v>
      </c>
      <c r="J2502" s="4">
        <v>20</v>
      </c>
      <c r="L2502" t="s">
        <v>252</v>
      </c>
      <c r="M2502" t="s">
        <v>1077</v>
      </c>
      <c r="N2502" s="4">
        <f>IF(L2502="","",IF(OR(Registro2[[#This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502" t="str">
        <f t="shared" si="51"/>
        <v>mai/25</v>
      </c>
      <c r="P2502" t="str">
        <f>IF(Registro2[[#This Row],[Data de Pagamento]]&gt;0,TEXT(A2502,"mmm/aa"),"")</f>
        <v>mai/25</v>
      </c>
      <c r="T2502" s="4">
        <f>IF(Registro2[[#This Row],[Data de Pagamento]]="",0,IF(Registro2[[#This Row],[Conta Financeira]]=base!$A$6,0,Registro2[[#This Row],[Valor Unitário]]))</f>
        <v>20</v>
      </c>
      <c r="U25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02" t="str">
        <f>VLOOKUP(Registro2[[#This Row],[Categoria]],'Plano de Contas'!$V$3:W2556,2,0)</f>
        <v>Receitas Serviços</v>
      </c>
      <c r="X250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03" spans="1:24">
      <c r="A2503" s="1">
        <v>45804</v>
      </c>
      <c r="B2503" s="1">
        <v>45804</v>
      </c>
      <c r="D2503" t="s">
        <v>1</v>
      </c>
      <c r="E2503" t="s">
        <v>149</v>
      </c>
      <c r="F2503" t="s">
        <v>147</v>
      </c>
      <c r="G2503" t="s">
        <v>163</v>
      </c>
      <c r="I2503" s="4">
        <v>35</v>
      </c>
      <c r="J2503" s="4">
        <v>35</v>
      </c>
      <c r="L2503" t="s">
        <v>252</v>
      </c>
      <c r="M2503" t="s">
        <v>3320</v>
      </c>
      <c r="N2503" s="4">
        <f>IF(L2503="","",IF(OR(Registro2[[#This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03" t="str">
        <f t="shared" si="51"/>
        <v>mai/25</v>
      </c>
      <c r="P2503" t="str">
        <f>IF(Registro2[[#This Row],[Data de Pagamento]]&gt;0,TEXT(A2503,"mmm/aa"),"")</f>
        <v>mai/25</v>
      </c>
      <c r="T2503" s="4">
        <f>IF(Registro2[[#This Row],[Data de Pagamento]]="",0,IF(Registro2[[#This Row],[Conta Financeira]]=base!$A$6,0,Registro2[[#This Row],[Valor Unitário]]))</f>
        <v>35</v>
      </c>
      <c r="U25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03" t="str">
        <f>VLOOKUP(Registro2[[#This Row],[Categoria]],'Plano de Contas'!$V$3:W2557,2,0)</f>
        <v>Receitas Serviços</v>
      </c>
      <c r="X25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04" spans="1:24">
      <c r="A2504" s="1">
        <v>45805</v>
      </c>
      <c r="B2504" s="1">
        <v>45805</v>
      </c>
      <c r="D2504" t="s">
        <v>1</v>
      </c>
      <c r="E2504" t="s">
        <v>149</v>
      </c>
      <c r="F2504" t="s">
        <v>147</v>
      </c>
      <c r="G2504" t="s">
        <v>163</v>
      </c>
      <c r="I2504" s="4">
        <v>35</v>
      </c>
      <c r="J2504" s="4">
        <v>35</v>
      </c>
      <c r="L2504" t="s">
        <v>253</v>
      </c>
      <c r="M2504" t="s">
        <v>842</v>
      </c>
      <c r="N2504" s="4">
        <f>IF(L2504="","",IF(OR(Registro2[[#This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04" t="str">
        <f t="shared" si="51"/>
        <v>mai/25</v>
      </c>
      <c r="P2504" t="str">
        <f>IF(Registro2[[#This Row],[Data de Pagamento]]&gt;0,TEXT(A2504,"mmm/aa"),"")</f>
        <v>mai/25</v>
      </c>
      <c r="T2504" s="4">
        <f>IF(Registro2[[#This Row],[Data de Pagamento]]="",0,IF(Registro2[[#This Row],[Conta Financeira]]=base!$A$6,0,Registro2[[#This Row],[Valor Unitário]]))</f>
        <v>35</v>
      </c>
      <c r="U25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04" t="str">
        <f>VLOOKUP(Registro2[[#This Row],[Categoria]],'Plano de Contas'!$V$3:W2558,2,0)</f>
        <v>Receitas Serviços</v>
      </c>
      <c r="X25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05" spans="1:24">
      <c r="A2505" s="1">
        <v>45805</v>
      </c>
      <c r="B2505" s="1">
        <v>45805</v>
      </c>
      <c r="D2505" t="s">
        <v>1</v>
      </c>
      <c r="E2505" t="s">
        <v>149</v>
      </c>
      <c r="F2505" t="s">
        <v>147</v>
      </c>
      <c r="G2505" t="s">
        <v>163</v>
      </c>
      <c r="I2505" s="4">
        <v>35</v>
      </c>
      <c r="J2505" s="4">
        <v>35</v>
      </c>
      <c r="L2505" t="s">
        <v>253</v>
      </c>
      <c r="M2505" t="s">
        <v>2060</v>
      </c>
      <c r="N2505" s="4">
        <f>IF(L2505="","",IF(OR(Registro2[[#This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05" t="str">
        <f t="shared" si="51"/>
        <v>mai/25</v>
      </c>
      <c r="P2505" t="str">
        <f>IF(Registro2[[#This Row],[Data de Pagamento]]&gt;0,TEXT(A2505,"mmm/aa"),"")</f>
        <v>mai/25</v>
      </c>
      <c r="T2505" s="4">
        <f>IF(Registro2[[#This Row],[Data de Pagamento]]="",0,IF(Registro2[[#This Row],[Conta Financeira]]=base!$A$6,0,Registro2[[#This Row],[Valor Unitário]]))</f>
        <v>35</v>
      </c>
      <c r="U25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05" t="str">
        <f>VLOOKUP(Registro2[[#This Row],[Categoria]],'Plano de Contas'!$V$3:W2559,2,0)</f>
        <v>Receitas Serviços</v>
      </c>
      <c r="X25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06" spans="1:24">
      <c r="A2506" s="1">
        <v>45805</v>
      </c>
      <c r="B2506" s="1">
        <v>45805</v>
      </c>
      <c r="D2506" t="s">
        <v>1</v>
      </c>
      <c r="E2506" t="s">
        <v>149</v>
      </c>
      <c r="F2506" t="s">
        <v>147</v>
      </c>
      <c r="G2506" t="s">
        <v>163</v>
      </c>
      <c r="I2506" s="4">
        <v>35</v>
      </c>
      <c r="J2506" s="4">
        <v>35</v>
      </c>
      <c r="L2506" t="s">
        <v>264</v>
      </c>
      <c r="M2506" t="s">
        <v>501</v>
      </c>
      <c r="N2506" s="4">
        <f>IF(L2506="","",IF(OR(Registro2[[#This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06" t="str">
        <f t="shared" si="51"/>
        <v>mai/25</v>
      </c>
      <c r="P2506" t="str">
        <f>IF(Registro2[[#This Row],[Data de Pagamento]]&gt;0,TEXT(A2506,"mmm/aa"),"")</f>
        <v>mai/25</v>
      </c>
      <c r="T2506" s="4">
        <f>IF(Registro2[[#This Row],[Data de Pagamento]]="",0,IF(Registro2[[#This Row],[Conta Financeira]]=base!$A$6,0,Registro2[[#This Row],[Valor Unitário]]))</f>
        <v>35</v>
      </c>
      <c r="U25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06" t="str">
        <f>VLOOKUP(Registro2[[#This Row],[Categoria]],'Plano de Contas'!$V$3:W2560,2,0)</f>
        <v>Receitas Serviços</v>
      </c>
      <c r="X250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07" spans="1:24">
      <c r="A2507" s="1">
        <v>45805</v>
      </c>
      <c r="B2507" s="1">
        <v>45805</v>
      </c>
      <c r="D2507" t="s">
        <v>1</v>
      </c>
      <c r="E2507" t="s">
        <v>149</v>
      </c>
      <c r="F2507" t="s">
        <v>147</v>
      </c>
      <c r="G2507" t="s">
        <v>163</v>
      </c>
      <c r="I2507" s="4">
        <v>35</v>
      </c>
      <c r="J2507" s="4">
        <v>35</v>
      </c>
      <c r="L2507" t="s">
        <v>253</v>
      </c>
      <c r="M2507" t="s">
        <v>384</v>
      </c>
      <c r="N2507" s="4">
        <f>IF(L2507="","",IF(OR(Registro2[[#This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07" t="str">
        <f t="shared" si="51"/>
        <v>mai/25</v>
      </c>
      <c r="P2507" t="str">
        <f>IF(Registro2[[#This Row],[Data de Pagamento]]&gt;0,TEXT(A2507,"mmm/aa"),"")</f>
        <v>mai/25</v>
      </c>
      <c r="T2507" s="4">
        <f>IF(Registro2[[#This Row],[Data de Pagamento]]="",0,IF(Registro2[[#This Row],[Conta Financeira]]=base!$A$6,0,Registro2[[#This Row],[Valor Unitário]]))</f>
        <v>35</v>
      </c>
      <c r="U25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07" t="str">
        <f>VLOOKUP(Registro2[[#This Row],[Categoria]],'Plano de Contas'!$V$3:W2561,2,0)</f>
        <v>Receitas Serviços</v>
      </c>
      <c r="X250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08" spans="1:24">
      <c r="A2508" s="1">
        <v>45805</v>
      </c>
      <c r="B2508" s="1">
        <v>45805</v>
      </c>
      <c r="D2508" t="s">
        <v>310</v>
      </c>
      <c r="E2508" t="s">
        <v>149</v>
      </c>
      <c r="F2508" t="s">
        <v>147</v>
      </c>
      <c r="G2508" t="s">
        <v>163</v>
      </c>
      <c r="I2508" s="4">
        <v>35</v>
      </c>
      <c r="J2508" s="4">
        <v>35</v>
      </c>
      <c r="L2508" t="s">
        <v>264</v>
      </c>
      <c r="M2508" t="s">
        <v>492</v>
      </c>
      <c r="N2508" s="4">
        <f>IF(L2508="","",IF(OR(Registro2[[#This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08" t="str">
        <f t="shared" si="51"/>
        <v>mai/25</v>
      </c>
      <c r="P2508" t="str">
        <f>IF(Registro2[[#This Row],[Data de Pagamento]]&gt;0,TEXT(A2508,"mmm/aa"),"")</f>
        <v>mai/25</v>
      </c>
      <c r="T2508" s="4">
        <f>IF(Registro2[[#This Row],[Data de Pagamento]]="",0,IF(Registro2[[#This Row],[Conta Financeira]]=base!$A$6,0,Registro2[[#This Row],[Valor Unitário]]))</f>
        <v>35</v>
      </c>
      <c r="U25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08" t="str">
        <f>VLOOKUP(Registro2[[#This Row],[Categoria]],'Plano de Contas'!$V$3:W2562,2,0)</f>
        <v>Receitas Serviços</v>
      </c>
      <c r="X250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509" spans="1:24">
      <c r="A2509" s="1">
        <v>45805</v>
      </c>
      <c r="B2509" s="1">
        <v>45805</v>
      </c>
      <c r="D2509" t="s">
        <v>310</v>
      </c>
      <c r="E2509" t="s">
        <v>149</v>
      </c>
      <c r="F2509" t="s">
        <v>147</v>
      </c>
      <c r="G2509" t="s">
        <v>1046</v>
      </c>
      <c r="I2509" s="4">
        <v>45</v>
      </c>
      <c r="J2509" s="4">
        <v>45</v>
      </c>
      <c r="L2509" t="s">
        <v>264</v>
      </c>
      <c r="M2509" t="s">
        <v>3333</v>
      </c>
      <c r="N2509" s="4">
        <f>IF(L2509="","",IF(OR(Registro2[[#This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20.25</v>
      </c>
      <c r="O2509" t="str">
        <f t="shared" ref="O2509:O2540" si="52">TEXT(B2509,"mmm/aa")</f>
        <v>mai/25</v>
      </c>
      <c r="P2509" t="str">
        <f>IF(Registro2[[#This Row],[Data de Pagamento]]&gt;0,TEXT(A2509,"mmm/aa"),"")</f>
        <v>mai/25</v>
      </c>
      <c r="T2509" s="4">
        <f>IF(Registro2[[#This Row],[Data de Pagamento]]="",0,IF(Registro2[[#This Row],[Conta Financeira]]=base!$A$6,0,Registro2[[#This Row],[Valor Unitário]]))</f>
        <v>45</v>
      </c>
      <c r="U25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09" t="str">
        <f>VLOOKUP(Registro2[[#This Row],[Categoria]],'Plano de Contas'!$V$3:W2563,2,0)</f>
        <v>Receitas Serviços</v>
      </c>
      <c r="X250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0.40050000000000002</v>
      </c>
    </row>
    <row r="2510" spans="1:24">
      <c r="A2510" s="1">
        <v>45805</v>
      </c>
      <c r="B2510" s="1">
        <v>45805</v>
      </c>
      <c r="D2510" t="s">
        <v>355</v>
      </c>
      <c r="E2510" t="s">
        <v>149</v>
      </c>
      <c r="F2510" t="s">
        <v>147</v>
      </c>
      <c r="G2510" t="s">
        <v>163</v>
      </c>
      <c r="I2510" s="4">
        <v>35</v>
      </c>
      <c r="J2510" s="4">
        <v>60</v>
      </c>
      <c r="L2510" t="s">
        <v>253</v>
      </c>
      <c r="M2510" t="s">
        <v>3336</v>
      </c>
      <c r="N2510" s="4">
        <f>IF(L2510="","",IF(OR(Registro2[[#This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10" t="str">
        <f t="shared" si="52"/>
        <v>mai/25</v>
      </c>
      <c r="P2510" t="str">
        <f>IF(Registro2[[#This Row],[Data de Pagamento]]&gt;0,TEXT(A2510,"mmm/aa"),"")</f>
        <v>mai/25</v>
      </c>
      <c r="T2510" s="4">
        <f>IF(Registro2[[#This Row],[Data de Pagamento]]="",0,IF(Registro2[[#This Row],[Conta Financeira]]=base!$A$6,0,Registro2[[#This Row],[Valor Unitário]]))</f>
        <v>35</v>
      </c>
      <c r="U25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10" t="str">
        <f>VLOOKUP(Registro2[[#This Row],[Categoria]],'Plano de Contas'!$V$3:W2564,2,0)</f>
        <v>Receitas Serviços</v>
      </c>
      <c r="X251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11" spans="1:24">
      <c r="A2511" s="1">
        <v>45805</v>
      </c>
      <c r="B2511" s="1">
        <v>45805</v>
      </c>
      <c r="D2511" t="s">
        <v>355</v>
      </c>
      <c r="E2511" t="s">
        <v>149</v>
      </c>
      <c r="F2511" t="s">
        <v>147</v>
      </c>
      <c r="G2511" t="s">
        <v>1046</v>
      </c>
      <c r="I2511" s="4">
        <v>25</v>
      </c>
      <c r="J2511" s="4" t="s">
        <v>1604</v>
      </c>
      <c r="L2511" t="s">
        <v>253</v>
      </c>
      <c r="M2511" t="s">
        <v>3336</v>
      </c>
      <c r="N2511" s="4">
        <f>IF(L2511="","",IF(OR(Registro2[[#This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2511" t="str">
        <f t="shared" si="52"/>
        <v>mai/25</v>
      </c>
      <c r="P2511" t="str">
        <f>IF(Registro2[[#This Row],[Data de Pagamento]]&gt;0,TEXT(A2511,"mmm/aa"),"")</f>
        <v>mai/25</v>
      </c>
      <c r="T2511" s="4">
        <f>IF(Registro2[[#This Row],[Data de Pagamento]]="",0,IF(Registro2[[#This Row],[Conta Financeira]]=base!$A$6,0,Registro2[[#This Row],[Valor Unitário]]))</f>
        <v>25</v>
      </c>
      <c r="U25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11" t="str">
        <f>VLOOKUP(Registro2[[#This Row],[Categoria]],'Plano de Contas'!$V$3:W2565,2,0)</f>
        <v>Receitas Serviços</v>
      </c>
      <c r="X25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12" spans="1:24">
      <c r="A2512" s="1">
        <v>45805</v>
      </c>
      <c r="B2512" s="1">
        <v>45805</v>
      </c>
      <c r="D2512" t="s">
        <v>1</v>
      </c>
      <c r="E2512" t="s">
        <v>149</v>
      </c>
      <c r="F2512" t="s">
        <v>147</v>
      </c>
      <c r="G2512" t="s">
        <v>163</v>
      </c>
      <c r="I2512" s="4">
        <v>35</v>
      </c>
      <c r="J2512" s="4">
        <v>35</v>
      </c>
      <c r="L2512" t="s">
        <v>253</v>
      </c>
      <c r="M2512" t="s">
        <v>3339</v>
      </c>
      <c r="N2512" s="4">
        <f>IF(L2512="","",IF(OR(Registro2[[#This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12" t="str">
        <f t="shared" si="52"/>
        <v>mai/25</v>
      </c>
      <c r="P2512" t="str">
        <f>IF(Registro2[[#This Row],[Data de Pagamento]]&gt;0,TEXT(A2512,"mmm/aa"),"")</f>
        <v>mai/25</v>
      </c>
      <c r="T2512" s="4">
        <f>IF(Registro2[[#This Row],[Data de Pagamento]]="",0,IF(Registro2[[#This Row],[Conta Financeira]]=base!$A$6,0,Registro2[[#This Row],[Valor Unitário]]))</f>
        <v>35</v>
      </c>
      <c r="U25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12" t="str">
        <f>VLOOKUP(Registro2[[#This Row],[Categoria]],'Plano de Contas'!$V$3:W2566,2,0)</f>
        <v>Receitas Serviços</v>
      </c>
      <c r="X251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13" spans="1:24">
      <c r="A2513" s="1">
        <v>45805</v>
      </c>
      <c r="B2513" s="1">
        <v>45805</v>
      </c>
      <c r="D2513" t="s">
        <v>1</v>
      </c>
      <c r="E2513" t="s">
        <v>149</v>
      </c>
      <c r="F2513" t="s">
        <v>147</v>
      </c>
      <c r="G2513" t="s">
        <v>163</v>
      </c>
      <c r="I2513" s="4">
        <v>35</v>
      </c>
      <c r="J2513" s="4">
        <v>35</v>
      </c>
      <c r="L2513" t="s">
        <v>253</v>
      </c>
      <c r="M2513" t="s">
        <v>3342</v>
      </c>
      <c r="N2513" s="4">
        <f>IF(L2513="","",IF(OR(Registro2[[#This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13" t="str">
        <f t="shared" si="52"/>
        <v>mai/25</v>
      </c>
      <c r="P2513" t="str">
        <f>IF(Registro2[[#This Row],[Data de Pagamento]]&gt;0,TEXT(A2513,"mmm/aa"),"")</f>
        <v>mai/25</v>
      </c>
      <c r="T2513" s="4">
        <f>IF(Registro2[[#This Row],[Data de Pagamento]]="",0,IF(Registro2[[#This Row],[Conta Financeira]]=base!$A$6,0,Registro2[[#This Row],[Valor Unitário]]))</f>
        <v>35</v>
      </c>
      <c r="U25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13" t="str">
        <f>VLOOKUP(Registro2[[#This Row],[Categoria]],'Plano de Contas'!$V$3:W2567,2,0)</f>
        <v>Receitas Serviços</v>
      </c>
      <c r="X251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14" spans="1:24">
      <c r="A2514" s="1">
        <v>45805</v>
      </c>
      <c r="B2514" s="1">
        <v>45805</v>
      </c>
      <c r="D2514" t="s">
        <v>354</v>
      </c>
      <c r="E2514" t="s">
        <v>149</v>
      </c>
      <c r="F2514" t="s">
        <v>147</v>
      </c>
      <c r="G2514" t="s">
        <v>2825</v>
      </c>
      <c r="I2514" s="4">
        <v>20</v>
      </c>
      <c r="J2514" s="4">
        <v>70</v>
      </c>
      <c r="L2514" t="s">
        <v>264</v>
      </c>
      <c r="M2514" t="s">
        <v>3204</v>
      </c>
      <c r="N2514" s="4">
        <f>IF(L2514="","",IF(OR(Registro2[[#This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514" t="str">
        <f t="shared" si="52"/>
        <v>mai/25</v>
      </c>
      <c r="P2514" t="str">
        <f>IF(Registro2[[#This Row],[Data de Pagamento]]&gt;0,TEXT(A2514,"mmm/aa"),"")</f>
        <v>mai/25</v>
      </c>
      <c r="T2514" s="4">
        <f>IF(Registro2[[#This Row],[Data de Pagamento]]="",0,IF(Registro2[[#This Row],[Conta Financeira]]=base!$A$6,0,Registro2[[#This Row],[Valor Unitário]]))</f>
        <v>20</v>
      </c>
      <c r="U25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14" t="e">
        <f>VLOOKUP(Registro2[[#This Row],[Categoria]],'Plano de Contas'!$V$3:W2568,2,0)</f>
        <v>#N/A</v>
      </c>
      <c r="X251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0.63</v>
      </c>
    </row>
    <row r="2515" spans="1:24">
      <c r="A2515" s="1">
        <v>45805</v>
      </c>
      <c r="B2515" s="1">
        <v>45805</v>
      </c>
      <c r="D2515" t="s">
        <v>354</v>
      </c>
      <c r="E2515" t="s">
        <v>149</v>
      </c>
      <c r="F2515" t="s">
        <v>147</v>
      </c>
      <c r="G2515" t="s">
        <v>163</v>
      </c>
      <c r="I2515" s="4">
        <v>35</v>
      </c>
      <c r="J2515" s="4" t="s">
        <v>1604</v>
      </c>
      <c r="L2515" t="s">
        <v>264</v>
      </c>
      <c r="M2515" t="s">
        <v>3204</v>
      </c>
      <c r="N2515" s="4">
        <f>IF(L2515="","",IF(OR(Registro2[[#This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15" t="str">
        <f t="shared" si="52"/>
        <v>mai/25</v>
      </c>
      <c r="P2515" t="str">
        <f>IF(Registro2[[#This Row],[Data de Pagamento]]&gt;0,TEXT(A2515,"mmm/aa"),"")</f>
        <v>mai/25</v>
      </c>
      <c r="T2515" s="4">
        <f>IF(Registro2[[#This Row],[Data de Pagamento]]="",0,IF(Registro2[[#This Row],[Conta Financeira]]=base!$A$6,0,Registro2[[#This Row],[Valor Unitário]]))</f>
        <v>35</v>
      </c>
      <c r="U25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15" t="str">
        <f>VLOOKUP(Registro2[[#This Row],[Categoria]],'Plano de Contas'!$V$3:W2569,2,0)</f>
        <v>Receitas Serviços</v>
      </c>
      <c r="X251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516" spans="1:24">
      <c r="A2516" s="1">
        <v>45805</v>
      </c>
      <c r="B2516" s="1">
        <v>45805</v>
      </c>
      <c r="D2516" t="s">
        <v>354</v>
      </c>
      <c r="E2516" t="s">
        <v>149</v>
      </c>
      <c r="F2516" t="s">
        <v>147</v>
      </c>
      <c r="G2516" t="s">
        <v>1046</v>
      </c>
      <c r="I2516" s="4">
        <v>15</v>
      </c>
      <c r="J2516" s="4" t="s">
        <v>1604</v>
      </c>
      <c r="L2516" t="s">
        <v>264</v>
      </c>
      <c r="M2516" t="s">
        <v>3204</v>
      </c>
      <c r="N2516" s="4">
        <f>IF(L2516="","",IF(OR(Registro2[[#This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516" t="str">
        <f t="shared" si="52"/>
        <v>mai/25</v>
      </c>
      <c r="P2516" t="str">
        <f>IF(Registro2[[#This Row],[Data de Pagamento]]&gt;0,TEXT(A2516,"mmm/aa"),"")</f>
        <v>mai/25</v>
      </c>
      <c r="T2516" s="4">
        <f>IF(Registro2[[#This Row],[Data de Pagamento]]="",0,IF(Registro2[[#This Row],[Conta Financeira]]=base!$A$6,0,Registro2[[#This Row],[Valor Unitário]]))</f>
        <v>15</v>
      </c>
      <c r="U25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16" t="str">
        <f>VLOOKUP(Registro2[[#This Row],[Categoria]],'Plano de Contas'!$V$3:W2570,2,0)</f>
        <v>Receitas Serviços</v>
      </c>
      <c r="X251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0.47250000000000003</v>
      </c>
    </row>
    <row r="2517" spans="1:24">
      <c r="A2517" s="1">
        <v>45805</v>
      </c>
      <c r="B2517" s="1">
        <v>45805</v>
      </c>
      <c r="D2517" t="s">
        <v>2</v>
      </c>
      <c r="E2517" t="s">
        <v>149</v>
      </c>
      <c r="F2517" t="s">
        <v>147</v>
      </c>
      <c r="G2517" t="s">
        <v>163</v>
      </c>
      <c r="I2517" s="4">
        <v>35</v>
      </c>
      <c r="J2517" s="4">
        <v>70</v>
      </c>
      <c r="L2517" t="s">
        <v>264</v>
      </c>
      <c r="M2517" t="s">
        <v>280</v>
      </c>
      <c r="N2517" s="4">
        <f>IF(L2517="","",IF(OR(Registro2[[#This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17" t="str">
        <f t="shared" si="52"/>
        <v>mai/25</v>
      </c>
      <c r="P2517" t="str">
        <f>IF(Registro2[[#This Row],[Data de Pagamento]]&gt;0,TEXT(A2517,"mmm/aa"),"")</f>
        <v>mai/25</v>
      </c>
      <c r="T2517" s="4">
        <f>IF(Registro2[[#This Row],[Data de Pagamento]]="",0,IF(Registro2[[#This Row],[Conta Financeira]]=base!$A$6,0,Registro2[[#This Row],[Valor Unitário]]))</f>
        <v>35</v>
      </c>
      <c r="U25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17" t="str">
        <f>VLOOKUP(Registro2[[#This Row],[Categoria]],'Plano de Contas'!$V$3:W2571,2,0)</f>
        <v>Receitas Serviços</v>
      </c>
      <c r="X251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18" spans="1:24">
      <c r="A2518" s="1">
        <v>45805</v>
      </c>
      <c r="B2518" s="1">
        <v>45805</v>
      </c>
      <c r="D2518" t="s">
        <v>2</v>
      </c>
      <c r="E2518" t="s">
        <v>149</v>
      </c>
      <c r="F2518" t="s">
        <v>147</v>
      </c>
      <c r="G2518" t="s">
        <v>163</v>
      </c>
      <c r="I2518" s="4">
        <v>35</v>
      </c>
      <c r="J2518" s="4" t="s">
        <v>1604</v>
      </c>
      <c r="L2518" t="s">
        <v>264</v>
      </c>
      <c r="M2518" t="s">
        <v>280</v>
      </c>
      <c r="N2518" s="4">
        <f>IF(L2518="","",IF(OR(Registro2[[#This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18" t="str">
        <f t="shared" si="52"/>
        <v>mai/25</v>
      </c>
      <c r="P2518" t="str">
        <f>IF(Registro2[[#This Row],[Data de Pagamento]]&gt;0,TEXT(A2518,"mmm/aa"),"")</f>
        <v>mai/25</v>
      </c>
      <c r="T2518" s="4">
        <f>IF(Registro2[[#This Row],[Data de Pagamento]]="",0,IF(Registro2[[#This Row],[Conta Financeira]]=base!$A$6,0,Registro2[[#This Row],[Valor Unitário]]))</f>
        <v>35</v>
      </c>
      <c r="U25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18" t="str">
        <f>VLOOKUP(Registro2[[#This Row],[Categoria]],'Plano de Contas'!$V$3:W2572,2,0)</f>
        <v>Receitas Serviços</v>
      </c>
      <c r="X25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19" spans="1:24">
      <c r="A2519" s="1">
        <v>45805</v>
      </c>
      <c r="B2519" s="1">
        <v>45805</v>
      </c>
      <c r="D2519" t="s">
        <v>2</v>
      </c>
      <c r="E2519" t="s">
        <v>149</v>
      </c>
      <c r="F2519" t="s">
        <v>147</v>
      </c>
      <c r="G2519" t="s">
        <v>163</v>
      </c>
      <c r="I2519" s="4">
        <v>30</v>
      </c>
      <c r="J2519" s="4">
        <v>30</v>
      </c>
      <c r="L2519" t="s">
        <v>264</v>
      </c>
      <c r="M2519" t="s">
        <v>3348</v>
      </c>
      <c r="N2519" s="4">
        <f>IF(L2519="","",IF(OR(Registro2[[#This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2519" t="str">
        <f t="shared" si="52"/>
        <v>mai/25</v>
      </c>
      <c r="P2519" t="str">
        <f>IF(Registro2[[#This Row],[Data de Pagamento]]&gt;0,TEXT(A2519,"mmm/aa"),"")</f>
        <v>mai/25</v>
      </c>
      <c r="T2519" s="4">
        <f>IF(Registro2[[#This Row],[Data de Pagamento]]="",0,IF(Registro2[[#This Row],[Conta Financeira]]=base!$A$6,0,Registro2[[#This Row],[Valor Unitário]]))</f>
        <v>30</v>
      </c>
      <c r="U25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19" t="str">
        <f>VLOOKUP(Registro2[[#This Row],[Categoria]],'Plano de Contas'!$V$3:W2573,2,0)</f>
        <v>Receitas Serviços</v>
      </c>
      <c r="X251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20" spans="1:24">
      <c r="A2520" s="1">
        <v>45806</v>
      </c>
      <c r="B2520" s="1">
        <v>45806</v>
      </c>
      <c r="D2520" t="s">
        <v>354</v>
      </c>
      <c r="E2520" t="s">
        <v>149</v>
      </c>
      <c r="F2520" t="s">
        <v>147</v>
      </c>
      <c r="G2520" t="s">
        <v>163</v>
      </c>
      <c r="I2520" s="4">
        <v>35</v>
      </c>
      <c r="J2520" s="4">
        <v>25</v>
      </c>
      <c r="L2520" t="s">
        <v>253</v>
      </c>
      <c r="M2520" t="s">
        <v>122</v>
      </c>
      <c r="N2520" s="4">
        <f>IF(L2520="","",IF(OR(Registro2[[#This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20" t="str">
        <f t="shared" si="52"/>
        <v>mai/25</v>
      </c>
      <c r="P2520" t="str">
        <f>IF(Registro2[[#This Row],[Data de Pagamento]]&gt;0,TEXT(A2520,"mmm/aa"),"")</f>
        <v>mai/25</v>
      </c>
      <c r="T2520" s="4">
        <f>IF(Registro2[[#This Row],[Data de Pagamento]]="",0,IF(Registro2[[#This Row],[Conta Financeira]]=base!$A$6,0,Registro2[[#This Row],[Valor Unitário]]))</f>
        <v>35</v>
      </c>
      <c r="U25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20" t="str">
        <f>VLOOKUP(Registro2[[#This Row],[Categoria]],'Plano de Contas'!$V$3:W2574,2,0)</f>
        <v>Receitas Serviços</v>
      </c>
      <c r="X252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521" spans="1:24">
      <c r="A2521" s="1">
        <v>45806</v>
      </c>
      <c r="B2521" s="1">
        <v>45806</v>
      </c>
      <c r="D2521" t="s">
        <v>354</v>
      </c>
      <c r="E2521" t="s">
        <v>149</v>
      </c>
      <c r="F2521" t="s">
        <v>147</v>
      </c>
      <c r="G2521" t="s">
        <v>1046</v>
      </c>
      <c r="I2521" s="4">
        <v>25</v>
      </c>
      <c r="J2521" s="4" t="s">
        <v>1604</v>
      </c>
      <c r="L2521" t="s">
        <v>253</v>
      </c>
      <c r="M2521" t="s">
        <v>122</v>
      </c>
      <c r="N2521" s="4">
        <f>IF(L2521="","",IF(OR(Registro2[[#This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2521" t="str">
        <f t="shared" si="52"/>
        <v>mai/25</v>
      </c>
      <c r="P2521" t="str">
        <f>IF(Registro2[[#This Row],[Data de Pagamento]]&gt;0,TEXT(A2521,"mmm/aa"),"")</f>
        <v>mai/25</v>
      </c>
      <c r="T2521" s="4">
        <f>IF(Registro2[[#This Row],[Data de Pagamento]]="",0,IF(Registro2[[#This Row],[Conta Financeira]]=base!$A$6,0,Registro2[[#This Row],[Valor Unitário]]))</f>
        <v>25</v>
      </c>
      <c r="U25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21" t="str">
        <f>VLOOKUP(Registro2[[#This Row],[Categoria]],'Plano de Contas'!$V$3:W2575,2,0)</f>
        <v>Receitas Serviços</v>
      </c>
      <c r="X252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0.78749999999999998</v>
      </c>
    </row>
    <row r="2522" spans="1:24">
      <c r="A2522" s="1">
        <v>45806</v>
      </c>
      <c r="B2522" s="1">
        <v>45806</v>
      </c>
      <c r="D2522" t="s">
        <v>1</v>
      </c>
      <c r="E2522" t="s">
        <v>149</v>
      </c>
      <c r="F2522" t="s">
        <v>147</v>
      </c>
      <c r="G2522" t="s">
        <v>163</v>
      </c>
      <c r="I2522" s="4">
        <v>35</v>
      </c>
      <c r="J2522" s="4">
        <v>55</v>
      </c>
      <c r="L2522" t="s">
        <v>253</v>
      </c>
      <c r="M2522" t="s">
        <v>2008</v>
      </c>
      <c r="N2522" s="4">
        <f>IF(L2522="","",IF(OR(Registro2[[#This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22" t="str">
        <f t="shared" si="52"/>
        <v>mai/25</v>
      </c>
      <c r="P2522" t="str">
        <f>IF(Registro2[[#This Row],[Data de Pagamento]]&gt;0,TEXT(A2522,"mmm/aa"),"")</f>
        <v>mai/25</v>
      </c>
      <c r="T2522" s="4">
        <f>IF(Registro2[[#This Row],[Data de Pagamento]]="",0,IF(Registro2[[#This Row],[Conta Financeira]]=base!$A$6,0,Registro2[[#This Row],[Valor Unitário]]))</f>
        <v>35</v>
      </c>
      <c r="U25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22" t="str">
        <f>VLOOKUP(Registro2[[#This Row],[Categoria]],'Plano de Contas'!$V$3:W2576,2,0)</f>
        <v>Receitas Serviços</v>
      </c>
      <c r="X252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23" spans="1:24">
      <c r="A2523" s="1">
        <v>45806</v>
      </c>
      <c r="B2523" s="1">
        <v>45806</v>
      </c>
      <c r="D2523" t="s">
        <v>1</v>
      </c>
      <c r="E2523" t="s">
        <v>149</v>
      </c>
      <c r="F2523" t="s">
        <v>147</v>
      </c>
      <c r="G2523" t="s">
        <v>166</v>
      </c>
      <c r="I2523" s="4">
        <v>20</v>
      </c>
      <c r="J2523" s="4" t="s">
        <v>1604</v>
      </c>
      <c r="L2523" t="s">
        <v>253</v>
      </c>
      <c r="M2523" t="s">
        <v>2008</v>
      </c>
      <c r="N2523" s="4">
        <f>IF(L2523="","",IF(OR(Registro2[[#This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523" t="str">
        <f t="shared" si="52"/>
        <v>mai/25</v>
      </c>
      <c r="P2523" t="str">
        <f>IF(Registro2[[#This Row],[Data de Pagamento]]&gt;0,TEXT(A2523,"mmm/aa"),"")</f>
        <v>mai/25</v>
      </c>
      <c r="T2523" s="4">
        <f>IF(Registro2[[#This Row],[Data de Pagamento]]="",0,IF(Registro2[[#This Row],[Conta Financeira]]=base!$A$6,0,Registro2[[#This Row],[Valor Unitário]]))</f>
        <v>20</v>
      </c>
      <c r="U25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23" t="str">
        <f>VLOOKUP(Registro2[[#This Row],[Categoria]],'Plano de Contas'!$V$3:W2577,2,0)</f>
        <v>Receitas Serviços</v>
      </c>
      <c r="X252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24" spans="1:24">
      <c r="A2524" s="1">
        <v>45806</v>
      </c>
      <c r="B2524" s="1">
        <v>45806</v>
      </c>
      <c r="D2524" t="s">
        <v>354</v>
      </c>
      <c r="E2524" t="s">
        <v>149</v>
      </c>
      <c r="F2524" t="s">
        <v>147</v>
      </c>
      <c r="G2524" t="s">
        <v>163</v>
      </c>
      <c r="I2524" s="4">
        <v>35</v>
      </c>
      <c r="J2524" s="4">
        <v>53</v>
      </c>
      <c r="L2524" t="s">
        <v>252</v>
      </c>
      <c r="M2524" t="s">
        <v>373</v>
      </c>
      <c r="N2524" s="4">
        <f>IF(L2524="","",IF(OR(Registro2[[#This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24" t="str">
        <f t="shared" si="52"/>
        <v>mai/25</v>
      </c>
      <c r="P2524" t="str">
        <f>IF(Registro2[[#This Row],[Data de Pagamento]]&gt;0,TEXT(A2524,"mmm/aa"),"")</f>
        <v>mai/25</v>
      </c>
      <c r="T2524" s="4">
        <f>IF(Registro2[[#This Row],[Data de Pagamento]]="",0,IF(Registro2[[#This Row],[Conta Financeira]]=base!$A$6,0,Registro2[[#This Row],[Valor Unitário]]))</f>
        <v>35</v>
      </c>
      <c r="U25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24" t="str">
        <f>VLOOKUP(Registro2[[#This Row],[Categoria]],'Plano de Contas'!$V$3:W2578,2,0)</f>
        <v>Receitas Serviços</v>
      </c>
      <c r="X252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525" spans="1:24">
      <c r="A2525" s="1">
        <v>45806</v>
      </c>
      <c r="B2525" s="1">
        <v>45806</v>
      </c>
      <c r="D2525" t="s">
        <v>354</v>
      </c>
      <c r="E2525" t="s">
        <v>149</v>
      </c>
      <c r="F2525" t="s">
        <v>150</v>
      </c>
      <c r="G2525" t="s">
        <v>2931</v>
      </c>
      <c r="I2525" s="4">
        <v>18</v>
      </c>
      <c r="J2525" s="4" t="s">
        <v>1604</v>
      </c>
      <c r="L2525" t="s">
        <v>252</v>
      </c>
      <c r="M2525" t="s">
        <v>373</v>
      </c>
      <c r="N2525" s="4">
        <f>IF(L2525="","",IF(OR(Registro2[[#This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7.2</v>
      </c>
      <c r="O2525" t="str">
        <f t="shared" si="52"/>
        <v>mai/25</v>
      </c>
      <c r="P2525" t="str">
        <f>IF(Registro2[[#This Row],[Data de Pagamento]]&gt;0,TEXT(A2525,"mmm/aa"),"")</f>
        <v>mai/25</v>
      </c>
      <c r="T2525" s="4">
        <f>IF(Registro2[[#This Row],[Data de Pagamento]]="",0,IF(Registro2[[#This Row],[Conta Financeira]]=base!$A$6,0,Registro2[[#This Row],[Valor Unitário]]))</f>
        <v>18</v>
      </c>
      <c r="U25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25" t="e">
        <f>VLOOKUP(Registro2[[#This Row],[Categoria]],'Plano de Contas'!$V$3:W2579,2,0)</f>
        <v>#N/A</v>
      </c>
      <c r="X252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0.56699999999999995</v>
      </c>
    </row>
    <row r="2526" spans="1:24">
      <c r="A2526" s="1">
        <v>45806</v>
      </c>
      <c r="B2526" s="1">
        <v>45806</v>
      </c>
      <c r="D2526" t="s">
        <v>2</v>
      </c>
      <c r="E2526" t="s">
        <v>149</v>
      </c>
      <c r="F2526" t="s">
        <v>152</v>
      </c>
      <c r="G2526" t="s">
        <v>352</v>
      </c>
      <c r="I2526" s="4">
        <v>25</v>
      </c>
      <c r="J2526" s="4">
        <v>25</v>
      </c>
      <c r="L2526" t="s">
        <v>264</v>
      </c>
      <c r="M2526" t="s">
        <v>3357</v>
      </c>
      <c r="N2526" s="4">
        <f>IF(L2526="","",IF(OR(Registro2[[#This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2526" t="str">
        <f t="shared" si="52"/>
        <v>mai/25</v>
      </c>
      <c r="P2526" t="str">
        <f>IF(Registro2[[#This Row],[Data de Pagamento]]&gt;0,TEXT(A2526,"mmm/aa"),"")</f>
        <v>mai/25</v>
      </c>
      <c r="T2526" s="4">
        <f>IF(Registro2[[#This Row],[Data de Pagamento]]="",0,IF(Registro2[[#This Row],[Conta Financeira]]=base!$A$6,0,Registro2[[#This Row],[Valor Unitário]]))</f>
        <v>25</v>
      </c>
      <c r="U25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26" t="str">
        <f>VLOOKUP(Registro2[[#This Row],[Categoria]],'Plano de Contas'!$V$3:W2580,2,0)</f>
        <v>Receitas Serviços</v>
      </c>
      <c r="X252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27" spans="1:24">
      <c r="A2527" s="1">
        <v>45806</v>
      </c>
      <c r="B2527" s="1">
        <v>45806</v>
      </c>
      <c r="D2527" t="s">
        <v>310</v>
      </c>
      <c r="E2527" t="s">
        <v>149</v>
      </c>
      <c r="F2527" t="s">
        <v>147</v>
      </c>
      <c r="G2527" t="s">
        <v>163</v>
      </c>
      <c r="I2527" s="4">
        <v>35</v>
      </c>
      <c r="J2527" s="4">
        <v>50</v>
      </c>
      <c r="L2527" t="s">
        <v>253</v>
      </c>
      <c r="M2527" t="s">
        <v>1523</v>
      </c>
      <c r="N2527" s="4">
        <f>IF(L2527="","",IF(OR(Registro2[[#This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27" t="str">
        <f t="shared" si="52"/>
        <v>mai/25</v>
      </c>
      <c r="P2527" t="str">
        <f>IF(Registro2[[#This Row],[Data de Pagamento]]&gt;0,TEXT(A2527,"mmm/aa"),"")</f>
        <v>mai/25</v>
      </c>
      <c r="T2527" s="4">
        <f>IF(Registro2[[#This Row],[Data de Pagamento]]="",0,IF(Registro2[[#This Row],[Conta Financeira]]=base!$A$6,0,Registro2[[#This Row],[Valor Unitário]]))</f>
        <v>35</v>
      </c>
      <c r="U25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27" t="str">
        <f>VLOOKUP(Registro2[[#This Row],[Categoria]],'Plano de Contas'!$V$3:W2581,2,0)</f>
        <v>Receitas Serviços</v>
      </c>
      <c r="X252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528" spans="1:24">
      <c r="A2528" s="1">
        <v>45806</v>
      </c>
      <c r="B2528" s="1">
        <v>45806</v>
      </c>
      <c r="D2528" t="s">
        <v>310</v>
      </c>
      <c r="E2528" t="s">
        <v>149</v>
      </c>
      <c r="F2528" t="s">
        <v>147</v>
      </c>
      <c r="G2528" t="s">
        <v>1046</v>
      </c>
      <c r="I2528" s="4">
        <v>15</v>
      </c>
      <c r="J2528" s="4" t="s">
        <v>1604</v>
      </c>
      <c r="L2528" t="s">
        <v>253</v>
      </c>
      <c r="M2528" t="s">
        <v>1523</v>
      </c>
      <c r="N2528" s="4">
        <f>IF(L2528="","",IF(OR(Registro2[[#This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528" t="str">
        <f t="shared" si="52"/>
        <v>mai/25</v>
      </c>
      <c r="P2528" t="str">
        <f>IF(Registro2[[#This Row],[Data de Pagamento]]&gt;0,TEXT(A2528,"mmm/aa"),"")</f>
        <v>mai/25</v>
      </c>
      <c r="T2528" s="4">
        <f>IF(Registro2[[#This Row],[Data de Pagamento]]="",0,IF(Registro2[[#This Row],[Conta Financeira]]=base!$A$6,0,Registro2[[#This Row],[Valor Unitário]]))</f>
        <v>15</v>
      </c>
      <c r="U25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28" t="str">
        <f>VLOOKUP(Registro2[[#This Row],[Categoria]],'Plano de Contas'!$V$3:W2582,2,0)</f>
        <v>Receitas Serviços</v>
      </c>
      <c r="X252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</row>
    <row r="2529" spans="1:24">
      <c r="A2529" s="1">
        <v>45806</v>
      </c>
      <c r="B2529" s="1">
        <v>45806</v>
      </c>
      <c r="D2529" t="s">
        <v>1</v>
      </c>
      <c r="E2529" t="s">
        <v>149</v>
      </c>
      <c r="F2529" t="s">
        <v>152</v>
      </c>
      <c r="G2529" t="s">
        <v>353</v>
      </c>
      <c r="I2529" s="4">
        <v>70</v>
      </c>
      <c r="J2529" s="4">
        <v>105</v>
      </c>
      <c r="L2529" t="s">
        <v>252</v>
      </c>
      <c r="M2529" t="s">
        <v>1823</v>
      </c>
      <c r="N2529" s="4">
        <f>IF(L2529="","",IF(OR(Registro2[[#This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31.5</v>
      </c>
      <c r="O2529" t="str">
        <f t="shared" si="52"/>
        <v>mai/25</v>
      </c>
      <c r="P2529" t="str">
        <f>IF(Registro2[[#This Row],[Data de Pagamento]]&gt;0,TEXT(A2529,"mmm/aa"),"")</f>
        <v>mai/25</v>
      </c>
      <c r="T2529" s="4">
        <f>IF(Registro2[[#This Row],[Data de Pagamento]]="",0,IF(Registro2[[#This Row],[Conta Financeira]]=base!$A$6,0,Registro2[[#This Row],[Valor Unitário]]))</f>
        <v>70</v>
      </c>
      <c r="U25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29" t="str">
        <f>VLOOKUP(Registro2[[#This Row],[Categoria]],'Plano de Contas'!$V$3:W2583,2,0)</f>
        <v>Receitas Serviços</v>
      </c>
      <c r="X25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30" spans="1:24">
      <c r="A2530" s="1">
        <v>45806</v>
      </c>
      <c r="B2530" s="1">
        <v>45806</v>
      </c>
      <c r="D2530" t="s">
        <v>1</v>
      </c>
      <c r="E2530" t="s">
        <v>149</v>
      </c>
      <c r="F2530" t="s">
        <v>147</v>
      </c>
      <c r="G2530" t="s">
        <v>1187</v>
      </c>
      <c r="I2530" s="4">
        <v>15</v>
      </c>
      <c r="J2530" s="4" t="s">
        <v>1604</v>
      </c>
      <c r="L2530" t="s">
        <v>252</v>
      </c>
      <c r="M2530" t="s">
        <v>1823</v>
      </c>
      <c r="N2530" s="4">
        <f>IF(L2530="","",IF(OR(Registro2[[#This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530" t="str">
        <f t="shared" si="52"/>
        <v>mai/25</v>
      </c>
      <c r="P2530" t="str">
        <f>IF(Registro2[[#This Row],[Data de Pagamento]]&gt;0,TEXT(A2530,"mmm/aa"),"")</f>
        <v>mai/25</v>
      </c>
      <c r="T2530" s="4">
        <f>IF(Registro2[[#This Row],[Data de Pagamento]]="",0,IF(Registro2[[#This Row],[Conta Financeira]]=base!$A$6,0,Registro2[[#This Row],[Valor Unitário]]))</f>
        <v>15</v>
      </c>
      <c r="U25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30" t="str">
        <f>VLOOKUP(Registro2[[#This Row],[Categoria]],'Plano de Contas'!$V$3:W2584,2,0)</f>
        <v>Receitas Serviços</v>
      </c>
      <c r="X253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31" spans="1:24">
      <c r="A2531" s="1">
        <v>45806</v>
      </c>
      <c r="B2531" s="1">
        <v>45806</v>
      </c>
      <c r="D2531" t="s">
        <v>1</v>
      </c>
      <c r="E2531" t="s">
        <v>149</v>
      </c>
      <c r="F2531" t="s">
        <v>147</v>
      </c>
      <c r="G2531" t="s">
        <v>3362</v>
      </c>
      <c r="I2531" s="4">
        <v>20</v>
      </c>
      <c r="J2531" s="4" t="s">
        <v>1604</v>
      </c>
      <c r="L2531" t="s">
        <v>252</v>
      </c>
      <c r="M2531" t="s">
        <v>1823</v>
      </c>
      <c r="N2531" s="4">
        <f>IF(L2531="","",IF(OR(Registro2[[#This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531" t="str">
        <f t="shared" si="52"/>
        <v>mai/25</v>
      </c>
      <c r="P2531" t="str">
        <f>IF(Registro2[[#This Row],[Data de Pagamento]]&gt;0,TEXT(A2531,"mmm/aa"),"")</f>
        <v>mai/25</v>
      </c>
      <c r="T2531" s="4">
        <f>IF(Registro2[[#This Row],[Data de Pagamento]]="",0,IF(Registro2[[#This Row],[Conta Financeira]]=base!$A$6,0,Registro2[[#This Row],[Valor Unitário]]))</f>
        <v>20</v>
      </c>
      <c r="U25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31" t="e">
        <f>VLOOKUP(Registro2[[#This Row],[Categoria]],'Plano de Contas'!$V$3:W2585,2,0)</f>
        <v>#N/A</v>
      </c>
      <c r="X253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32" spans="1:24">
      <c r="A2532" s="1">
        <v>45806</v>
      </c>
      <c r="B2532" s="1">
        <v>45806</v>
      </c>
      <c r="D2532" t="s">
        <v>1</v>
      </c>
      <c r="E2532" t="s">
        <v>149</v>
      </c>
      <c r="F2532" t="s">
        <v>147</v>
      </c>
      <c r="G2532" t="s">
        <v>163</v>
      </c>
      <c r="I2532" s="4">
        <v>35</v>
      </c>
      <c r="J2532" s="4">
        <v>45</v>
      </c>
      <c r="L2532" t="s">
        <v>253</v>
      </c>
      <c r="M2532" t="s">
        <v>3365</v>
      </c>
      <c r="N2532" s="4">
        <f>IF(L2532="","",IF(OR(Registro2[[#This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32" t="str">
        <f t="shared" si="52"/>
        <v>mai/25</v>
      </c>
      <c r="P2532" t="str">
        <f>IF(Registro2[[#This Row],[Data de Pagamento]]&gt;0,TEXT(A2532,"mmm/aa"),"")</f>
        <v>mai/25</v>
      </c>
      <c r="T2532" s="4">
        <f>IF(Registro2[[#This Row],[Data de Pagamento]]="",0,IF(Registro2[[#This Row],[Conta Financeira]]=base!$A$6,0,Registro2[[#This Row],[Valor Unitário]]))</f>
        <v>35</v>
      </c>
      <c r="U25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32" t="str">
        <f>VLOOKUP(Registro2[[#This Row],[Categoria]],'Plano de Contas'!$V$3:W2586,2,0)</f>
        <v>Receitas Serviços</v>
      </c>
      <c r="X253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33" spans="1:24">
      <c r="A2533" s="1">
        <v>45806</v>
      </c>
      <c r="B2533" s="1">
        <v>45806</v>
      </c>
      <c r="D2533" t="s">
        <v>1</v>
      </c>
      <c r="E2533" t="s">
        <v>149</v>
      </c>
      <c r="F2533" t="s">
        <v>147</v>
      </c>
      <c r="G2533" t="s">
        <v>167</v>
      </c>
      <c r="I2533" s="4">
        <v>10</v>
      </c>
      <c r="J2533" s="4" t="s">
        <v>1604</v>
      </c>
      <c r="L2533" t="s">
        <v>253</v>
      </c>
      <c r="M2533" t="s">
        <v>3365</v>
      </c>
      <c r="N2533" s="4">
        <f>IF(L2533="","",IF(OR(Registro2[[#This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533" t="str">
        <f t="shared" si="52"/>
        <v>mai/25</v>
      </c>
      <c r="P2533" t="str">
        <f>IF(Registro2[[#This Row],[Data de Pagamento]]&gt;0,TEXT(A2533,"mmm/aa"),"")</f>
        <v>mai/25</v>
      </c>
      <c r="T2533" s="4">
        <f>IF(Registro2[[#This Row],[Data de Pagamento]]="",0,IF(Registro2[[#This Row],[Conta Financeira]]=base!$A$6,0,Registro2[[#This Row],[Valor Unitário]]))</f>
        <v>10</v>
      </c>
      <c r="U25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33" t="str">
        <f>VLOOKUP(Registro2[[#This Row],[Categoria]],'Plano de Contas'!$V$3:W2587,2,0)</f>
        <v>Receitas Serviços</v>
      </c>
      <c r="X253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34" spans="1:24">
      <c r="A2534" s="1">
        <v>45806</v>
      </c>
      <c r="B2534" s="1">
        <v>45806</v>
      </c>
      <c r="D2534" t="s">
        <v>310</v>
      </c>
      <c r="E2534" t="s">
        <v>149</v>
      </c>
      <c r="F2534" t="s">
        <v>147</v>
      </c>
      <c r="G2534" t="s">
        <v>163</v>
      </c>
      <c r="I2534" s="4">
        <v>35</v>
      </c>
      <c r="J2534" s="4">
        <v>35</v>
      </c>
      <c r="L2534" t="s">
        <v>264</v>
      </c>
      <c r="M2534" t="s">
        <v>3368</v>
      </c>
      <c r="N2534" s="4">
        <f>IF(L2534="","",IF(OR(Registro2[[#This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34" t="str">
        <f t="shared" si="52"/>
        <v>mai/25</v>
      </c>
      <c r="P2534" t="str">
        <f>IF(Registro2[[#This Row],[Data de Pagamento]]&gt;0,TEXT(A2534,"mmm/aa"),"")</f>
        <v>mai/25</v>
      </c>
      <c r="T2534" s="4">
        <f>IF(Registro2[[#This Row],[Data de Pagamento]]="",0,IF(Registro2[[#This Row],[Conta Financeira]]=base!$A$6,0,Registro2[[#This Row],[Valor Unitário]]))</f>
        <v>35</v>
      </c>
      <c r="U25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34" t="str">
        <f>VLOOKUP(Registro2[[#This Row],[Categoria]],'Plano de Contas'!$V$3:W2588,2,0)</f>
        <v>Receitas Serviços</v>
      </c>
      <c r="X253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535" spans="1:24">
      <c r="A2535" s="1">
        <v>45806</v>
      </c>
      <c r="B2535" s="1">
        <v>45806</v>
      </c>
      <c r="D2535" t="s">
        <v>2</v>
      </c>
      <c r="E2535" t="s">
        <v>149</v>
      </c>
      <c r="F2535" t="s">
        <v>147</v>
      </c>
      <c r="G2535" t="s">
        <v>163</v>
      </c>
      <c r="I2535" s="4">
        <v>35</v>
      </c>
      <c r="J2535" s="4">
        <v>53</v>
      </c>
      <c r="L2535" t="s">
        <v>252</v>
      </c>
      <c r="M2535" t="s">
        <v>372</v>
      </c>
      <c r="N2535" s="4">
        <f>IF(L2535="","",IF(OR(Registro2[[#This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35" t="str">
        <f t="shared" si="52"/>
        <v>mai/25</v>
      </c>
      <c r="P2535" t="str">
        <f>IF(Registro2[[#This Row],[Data de Pagamento]]&gt;0,TEXT(A2535,"mmm/aa"),"")</f>
        <v>mai/25</v>
      </c>
      <c r="T2535" s="4">
        <f>IF(Registro2[[#This Row],[Data de Pagamento]]="",0,IF(Registro2[[#This Row],[Conta Financeira]]=base!$A$6,0,Registro2[[#This Row],[Valor Unitário]]))</f>
        <v>35</v>
      </c>
      <c r="U25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35" t="str">
        <f>VLOOKUP(Registro2[[#This Row],[Categoria]],'Plano de Contas'!$V$3:W2589,2,0)</f>
        <v>Receitas Serviços</v>
      </c>
      <c r="X253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36" spans="1:24">
      <c r="A2536" s="1">
        <v>45806</v>
      </c>
      <c r="B2536" s="1">
        <v>45806</v>
      </c>
      <c r="D2536" t="s">
        <v>2</v>
      </c>
      <c r="E2536" t="s">
        <v>149</v>
      </c>
      <c r="F2536" t="s">
        <v>150</v>
      </c>
      <c r="G2536" t="s">
        <v>2931</v>
      </c>
      <c r="I2536" s="4">
        <v>18</v>
      </c>
      <c r="J2536" s="4" t="s">
        <v>1604</v>
      </c>
      <c r="L2536" t="s">
        <v>252</v>
      </c>
      <c r="M2536" t="s">
        <v>372</v>
      </c>
      <c r="N2536" s="4">
        <f>IF(L2536="","",IF(OR(Registro2[[#This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7.2</v>
      </c>
      <c r="O2536" t="str">
        <f t="shared" si="52"/>
        <v>mai/25</v>
      </c>
      <c r="P2536" t="str">
        <f>IF(Registro2[[#This Row],[Data de Pagamento]]&gt;0,TEXT(A2536,"mmm/aa"),"")</f>
        <v>mai/25</v>
      </c>
      <c r="T2536" s="4">
        <f>IF(Registro2[[#This Row],[Data de Pagamento]]="",0,IF(Registro2[[#This Row],[Conta Financeira]]=base!$A$6,0,Registro2[[#This Row],[Valor Unitário]]))</f>
        <v>18</v>
      </c>
      <c r="U25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36" t="e">
        <f>VLOOKUP(Registro2[[#This Row],[Categoria]],'Plano de Contas'!$V$3:W2590,2,0)</f>
        <v>#N/A</v>
      </c>
      <c r="X253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37" spans="1:24">
      <c r="A2537" s="1">
        <v>45807</v>
      </c>
      <c r="B2537" s="1">
        <v>45807</v>
      </c>
      <c r="D2537" t="s">
        <v>2</v>
      </c>
      <c r="E2537" t="s">
        <v>149</v>
      </c>
      <c r="F2537" t="s">
        <v>147</v>
      </c>
      <c r="G2537" t="s">
        <v>163</v>
      </c>
      <c r="I2537" s="4">
        <v>35</v>
      </c>
      <c r="J2537" s="4">
        <v>35</v>
      </c>
      <c r="L2537" t="s">
        <v>252</v>
      </c>
      <c r="M2537" t="s">
        <v>372</v>
      </c>
      <c r="N2537" s="4">
        <f>IF(L2537="","",IF(OR(Registro2[[#This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37" t="str">
        <f t="shared" si="52"/>
        <v>mai/25</v>
      </c>
      <c r="P2537" t="str">
        <f>IF(Registro2[[#This Row],[Data de Pagamento]]&gt;0,TEXT(A2537,"mmm/aa"),"")</f>
        <v>mai/25</v>
      </c>
      <c r="T2537" s="4">
        <f>IF(Registro2[[#This Row],[Data de Pagamento]]="",0,IF(Registro2[[#This Row],[Conta Financeira]]=base!$A$6,0,Registro2[[#This Row],[Valor Unitário]]))</f>
        <v>35</v>
      </c>
      <c r="U25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37" t="str">
        <f>VLOOKUP(Registro2[[#This Row],[Categoria]],'Plano de Contas'!$V$3:W2591,2,0)</f>
        <v>Receitas Serviços</v>
      </c>
      <c r="X253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38" spans="1:24">
      <c r="A2538" s="1">
        <v>45806</v>
      </c>
      <c r="B2538" s="1">
        <v>45806</v>
      </c>
      <c r="D2538" t="s">
        <v>310</v>
      </c>
      <c r="E2538" t="s">
        <v>149</v>
      </c>
      <c r="F2538" t="s">
        <v>147</v>
      </c>
      <c r="G2538" t="s">
        <v>163</v>
      </c>
      <c r="I2538" s="4">
        <v>35</v>
      </c>
      <c r="J2538" s="4">
        <v>75</v>
      </c>
      <c r="L2538" t="s">
        <v>253</v>
      </c>
      <c r="M2538" t="s">
        <v>79</v>
      </c>
      <c r="N2538" s="4">
        <f>IF(L2538="","",IF(OR(Registro2[[#This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38" t="str">
        <f t="shared" si="52"/>
        <v>mai/25</v>
      </c>
      <c r="P2538" t="str">
        <f>IF(Registro2[[#This Row],[Data de Pagamento]]&gt;0,TEXT(A2538,"mmm/aa"),"")</f>
        <v>mai/25</v>
      </c>
      <c r="T2538" s="4">
        <f>IF(Registro2[[#This Row],[Data de Pagamento]]="",0,IF(Registro2[[#This Row],[Conta Financeira]]=base!$A$6,0,Registro2[[#This Row],[Valor Unitário]]))</f>
        <v>35</v>
      </c>
      <c r="U25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38" t="str">
        <f>VLOOKUP(Registro2[[#This Row],[Categoria]],'Plano de Contas'!$V$3:W2592,2,0)</f>
        <v>Receitas Serviços</v>
      </c>
      <c r="X253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539" spans="1:24">
      <c r="A2539" s="1">
        <v>45806</v>
      </c>
      <c r="B2539" s="1">
        <v>45806</v>
      </c>
      <c r="D2539" t="s">
        <v>310</v>
      </c>
      <c r="E2539" t="s">
        <v>149</v>
      </c>
      <c r="F2539" t="s">
        <v>147</v>
      </c>
      <c r="G2539" t="s">
        <v>166</v>
      </c>
      <c r="I2539" s="4">
        <v>20</v>
      </c>
      <c r="J2539" s="4" t="s">
        <v>1604</v>
      </c>
      <c r="L2539" t="s">
        <v>253</v>
      </c>
      <c r="M2539" t="s">
        <v>79</v>
      </c>
      <c r="N2539" s="4">
        <f>IF(L2539="","",IF(OR(Registro2[[#This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539" t="str">
        <f t="shared" si="52"/>
        <v>mai/25</v>
      </c>
      <c r="P2539" t="str">
        <f>IF(Registro2[[#This Row],[Data de Pagamento]]&gt;0,TEXT(A2539,"mmm/aa"),"")</f>
        <v>mai/25</v>
      </c>
      <c r="T2539" s="4">
        <f>IF(Registro2[[#This Row],[Data de Pagamento]]="",0,IF(Registro2[[#This Row],[Conta Financeira]]=base!$A$6,0,Registro2[[#This Row],[Valor Unitário]]))</f>
        <v>20</v>
      </c>
      <c r="U253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39" t="str">
        <f>VLOOKUP(Registro2[[#This Row],[Categoria]],'Plano de Contas'!$V$3:W2593,2,0)</f>
        <v>Receitas Serviços</v>
      </c>
      <c r="X253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</row>
    <row r="2540" spans="1:24">
      <c r="A2540" s="1">
        <v>45806</v>
      </c>
      <c r="B2540" s="1">
        <v>45806</v>
      </c>
      <c r="D2540" t="s">
        <v>310</v>
      </c>
      <c r="E2540" t="s">
        <v>149</v>
      </c>
      <c r="F2540" t="s">
        <v>147</v>
      </c>
      <c r="G2540" t="s">
        <v>2825</v>
      </c>
      <c r="I2540" s="4">
        <v>20</v>
      </c>
      <c r="J2540" s="4" t="s">
        <v>1604</v>
      </c>
      <c r="L2540" t="s">
        <v>253</v>
      </c>
      <c r="M2540" t="s">
        <v>79</v>
      </c>
      <c r="N2540" s="4">
        <f>IF(L2540="","",IF(OR(Registro2[[#This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540" t="str">
        <f t="shared" si="52"/>
        <v>mai/25</v>
      </c>
      <c r="P2540" t="str">
        <f>IF(Registro2[[#This Row],[Data de Pagamento]]&gt;0,TEXT(A2540,"mmm/aa"),"")</f>
        <v>mai/25</v>
      </c>
      <c r="T2540" s="4">
        <f>IF(Registro2[[#This Row],[Data de Pagamento]]="",0,IF(Registro2[[#This Row],[Conta Financeira]]=base!$A$6,0,Registro2[[#This Row],[Valor Unitário]]))</f>
        <v>20</v>
      </c>
      <c r="U254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40" t="e">
        <f>VLOOKUP(Registro2[[#This Row],[Categoria]],'Plano de Contas'!$V$3:W2594,2,0)</f>
        <v>#N/A</v>
      </c>
      <c r="X254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</row>
    <row r="2541" spans="1:24">
      <c r="A2541" s="1">
        <v>45806</v>
      </c>
      <c r="B2541" s="1">
        <v>45806</v>
      </c>
      <c r="D2541" t="s">
        <v>1</v>
      </c>
      <c r="E2541" t="s">
        <v>149</v>
      </c>
      <c r="F2541" t="s">
        <v>147</v>
      </c>
      <c r="G2541" t="s">
        <v>163</v>
      </c>
      <c r="I2541" s="4">
        <v>35</v>
      </c>
      <c r="J2541" s="4">
        <v>53</v>
      </c>
      <c r="L2541" t="s">
        <v>264</v>
      </c>
      <c r="M2541" t="s">
        <v>1315</v>
      </c>
      <c r="N2541" s="4">
        <f>IF(L2541="","",IF(OR(Registro2[[#This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41" t="str">
        <f t="shared" ref="O2541:O2572" si="53">TEXT(B2541,"mmm/aa")</f>
        <v>mai/25</v>
      </c>
      <c r="P2541" t="str">
        <f>IF(Registro2[[#This Row],[Data de Pagamento]]&gt;0,TEXT(A2541,"mmm/aa"),"")</f>
        <v>mai/25</v>
      </c>
      <c r="T2541" s="4">
        <f>IF(Registro2[[#This Row],[Data de Pagamento]]="",0,IF(Registro2[[#This Row],[Conta Financeira]]=base!$A$6,0,Registro2[[#This Row],[Valor Unitário]]))</f>
        <v>35</v>
      </c>
      <c r="U254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41" t="str">
        <f>VLOOKUP(Registro2[[#This Row],[Categoria]],'Plano de Contas'!$V$3:W2595,2,0)</f>
        <v>Receitas Serviços</v>
      </c>
      <c r="X254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42" spans="1:24">
      <c r="A2542" s="1">
        <v>45806</v>
      </c>
      <c r="B2542" s="1">
        <v>45806</v>
      </c>
      <c r="D2542" t="s">
        <v>1</v>
      </c>
      <c r="E2542" t="s">
        <v>149</v>
      </c>
      <c r="F2542" t="s">
        <v>150</v>
      </c>
      <c r="G2542" t="s">
        <v>3316</v>
      </c>
      <c r="I2542" s="4">
        <v>18</v>
      </c>
      <c r="J2542" s="4" t="s">
        <v>1604</v>
      </c>
      <c r="L2542" t="s">
        <v>264</v>
      </c>
      <c r="M2542" t="s">
        <v>1315</v>
      </c>
      <c r="N2542" s="4">
        <f>IF(L2542="","",IF(OR(Registro2[[#This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7.2</v>
      </c>
      <c r="O2542" t="str">
        <f t="shared" si="53"/>
        <v>mai/25</v>
      </c>
      <c r="P2542" t="str">
        <f>IF(Registro2[[#This Row],[Data de Pagamento]]&gt;0,TEXT(A2542,"mmm/aa"),"")</f>
        <v>mai/25</v>
      </c>
      <c r="T2542" s="4">
        <f>IF(Registro2[[#This Row],[Data de Pagamento]]="",0,IF(Registro2[[#This Row],[Conta Financeira]]=base!$A$6,0,Registro2[[#This Row],[Valor Unitário]]))</f>
        <v>18</v>
      </c>
      <c r="U254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42" t="e">
        <f>VLOOKUP(Registro2[[#This Row],[Categoria]],'Plano de Contas'!$V$3:W2596,2,0)</f>
        <v>#N/A</v>
      </c>
      <c r="X254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43" spans="1:24">
      <c r="A2543" s="1">
        <v>45806</v>
      </c>
      <c r="B2543" s="1">
        <v>45806</v>
      </c>
      <c r="D2543" t="s">
        <v>310</v>
      </c>
      <c r="E2543" t="s">
        <v>149</v>
      </c>
      <c r="F2543" t="s">
        <v>152</v>
      </c>
      <c r="G2543" t="s">
        <v>353</v>
      </c>
      <c r="I2543" s="4">
        <v>65</v>
      </c>
      <c r="J2543" s="4">
        <v>80</v>
      </c>
      <c r="L2543" t="s">
        <v>264</v>
      </c>
      <c r="M2543" t="s">
        <v>502</v>
      </c>
      <c r="N2543" s="4">
        <f>IF(L2543="","",IF(OR(Registro2[[#This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29.25</v>
      </c>
      <c r="O2543" t="str">
        <f t="shared" si="53"/>
        <v>mai/25</v>
      </c>
      <c r="P2543" t="str">
        <f>IF(Registro2[[#This Row],[Data de Pagamento]]&gt;0,TEXT(A2543,"mmm/aa"),"")</f>
        <v>mai/25</v>
      </c>
      <c r="T2543" s="4">
        <f>IF(Registro2[[#This Row],[Data de Pagamento]]="",0,IF(Registro2[[#This Row],[Conta Financeira]]=base!$A$6,0,Registro2[[#This Row],[Valor Unitário]]))</f>
        <v>65</v>
      </c>
      <c r="U254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43" t="str">
        <f>VLOOKUP(Registro2[[#This Row],[Categoria]],'Plano de Contas'!$V$3:W2597,2,0)</f>
        <v>Receitas Serviços</v>
      </c>
      <c r="X254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0.57850000000000001</v>
      </c>
    </row>
    <row r="2544" spans="1:24">
      <c r="A2544" s="1">
        <v>45806</v>
      </c>
      <c r="B2544" s="1">
        <v>45806</v>
      </c>
      <c r="D2544" t="s">
        <v>310</v>
      </c>
      <c r="E2544" t="s">
        <v>149</v>
      </c>
      <c r="F2544" t="s">
        <v>147</v>
      </c>
      <c r="G2544" t="s">
        <v>1187</v>
      </c>
      <c r="I2544" s="4">
        <v>15</v>
      </c>
      <c r="J2544" s="4" t="s">
        <v>1604</v>
      </c>
      <c r="L2544" t="s">
        <v>264</v>
      </c>
      <c r="M2544" t="s">
        <v>502</v>
      </c>
      <c r="N2544" s="4">
        <f>IF(L2544="","",IF(OR(Registro2[[#This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544" t="str">
        <f t="shared" si="53"/>
        <v>mai/25</v>
      </c>
      <c r="P2544" t="str">
        <f>IF(Registro2[[#This Row],[Data de Pagamento]]&gt;0,TEXT(A2544,"mmm/aa"),"")</f>
        <v>mai/25</v>
      </c>
      <c r="T2544" s="4">
        <f>IF(Registro2[[#This Row],[Data de Pagamento]]="",0,IF(Registro2[[#This Row],[Conta Financeira]]=base!$A$6,0,Registro2[[#This Row],[Valor Unitário]]))</f>
        <v>15</v>
      </c>
      <c r="U254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44" t="str">
        <f>VLOOKUP(Registro2[[#This Row],[Categoria]],'Plano de Contas'!$V$3:W2598,2,0)</f>
        <v>Receitas Serviços</v>
      </c>
      <c r="X254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</row>
    <row r="2545" spans="1:24">
      <c r="A2545" s="1">
        <v>45806</v>
      </c>
      <c r="B2545" s="1">
        <v>45806</v>
      </c>
      <c r="D2545" t="s">
        <v>1</v>
      </c>
      <c r="E2545" t="s">
        <v>149</v>
      </c>
      <c r="F2545" t="s">
        <v>147</v>
      </c>
      <c r="G2545" t="s">
        <v>163</v>
      </c>
      <c r="I2545" s="4">
        <v>35</v>
      </c>
      <c r="J2545" s="4">
        <v>0</v>
      </c>
      <c r="L2545" t="s">
        <v>253</v>
      </c>
      <c r="M2545" t="s">
        <v>295</v>
      </c>
      <c r="N2545" s="4">
        <f>IF(L2545="","",IF(OR(Registro2[[#This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45" t="str">
        <f t="shared" si="53"/>
        <v>mai/25</v>
      </c>
      <c r="P2545" t="str">
        <f>IF(Registro2[[#This Row],[Data de Pagamento]]&gt;0,TEXT(A2545,"mmm/aa"),"")</f>
        <v>mai/25</v>
      </c>
      <c r="T2545" s="4">
        <f>IF(Registro2[[#This Row],[Data de Pagamento]]="",0,IF(Registro2[[#This Row],[Conta Financeira]]=base!$A$6,0,Registro2[[#This Row],[Valor Unitário]]))</f>
        <v>35</v>
      </c>
      <c r="U254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45" t="str">
        <f>VLOOKUP(Registro2[[#This Row],[Categoria]],'Plano de Contas'!$V$3:W2599,2,0)</f>
        <v>Receitas Serviços</v>
      </c>
      <c r="X25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46" spans="1:24">
      <c r="A2546" s="1">
        <v>45807</v>
      </c>
      <c r="B2546" s="1">
        <v>45807</v>
      </c>
      <c r="D2546" t="s">
        <v>1</v>
      </c>
      <c r="E2546" t="s">
        <v>149</v>
      </c>
      <c r="F2546" t="s">
        <v>147</v>
      </c>
      <c r="G2546" t="s">
        <v>163</v>
      </c>
      <c r="I2546" s="4">
        <v>35</v>
      </c>
      <c r="J2546" s="4">
        <v>93</v>
      </c>
      <c r="L2546" t="s">
        <v>253</v>
      </c>
      <c r="M2546" t="s">
        <v>3382</v>
      </c>
      <c r="N2546" s="4">
        <f>IF(L2546="","",IF(OR(Registro2[[#This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46" t="str">
        <f t="shared" si="53"/>
        <v>mai/25</v>
      </c>
      <c r="P2546" t="str">
        <f>IF(Registro2[[#This Row],[Data de Pagamento]]&gt;0,TEXT(A2546,"mmm/aa"),"")</f>
        <v>mai/25</v>
      </c>
      <c r="T2546" s="4">
        <f>IF(Registro2[[#This Row],[Data de Pagamento]]="",0,IF(Registro2[[#This Row],[Conta Financeira]]=base!$A$6,0,Registro2[[#This Row],[Valor Unitário]]))</f>
        <v>35</v>
      </c>
      <c r="U254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46" t="str">
        <f>VLOOKUP(Registro2[[#This Row],[Categoria]],'Plano de Contas'!$V$3:W2600,2,0)</f>
        <v>Receitas Serviços</v>
      </c>
      <c r="X254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47" spans="1:24">
      <c r="A2547" s="1">
        <v>45807</v>
      </c>
      <c r="B2547" s="1">
        <v>45807</v>
      </c>
      <c r="D2547" t="s">
        <v>1</v>
      </c>
      <c r="E2547" t="s">
        <v>149</v>
      </c>
      <c r="F2547" t="s">
        <v>147</v>
      </c>
      <c r="G2547" t="s">
        <v>3362</v>
      </c>
      <c r="I2547" s="4">
        <v>20</v>
      </c>
      <c r="J2547" s="4" t="s">
        <v>1604</v>
      </c>
      <c r="L2547" t="s">
        <v>253</v>
      </c>
      <c r="M2547" t="s">
        <v>3382</v>
      </c>
      <c r="N2547" s="4">
        <f>IF(L2547="","",IF(OR(Registro2[[#This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547" t="str">
        <f t="shared" si="53"/>
        <v>mai/25</v>
      </c>
      <c r="P2547" t="str">
        <f>IF(Registro2[[#This Row],[Data de Pagamento]]&gt;0,TEXT(A2547,"mmm/aa"),"")</f>
        <v>mai/25</v>
      </c>
      <c r="T2547" s="4">
        <f>IF(Registro2[[#This Row],[Data de Pagamento]]="",0,IF(Registro2[[#This Row],[Conta Financeira]]=base!$A$6,0,Registro2[[#This Row],[Valor Unitário]]))</f>
        <v>20</v>
      </c>
      <c r="U254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47" t="e">
        <f>VLOOKUP(Registro2[[#This Row],[Categoria]],'Plano de Contas'!$V$3:W2601,2,0)</f>
        <v>#N/A</v>
      </c>
      <c r="X254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48" spans="1:24">
      <c r="A2548" s="1">
        <v>45807</v>
      </c>
      <c r="B2548" s="1">
        <v>45807</v>
      </c>
      <c r="D2548" t="s">
        <v>1</v>
      </c>
      <c r="E2548" t="s">
        <v>149</v>
      </c>
      <c r="F2548" t="s">
        <v>152</v>
      </c>
      <c r="G2548" t="s">
        <v>352</v>
      </c>
      <c r="I2548" s="4">
        <v>20</v>
      </c>
      <c r="J2548" s="4" t="s">
        <v>1604</v>
      </c>
      <c r="L2548" t="s">
        <v>253</v>
      </c>
      <c r="M2548" t="s">
        <v>3382</v>
      </c>
      <c r="N2548" s="4">
        <f>IF(L2548="","",IF(OR(Registro2[[#This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548" t="str">
        <f t="shared" si="53"/>
        <v>mai/25</v>
      </c>
      <c r="P2548" t="str">
        <f>IF(Registro2[[#This Row],[Data de Pagamento]]&gt;0,TEXT(A2548,"mmm/aa"),"")</f>
        <v>mai/25</v>
      </c>
      <c r="T2548" s="4">
        <f>IF(Registro2[[#This Row],[Data de Pagamento]]="",0,IF(Registro2[[#This Row],[Conta Financeira]]=base!$A$6,0,Registro2[[#This Row],[Valor Unitário]]))</f>
        <v>20</v>
      </c>
      <c r="U254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48" t="str">
        <f>VLOOKUP(Registro2[[#This Row],[Categoria]],'Plano de Contas'!$V$3:W2602,2,0)</f>
        <v>Receitas Serviços</v>
      </c>
      <c r="X254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49" spans="1:24">
      <c r="A2549" s="1">
        <v>45807</v>
      </c>
      <c r="B2549" s="1">
        <v>45807</v>
      </c>
      <c r="D2549" t="s">
        <v>1</v>
      </c>
      <c r="E2549" t="s">
        <v>149</v>
      </c>
      <c r="F2549" t="s">
        <v>150</v>
      </c>
      <c r="G2549" t="s">
        <v>3316</v>
      </c>
      <c r="I2549" s="4">
        <v>18</v>
      </c>
      <c r="J2549" s="4" t="s">
        <v>1604</v>
      </c>
      <c r="L2549" t="s">
        <v>253</v>
      </c>
      <c r="M2549" t="s">
        <v>3382</v>
      </c>
      <c r="N2549" s="4">
        <f>IF(L2549="","",IF(OR(Registro2[[#This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7.2</v>
      </c>
      <c r="O2549" t="str">
        <f t="shared" si="53"/>
        <v>mai/25</v>
      </c>
      <c r="P2549" t="str">
        <f>IF(Registro2[[#This Row],[Data de Pagamento]]&gt;0,TEXT(A2549,"mmm/aa"),"")</f>
        <v>mai/25</v>
      </c>
      <c r="T2549" s="4">
        <f>IF(Registro2[[#This Row],[Data de Pagamento]]="",0,IF(Registro2[[#This Row],[Conta Financeira]]=base!$A$6,0,Registro2[[#This Row],[Valor Unitário]]))</f>
        <v>18</v>
      </c>
      <c r="U254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49" t="e">
        <f>VLOOKUP(Registro2[[#This Row],[Categoria]],'Plano de Contas'!$V$3:W2603,2,0)</f>
        <v>#N/A</v>
      </c>
      <c r="X254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50" spans="1:24">
      <c r="A2550" s="1">
        <v>45807</v>
      </c>
      <c r="B2550" s="1">
        <v>45807</v>
      </c>
      <c r="D2550" t="s">
        <v>1</v>
      </c>
      <c r="E2550" t="s">
        <v>149</v>
      </c>
      <c r="F2550" t="s">
        <v>147</v>
      </c>
      <c r="G2550" t="s">
        <v>163</v>
      </c>
      <c r="I2550" s="4">
        <v>35</v>
      </c>
      <c r="J2550" s="4">
        <v>45</v>
      </c>
      <c r="L2550" t="s">
        <v>253</v>
      </c>
      <c r="M2550" t="s">
        <v>14</v>
      </c>
      <c r="N2550" s="4">
        <f>IF(L2550="","",IF(OR(Registro2[[#This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50" t="str">
        <f t="shared" si="53"/>
        <v>mai/25</v>
      </c>
      <c r="P2550" t="str">
        <f>IF(Registro2[[#This Row],[Data de Pagamento]]&gt;0,TEXT(A2550,"mmm/aa"),"")</f>
        <v>mai/25</v>
      </c>
      <c r="T2550" s="4">
        <f>IF(Registro2[[#This Row],[Data de Pagamento]]="",0,IF(Registro2[[#This Row],[Conta Financeira]]=base!$A$6,0,Registro2[[#This Row],[Valor Unitário]]))</f>
        <v>35</v>
      </c>
      <c r="U255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50" t="str">
        <f>VLOOKUP(Registro2[[#This Row],[Categoria]],'Plano de Contas'!$V$3:W2604,2,0)</f>
        <v>Receitas Serviços</v>
      </c>
      <c r="X255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51" spans="1:24">
      <c r="A2551" s="1">
        <v>45807</v>
      </c>
      <c r="B2551" s="1">
        <v>45807</v>
      </c>
      <c r="D2551" t="s">
        <v>1</v>
      </c>
      <c r="E2551" t="s">
        <v>149</v>
      </c>
      <c r="F2551" t="s">
        <v>147</v>
      </c>
      <c r="G2551" t="s">
        <v>167</v>
      </c>
      <c r="I2551" s="4">
        <v>10</v>
      </c>
      <c r="J2551" s="4" t="s">
        <v>1604</v>
      </c>
      <c r="L2551" t="s">
        <v>253</v>
      </c>
      <c r="M2551" t="s">
        <v>14</v>
      </c>
      <c r="N2551" s="4">
        <f>IF(L2551="","",IF(OR(Registro2[[#This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551" t="str">
        <f t="shared" si="53"/>
        <v>mai/25</v>
      </c>
      <c r="P2551" t="str">
        <f>IF(Registro2[[#This Row],[Data de Pagamento]]&gt;0,TEXT(A2551,"mmm/aa"),"")</f>
        <v>mai/25</v>
      </c>
      <c r="T2551" s="4">
        <f>IF(Registro2[[#This Row],[Data de Pagamento]]="",0,IF(Registro2[[#This Row],[Conta Financeira]]=base!$A$6,0,Registro2[[#This Row],[Valor Unitário]]))</f>
        <v>10</v>
      </c>
      <c r="U255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51" t="str">
        <f>VLOOKUP(Registro2[[#This Row],[Categoria]],'Plano de Contas'!$V$3:W2605,2,0)</f>
        <v>Receitas Serviços</v>
      </c>
      <c r="X255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52" spans="1:24">
      <c r="A2552" s="1">
        <v>45807</v>
      </c>
      <c r="B2552" s="1">
        <v>45807</v>
      </c>
      <c r="D2552" t="s">
        <v>1</v>
      </c>
      <c r="E2552" t="s">
        <v>149</v>
      </c>
      <c r="F2552" t="s">
        <v>147</v>
      </c>
      <c r="G2552" t="s">
        <v>163</v>
      </c>
      <c r="I2552" s="4">
        <v>35</v>
      </c>
      <c r="J2552" s="4">
        <v>65</v>
      </c>
      <c r="L2552" t="s">
        <v>252</v>
      </c>
      <c r="M2552" t="s">
        <v>18</v>
      </c>
      <c r="N2552" s="4">
        <f>IF(L2552="","",IF(OR(Registro2[[#This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52" t="str">
        <f t="shared" si="53"/>
        <v>mai/25</v>
      </c>
      <c r="P2552" t="str">
        <f>IF(Registro2[[#This Row],[Data de Pagamento]]&gt;0,TEXT(A2552,"mmm/aa"),"")</f>
        <v>mai/25</v>
      </c>
      <c r="T2552" s="4">
        <f>IF(Registro2[[#This Row],[Data de Pagamento]]="",0,IF(Registro2[[#This Row],[Conta Financeira]]=base!$A$6,0,Registro2[[#This Row],[Valor Unitário]]))</f>
        <v>35</v>
      </c>
      <c r="U255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52" t="str">
        <f>VLOOKUP(Registro2[[#This Row],[Categoria]],'Plano de Contas'!$V$3:W2606,2,0)</f>
        <v>Receitas Serviços</v>
      </c>
      <c r="X255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53" spans="1:24">
      <c r="A2553" s="1">
        <v>45807</v>
      </c>
      <c r="B2553" s="1">
        <v>45807</v>
      </c>
      <c r="D2553" t="s">
        <v>1</v>
      </c>
      <c r="E2553" t="s">
        <v>149</v>
      </c>
      <c r="F2553" t="s">
        <v>147</v>
      </c>
      <c r="G2553" t="s">
        <v>166</v>
      </c>
      <c r="I2553" s="4">
        <v>20</v>
      </c>
      <c r="J2553" s="4" t="s">
        <v>1604</v>
      </c>
      <c r="L2553" t="s">
        <v>252</v>
      </c>
      <c r="M2553" t="s">
        <v>18</v>
      </c>
      <c r="N2553" s="4">
        <f>IF(L2553="","",IF(OR(Registro2[[#This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553" t="str">
        <f t="shared" si="53"/>
        <v>mai/25</v>
      </c>
      <c r="P2553" t="str">
        <f>IF(Registro2[[#This Row],[Data de Pagamento]]&gt;0,TEXT(A2553,"mmm/aa"),"")</f>
        <v>mai/25</v>
      </c>
      <c r="T2553" s="4">
        <f>IF(Registro2[[#This Row],[Data de Pagamento]]="",0,IF(Registro2[[#This Row],[Conta Financeira]]=base!$A$6,0,Registro2[[#This Row],[Valor Unitário]]))</f>
        <v>20</v>
      </c>
      <c r="U255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53" t="str">
        <f>VLOOKUP(Registro2[[#This Row],[Categoria]],'Plano de Contas'!$V$3:W2607,2,0)</f>
        <v>Receitas Serviços</v>
      </c>
      <c r="X255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54" spans="1:24">
      <c r="A2554" s="1">
        <v>45807</v>
      </c>
      <c r="B2554" s="1">
        <v>45807</v>
      </c>
      <c r="D2554" t="s">
        <v>1</v>
      </c>
      <c r="E2554" t="s">
        <v>149</v>
      </c>
      <c r="F2554" t="s">
        <v>147</v>
      </c>
      <c r="G2554" t="s">
        <v>167</v>
      </c>
      <c r="I2554" s="4">
        <v>10</v>
      </c>
      <c r="J2554" s="4" t="s">
        <v>1604</v>
      </c>
      <c r="L2554" t="s">
        <v>252</v>
      </c>
      <c r="M2554" t="s">
        <v>18</v>
      </c>
      <c r="N2554" s="4">
        <f>IF(L2554="","",IF(OR(Registro2[[#This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554" t="str">
        <f t="shared" si="53"/>
        <v>mai/25</v>
      </c>
      <c r="P2554" t="str">
        <f>IF(Registro2[[#This Row],[Data de Pagamento]]&gt;0,TEXT(A2554,"mmm/aa"),"")</f>
        <v>mai/25</v>
      </c>
      <c r="T2554" s="4">
        <f>IF(Registro2[[#This Row],[Data de Pagamento]]="",0,IF(Registro2[[#This Row],[Conta Financeira]]=base!$A$6,0,Registro2[[#This Row],[Valor Unitário]]))</f>
        <v>10</v>
      </c>
      <c r="U255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54" t="str">
        <f>VLOOKUP(Registro2[[#This Row],[Categoria]],'Plano de Contas'!$V$3:W2608,2,0)</f>
        <v>Receitas Serviços</v>
      </c>
      <c r="X255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55" spans="1:24">
      <c r="A2555" s="1">
        <v>45807</v>
      </c>
      <c r="B2555" s="1">
        <v>45807</v>
      </c>
      <c r="D2555" t="s">
        <v>2</v>
      </c>
      <c r="E2555" t="s">
        <v>149</v>
      </c>
      <c r="F2555" t="s">
        <v>147</v>
      </c>
      <c r="G2555" t="s">
        <v>163</v>
      </c>
      <c r="I2555" s="4">
        <v>35</v>
      </c>
      <c r="J2555" s="4">
        <v>35</v>
      </c>
      <c r="L2555" t="s">
        <v>253</v>
      </c>
      <c r="M2555" t="s">
        <v>278</v>
      </c>
      <c r="N2555" s="4">
        <f>IF(L2555="","",IF(OR(Registro2[[#This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55" t="str">
        <f t="shared" si="53"/>
        <v>mai/25</v>
      </c>
      <c r="P2555" t="str">
        <f>IF(Registro2[[#This Row],[Data de Pagamento]]&gt;0,TEXT(A2555,"mmm/aa"),"")</f>
        <v>mai/25</v>
      </c>
      <c r="T2555" s="4">
        <f>IF(Registro2[[#This Row],[Data de Pagamento]]="",0,IF(Registro2[[#This Row],[Conta Financeira]]=base!$A$6,0,Registro2[[#This Row],[Valor Unitário]]))</f>
        <v>35</v>
      </c>
      <c r="U255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55" t="str">
        <f>VLOOKUP(Registro2[[#This Row],[Categoria]],'Plano de Contas'!$V$3:W2609,2,0)</f>
        <v>Receitas Serviços</v>
      </c>
      <c r="X25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56" spans="1:24">
      <c r="A2556" s="1">
        <v>45807</v>
      </c>
      <c r="B2556" s="1">
        <v>45807</v>
      </c>
      <c r="D2556" t="s">
        <v>310</v>
      </c>
      <c r="E2556" t="s">
        <v>149</v>
      </c>
      <c r="F2556" t="s">
        <v>147</v>
      </c>
      <c r="G2556" t="s">
        <v>163</v>
      </c>
      <c r="I2556" s="4">
        <v>35</v>
      </c>
      <c r="J2556" s="4">
        <v>35</v>
      </c>
      <c r="L2556" t="s">
        <v>253</v>
      </c>
      <c r="M2556" t="s">
        <v>71</v>
      </c>
      <c r="N2556" s="4">
        <f>IF(L2556="","",IF(OR(Registro2[[#This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56" t="str">
        <f t="shared" si="53"/>
        <v>mai/25</v>
      </c>
      <c r="P2556" t="str">
        <f>IF(Registro2[[#This Row],[Data de Pagamento]]&gt;0,TEXT(A2556,"mmm/aa"),"")</f>
        <v>mai/25</v>
      </c>
      <c r="T2556" s="4">
        <f>IF(Registro2[[#This Row],[Data de Pagamento]]="",0,IF(Registro2[[#This Row],[Conta Financeira]]=base!$A$6,0,Registro2[[#This Row],[Valor Unitário]]))</f>
        <v>35</v>
      </c>
      <c r="U255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56" t="str">
        <f>VLOOKUP(Registro2[[#This Row],[Categoria]],'Plano de Contas'!$V$3:W2610,2,0)</f>
        <v>Receitas Serviços</v>
      </c>
      <c r="X255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557" spans="1:24">
      <c r="A2557" s="1">
        <v>45807</v>
      </c>
      <c r="B2557" s="1">
        <v>45807</v>
      </c>
      <c r="D2557" t="s">
        <v>1</v>
      </c>
      <c r="E2557" t="s">
        <v>149</v>
      </c>
      <c r="F2557" t="s">
        <v>147</v>
      </c>
      <c r="G2557" t="s">
        <v>163</v>
      </c>
      <c r="I2557" s="4">
        <v>30</v>
      </c>
      <c r="J2557" s="4">
        <v>0</v>
      </c>
      <c r="L2557" t="s">
        <v>264</v>
      </c>
      <c r="M2557" t="s">
        <v>1348</v>
      </c>
      <c r="N2557" s="4">
        <f>IF(L2557="","",IF(OR(Registro2[[#This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13.5</v>
      </c>
      <c r="O2557" t="str">
        <f t="shared" si="53"/>
        <v>mai/25</v>
      </c>
      <c r="P2557" t="str">
        <f>IF(Registro2[[#This Row],[Data de Pagamento]]&gt;0,TEXT(A2557,"mmm/aa"),"")</f>
        <v>mai/25</v>
      </c>
      <c r="T2557" s="4">
        <f>IF(Registro2[[#This Row],[Data de Pagamento]]="",0,IF(Registro2[[#This Row],[Conta Financeira]]=base!$A$6,0,Registro2[[#This Row],[Valor Unitário]]))</f>
        <v>30</v>
      </c>
      <c r="U255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>Pacote</v>
      </c>
      <c r="W2557" t="str">
        <f>VLOOKUP(Registro2[[#This Row],[Categoria]],'Plano de Contas'!$V$3:W2611,2,0)</f>
        <v>Receitas Serviços</v>
      </c>
      <c r="X25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58" spans="1:24">
      <c r="A2558" s="1">
        <v>45807</v>
      </c>
      <c r="B2558" s="1">
        <v>45807</v>
      </c>
      <c r="D2558" t="s">
        <v>1</v>
      </c>
      <c r="E2558" t="s">
        <v>149</v>
      </c>
      <c r="F2558" t="s">
        <v>147</v>
      </c>
      <c r="G2558" t="s">
        <v>163</v>
      </c>
      <c r="I2558" s="4">
        <v>35</v>
      </c>
      <c r="J2558" s="4">
        <v>35</v>
      </c>
      <c r="L2558" t="s">
        <v>252</v>
      </c>
      <c r="M2558" t="s">
        <v>10</v>
      </c>
      <c r="N2558" s="4">
        <f>IF(L2558="","",IF(OR(Registro2[[#This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58" t="str">
        <f t="shared" si="53"/>
        <v>mai/25</v>
      </c>
      <c r="P2558" t="str">
        <f>IF(Registro2[[#This Row],[Data de Pagamento]]&gt;0,TEXT(A2558,"mmm/aa"),"")</f>
        <v>mai/25</v>
      </c>
      <c r="T2558" s="4">
        <f>IF(Registro2[[#This Row],[Data de Pagamento]]="",0,IF(Registro2[[#This Row],[Conta Financeira]]=base!$A$6,0,Registro2[[#This Row],[Valor Unitário]]))</f>
        <v>35</v>
      </c>
      <c r="U255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58" t="str">
        <f>VLOOKUP(Registro2[[#This Row],[Categoria]],'Plano de Contas'!$V$3:W2612,2,0)</f>
        <v>Receitas Serviços</v>
      </c>
      <c r="X25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59" spans="1:24">
      <c r="A2559" s="1">
        <v>45807</v>
      </c>
      <c r="B2559" s="1">
        <v>45807</v>
      </c>
      <c r="D2559" t="s">
        <v>354</v>
      </c>
      <c r="E2559" t="s">
        <v>149</v>
      </c>
      <c r="F2559" t="s">
        <v>147</v>
      </c>
      <c r="G2559" t="s">
        <v>163</v>
      </c>
      <c r="I2559" s="4">
        <v>35</v>
      </c>
      <c r="J2559" s="4">
        <v>60</v>
      </c>
      <c r="L2559" t="s">
        <v>252</v>
      </c>
      <c r="M2559" t="s">
        <v>3396</v>
      </c>
      <c r="N2559" s="4">
        <f>IF(L2559="","",IF(OR(Registro2[[#This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59" t="str">
        <f t="shared" si="53"/>
        <v>mai/25</v>
      </c>
      <c r="P2559" t="str">
        <f>IF(Registro2[[#This Row],[Data de Pagamento]]&gt;0,TEXT(A2559,"mmm/aa"),"")</f>
        <v>mai/25</v>
      </c>
      <c r="T2559" s="4">
        <f>IF(Registro2[[#This Row],[Data de Pagamento]]="",0,IF(Registro2[[#This Row],[Conta Financeira]]=base!$A$6,0,Registro2[[#This Row],[Valor Unitário]]))</f>
        <v>35</v>
      </c>
      <c r="U255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59" t="str">
        <f>VLOOKUP(Registro2[[#This Row],[Categoria]],'Plano de Contas'!$V$3:W2613,2,0)</f>
        <v>Receitas Serviços</v>
      </c>
      <c r="X255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560" spans="1:24">
      <c r="A2560" s="1">
        <v>45807</v>
      </c>
      <c r="B2560" s="1">
        <v>45807</v>
      </c>
      <c r="D2560" t="s">
        <v>354</v>
      </c>
      <c r="E2560" t="s">
        <v>149</v>
      </c>
      <c r="F2560" t="s">
        <v>147</v>
      </c>
      <c r="G2560" t="s">
        <v>167</v>
      </c>
      <c r="I2560" s="4">
        <v>10</v>
      </c>
      <c r="J2560" s="4" t="s">
        <v>1604</v>
      </c>
      <c r="L2560" t="s">
        <v>252</v>
      </c>
      <c r="M2560" t="s">
        <v>3396</v>
      </c>
      <c r="N2560" s="4">
        <f>IF(L2560="","",IF(OR(Registro2[[#This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560" t="str">
        <f t="shared" si="53"/>
        <v>mai/25</v>
      </c>
      <c r="P2560" t="str">
        <f>IF(Registro2[[#This Row],[Data de Pagamento]]&gt;0,TEXT(A2560,"mmm/aa"),"")</f>
        <v>mai/25</v>
      </c>
      <c r="T2560" s="4">
        <f>IF(Registro2[[#This Row],[Data de Pagamento]]="",0,IF(Registro2[[#This Row],[Conta Financeira]]=base!$A$6,0,Registro2[[#This Row],[Valor Unitário]]))</f>
        <v>10</v>
      </c>
      <c r="U256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60" t="str">
        <f>VLOOKUP(Registro2[[#This Row],[Categoria]],'Plano de Contas'!$V$3:W2614,2,0)</f>
        <v>Receitas Serviços</v>
      </c>
      <c r="X256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</row>
    <row r="2561" spans="1:24">
      <c r="A2561" s="1">
        <v>45807</v>
      </c>
      <c r="B2561" s="1">
        <v>45807</v>
      </c>
      <c r="D2561" t="s">
        <v>354</v>
      </c>
      <c r="E2561" t="s">
        <v>149</v>
      </c>
      <c r="F2561" t="s">
        <v>147</v>
      </c>
      <c r="G2561" t="s">
        <v>1187</v>
      </c>
      <c r="I2561" s="4">
        <v>15</v>
      </c>
      <c r="J2561" s="4" t="s">
        <v>1604</v>
      </c>
      <c r="L2561" t="s">
        <v>252</v>
      </c>
      <c r="M2561" t="s">
        <v>3396</v>
      </c>
      <c r="N2561" s="4">
        <f>IF(L2561="","",IF(OR(Registro2[[#This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561" t="str">
        <f t="shared" si="53"/>
        <v>mai/25</v>
      </c>
      <c r="P2561" t="str">
        <f>IF(Registro2[[#This Row],[Data de Pagamento]]&gt;0,TEXT(A2561,"mmm/aa"),"")</f>
        <v>mai/25</v>
      </c>
      <c r="T2561" s="4">
        <f>IF(Registro2[[#This Row],[Data de Pagamento]]="",0,IF(Registro2[[#This Row],[Conta Financeira]]=base!$A$6,0,Registro2[[#This Row],[Valor Unitário]]))</f>
        <v>15</v>
      </c>
      <c r="U256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61" t="str">
        <f>VLOOKUP(Registro2[[#This Row],[Categoria]],'Plano de Contas'!$V$3:W2615,2,0)</f>
        <v>Receitas Serviços</v>
      </c>
      <c r="X256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0.47250000000000003</v>
      </c>
    </row>
    <row r="2562" spans="1:24">
      <c r="A2562" s="1">
        <v>45807</v>
      </c>
      <c r="B2562" s="1">
        <v>45807</v>
      </c>
      <c r="D2562" t="s">
        <v>1</v>
      </c>
      <c r="E2562" t="s">
        <v>149</v>
      </c>
      <c r="F2562" t="s">
        <v>147</v>
      </c>
      <c r="G2562" t="s">
        <v>1046</v>
      </c>
      <c r="I2562" s="4">
        <v>35</v>
      </c>
      <c r="J2562" s="4">
        <v>35</v>
      </c>
      <c r="L2562" t="s">
        <v>253</v>
      </c>
      <c r="M2562" t="s">
        <v>2437</v>
      </c>
      <c r="N2562" s="4">
        <f>IF(L2562="","",IF(OR(Registro2[[#This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62" t="str">
        <f t="shared" si="53"/>
        <v>mai/25</v>
      </c>
      <c r="P2562" t="str">
        <f>IF(Registro2[[#This Row],[Data de Pagamento]]&gt;0,TEXT(A2562,"mmm/aa"),"")</f>
        <v>mai/25</v>
      </c>
      <c r="T2562" s="4">
        <f>IF(Registro2[[#This Row],[Data de Pagamento]]="",0,IF(Registro2[[#This Row],[Conta Financeira]]=base!$A$6,0,Registro2[[#This Row],[Valor Unitário]]))</f>
        <v>35</v>
      </c>
      <c r="U256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62" t="str">
        <f>VLOOKUP(Registro2[[#This Row],[Categoria]],'Plano de Contas'!$V$3:W2616,2,0)</f>
        <v>Receitas Serviços</v>
      </c>
      <c r="X256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63" spans="1:24">
      <c r="A2563" s="1">
        <v>45807</v>
      </c>
      <c r="B2563" s="1">
        <v>45807</v>
      </c>
      <c r="D2563" t="s">
        <v>354</v>
      </c>
      <c r="E2563" t="s">
        <v>149</v>
      </c>
      <c r="F2563" t="s">
        <v>147</v>
      </c>
      <c r="G2563" t="s">
        <v>163</v>
      </c>
      <c r="I2563" s="4">
        <v>35</v>
      </c>
      <c r="J2563" s="4">
        <v>35</v>
      </c>
      <c r="L2563" t="s">
        <v>252</v>
      </c>
      <c r="M2563" t="s">
        <v>1031</v>
      </c>
      <c r="N2563" s="4">
        <f>IF(L2563="","",IF(OR(Registro2[[#This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63" t="str">
        <f t="shared" si="53"/>
        <v>mai/25</v>
      </c>
      <c r="P2563" t="str">
        <f>IF(Registro2[[#This Row],[Data de Pagamento]]&gt;0,TEXT(A2563,"mmm/aa"),"")</f>
        <v>mai/25</v>
      </c>
      <c r="T2563" s="4">
        <f>IF(Registro2[[#This Row],[Data de Pagamento]]="",0,IF(Registro2[[#This Row],[Conta Financeira]]=base!$A$6,0,Registro2[[#This Row],[Valor Unitário]]))</f>
        <v>35</v>
      </c>
      <c r="U256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63" t="str">
        <f>VLOOKUP(Registro2[[#This Row],[Categoria]],'Plano de Contas'!$V$3:W2617,2,0)</f>
        <v>Receitas Serviços</v>
      </c>
      <c r="X2563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564" spans="1:24">
      <c r="A2564" s="1">
        <v>45807</v>
      </c>
      <c r="B2564" s="1">
        <v>45807</v>
      </c>
      <c r="D2564" t="s">
        <v>310</v>
      </c>
      <c r="E2564" t="s">
        <v>149</v>
      </c>
      <c r="F2564" t="s">
        <v>147</v>
      </c>
      <c r="G2564" t="s">
        <v>163</v>
      </c>
      <c r="I2564" s="4">
        <v>35</v>
      </c>
      <c r="J2564" s="4">
        <v>35</v>
      </c>
      <c r="L2564" t="s">
        <v>264</v>
      </c>
      <c r="M2564" t="s">
        <v>1768</v>
      </c>
      <c r="N2564" s="4">
        <f>IF(L2564="","",IF(OR(Registro2[[#This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64" t="str">
        <f t="shared" si="53"/>
        <v>mai/25</v>
      </c>
      <c r="P2564" t="str">
        <f>IF(Registro2[[#This Row],[Data de Pagamento]]&gt;0,TEXT(A2564,"mmm/aa"),"")</f>
        <v>mai/25</v>
      </c>
      <c r="T2564" s="4">
        <f>IF(Registro2[[#This Row],[Data de Pagamento]]="",0,IF(Registro2[[#This Row],[Conta Financeira]]=base!$A$6,0,Registro2[[#This Row],[Valor Unitário]]))</f>
        <v>35</v>
      </c>
      <c r="U256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64" t="str">
        <f>VLOOKUP(Registro2[[#This Row],[Categoria]],'Plano de Contas'!$V$3:W2618,2,0)</f>
        <v>Receitas Serviços</v>
      </c>
      <c r="X256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565" spans="1:24">
      <c r="A2565" s="1">
        <v>45807</v>
      </c>
      <c r="B2565" s="1">
        <v>45807</v>
      </c>
      <c r="D2565" t="s">
        <v>1</v>
      </c>
      <c r="E2565" t="s">
        <v>149</v>
      </c>
      <c r="F2565" t="s">
        <v>147</v>
      </c>
      <c r="G2565" t="s">
        <v>163</v>
      </c>
      <c r="I2565" s="4">
        <v>35</v>
      </c>
      <c r="J2565" s="4">
        <v>50</v>
      </c>
      <c r="L2565" t="s">
        <v>253</v>
      </c>
      <c r="M2565" t="s">
        <v>28</v>
      </c>
      <c r="N2565" s="4">
        <f>IF(L2565="","",IF(OR(Registro2[[#This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65" t="str">
        <f t="shared" si="53"/>
        <v>mai/25</v>
      </c>
      <c r="P2565" t="str">
        <f>IF(Registro2[[#This Row],[Data de Pagamento]]&gt;0,TEXT(A2565,"mmm/aa"),"")</f>
        <v>mai/25</v>
      </c>
      <c r="T2565" s="4">
        <f>IF(Registro2[[#This Row],[Data de Pagamento]]="",0,IF(Registro2[[#This Row],[Conta Financeira]]=base!$A$6,0,Registro2[[#This Row],[Valor Unitário]]))</f>
        <v>35</v>
      </c>
      <c r="U256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65" t="str">
        <f>VLOOKUP(Registro2[[#This Row],[Categoria]],'Plano de Contas'!$V$3:W2619,2,0)</f>
        <v>Receitas Serviços</v>
      </c>
      <c r="X256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66" spans="1:24">
      <c r="A2566" s="1">
        <v>45807</v>
      </c>
      <c r="B2566" s="1">
        <v>45807</v>
      </c>
      <c r="D2566" t="s">
        <v>1</v>
      </c>
      <c r="E2566" t="s">
        <v>149</v>
      </c>
      <c r="F2566" t="s">
        <v>147</v>
      </c>
      <c r="G2566" t="s">
        <v>1046</v>
      </c>
      <c r="I2566" s="4">
        <v>15</v>
      </c>
      <c r="J2566" s="4" t="s">
        <v>1604</v>
      </c>
      <c r="L2566" t="s">
        <v>253</v>
      </c>
      <c r="M2566" t="s">
        <v>28</v>
      </c>
      <c r="N2566" s="4">
        <f>IF(L2566="","",IF(OR(Registro2[[#This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566" t="str">
        <f t="shared" si="53"/>
        <v>mai/25</v>
      </c>
      <c r="P2566" t="str">
        <f>IF(Registro2[[#This Row],[Data de Pagamento]]&gt;0,TEXT(A2566,"mmm/aa"),"")</f>
        <v>mai/25</v>
      </c>
      <c r="T2566" s="4">
        <f>IF(Registro2[[#This Row],[Data de Pagamento]]="",0,IF(Registro2[[#This Row],[Conta Financeira]]=base!$A$6,0,Registro2[[#This Row],[Valor Unitário]]))</f>
        <v>15</v>
      </c>
      <c r="U256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66" t="str">
        <f>VLOOKUP(Registro2[[#This Row],[Categoria]],'Plano de Contas'!$V$3:W2620,2,0)</f>
        <v>Receitas Serviços</v>
      </c>
      <c r="X25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67" spans="1:24">
      <c r="A2567" s="1">
        <v>45807</v>
      </c>
      <c r="B2567" s="1">
        <v>45807</v>
      </c>
      <c r="D2567" t="s">
        <v>1</v>
      </c>
      <c r="E2567" t="s">
        <v>149</v>
      </c>
      <c r="F2567" t="s">
        <v>147</v>
      </c>
      <c r="G2567" t="s">
        <v>3362</v>
      </c>
      <c r="I2567" s="4">
        <v>20</v>
      </c>
      <c r="J2567" s="4">
        <v>55</v>
      </c>
      <c r="L2567" t="s">
        <v>264</v>
      </c>
      <c r="M2567" t="s">
        <v>2229</v>
      </c>
      <c r="N2567" s="4">
        <f>IF(L2567="","",IF(OR(Registro2[[#This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567" t="str">
        <f t="shared" si="53"/>
        <v>mai/25</v>
      </c>
      <c r="P2567" t="str">
        <f>IF(Registro2[[#This Row],[Data de Pagamento]]&gt;0,TEXT(A2567,"mmm/aa"),"")</f>
        <v>mai/25</v>
      </c>
      <c r="T2567" s="4">
        <f>IF(Registro2[[#This Row],[Data de Pagamento]]="",0,IF(Registro2[[#This Row],[Conta Financeira]]=base!$A$6,0,Registro2[[#This Row],[Valor Unitário]]))</f>
        <v>20</v>
      </c>
      <c r="U256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67" t="e">
        <f>VLOOKUP(Registro2[[#This Row],[Categoria]],'Plano de Contas'!$V$3:W2621,2,0)</f>
        <v>#N/A</v>
      </c>
      <c r="X256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68" spans="1:24">
      <c r="A2568" s="1">
        <v>45807</v>
      </c>
      <c r="B2568" s="1">
        <v>45807</v>
      </c>
      <c r="D2568" t="s">
        <v>1</v>
      </c>
      <c r="E2568" t="s">
        <v>149</v>
      </c>
      <c r="F2568" t="s">
        <v>147</v>
      </c>
      <c r="G2568" t="s">
        <v>163</v>
      </c>
      <c r="I2568" s="4">
        <v>35</v>
      </c>
      <c r="J2568" s="4" t="s">
        <v>1604</v>
      </c>
      <c r="L2568" t="s">
        <v>264</v>
      </c>
      <c r="M2568" t="s">
        <v>2229</v>
      </c>
      <c r="N2568" s="4">
        <f>IF(L2568="","",IF(OR(Registro2[[#This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68" t="str">
        <f t="shared" si="53"/>
        <v>mai/25</v>
      </c>
      <c r="P2568" t="str">
        <f>IF(Registro2[[#This Row],[Data de Pagamento]]&gt;0,TEXT(A2568,"mmm/aa"),"")</f>
        <v>mai/25</v>
      </c>
      <c r="T2568" s="4">
        <f>IF(Registro2[[#This Row],[Data de Pagamento]]="",0,IF(Registro2[[#This Row],[Conta Financeira]]=base!$A$6,0,Registro2[[#This Row],[Valor Unitário]]))</f>
        <v>35</v>
      </c>
      <c r="U256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68" t="str">
        <f>VLOOKUP(Registro2[[#This Row],[Categoria]],'Plano de Contas'!$V$3:W2622,2,0)</f>
        <v>Receitas Serviços</v>
      </c>
      <c r="X256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69" spans="1:24">
      <c r="A2569" s="1">
        <v>45807</v>
      </c>
      <c r="B2569" s="1">
        <v>45807</v>
      </c>
      <c r="D2569" t="s">
        <v>354</v>
      </c>
      <c r="E2569" t="s">
        <v>149</v>
      </c>
      <c r="F2569" t="s">
        <v>147</v>
      </c>
      <c r="G2569" t="s">
        <v>163</v>
      </c>
      <c r="I2569" s="4">
        <v>35</v>
      </c>
      <c r="J2569" s="4">
        <v>63</v>
      </c>
      <c r="L2569" t="s">
        <v>252</v>
      </c>
      <c r="M2569" t="s">
        <v>3407</v>
      </c>
      <c r="N2569" s="4">
        <f>IF(L2569="","",IF(OR(Registro2[[#This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69" t="str">
        <f t="shared" si="53"/>
        <v>mai/25</v>
      </c>
      <c r="P2569" t="str">
        <f>IF(Registro2[[#This Row],[Data de Pagamento]]&gt;0,TEXT(A2569,"mmm/aa"),"")</f>
        <v>mai/25</v>
      </c>
      <c r="T2569" s="4">
        <f>IF(Registro2[[#This Row],[Data de Pagamento]]="",0,IF(Registro2[[#This Row],[Conta Financeira]]=base!$A$6,0,Registro2[[#This Row],[Valor Unitário]]))</f>
        <v>35</v>
      </c>
      <c r="U256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69" t="str">
        <f>VLOOKUP(Registro2[[#This Row],[Categoria]],'Plano de Contas'!$V$3:W2623,2,0)</f>
        <v>Receitas Serviços</v>
      </c>
      <c r="X256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570" spans="1:24">
      <c r="A2570" s="1">
        <v>45807</v>
      </c>
      <c r="B2570" s="1">
        <v>45807</v>
      </c>
      <c r="D2570" t="s">
        <v>354</v>
      </c>
      <c r="E2570" t="s">
        <v>149</v>
      </c>
      <c r="F2570" t="s">
        <v>147</v>
      </c>
      <c r="G2570" t="s">
        <v>167</v>
      </c>
      <c r="I2570" s="4">
        <v>10</v>
      </c>
      <c r="J2570" s="4" t="s">
        <v>1604</v>
      </c>
      <c r="L2570" t="s">
        <v>252</v>
      </c>
      <c r="M2570" t="s">
        <v>3407</v>
      </c>
      <c r="N2570" s="4">
        <f>IF(L2570="","",IF(OR(Registro2[[#This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570" t="str">
        <f t="shared" si="53"/>
        <v>mai/25</v>
      </c>
      <c r="P2570" t="str">
        <f>IF(Registro2[[#This Row],[Data de Pagamento]]&gt;0,TEXT(A2570,"mmm/aa"),"")</f>
        <v>mai/25</v>
      </c>
      <c r="T2570" s="4">
        <f>IF(Registro2[[#This Row],[Data de Pagamento]]="",0,IF(Registro2[[#This Row],[Conta Financeira]]=base!$A$6,0,Registro2[[#This Row],[Valor Unitário]]))</f>
        <v>10</v>
      </c>
      <c r="U257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70" t="str">
        <f>VLOOKUP(Registro2[[#This Row],[Categoria]],'Plano de Contas'!$V$3:W2624,2,0)</f>
        <v>Receitas Serviços</v>
      </c>
      <c r="X257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0.315</v>
      </c>
    </row>
    <row r="2571" spans="1:24">
      <c r="A2571" s="1">
        <v>45807</v>
      </c>
      <c r="B2571" s="1">
        <v>45807</v>
      </c>
      <c r="D2571" t="s">
        <v>354</v>
      </c>
      <c r="E2571" t="s">
        <v>149</v>
      </c>
      <c r="F2571" t="s">
        <v>150</v>
      </c>
      <c r="G2571" t="s">
        <v>2931</v>
      </c>
      <c r="I2571" s="4">
        <v>18</v>
      </c>
      <c r="J2571" s="4" t="s">
        <v>1604</v>
      </c>
      <c r="L2571" t="s">
        <v>252</v>
      </c>
      <c r="M2571" t="s">
        <v>3407</v>
      </c>
      <c r="N2571" s="4">
        <f>IF(L2571="","",IF(OR(Registro2[[#This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7.2</v>
      </c>
      <c r="O2571" t="str">
        <f t="shared" si="53"/>
        <v>mai/25</v>
      </c>
      <c r="P2571" t="str">
        <f>IF(Registro2[[#This Row],[Data de Pagamento]]&gt;0,TEXT(A2571,"mmm/aa"),"")</f>
        <v>mai/25</v>
      </c>
      <c r="T2571" s="4">
        <f>IF(Registro2[[#This Row],[Data de Pagamento]]="",0,IF(Registro2[[#This Row],[Conta Financeira]]=base!$A$6,0,Registro2[[#This Row],[Valor Unitário]]))</f>
        <v>18</v>
      </c>
      <c r="U257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71" t="e">
        <f>VLOOKUP(Registro2[[#This Row],[Categoria]],'Plano de Contas'!$V$3:W2625,2,0)</f>
        <v>#N/A</v>
      </c>
      <c r="X2571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0.56699999999999995</v>
      </c>
    </row>
    <row r="2572" spans="1:24">
      <c r="A2572" s="1">
        <v>45807</v>
      </c>
      <c r="B2572" s="1">
        <v>45807</v>
      </c>
      <c r="D2572" t="s">
        <v>1</v>
      </c>
      <c r="E2572" t="s">
        <v>149</v>
      </c>
      <c r="F2572" t="s">
        <v>147</v>
      </c>
      <c r="G2572" t="s">
        <v>163</v>
      </c>
      <c r="I2572" s="4">
        <v>35</v>
      </c>
      <c r="J2572" s="4">
        <v>53</v>
      </c>
      <c r="L2572" t="s">
        <v>253</v>
      </c>
      <c r="M2572" t="s">
        <v>52</v>
      </c>
      <c r="N2572" s="4">
        <f>IF(L2572="","",IF(OR(Registro2[[#This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72" t="str">
        <f t="shared" si="53"/>
        <v>mai/25</v>
      </c>
      <c r="P2572" t="str">
        <f>IF(Registro2[[#This Row],[Data de Pagamento]]&gt;0,TEXT(A2572,"mmm/aa"),"")</f>
        <v>mai/25</v>
      </c>
      <c r="T2572" s="4">
        <f>IF(Registro2[[#This Row],[Data de Pagamento]]="",0,IF(Registro2[[#This Row],[Conta Financeira]]=base!$A$6,0,Registro2[[#This Row],[Valor Unitário]]))</f>
        <v>35</v>
      </c>
      <c r="U257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72" t="str">
        <f>VLOOKUP(Registro2[[#This Row],[Categoria]],'Plano de Contas'!$V$3:W2626,2,0)</f>
        <v>Receitas Serviços</v>
      </c>
      <c r="X257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73" spans="1:24">
      <c r="A2573" s="1">
        <v>45807</v>
      </c>
      <c r="B2573" s="1">
        <v>45807</v>
      </c>
      <c r="D2573" t="s">
        <v>1</v>
      </c>
      <c r="E2573" t="s">
        <v>149</v>
      </c>
      <c r="F2573" t="s">
        <v>150</v>
      </c>
      <c r="G2573" t="s">
        <v>3316</v>
      </c>
      <c r="I2573" s="4">
        <v>18</v>
      </c>
      <c r="J2573" s="4" t="s">
        <v>1604</v>
      </c>
      <c r="L2573" t="s">
        <v>253</v>
      </c>
      <c r="M2573" t="s">
        <v>52</v>
      </c>
      <c r="N2573" s="4">
        <f>IF(L2573="","",IF(OR(Registro2[[#This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7.2</v>
      </c>
      <c r="O2573" t="str">
        <f t="shared" ref="O2573:O2588" si="54">TEXT(B2573,"mmm/aa")</f>
        <v>mai/25</v>
      </c>
      <c r="P2573" t="str">
        <f>IF(Registro2[[#This Row],[Data de Pagamento]]&gt;0,TEXT(A2573,"mmm/aa"),"")</f>
        <v>mai/25</v>
      </c>
      <c r="T2573" s="4">
        <f>IF(Registro2[[#This Row],[Data de Pagamento]]="",0,IF(Registro2[[#This Row],[Conta Financeira]]=base!$A$6,0,Registro2[[#This Row],[Valor Unitário]]))</f>
        <v>18</v>
      </c>
      <c r="U257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73" t="e">
        <f>VLOOKUP(Registro2[[#This Row],[Categoria]],'Plano de Contas'!$V$3:W2627,2,0)</f>
        <v>#N/A</v>
      </c>
      <c r="X257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74" spans="1:24">
      <c r="A2574" s="1">
        <v>45807</v>
      </c>
      <c r="B2574" s="1">
        <v>45807</v>
      </c>
      <c r="D2574" t="s">
        <v>2</v>
      </c>
      <c r="E2574" t="s">
        <v>149</v>
      </c>
      <c r="F2574" t="s">
        <v>147</v>
      </c>
      <c r="G2574" t="s">
        <v>163</v>
      </c>
      <c r="I2574" s="4">
        <v>35</v>
      </c>
      <c r="J2574" s="4">
        <v>35</v>
      </c>
      <c r="L2574" t="s">
        <v>253</v>
      </c>
      <c r="M2574" t="s">
        <v>1561</v>
      </c>
      <c r="N2574" s="4">
        <f>IF(L2574="","",IF(OR(Registro2[[#This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74" t="str">
        <f t="shared" si="54"/>
        <v>mai/25</v>
      </c>
      <c r="P2574" t="str">
        <f>IF(Registro2[[#This Row],[Data de Pagamento]]&gt;0,TEXT(A2574,"mmm/aa"),"")</f>
        <v>mai/25</v>
      </c>
      <c r="T2574" s="4">
        <f>IF(Registro2[[#This Row],[Data de Pagamento]]="",0,IF(Registro2[[#This Row],[Conta Financeira]]=base!$A$6,0,Registro2[[#This Row],[Valor Unitário]]))</f>
        <v>35</v>
      </c>
      <c r="U257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74" t="str">
        <f>VLOOKUP(Registro2[[#This Row],[Categoria]],'Plano de Contas'!$V$3:W2628,2,0)</f>
        <v>Receitas Serviços</v>
      </c>
      <c r="X257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75" spans="1:24">
      <c r="A2575" s="1">
        <v>45807</v>
      </c>
      <c r="B2575" s="1">
        <v>45807</v>
      </c>
      <c r="D2575" t="s">
        <v>1</v>
      </c>
      <c r="E2575" t="s">
        <v>149</v>
      </c>
      <c r="F2575" t="s">
        <v>147</v>
      </c>
      <c r="G2575" t="s">
        <v>163</v>
      </c>
      <c r="I2575" s="4">
        <v>35</v>
      </c>
      <c r="J2575" s="4">
        <v>35</v>
      </c>
      <c r="L2575" t="s">
        <v>253</v>
      </c>
      <c r="M2575" t="s">
        <v>3414</v>
      </c>
      <c r="N2575" s="4">
        <f>IF(L2575="","",IF(OR(Registro2[[#This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75" t="str">
        <f t="shared" si="54"/>
        <v>mai/25</v>
      </c>
      <c r="P2575" t="str">
        <f>IF(Registro2[[#This Row],[Data de Pagamento]]&gt;0,TEXT(A2575,"mmm/aa"),"")</f>
        <v>mai/25</v>
      </c>
      <c r="T2575" s="4">
        <f>IF(Registro2[[#This Row],[Data de Pagamento]]="",0,IF(Registro2[[#This Row],[Conta Financeira]]=base!$A$6,0,Registro2[[#This Row],[Valor Unitário]]))</f>
        <v>35</v>
      </c>
      <c r="U257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75" t="str">
        <f>VLOOKUP(Registro2[[#This Row],[Categoria]],'Plano de Contas'!$V$3:W2629,2,0)</f>
        <v>Receitas Serviços</v>
      </c>
      <c r="X257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76" spans="1:24">
      <c r="A2576" s="1">
        <v>45807</v>
      </c>
      <c r="B2576" s="1">
        <v>45807</v>
      </c>
      <c r="D2576" t="s">
        <v>354</v>
      </c>
      <c r="E2576" t="s">
        <v>149</v>
      </c>
      <c r="F2576" t="s">
        <v>147</v>
      </c>
      <c r="G2576" t="s">
        <v>163</v>
      </c>
      <c r="I2576" s="4">
        <v>35</v>
      </c>
      <c r="J2576" s="4">
        <v>55</v>
      </c>
      <c r="L2576" t="s">
        <v>253</v>
      </c>
      <c r="M2576" t="s">
        <v>281</v>
      </c>
      <c r="N2576" s="4">
        <f>IF(L2576="","",IF(OR(Registro2[[#This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76" t="str">
        <f t="shared" si="54"/>
        <v>mai/25</v>
      </c>
      <c r="P2576" t="str">
        <f>IF(Registro2[[#This Row],[Data de Pagamento]]&gt;0,TEXT(A2576,"mmm/aa"),"")</f>
        <v>mai/25</v>
      </c>
      <c r="T2576" s="4">
        <f>IF(Registro2[[#This Row],[Data de Pagamento]]="",0,IF(Registro2[[#This Row],[Conta Financeira]]=base!$A$6,0,Registro2[[#This Row],[Valor Unitário]]))</f>
        <v>35</v>
      </c>
      <c r="U257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76" t="str">
        <f>VLOOKUP(Registro2[[#This Row],[Categoria]],'Plano de Contas'!$V$3:W2630,2,0)</f>
        <v>Receitas Serviços</v>
      </c>
      <c r="X257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577" spans="1:24">
      <c r="A2577" s="1">
        <v>45807</v>
      </c>
      <c r="B2577" s="1">
        <v>45807</v>
      </c>
      <c r="D2577" t="s">
        <v>354</v>
      </c>
      <c r="E2577" t="s">
        <v>149</v>
      </c>
      <c r="F2577" t="s">
        <v>147</v>
      </c>
      <c r="G2577" t="s">
        <v>166</v>
      </c>
      <c r="I2577" s="4">
        <v>20</v>
      </c>
      <c r="J2577" s="4" t="s">
        <v>1604</v>
      </c>
      <c r="L2577" t="s">
        <v>253</v>
      </c>
      <c r="M2577" t="s">
        <v>281</v>
      </c>
      <c r="N2577" s="4">
        <f>IF(L2577="","",IF(OR(Registro2[[#This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577" t="str">
        <f t="shared" si="54"/>
        <v>mai/25</v>
      </c>
      <c r="P2577" t="str">
        <f>IF(Registro2[[#This Row],[Data de Pagamento]]&gt;0,TEXT(A2577,"mmm/aa"),"")</f>
        <v>mai/25</v>
      </c>
      <c r="T2577" s="4">
        <f>IF(Registro2[[#This Row],[Data de Pagamento]]="",0,IF(Registro2[[#This Row],[Conta Financeira]]=base!$A$6,0,Registro2[[#This Row],[Valor Unitário]]))</f>
        <v>20</v>
      </c>
      <c r="U257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77" t="str">
        <f>VLOOKUP(Registro2[[#This Row],[Categoria]],'Plano de Contas'!$V$3:W2631,2,0)</f>
        <v>Receitas Serviços</v>
      </c>
      <c r="X257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0.63</v>
      </c>
    </row>
    <row r="2578" spans="1:24">
      <c r="A2578" s="1">
        <v>45807</v>
      </c>
      <c r="B2578" s="1">
        <v>45807</v>
      </c>
      <c r="D2578" t="s">
        <v>2</v>
      </c>
      <c r="E2578" t="s">
        <v>149</v>
      </c>
      <c r="F2578" t="s">
        <v>147</v>
      </c>
      <c r="G2578" t="s">
        <v>163</v>
      </c>
      <c r="I2578" s="4">
        <v>20</v>
      </c>
      <c r="J2578" s="4">
        <v>20</v>
      </c>
      <c r="L2578" t="s">
        <v>264</v>
      </c>
      <c r="M2578" t="s">
        <v>3419</v>
      </c>
      <c r="N2578" s="4">
        <f>IF(L2578="","",IF(OR(Registro2[[#This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578" t="str">
        <f t="shared" si="54"/>
        <v>mai/25</v>
      </c>
      <c r="P2578" t="str">
        <f>IF(Registro2[[#This Row],[Data de Pagamento]]&gt;0,TEXT(A2578,"mmm/aa"),"")</f>
        <v>mai/25</v>
      </c>
      <c r="T2578" s="4">
        <f>IF(Registro2[[#This Row],[Data de Pagamento]]="",0,IF(Registro2[[#This Row],[Conta Financeira]]=base!$A$6,0,Registro2[[#This Row],[Valor Unitário]]))</f>
        <v>20</v>
      </c>
      <c r="U25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78" t="str">
        <f>VLOOKUP(Registro2[[#This Row],[Categoria]],'Plano de Contas'!$V$3:W2632,2,0)</f>
        <v>Receitas Serviços</v>
      </c>
      <c r="X257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79" spans="1:24">
      <c r="A2579" s="1">
        <v>45807</v>
      </c>
      <c r="B2579" s="1">
        <v>45807</v>
      </c>
      <c r="D2579" t="s">
        <v>2</v>
      </c>
      <c r="E2579" t="s">
        <v>149</v>
      </c>
      <c r="F2579" t="s">
        <v>147</v>
      </c>
      <c r="G2579" t="s">
        <v>163</v>
      </c>
      <c r="I2579" s="4">
        <v>35</v>
      </c>
      <c r="J2579" s="4">
        <v>35</v>
      </c>
      <c r="L2579" t="s">
        <v>252</v>
      </c>
      <c r="M2579" t="s">
        <v>3422</v>
      </c>
      <c r="N2579" s="4">
        <f>IF(L2579="","",IF(OR(Registro2[[#This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79" t="str">
        <f t="shared" si="54"/>
        <v>mai/25</v>
      </c>
      <c r="P2579" t="str">
        <f>IF(Registro2[[#This Row],[Data de Pagamento]]&gt;0,TEXT(A2579,"mmm/aa"),"")</f>
        <v>mai/25</v>
      </c>
      <c r="T2579" s="4">
        <f>IF(Registro2[[#This Row],[Data de Pagamento]]="",0,IF(Registro2[[#This Row],[Conta Financeira]]=base!$A$6,0,Registro2[[#This Row],[Valor Unitário]]))</f>
        <v>35</v>
      </c>
      <c r="U257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79" t="str">
        <f>VLOOKUP(Registro2[[#This Row],[Categoria]],'Plano de Contas'!$V$3:W2633,2,0)</f>
        <v>Receitas Serviços</v>
      </c>
      <c r="X257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80" spans="1:24">
      <c r="A2580" s="1">
        <v>45807</v>
      </c>
      <c r="B2580" s="1">
        <v>45807</v>
      </c>
      <c r="D2580" t="s">
        <v>1</v>
      </c>
      <c r="E2580" t="s">
        <v>149</v>
      </c>
      <c r="F2580" t="s">
        <v>147</v>
      </c>
      <c r="G2580" t="s">
        <v>2825</v>
      </c>
      <c r="I2580" s="4">
        <v>20</v>
      </c>
      <c r="J2580" s="4">
        <v>108</v>
      </c>
      <c r="L2580" t="s">
        <v>253</v>
      </c>
      <c r="M2580" t="s">
        <v>65</v>
      </c>
      <c r="N2580" s="4">
        <f>IF(L2580="","",IF(OR(Registro2[[#This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580" t="str">
        <f t="shared" si="54"/>
        <v>mai/25</v>
      </c>
      <c r="P2580" t="str">
        <f>IF(Registro2[[#This Row],[Data de Pagamento]]&gt;0,TEXT(A2580,"mmm/aa"),"")</f>
        <v>mai/25</v>
      </c>
      <c r="T2580" s="4">
        <f>IF(Registro2[[#This Row],[Data de Pagamento]]="",0,IF(Registro2[[#This Row],[Conta Financeira]]=base!$A$6,0,Registro2[[#This Row],[Valor Unitário]]))</f>
        <v>20</v>
      </c>
      <c r="U258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80" t="e">
        <f>VLOOKUP(Registro2[[#This Row],[Categoria]],'Plano de Contas'!$V$3:W2634,2,0)</f>
        <v>#N/A</v>
      </c>
      <c r="X258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81" spans="1:24">
      <c r="A2581" s="1">
        <v>45807</v>
      </c>
      <c r="B2581" s="1">
        <v>45807</v>
      </c>
      <c r="D2581" t="s">
        <v>1</v>
      </c>
      <c r="E2581" t="s">
        <v>149</v>
      </c>
      <c r="F2581" t="s">
        <v>147</v>
      </c>
      <c r="G2581" t="s">
        <v>163</v>
      </c>
      <c r="I2581" s="4">
        <v>35</v>
      </c>
      <c r="J2581" s="4" t="s">
        <v>1604</v>
      </c>
      <c r="L2581" t="s">
        <v>253</v>
      </c>
      <c r="M2581" t="s">
        <v>65</v>
      </c>
      <c r="N2581" s="4">
        <f>IF(L2581="","",IF(OR(Registro2[[#This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81" t="str">
        <f t="shared" si="54"/>
        <v>mai/25</v>
      </c>
      <c r="P2581" t="str">
        <f>IF(Registro2[[#This Row],[Data de Pagamento]]&gt;0,TEXT(A2581,"mmm/aa"),"")</f>
        <v>mai/25</v>
      </c>
      <c r="T2581" s="4">
        <f>IF(Registro2[[#This Row],[Data de Pagamento]]="",0,IF(Registro2[[#This Row],[Conta Financeira]]=base!$A$6,0,Registro2[[#This Row],[Valor Unitário]]))</f>
        <v>35</v>
      </c>
      <c r="U258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81" t="str">
        <f>VLOOKUP(Registro2[[#This Row],[Categoria]],'Plano de Contas'!$V$3:W2635,2,0)</f>
        <v>Receitas Serviços</v>
      </c>
      <c r="X258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82" spans="1:24">
      <c r="A2582" s="1">
        <v>45807</v>
      </c>
      <c r="B2582" s="1">
        <v>45807</v>
      </c>
      <c r="D2582" t="s">
        <v>1</v>
      </c>
      <c r="E2582" t="s">
        <v>149</v>
      </c>
      <c r="F2582" t="s">
        <v>147</v>
      </c>
      <c r="G2582" t="s">
        <v>1046</v>
      </c>
      <c r="I2582" s="4">
        <v>15</v>
      </c>
      <c r="J2582" s="4" t="s">
        <v>1604</v>
      </c>
      <c r="L2582" t="s">
        <v>253</v>
      </c>
      <c r="M2582" t="s">
        <v>65</v>
      </c>
      <c r="N2582" s="4">
        <f>IF(L2582="","",IF(OR(Registro2[[#This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582" t="str">
        <f t="shared" si="54"/>
        <v>mai/25</v>
      </c>
      <c r="P2582" t="str">
        <f>IF(Registro2[[#This Row],[Data de Pagamento]]&gt;0,TEXT(A2582,"mmm/aa"),"")</f>
        <v>mai/25</v>
      </c>
      <c r="T2582" s="4">
        <f>IF(Registro2[[#This Row],[Data de Pagamento]]="",0,IF(Registro2[[#This Row],[Conta Financeira]]=base!$A$6,0,Registro2[[#This Row],[Valor Unitário]]))</f>
        <v>15</v>
      </c>
      <c r="U258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82" t="str">
        <f>VLOOKUP(Registro2[[#This Row],[Categoria]],'Plano de Contas'!$V$3:W2636,2,0)</f>
        <v>Receitas Serviços</v>
      </c>
      <c r="X25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83" spans="1:24">
      <c r="A2583" s="1">
        <v>45807</v>
      </c>
      <c r="B2583" s="1">
        <v>45807</v>
      </c>
      <c r="D2583" t="s">
        <v>1</v>
      </c>
      <c r="E2583" t="s">
        <v>149</v>
      </c>
      <c r="F2583" t="s">
        <v>147</v>
      </c>
      <c r="G2583" t="s">
        <v>3362</v>
      </c>
      <c r="I2583" s="4">
        <v>20</v>
      </c>
      <c r="J2583" s="4" t="s">
        <v>1604</v>
      </c>
      <c r="L2583" t="s">
        <v>253</v>
      </c>
      <c r="M2583" t="s">
        <v>65</v>
      </c>
      <c r="N2583" s="4">
        <f>IF(L2583="","",IF(OR(Registro2[[#This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583" t="str">
        <f t="shared" si="54"/>
        <v>mai/25</v>
      </c>
      <c r="P2583" t="str">
        <f>IF(Registro2[[#This Row],[Data de Pagamento]]&gt;0,TEXT(A2583,"mmm/aa"),"")</f>
        <v>mai/25</v>
      </c>
      <c r="T2583" s="4">
        <f>IF(Registro2[[#This Row],[Data de Pagamento]]="",0,IF(Registro2[[#This Row],[Conta Financeira]]=base!$A$6,0,Registro2[[#This Row],[Valor Unitário]]))</f>
        <v>20</v>
      </c>
      <c r="U258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83" t="e">
        <f>VLOOKUP(Registro2[[#This Row],[Categoria]],'Plano de Contas'!$V$3:W2637,2,0)</f>
        <v>#N/A</v>
      </c>
      <c r="X25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84" spans="1:24">
      <c r="A2584" s="1">
        <v>45807</v>
      </c>
      <c r="B2584" s="1">
        <v>45807</v>
      </c>
      <c r="D2584" t="s">
        <v>1</v>
      </c>
      <c r="E2584" t="s">
        <v>149</v>
      </c>
      <c r="F2584" t="s">
        <v>150</v>
      </c>
      <c r="G2584" t="s">
        <v>2931</v>
      </c>
      <c r="I2584" s="4">
        <v>18</v>
      </c>
      <c r="J2584" s="4" t="s">
        <v>1604</v>
      </c>
      <c r="L2584" t="s">
        <v>253</v>
      </c>
      <c r="M2584" t="s">
        <v>65</v>
      </c>
      <c r="N2584" s="4">
        <f>IF(L2584="","",IF(OR(Registro2[[#This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7.2</v>
      </c>
      <c r="O2584" t="str">
        <f t="shared" si="54"/>
        <v>mai/25</v>
      </c>
      <c r="P2584" t="str">
        <f>IF(Registro2[[#This Row],[Data de Pagamento]]&gt;0,TEXT(A2584,"mmm/aa"),"")</f>
        <v>mai/25</v>
      </c>
      <c r="T2584" s="4">
        <f>IF(Registro2[[#This Row],[Data de Pagamento]]="",0,IF(Registro2[[#This Row],[Conta Financeira]]=base!$A$6,0,Registro2[[#This Row],[Valor Unitário]]))</f>
        <v>18</v>
      </c>
      <c r="U258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84" t="e">
        <f>VLOOKUP(Registro2[[#This Row],[Categoria]],'Plano de Contas'!$V$3:W2638,2,0)</f>
        <v>#N/A</v>
      </c>
      <c r="X258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85" spans="1:24">
      <c r="A2585" s="1">
        <v>45807</v>
      </c>
      <c r="B2585" s="1">
        <v>45807</v>
      </c>
      <c r="D2585" t="s">
        <v>310</v>
      </c>
      <c r="E2585" t="s">
        <v>149</v>
      </c>
      <c r="F2585" t="s">
        <v>147</v>
      </c>
      <c r="G2585" t="s">
        <v>163</v>
      </c>
      <c r="I2585" s="4">
        <v>35</v>
      </c>
      <c r="J2585" s="4">
        <v>35</v>
      </c>
      <c r="L2585" t="s">
        <v>264</v>
      </c>
      <c r="M2585" t="s">
        <v>1138</v>
      </c>
      <c r="N2585" s="4">
        <f>IF(L2585="","",IF(OR(Registro2[[#This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85" t="str">
        <f t="shared" si="54"/>
        <v>mai/25</v>
      </c>
      <c r="P2585" t="str">
        <f>IF(Registro2[[#This Row],[Data de Pagamento]]&gt;0,TEXT(A2585,"mmm/aa"),"")</f>
        <v>mai/25</v>
      </c>
      <c r="T2585" s="4">
        <f>IF(Registro2[[#This Row],[Data de Pagamento]]="",0,IF(Registro2[[#This Row],[Conta Financeira]]=base!$A$6,0,Registro2[[#This Row],[Valor Unitário]]))</f>
        <v>35</v>
      </c>
      <c r="U258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85" t="str">
        <f>VLOOKUP(Registro2[[#This Row],[Categoria]],'Plano de Contas'!$V$3:W2639,2,0)</f>
        <v>Receitas Serviços</v>
      </c>
      <c r="X258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586" spans="1:24">
      <c r="A2586" s="1">
        <v>45807</v>
      </c>
      <c r="B2586" s="1">
        <v>45807</v>
      </c>
      <c r="D2586" t="s">
        <v>1</v>
      </c>
      <c r="E2586" t="s">
        <v>149</v>
      </c>
      <c r="F2586" t="s">
        <v>152</v>
      </c>
      <c r="G2586" t="s">
        <v>353</v>
      </c>
      <c r="I2586" s="4">
        <v>60</v>
      </c>
      <c r="J2586" s="4">
        <v>55</v>
      </c>
      <c r="L2586" t="s">
        <v>252</v>
      </c>
      <c r="M2586" t="s">
        <v>105</v>
      </c>
      <c r="N2586" s="4">
        <f>IF(L2586="","",IF(OR(Registro2[[#This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586" t="str">
        <f t="shared" si="54"/>
        <v>mai/25</v>
      </c>
      <c r="P2586" t="str">
        <f>IF(Registro2[[#This Row],[Data de Pagamento]]&gt;0,TEXT(A2586,"mmm/aa"),"")</f>
        <v>mai/25</v>
      </c>
      <c r="T2586" s="4">
        <f>IF(Registro2[[#This Row],[Data de Pagamento]]="",0,IF(Registro2[[#This Row],[Conta Financeira]]=base!$A$6,0,Registro2[[#This Row],[Valor Unitário]]))</f>
        <v>60</v>
      </c>
      <c r="U258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86" t="str">
        <f>VLOOKUP(Registro2[[#This Row],[Categoria]],'Plano de Contas'!$V$3:W2640,2,0)</f>
        <v>Receitas Serviços</v>
      </c>
      <c r="X258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87" spans="1:24">
      <c r="A2587" s="1">
        <v>45807</v>
      </c>
      <c r="B2587" s="1">
        <v>45807</v>
      </c>
      <c r="D2587" t="s">
        <v>1</v>
      </c>
      <c r="E2587" t="s">
        <v>149</v>
      </c>
      <c r="F2587" t="s">
        <v>152</v>
      </c>
      <c r="G2587" t="s">
        <v>353</v>
      </c>
      <c r="I2587" s="4">
        <v>60</v>
      </c>
      <c r="J2587" s="4">
        <v>60</v>
      </c>
      <c r="L2587" t="s">
        <v>253</v>
      </c>
      <c r="M2587" t="s">
        <v>190</v>
      </c>
      <c r="N2587" s="4">
        <f>IF(L2587="","",IF(OR(Registro2[[#This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587" t="str">
        <f t="shared" si="54"/>
        <v>mai/25</v>
      </c>
      <c r="P2587" t="str">
        <f>IF(Registro2[[#This Row],[Data de Pagamento]]&gt;0,TEXT(A2587,"mmm/aa"),"")</f>
        <v>mai/25</v>
      </c>
      <c r="T2587" s="4">
        <f>IF(Registro2[[#This Row],[Data de Pagamento]]="",0,IF(Registro2[[#This Row],[Conta Financeira]]=base!$A$6,0,Registro2[[#This Row],[Valor Unitário]]))</f>
        <v>60</v>
      </c>
      <c r="U258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87" t="str">
        <f>VLOOKUP(Registro2[[#This Row],[Categoria]],'Plano de Contas'!$V$3:W2641,2,0)</f>
        <v>Receitas Serviços</v>
      </c>
      <c r="X258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88" spans="1:24">
      <c r="A2588" s="1">
        <v>45807</v>
      </c>
      <c r="B2588" s="1">
        <v>45807</v>
      </c>
      <c r="D2588" t="s">
        <v>310</v>
      </c>
      <c r="E2588" t="s">
        <v>149</v>
      </c>
      <c r="F2588" t="s">
        <v>152</v>
      </c>
      <c r="G2588" t="s">
        <v>353</v>
      </c>
      <c r="I2588" s="4">
        <v>60</v>
      </c>
      <c r="J2588" s="4">
        <v>50</v>
      </c>
      <c r="L2588" t="s">
        <v>252</v>
      </c>
      <c r="M2588" t="s">
        <v>44</v>
      </c>
      <c r="N2588" s="4">
        <f>IF(L2588="","",IF(OR(Registro2[[#This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27</v>
      </c>
      <c r="O2588" t="str">
        <f t="shared" si="54"/>
        <v>mai/25</v>
      </c>
      <c r="P2588" t="str">
        <f>IF(Registro2[[#This Row],[Data de Pagamento]]&gt;0,TEXT(A2588,"mmm/aa"),"")</f>
        <v>mai/25</v>
      </c>
      <c r="T2588" s="4">
        <f>IF(Registro2[[#This Row],[Data de Pagamento]]="",0,IF(Registro2[[#This Row],[Conta Financeira]]=base!$A$6,0,Registro2[[#This Row],[Valor Unitário]]))</f>
        <v>60</v>
      </c>
      <c r="U258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88" t="str">
        <f>VLOOKUP(Registro2[[#This Row],[Categoria]],'Plano de Contas'!$V$3:W2642,2,0)</f>
        <v>Receitas Serviços</v>
      </c>
      <c r="X258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0.53400000000000003</v>
      </c>
    </row>
    <row r="2589" spans="1:24">
      <c r="A2589" s="1">
        <v>45808</v>
      </c>
      <c r="B2589" s="1">
        <v>45808</v>
      </c>
      <c r="D2589" t="s">
        <v>1</v>
      </c>
      <c r="E2589" t="s">
        <v>149</v>
      </c>
      <c r="F2589" t="s">
        <v>147</v>
      </c>
      <c r="G2589" t="s">
        <v>163</v>
      </c>
      <c r="I2589" s="4">
        <v>35</v>
      </c>
      <c r="J2589" s="4">
        <v>35</v>
      </c>
      <c r="L2589" t="s">
        <v>253</v>
      </c>
      <c r="M2589" t="s">
        <v>3434</v>
      </c>
      <c r="N2589" s="4">
        <f>IF(L2589="","",IF(OR(Registro2[[#This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89" t="str">
        <f t="shared" ref="O2589:O2629" si="55">TEXT(B2589,"mmm/aa")</f>
        <v>mai/25</v>
      </c>
      <c r="P2589" t="str">
        <f>IF(Registro2[[#This Row],[Data de Pagamento]]&gt;0,TEXT(A2589,"mmm/aa"),"")</f>
        <v>mai/25</v>
      </c>
      <c r="T2589" s="4">
        <f>IF(Registro2[[#This Row],[Data de Pagamento]]="",0,IF(Registro2[[#This Row],[Conta Financeira]]=base!$A$6,0,Registro2[[#This Row],[Valor Unitário]]))</f>
        <v>35</v>
      </c>
      <c r="U258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89" t="str">
        <f>VLOOKUP(Registro2[[#This Row],[Categoria]],'Plano de Contas'!$V$3:W2643,2,0)</f>
        <v>Receitas Serviços</v>
      </c>
      <c r="X258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90" spans="1:24">
      <c r="A2590" s="1">
        <v>45808</v>
      </c>
      <c r="B2590" s="1">
        <v>45808</v>
      </c>
      <c r="D2590" t="s">
        <v>1</v>
      </c>
      <c r="E2590" t="s">
        <v>149</v>
      </c>
      <c r="F2590" t="s">
        <v>147</v>
      </c>
      <c r="G2590" t="s">
        <v>163</v>
      </c>
      <c r="I2590" s="4">
        <v>35</v>
      </c>
      <c r="J2590" s="4">
        <v>70</v>
      </c>
      <c r="L2590" t="s">
        <v>253</v>
      </c>
      <c r="M2590" t="s">
        <v>3437</v>
      </c>
      <c r="N2590" s="4">
        <f>IF(L2590="","",IF(OR(Registro2[[#This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90" t="str">
        <f t="shared" si="55"/>
        <v>mai/25</v>
      </c>
      <c r="P2590" t="str">
        <f>IF(Registro2[[#This Row],[Data de Pagamento]]&gt;0,TEXT(A2590,"mmm/aa"),"")</f>
        <v>mai/25</v>
      </c>
      <c r="T2590" s="4">
        <f>IF(Registro2[[#This Row],[Data de Pagamento]]="",0,IF(Registro2[[#This Row],[Conta Financeira]]=base!$A$6,0,Registro2[[#This Row],[Valor Unitário]]))</f>
        <v>35</v>
      </c>
      <c r="U259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90" t="str">
        <f>VLOOKUP(Registro2[[#This Row],[Categoria]],'Plano de Contas'!$V$3:W2644,2,0)</f>
        <v>Receitas Serviços</v>
      </c>
      <c r="X259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91" spans="1:24">
      <c r="A2591" s="1">
        <v>45808</v>
      </c>
      <c r="B2591" s="1">
        <v>45808</v>
      </c>
      <c r="D2591" t="s">
        <v>1</v>
      </c>
      <c r="E2591" t="s">
        <v>149</v>
      </c>
      <c r="F2591" t="s">
        <v>147</v>
      </c>
      <c r="G2591" t="s">
        <v>2825</v>
      </c>
      <c r="I2591" s="4">
        <v>10</v>
      </c>
      <c r="J2591" s="4" t="s">
        <v>1604</v>
      </c>
      <c r="L2591" t="s">
        <v>253</v>
      </c>
      <c r="M2591" t="s">
        <v>3437</v>
      </c>
      <c r="N2591" s="4">
        <f>IF(L2591="","",IF(OR(Registro2[[#This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591" t="str">
        <f t="shared" si="55"/>
        <v>mai/25</v>
      </c>
      <c r="P2591" t="str">
        <f>IF(Registro2[[#This Row],[Data de Pagamento]]&gt;0,TEXT(A2591,"mmm/aa"),"")</f>
        <v>mai/25</v>
      </c>
      <c r="T2591" s="4">
        <f>IF(Registro2[[#This Row],[Data de Pagamento]]="",0,IF(Registro2[[#This Row],[Conta Financeira]]=base!$A$6,0,Registro2[[#This Row],[Valor Unitário]]))</f>
        <v>10</v>
      </c>
      <c r="U259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91" t="e">
        <f>VLOOKUP(Registro2[[#This Row],[Categoria]],'Plano de Contas'!$V$3:W2645,2,0)</f>
        <v>#N/A</v>
      </c>
      <c r="X259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92" spans="1:24">
      <c r="A2592" s="1">
        <v>45808</v>
      </c>
      <c r="B2592" s="1">
        <v>45808</v>
      </c>
      <c r="D2592" t="s">
        <v>1</v>
      </c>
      <c r="E2592" t="s">
        <v>149</v>
      </c>
      <c r="F2592" t="s">
        <v>147</v>
      </c>
      <c r="G2592" t="s">
        <v>1046</v>
      </c>
      <c r="I2592" s="4">
        <v>25</v>
      </c>
      <c r="J2592" s="4" t="s">
        <v>1604</v>
      </c>
      <c r="L2592" t="s">
        <v>253</v>
      </c>
      <c r="M2592" t="s">
        <v>3437</v>
      </c>
      <c r="N2592" s="4">
        <f>IF(L2592="","",IF(OR(Registro2[[#This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2592" t="str">
        <f t="shared" si="55"/>
        <v>mai/25</v>
      </c>
      <c r="P2592" t="str">
        <f>IF(Registro2[[#This Row],[Data de Pagamento]]&gt;0,TEXT(A2592,"mmm/aa"),"")</f>
        <v>mai/25</v>
      </c>
      <c r="T2592" s="4">
        <f>IF(Registro2[[#This Row],[Data de Pagamento]]="",0,IF(Registro2[[#This Row],[Conta Financeira]]=base!$A$6,0,Registro2[[#This Row],[Valor Unitário]]))</f>
        <v>25</v>
      </c>
      <c r="U259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92" t="str">
        <f>VLOOKUP(Registro2[[#This Row],[Categoria]],'Plano de Contas'!$V$3:W2646,2,0)</f>
        <v>Receitas Serviços</v>
      </c>
      <c r="X259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93" spans="1:24">
      <c r="A2593" s="1">
        <v>45808</v>
      </c>
      <c r="B2593" s="1">
        <v>45808</v>
      </c>
      <c r="D2593" t="s">
        <v>1</v>
      </c>
      <c r="E2593" t="s">
        <v>149</v>
      </c>
      <c r="F2593" t="s">
        <v>147</v>
      </c>
      <c r="G2593" t="s">
        <v>163</v>
      </c>
      <c r="I2593" s="4">
        <v>35</v>
      </c>
      <c r="J2593" s="4">
        <v>35</v>
      </c>
      <c r="L2593" t="s">
        <v>252</v>
      </c>
      <c r="M2593" t="s">
        <v>22</v>
      </c>
      <c r="N2593" s="4">
        <f>IF(L2593="","",IF(OR(Registro2[[#This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93" t="str">
        <f t="shared" si="55"/>
        <v>mai/25</v>
      </c>
      <c r="P2593" t="str">
        <f>IF(Registro2[[#This Row],[Data de Pagamento]]&gt;0,TEXT(A2593,"mmm/aa"),"")</f>
        <v>mai/25</v>
      </c>
      <c r="T2593" s="4">
        <f>IF(Registro2[[#This Row],[Data de Pagamento]]="",0,IF(Registro2[[#This Row],[Conta Financeira]]=base!$A$6,0,Registro2[[#This Row],[Valor Unitário]]))</f>
        <v>35</v>
      </c>
      <c r="U259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93" t="str">
        <f>VLOOKUP(Registro2[[#This Row],[Categoria]],'Plano de Contas'!$V$3:W2647,2,0)</f>
        <v>Receitas Serviços</v>
      </c>
      <c r="X259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94" spans="1:24">
      <c r="A2594" s="1">
        <v>45808</v>
      </c>
      <c r="B2594" s="1">
        <v>45808</v>
      </c>
      <c r="D2594" t="s">
        <v>2</v>
      </c>
      <c r="E2594" t="s">
        <v>149</v>
      </c>
      <c r="F2594" t="s">
        <v>147</v>
      </c>
      <c r="G2594" t="s">
        <v>163</v>
      </c>
      <c r="I2594" s="4">
        <v>40</v>
      </c>
      <c r="J2594" s="4">
        <v>40</v>
      </c>
      <c r="L2594" t="s">
        <v>253</v>
      </c>
      <c r="M2594" t="s">
        <v>185</v>
      </c>
      <c r="N2594" s="4">
        <f>IF(L2594="","",IF(OR(Registro2[[#This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2594" t="str">
        <f t="shared" si="55"/>
        <v>mai/25</v>
      </c>
      <c r="P2594" t="str">
        <f>IF(Registro2[[#This Row],[Data de Pagamento]]&gt;0,TEXT(A2594,"mmm/aa"),"")</f>
        <v>mai/25</v>
      </c>
      <c r="T2594" s="4">
        <f>IF(Registro2[[#This Row],[Data de Pagamento]]="",0,IF(Registro2[[#This Row],[Conta Financeira]]=base!$A$6,0,Registro2[[#This Row],[Valor Unitário]]))</f>
        <v>40</v>
      </c>
      <c r="U259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94" t="str">
        <f>VLOOKUP(Registro2[[#This Row],[Categoria]],'Plano de Contas'!$V$3:W2648,2,0)</f>
        <v>Receitas Serviços</v>
      </c>
      <c r="X259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95" spans="1:24">
      <c r="A2595" s="1">
        <v>45808</v>
      </c>
      <c r="B2595" s="1">
        <v>45808</v>
      </c>
      <c r="D2595" t="s">
        <v>354</v>
      </c>
      <c r="E2595" t="s">
        <v>149</v>
      </c>
      <c r="F2595" t="s">
        <v>147</v>
      </c>
      <c r="G2595" t="s">
        <v>163</v>
      </c>
      <c r="I2595" s="4">
        <v>35</v>
      </c>
      <c r="J2595" s="4">
        <v>35</v>
      </c>
      <c r="L2595" t="s">
        <v>253</v>
      </c>
      <c r="M2595" t="s">
        <v>1056</v>
      </c>
      <c r="N2595" s="4">
        <f>IF(L2595="","",IF(OR(Registro2[[#This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95" t="str">
        <f t="shared" si="55"/>
        <v>mai/25</v>
      </c>
      <c r="P2595" t="str">
        <f>IF(Registro2[[#This Row],[Data de Pagamento]]&gt;0,TEXT(A2595,"mmm/aa"),"")</f>
        <v>mai/25</v>
      </c>
      <c r="T2595" s="4">
        <f>IF(Registro2[[#This Row],[Data de Pagamento]]="",0,IF(Registro2[[#This Row],[Conta Financeira]]=base!$A$6,0,Registro2[[#This Row],[Valor Unitário]]))</f>
        <v>35</v>
      </c>
      <c r="U259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95" t="str">
        <f>VLOOKUP(Registro2[[#This Row],[Categoria]],'Plano de Contas'!$V$3:W2649,2,0)</f>
        <v>Receitas Serviços</v>
      </c>
      <c r="X259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596" spans="1:24">
      <c r="A2596" s="1">
        <v>45808</v>
      </c>
      <c r="B2596" s="1">
        <v>45808</v>
      </c>
      <c r="D2596" t="s">
        <v>1</v>
      </c>
      <c r="E2596" t="s">
        <v>149</v>
      </c>
      <c r="F2596" t="s">
        <v>147</v>
      </c>
      <c r="G2596" t="s">
        <v>163</v>
      </c>
      <c r="I2596" s="4">
        <v>35</v>
      </c>
      <c r="J2596" s="4">
        <v>35</v>
      </c>
      <c r="L2596" t="s">
        <v>252</v>
      </c>
      <c r="M2596" t="s">
        <v>123</v>
      </c>
      <c r="N2596" s="4">
        <f>IF(L2596="","",IF(OR(Registro2[[#This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96" t="str">
        <f t="shared" si="55"/>
        <v>mai/25</v>
      </c>
      <c r="P2596" t="str">
        <f>IF(Registro2[[#This Row],[Data de Pagamento]]&gt;0,TEXT(A2596,"mmm/aa"),"")</f>
        <v>mai/25</v>
      </c>
      <c r="T2596" s="4">
        <f>IF(Registro2[[#This Row],[Data de Pagamento]]="",0,IF(Registro2[[#This Row],[Conta Financeira]]=base!$A$6,0,Registro2[[#This Row],[Valor Unitário]]))</f>
        <v>35</v>
      </c>
      <c r="U259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96" t="str">
        <f>VLOOKUP(Registro2[[#This Row],[Categoria]],'Plano de Contas'!$V$3:W2650,2,0)</f>
        <v>Receitas Serviços</v>
      </c>
      <c r="X259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597" spans="1:24">
      <c r="A2597" s="1">
        <v>45808</v>
      </c>
      <c r="B2597" s="1">
        <v>45808</v>
      </c>
      <c r="D2597" t="s">
        <v>310</v>
      </c>
      <c r="E2597" t="s">
        <v>149</v>
      </c>
      <c r="F2597" t="s">
        <v>147</v>
      </c>
      <c r="G2597" t="s">
        <v>163</v>
      </c>
      <c r="I2597" s="4">
        <v>35</v>
      </c>
      <c r="J2597" s="4">
        <v>50</v>
      </c>
      <c r="L2597" t="s">
        <v>253</v>
      </c>
      <c r="M2597" t="s">
        <v>387</v>
      </c>
      <c r="N2597" s="4">
        <f>IF(L2597="","",IF(OR(Registro2[[#This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97" t="str">
        <f t="shared" si="55"/>
        <v>mai/25</v>
      </c>
      <c r="P2597" t="str">
        <f>IF(Registro2[[#This Row],[Data de Pagamento]]&gt;0,TEXT(A2597,"mmm/aa"),"")</f>
        <v>mai/25</v>
      </c>
      <c r="T2597" s="4">
        <f>IF(Registro2[[#This Row],[Data de Pagamento]]="",0,IF(Registro2[[#This Row],[Conta Financeira]]=base!$A$6,0,Registro2[[#This Row],[Valor Unitário]]))</f>
        <v>35</v>
      </c>
      <c r="U259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97" t="str">
        <f>VLOOKUP(Registro2[[#This Row],[Categoria]],'Plano de Contas'!$V$3:W2651,2,0)</f>
        <v>Receitas Serviços</v>
      </c>
      <c r="X259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598" spans="1:24">
      <c r="A2598" s="1">
        <v>45808</v>
      </c>
      <c r="B2598" s="1">
        <v>45808</v>
      </c>
      <c r="D2598" t="s">
        <v>310</v>
      </c>
      <c r="E2598" t="s">
        <v>149</v>
      </c>
      <c r="F2598" t="s">
        <v>147</v>
      </c>
      <c r="G2598" t="s">
        <v>1046</v>
      </c>
      <c r="I2598" s="4">
        <v>15</v>
      </c>
      <c r="J2598" s="4" t="s">
        <v>1604</v>
      </c>
      <c r="L2598" t="s">
        <v>253</v>
      </c>
      <c r="M2598" t="s">
        <v>387</v>
      </c>
      <c r="N2598" s="4">
        <f>IF(L2598="","",IF(OR(Registro2[[#This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598" t="str">
        <f t="shared" si="55"/>
        <v>mai/25</v>
      </c>
      <c r="P2598" t="str">
        <f>IF(Registro2[[#This Row],[Data de Pagamento]]&gt;0,TEXT(A2598,"mmm/aa"),"")</f>
        <v>mai/25</v>
      </c>
      <c r="T2598" s="4">
        <f>IF(Registro2[[#This Row],[Data de Pagamento]]="",0,IF(Registro2[[#This Row],[Conta Financeira]]=base!$A$6,0,Registro2[[#This Row],[Valor Unitário]]))</f>
        <v>15</v>
      </c>
      <c r="U259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98" t="str">
        <f>VLOOKUP(Registro2[[#This Row],[Categoria]],'Plano de Contas'!$V$3:W2652,2,0)</f>
        <v>Receitas Serviços</v>
      </c>
      <c r="X259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</row>
    <row r="2599" spans="1:24">
      <c r="A2599" s="1">
        <v>45808</v>
      </c>
      <c r="B2599" s="1">
        <v>45808</v>
      </c>
      <c r="D2599" t="s">
        <v>310</v>
      </c>
      <c r="E2599" t="s">
        <v>149</v>
      </c>
      <c r="F2599" t="s">
        <v>147</v>
      </c>
      <c r="G2599" t="s">
        <v>163</v>
      </c>
      <c r="I2599" s="4">
        <v>35</v>
      </c>
      <c r="J2599" s="4">
        <v>35</v>
      </c>
      <c r="L2599" t="s">
        <v>253</v>
      </c>
      <c r="M2599" t="s">
        <v>1306</v>
      </c>
      <c r="N2599" s="4">
        <f>IF(L2599="","",IF(OR(Registro2[[#This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599" t="str">
        <f t="shared" si="55"/>
        <v>mai/25</v>
      </c>
      <c r="P2599" t="str">
        <f>IF(Registro2[[#This Row],[Data de Pagamento]]&gt;0,TEXT(A2599,"mmm/aa"),"")</f>
        <v>mai/25</v>
      </c>
      <c r="T2599" s="4">
        <f>IF(Registro2[[#This Row],[Data de Pagamento]]="",0,IF(Registro2[[#This Row],[Conta Financeira]]=base!$A$6,0,Registro2[[#This Row],[Valor Unitário]]))</f>
        <v>35</v>
      </c>
      <c r="U259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599" t="str">
        <f>VLOOKUP(Registro2[[#This Row],[Categoria]],'Plano de Contas'!$V$3:W2653,2,0)</f>
        <v>Receitas Serviços</v>
      </c>
      <c r="X2599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600" spans="1:24">
      <c r="A2600" s="1">
        <v>45808</v>
      </c>
      <c r="B2600" s="1">
        <v>45808</v>
      </c>
      <c r="D2600" t="s">
        <v>1</v>
      </c>
      <c r="E2600" t="s">
        <v>149</v>
      </c>
      <c r="F2600" t="s">
        <v>147</v>
      </c>
      <c r="G2600" t="s">
        <v>163</v>
      </c>
      <c r="I2600" s="4">
        <v>35</v>
      </c>
      <c r="J2600" s="4">
        <v>35</v>
      </c>
      <c r="L2600" t="s">
        <v>252</v>
      </c>
      <c r="M2600" t="s">
        <v>864</v>
      </c>
      <c r="N2600" s="4">
        <f>IF(L2600="","",IF(OR(Registro2[[#This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00" t="str">
        <f t="shared" si="55"/>
        <v>mai/25</v>
      </c>
      <c r="P2600" t="str">
        <f>IF(Registro2[[#This Row],[Data de Pagamento]]&gt;0,TEXT(A2600,"mmm/aa"),"")</f>
        <v>mai/25</v>
      </c>
      <c r="T2600" s="4">
        <f>IF(Registro2[[#This Row],[Data de Pagamento]]="",0,IF(Registro2[[#This Row],[Conta Financeira]]=base!$A$6,0,Registro2[[#This Row],[Valor Unitário]]))</f>
        <v>35</v>
      </c>
      <c r="U260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00" t="str">
        <f>VLOOKUP(Registro2[[#This Row],[Categoria]],'Plano de Contas'!$V$3:W2654,2,0)</f>
        <v>Receitas Serviços</v>
      </c>
      <c r="X260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01" spans="1:24">
      <c r="A2601" s="1">
        <v>45808</v>
      </c>
      <c r="B2601" s="1">
        <v>45808</v>
      </c>
      <c r="D2601" t="s">
        <v>1</v>
      </c>
      <c r="E2601" t="s">
        <v>149</v>
      </c>
      <c r="F2601" t="s">
        <v>147</v>
      </c>
      <c r="G2601" t="s">
        <v>163</v>
      </c>
      <c r="I2601" s="4">
        <v>35</v>
      </c>
      <c r="J2601" s="4">
        <v>35</v>
      </c>
      <c r="L2601" t="s">
        <v>264</v>
      </c>
      <c r="M2601" t="s">
        <v>403</v>
      </c>
      <c r="N2601" s="4">
        <f>IF(L2601="","",IF(OR(Registro2[[#This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01" t="str">
        <f t="shared" si="55"/>
        <v>mai/25</v>
      </c>
      <c r="P2601" t="str">
        <f>IF(Registro2[[#This Row],[Data de Pagamento]]&gt;0,TEXT(A2601,"mmm/aa"),"")</f>
        <v>mai/25</v>
      </c>
      <c r="T2601" s="4">
        <f>IF(Registro2[[#This Row],[Data de Pagamento]]="",0,IF(Registro2[[#This Row],[Conta Financeira]]=base!$A$6,0,Registro2[[#This Row],[Valor Unitário]]))</f>
        <v>35</v>
      </c>
      <c r="U260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01" t="str">
        <f>VLOOKUP(Registro2[[#This Row],[Categoria]],'Plano de Contas'!$V$3:W2655,2,0)</f>
        <v>Receitas Serviços</v>
      </c>
      <c r="X260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02" spans="1:24">
      <c r="A2602" s="1">
        <v>45808</v>
      </c>
      <c r="B2602" s="1">
        <v>45808</v>
      </c>
      <c r="D2602" t="s">
        <v>310</v>
      </c>
      <c r="E2602" t="s">
        <v>149</v>
      </c>
      <c r="F2602" t="s">
        <v>147</v>
      </c>
      <c r="G2602" t="s">
        <v>163</v>
      </c>
      <c r="I2602" s="4">
        <v>35</v>
      </c>
      <c r="J2602" s="4">
        <v>35</v>
      </c>
      <c r="L2602" t="s">
        <v>264</v>
      </c>
      <c r="M2602" t="s">
        <v>121</v>
      </c>
      <c r="N2602" s="4">
        <f>IF(L2602="","",IF(OR(Registro2[[#This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02" t="str">
        <f t="shared" si="55"/>
        <v>mai/25</v>
      </c>
      <c r="P2602" t="str">
        <f>IF(Registro2[[#This Row],[Data de Pagamento]]&gt;0,TEXT(A2602,"mmm/aa"),"")</f>
        <v>mai/25</v>
      </c>
      <c r="T2602" s="4">
        <f>IF(Registro2[[#This Row],[Data de Pagamento]]="",0,IF(Registro2[[#This Row],[Conta Financeira]]=base!$A$6,0,Registro2[[#This Row],[Valor Unitário]]))</f>
        <v>35</v>
      </c>
      <c r="U260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02" t="str">
        <f>VLOOKUP(Registro2[[#This Row],[Categoria]],'Plano de Contas'!$V$3:W2656,2,0)</f>
        <v>Receitas Serviços</v>
      </c>
      <c r="X260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603" spans="1:24">
      <c r="A2603" s="1">
        <v>45808</v>
      </c>
      <c r="B2603" s="1">
        <v>45808</v>
      </c>
      <c r="D2603" t="s">
        <v>1</v>
      </c>
      <c r="E2603" t="s">
        <v>149</v>
      </c>
      <c r="F2603" t="s">
        <v>147</v>
      </c>
      <c r="G2603" t="s">
        <v>163</v>
      </c>
      <c r="I2603" s="4">
        <v>35</v>
      </c>
      <c r="J2603" s="4">
        <v>55</v>
      </c>
      <c r="L2603" t="s">
        <v>253</v>
      </c>
      <c r="M2603" t="s">
        <v>67</v>
      </c>
      <c r="N2603" s="4">
        <f>IF(L2603="","",IF(OR(Registro2[[#This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03" t="str">
        <f t="shared" si="55"/>
        <v>mai/25</v>
      </c>
      <c r="P2603" t="str">
        <f>IF(Registro2[[#This Row],[Data de Pagamento]]&gt;0,TEXT(A2603,"mmm/aa"),"")</f>
        <v>mai/25</v>
      </c>
      <c r="T2603" s="4">
        <f>IF(Registro2[[#This Row],[Data de Pagamento]]="",0,IF(Registro2[[#This Row],[Conta Financeira]]=base!$A$6,0,Registro2[[#This Row],[Valor Unitário]]))</f>
        <v>35</v>
      </c>
      <c r="U260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03" t="str">
        <f>VLOOKUP(Registro2[[#This Row],[Categoria]],'Plano de Contas'!$V$3:W2657,2,0)</f>
        <v>Receitas Serviços</v>
      </c>
      <c r="X260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04" spans="1:24">
      <c r="A2604" s="1">
        <v>45808</v>
      </c>
      <c r="B2604" s="1">
        <v>45808</v>
      </c>
      <c r="D2604" t="s">
        <v>1</v>
      </c>
      <c r="E2604" t="s">
        <v>149</v>
      </c>
      <c r="F2604" t="s">
        <v>147</v>
      </c>
      <c r="G2604" t="s">
        <v>166</v>
      </c>
      <c r="I2604" s="4">
        <v>20</v>
      </c>
      <c r="J2604" s="4" t="s">
        <v>1604</v>
      </c>
      <c r="L2604" t="s">
        <v>253</v>
      </c>
      <c r="M2604" t="s">
        <v>67</v>
      </c>
      <c r="N2604" s="4">
        <f>IF(L2604="","",IF(OR(Registro2[[#This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604" t="str">
        <f t="shared" si="55"/>
        <v>mai/25</v>
      </c>
      <c r="P2604" t="str">
        <f>IF(Registro2[[#This Row],[Data de Pagamento]]&gt;0,TEXT(A2604,"mmm/aa"),"")</f>
        <v>mai/25</v>
      </c>
      <c r="T2604" s="4">
        <f>IF(Registro2[[#This Row],[Data de Pagamento]]="",0,IF(Registro2[[#This Row],[Conta Financeira]]=base!$A$6,0,Registro2[[#This Row],[Valor Unitário]]))</f>
        <v>20</v>
      </c>
      <c r="U260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04" t="str">
        <f>VLOOKUP(Registro2[[#This Row],[Categoria]],'Plano de Contas'!$V$3:W2658,2,0)</f>
        <v>Receitas Serviços</v>
      </c>
      <c r="X260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05" spans="1:24">
      <c r="A2605" s="1">
        <v>45808</v>
      </c>
      <c r="B2605" s="1">
        <v>45808</v>
      </c>
      <c r="D2605" t="s">
        <v>1</v>
      </c>
      <c r="E2605" t="s">
        <v>149</v>
      </c>
      <c r="F2605" t="s">
        <v>152</v>
      </c>
      <c r="G2605" t="s">
        <v>353</v>
      </c>
      <c r="I2605" s="4">
        <v>55</v>
      </c>
      <c r="J2605" s="4">
        <v>73</v>
      </c>
      <c r="L2605" t="s">
        <v>253</v>
      </c>
      <c r="M2605" t="s">
        <v>88</v>
      </c>
      <c r="N2605" s="4">
        <f>IF(L2605="","",IF(OR(Registro2[[#This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24.75</v>
      </c>
      <c r="O2605" t="str">
        <f t="shared" si="55"/>
        <v>mai/25</v>
      </c>
      <c r="P2605" t="str">
        <f>IF(Registro2[[#This Row],[Data de Pagamento]]&gt;0,TEXT(A2605,"mmm/aa"),"")</f>
        <v>mai/25</v>
      </c>
      <c r="T2605" s="4">
        <f>IF(Registro2[[#This Row],[Data de Pagamento]]="",0,IF(Registro2[[#This Row],[Conta Financeira]]=base!$A$6,0,Registro2[[#This Row],[Valor Unitário]]))</f>
        <v>55</v>
      </c>
      <c r="U260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05" t="str">
        <f>VLOOKUP(Registro2[[#This Row],[Categoria]],'Plano de Contas'!$V$3:W2659,2,0)</f>
        <v>Receitas Serviços</v>
      </c>
      <c r="X260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06" spans="1:24">
      <c r="A2606" s="1">
        <v>45808</v>
      </c>
      <c r="B2606" s="1">
        <v>45808</v>
      </c>
      <c r="D2606" t="s">
        <v>1</v>
      </c>
      <c r="E2606" t="s">
        <v>149</v>
      </c>
      <c r="F2606" t="s">
        <v>150</v>
      </c>
      <c r="G2606" t="s">
        <v>3316</v>
      </c>
      <c r="I2606" s="4">
        <v>18</v>
      </c>
      <c r="J2606" s="4" t="s">
        <v>1604</v>
      </c>
      <c r="L2606" t="s">
        <v>253</v>
      </c>
      <c r="M2606" t="s">
        <v>88</v>
      </c>
      <c r="N2606" s="4">
        <f>IF(L2606="","",IF(OR(Registro2[[#This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7.2</v>
      </c>
      <c r="O2606" t="str">
        <f t="shared" si="55"/>
        <v>mai/25</v>
      </c>
      <c r="P2606" t="str">
        <f>IF(Registro2[[#This Row],[Data de Pagamento]]&gt;0,TEXT(A2606,"mmm/aa"),"")</f>
        <v>mai/25</v>
      </c>
      <c r="T2606" s="4">
        <f>IF(Registro2[[#This Row],[Data de Pagamento]]="",0,IF(Registro2[[#This Row],[Conta Financeira]]=base!$A$6,0,Registro2[[#This Row],[Valor Unitário]]))</f>
        <v>18</v>
      </c>
      <c r="U260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06" t="e">
        <f>VLOOKUP(Registro2[[#This Row],[Categoria]],'Plano de Contas'!$V$3:W2660,2,0)</f>
        <v>#N/A</v>
      </c>
      <c r="X260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07" spans="1:24">
      <c r="A2607" s="1">
        <v>45808</v>
      </c>
      <c r="B2607" s="1">
        <v>45808</v>
      </c>
      <c r="D2607" t="s">
        <v>1</v>
      </c>
      <c r="E2607" t="s">
        <v>149</v>
      </c>
      <c r="F2607" t="s">
        <v>147</v>
      </c>
      <c r="G2607" t="s">
        <v>1046</v>
      </c>
      <c r="I2607" s="4">
        <v>35</v>
      </c>
      <c r="J2607" s="4">
        <v>35</v>
      </c>
      <c r="L2607" t="s">
        <v>253</v>
      </c>
      <c r="M2607" t="s">
        <v>2322</v>
      </c>
      <c r="N2607" s="4">
        <f>IF(L2607="","",IF(OR(Registro2[[#This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07" t="str">
        <f t="shared" si="55"/>
        <v>mai/25</v>
      </c>
      <c r="P2607" t="str">
        <f>IF(Registro2[[#This Row],[Data de Pagamento]]&gt;0,TEXT(A2607,"mmm/aa"),"")</f>
        <v>mai/25</v>
      </c>
      <c r="T2607" s="4">
        <f>IF(Registro2[[#This Row],[Data de Pagamento]]="",0,IF(Registro2[[#This Row],[Conta Financeira]]=base!$A$6,0,Registro2[[#This Row],[Valor Unitário]]))</f>
        <v>35</v>
      </c>
      <c r="U260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07" t="str">
        <f>VLOOKUP(Registro2[[#This Row],[Categoria]],'Plano de Contas'!$V$3:W2661,2,0)</f>
        <v>Receitas Serviços</v>
      </c>
      <c r="X260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08" spans="1:24">
      <c r="A2608" s="1">
        <v>45808</v>
      </c>
      <c r="B2608" s="1">
        <v>45808</v>
      </c>
      <c r="D2608" t="s">
        <v>1</v>
      </c>
      <c r="E2608" t="s">
        <v>149</v>
      </c>
      <c r="F2608" t="s">
        <v>147</v>
      </c>
      <c r="G2608" t="s">
        <v>163</v>
      </c>
      <c r="I2608" s="4">
        <v>35</v>
      </c>
      <c r="J2608" s="4">
        <v>35</v>
      </c>
      <c r="L2608" t="s">
        <v>264</v>
      </c>
      <c r="M2608" t="s">
        <v>1778</v>
      </c>
      <c r="N2608" s="4">
        <f>IF(L2608="","",IF(OR(Registro2[[#This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08" t="str">
        <f t="shared" si="55"/>
        <v>mai/25</v>
      </c>
      <c r="P2608" t="str">
        <f>IF(Registro2[[#This Row],[Data de Pagamento]]&gt;0,TEXT(A2608,"mmm/aa"),"")</f>
        <v>mai/25</v>
      </c>
      <c r="T2608" s="4">
        <f>IF(Registro2[[#This Row],[Data de Pagamento]]="",0,IF(Registro2[[#This Row],[Conta Financeira]]=base!$A$6,0,Registro2[[#This Row],[Valor Unitário]]))</f>
        <v>35</v>
      </c>
      <c r="U260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08" t="str">
        <f>VLOOKUP(Registro2[[#This Row],[Categoria]],'Plano de Contas'!$V$3:W2662,2,0)</f>
        <v>Receitas Serviços</v>
      </c>
      <c r="X260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09" spans="1:24">
      <c r="A2609" s="1">
        <v>45808</v>
      </c>
      <c r="B2609" s="1">
        <v>45808</v>
      </c>
      <c r="D2609" t="s">
        <v>1</v>
      </c>
      <c r="E2609" t="s">
        <v>149</v>
      </c>
      <c r="F2609" t="s">
        <v>152</v>
      </c>
      <c r="G2609" t="s">
        <v>353</v>
      </c>
      <c r="I2609" s="4">
        <v>50</v>
      </c>
      <c r="J2609" s="4">
        <v>68</v>
      </c>
      <c r="L2609" t="s">
        <v>264</v>
      </c>
      <c r="M2609" t="s">
        <v>1499</v>
      </c>
      <c r="N2609" s="4">
        <f>IF(L2609="","",IF(OR(Registro2[[#This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2609" t="str">
        <f t="shared" si="55"/>
        <v>mai/25</v>
      </c>
      <c r="P2609" t="str">
        <f>IF(Registro2[[#This Row],[Data de Pagamento]]&gt;0,TEXT(A2609,"mmm/aa"),"")</f>
        <v>mai/25</v>
      </c>
      <c r="T2609" s="4">
        <f>IF(Registro2[[#This Row],[Data de Pagamento]]="",0,IF(Registro2[[#This Row],[Conta Financeira]]=base!$A$6,0,Registro2[[#This Row],[Valor Unitário]]))</f>
        <v>50</v>
      </c>
      <c r="U260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09" t="str">
        <f>VLOOKUP(Registro2[[#This Row],[Categoria]],'Plano de Contas'!$V$3:W2663,2,0)</f>
        <v>Receitas Serviços</v>
      </c>
      <c r="X260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10" spans="1:24">
      <c r="A2610" s="1">
        <v>45808</v>
      </c>
      <c r="B2610" s="1">
        <v>45808</v>
      </c>
      <c r="D2610" t="s">
        <v>1</v>
      </c>
      <c r="E2610" t="s">
        <v>149</v>
      </c>
      <c r="F2610" t="s">
        <v>150</v>
      </c>
      <c r="G2610" t="s">
        <v>3316</v>
      </c>
      <c r="I2610" s="4">
        <v>18</v>
      </c>
      <c r="J2610" s="4" t="s">
        <v>1604</v>
      </c>
      <c r="L2610" t="s">
        <v>264</v>
      </c>
      <c r="M2610" t="s">
        <v>1499</v>
      </c>
      <c r="N2610" s="4">
        <f>IF(L2610="","",IF(OR(Registro2[[#This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7.2</v>
      </c>
      <c r="O2610" t="str">
        <f t="shared" si="55"/>
        <v>mai/25</v>
      </c>
      <c r="P2610" t="str">
        <f>IF(Registro2[[#This Row],[Data de Pagamento]]&gt;0,TEXT(A2610,"mmm/aa"),"")</f>
        <v>mai/25</v>
      </c>
      <c r="T2610" s="4">
        <f>IF(Registro2[[#This Row],[Data de Pagamento]]="",0,IF(Registro2[[#This Row],[Conta Financeira]]=base!$A$6,0,Registro2[[#This Row],[Valor Unitário]]))</f>
        <v>18</v>
      </c>
      <c r="U261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10" t="e">
        <f>VLOOKUP(Registro2[[#This Row],[Categoria]],'Plano de Contas'!$V$3:W2664,2,0)</f>
        <v>#N/A</v>
      </c>
      <c r="X261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11" spans="1:24">
      <c r="A2611" s="1">
        <v>45808</v>
      </c>
      <c r="B2611" s="1">
        <v>45808</v>
      </c>
      <c r="D2611" t="s">
        <v>1120</v>
      </c>
      <c r="E2611" t="s">
        <v>149</v>
      </c>
      <c r="F2611" t="s">
        <v>147</v>
      </c>
      <c r="G2611" t="s">
        <v>163</v>
      </c>
      <c r="I2611" s="4">
        <v>35</v>
      </c>
      <c r="J2611" s="4">
        <v>35</v>
      </c>
      <c r="L2611" t="s">
        <v>253</v>
      </c>
      <c r="M2611" t="s">
        <v>282</v>
      </c>
      <c r="N2611" s="4">
        <f>IF(L2611="","",IF(OR(Registro2[[#This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11" t="str">
        <f t="shared" si="55"/>
        <v>mai/25</v>
      </c>
      <c r="P2611" t="str">
        <f>IF(Registro2[[#This Row],[Data de Pagamento]]&gt;0,TEXT(A2611,"mmm/aa"),"")</f>
        <v>mai/25</v>
      </c>
      <c r="T2611" s="4">
        <f>IF(Registro2[[#This Row],[Data de Pagamento]]="",0,IF(Registro2[[#This Row],[Conta Financeira]]=base!$A$6,0,Registro2[[#This Row],[Valor Unitário]]))</f>
        <v>35</v>
      </c>
      <c r="U261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11" t="str">
        <f>VLOOKUP(Registro2[[#This Row],[Categoria]],'Plano de Contas'!$V$3:W2665,2,0)</f>
        <v>Receitas Serviços</v>
      </c>
      <c r="X261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12" spans="1:24">
      <c r="A2612" s="1">
        <v>45808</v>
      </c>
      <c r="B2612" s="1">
        <v>45808</v>
      </c>
      <c r="D2612" t="s">
        <v>310</v>
      </c>
      <c r="E2612" t="s">
        <v>149</v>
      </c>
      <c r="F2612" t="s">
        <v>147</v>
      </c>
      <c r="G2612" t="s">
        <v>1046</v>
      </c>
      <c r="I2612" s="4">
        <v>35</v>
      </c>
      <c r="J2612" s="4">
        <v>35</v>
      </c>
      <c r="L2612" t="s">
        <v>252</v>
      </c>
      <c r="M2612" t="s">
        <v>11</v>
      </c>
      <c r="N2612" s="4">
        <f>IF(L2612="","",IF(OR(Registro2[[#This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12" t="str">
        <f t="shared" si="55"/>
        <v>mai/25</v>
      </c>
      <c r="P2612" t="str">
        <f>IF(Registro2[[#This Row],[Data de Pagamento]]&gt;0,TEXT(A2612,"mmm/aa"),"")</f>
        <v>mai/25</v>
      </c>
      <c r="T2612" s="4">
        <f>IF(Registro2[[#This Row],[Data de Pagamento]]="",0,IF(Registro2[[#This Row],[Conta Financeira]]=base!$A$6,0,Registro2[[#This Row],[Valor Unitário]]))</f>
        <v>35</v>
      </c>
      <c r="U261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12" t="str">
        <f>VLOOKUP(Registro2[[#This Row],[Categoria]],'Plano de Contas'!$V$3:W2666,2,0)</f>
        <v>Receitas Serviços</v>
      </c>
      <c r="X2612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613" spans="1:24">
      <c r="A2613" s="1">
        <v>45808</v>
      </c>
      <c r="B2613" s="1">
        <v>45808</v>
      </c>
      <c r="D2613" t="s">
        <v>1</v>
      </c>
      <c r="E2613" t="s">
        <v>149</v>
      </c>
      <c r="F2613" t="s">
        <v>147</v>
      </c>
      <c r="G2613" t="s">
        <v>163</v>
      </c>
      <c r="I2613" s="4">
        <v>35</v>
      </c>
      <c r="J2613" s="4">
        <v>55</v>
      </c>
      <c r="L2613" t="s">
        <v>252</v>
      </c>
      <c r="M2613" t="s">
        <v>207</v>
      </c>
      <c r="N2613" s="4">
        <f>IF(L2613="","",IF(OR(Registro2[[#This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13" t="str">
        <f t="shared" si="55"/>
        <v>mai/25</v>
      </c>
      <c r="P2613" t="str">
        <f>IF(Registro2[[#This Row],[Data de Pagamento]]&gt;0,TEXT(A2613,"mmm/aa"),"")</f>
        <v>mai/25</v>
      </c>
      <c r="T2613" s="4">
        <f>IF(Registro2[[#This Row],[Data de Pagamento]]="",0,IF(Registro2[[#This Row],[Conta Financeira]]=base!$A$6,0,Registro2[[#This Row],[Valor Unitário]]))</f>
        <v>35</v>
      </c>
      <c r="U261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13" t="str">
        <f>VLOOKUP(Registro2[[#This Row],[Categoria]],'Plano de Contas'!$V$3:W2667,2,0)</f>
        <v>Receitas Serviços</v>
      </c>
      <c r="X261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14" spans="1:24">
      <c r="A2614" s="1">
        <v>45808</v>
      </c>
      <c r="B2614" s="1">
        <v>45808</v>
      </c>
      <c r="D2614" t="s">
        <v>1</v>
      </c>
      <c r="E2614" t="s">
        <v>149</v>
      </c>
      <c r="F2614" t="s">
        <v>147</v>
      </c>
      <c r="G2614" t="s">
        <v>3362</v>
      </c>
      <c r="I2614" s="4">
        <v>20</v>
      </c>
      <c r="J2614" s="4" t="s">
        <v>1604</v>
      </c>
      <c r="L2614" t="s">
        <v>252</v>
      </c>
      <c r="M2614" t="s">
        <v>207</v>
      </c>
      <c r="N2614" s="4">
        <f>IF(L2614="","",IF(OR(Registro2[[#This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614" t="str">
        <f t="shared" si="55"/>
        <v>mai/25</v>
      </c>
      <c r="P2614" t="str">
        <f>IF(Registro2[[#This Row],[Data de Pagamento]]&gt;0,TEXT(A2614,"mmm/aa"),"")</f>
        <v>mai/25</v>
      </c>
      <c r="T2614" s="4">
        <f>IF(Registro2[[#This Row],[Data de Pagamento]]="",0,IF(Registro2[[#This Row],[Conta Financeira]]=base!$A$6,0,Registro2[[#This Row],[Valor Unitário]]))</f>
        <v>20</v>
      </c>
      <c r="U261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14" t="e">
        <f>VLOOKUP(Registro2[[#This Row],[Categoria]],'Plano de Contas'!$V$3:W2668,2,0)</f>
        <v>#N/A</v>
      </c>
      <c r="X261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15" spans="1:24">
      <c r="A2615" s="1">
        <v>45808</v>
      </c>
      <c r="B2615" s="1">
        <v>45808</v>
      </c>
      <c r="D2615" t="s">
        <v>882</v>
      </c>
      <c r="E2615" t="s">
        <v>149</v>
      </c>
      <c r="F2615" t="s">
        <v>147</v>
      </c>
      <c r="G2615" t="s">
        <v>163</v>
      </c>
      <c r="I2615" s="4">
        <v>35</v>
      </c>
      <c r="J2615" s="4">
        <v>105</v>
      </c>
      <c r="L2615" t="s">
        <v>252</v>
      </c>
      <c r="M2615" t="s">
        <v>16</v>
      </c>
      <c r="N2615" s="4">
        <f>IF(L2615="","",IF(OR(Registro2[[#This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15" t="str">
        <f t="shared" si="55"/>
        <v>mai/25</v>
      </c>
      <c r="P2615" t="str">
        <f>IF(Registro2[[#This Row],[Data de Pagamento]]&gt;0,TEXT(A2615,"mmm/aa"),"")</f>
        <v>mai/25</v>
      </c>
      <c r="T2615" s="4">
        <f>IF(Registro2[[#This Row],[Data de Pagamento]]="",0,IF(Registro2[[#This Row],[Conta Financeira]]=base!$A$6,0,Registro2[[#This Row],[Valor Unitário]]))</f>
        <v>35</v>
      </c>
      <c r="U261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15" t="str">
        <f>VLOOKUP(Registro2[[#This Row],[Categoria]],'Plano de Contas'!$V$3:W2669,2,0)</f>
        <v>Receitas Serviços</v>
      </c>
      <c r="X261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16" spans="1:24">
      <c r="A2616" s="1">
        <v>45808</v>
      </c>
      <c r="B2616" s="1">
        <v>45808</v>
      </c>
      <c r="D2616" t="s">
        <v>882</v>
      </c>
      <c r="E2616" t="s">
        <v>149</v>
      </c>
      <c r="F2616" t="s">
        <v>147</v>
      </c>
      <c r="G2616" t="s">
        <v>163</v>
      </c>
      <c r="I2616" s="4">
        <v>35</v>
      </c>
      <c r="J2616" s="4" t="s">
        <v>1604</v>
      </c>
      <c r="L2616" t="s">
        <v>253</v>
      </c>
      <c r="M2616" t="s">
        <v>16</v>
      </c>
      <c r="N2616" s="4">
        <f>IF(L2616="","",IF(OR(Registro2[[#This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16" t="str">
        <f t="shared" si="55"/>
        <v>mai/25</v>
      </c>
      <c r="P2616" t="str">
        <f>IF(Registro2[[#This Row],[Data de Pagamento]]&gt;0,TEXT(A2616,"mmm/aa"),"")</f>
        <v>mai/25</v>
      </c>
      <c r="T2616" s="4">
        <f>IF(Registro2[[#This Row],[Data de Pagamento]]="",0,IF(Registro2[[#This Row],[Conta Financeira]]=base!$A$6,0,Registro2[[#This Row],[Valor Unitário]]))</f>
        <v>35</v>
      </c>
      <c r="U261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16" t="str">
        <f>VLOOKUP(Registro2[[#This Row],[Categoria]],'Plano de Contas'!$V$3:W2670,2,0)</f>
        <v>Receitas Serviços</v>
      </c>
      <c r="X261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17" spans="1:24">
      <c r="A2617" s="1">
        <v>45808</v>
      </c>
      <c r="B2617" s="1">
        <v>45808</v>
      </c>
      <c r="D2617" t="s">
        <v>882</v>
      </c>
      <c r="E2617" t="s">
        <v>149</v>
      </c>
      <c r="F2617" t="s">
        <v>147</v>
      </c>
      <c r="G2617" t="s">
        <v>163</v>
      </c>
      <c r="I2617" s="4">
        <v>35</v>
      </c>
      <c r="J2617" s="4" t="s">
        <v>1604</v>
      </c>
      <c r="L2617" t="s">
        <v>264</v>
      </c>
      <c r="M2617" t="s">
        <v>16</v>
      </c>
      <c r="N2617" s="4">
        <f>IF(L2617="","",IF(OR(Registro2[[#This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17" t="str">
        <f t="shared" si="55"/>
        <v>mai/25</v>
      </c>
      <c r="P2617" t="str">
        <f>IF(Registro2[[#This Row],[Data de Pagamento]]&gt;0,TEXT(A2617,"mmm/aa"),"")</f>
        <v>mai/25</v>
      </c>
      <c r="T2617" s="4">
        <f>IF(Registro2[[#This Row],[Data de Pagamento]]="",0,IF(Registro2[[#This Row],[Conta Financeira]]=base!$A$6,0,Registro2[[#This Row],[Valor Unitário]]))</f>
        <v>35</v>
      </c>
      <c r="U261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17" t="str">
        <f>VLOOKUP(Registro2[[#This Row],[Categoria]],'Plano de Contas'!$V$3:W2671,2,0)</f>
        <v>Receitas Serviços</v>
      </c>
      <c r="X261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18" spans="1:24">
      <c r="A2618" s="1">
        <v>45808</v>
      </c>
      <c r="B2618" s="1">
        <v>45808</v>
      </c>
      <c r="D2618" t="s">
        <v>1</v>
      </c>
      <c r="E2618" t="s">
        <v>149</v>
      </c>
      <c r="F2618" t="s">
        <v>147</v>
      </c>
      <c r="G2618" t="s">
        <v>163</v>
      </c>
      <c r="I2618" s="4">
        <v>35</v>
      </c>
      <c r="J2618" s="4">
        <v>70</v>
      </c>
      <c r="L2618" t="s">
        <v>264</v>
      </c>
      <c r="M2618" t="s">
        <v>213</v>
      </c>
      <c r="N2618" s="4">
        <f>IF(L2618="","",IF(OR(Registro2[[#This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18" t="str">
        <f t="shared" si="55"/>
        <v>mai/25</v>
      </c>
      <c r="P2618" t="str">
        <f>IF(Registro2[[#This Row],[Data de Pagamento]]&gt;0,TEXT(A2618,"mmm/aa"),"")</f>
        <v>mai/25</v>
      </c>
      <c r="T2618" s="4">
        <f>IF(Registro2[[#This Row],[Data de Pagamento]]="",0,IF(Registro2[[#This Row],[Conta Financeira]]=base!$A$6,0,Registro2[[#This Row],[Valor Unitário]]))</f>
        <v>35</v>
      </c>
      <c r="U261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18" t="str">
        <f>VLOOKUP(Registro2[[#This Row],[Categoria]],'Plano de Contas'!$V$3:W2672,2,0)</f>
        <v>Receitas Serviços</v>
      </c>
      <c r="X261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19" spans="1:24">
      <c r="A2619" s="1">
        <v>45808</v>
      </c>
      <c r="B2619" s="1">
        <v>45808</v>
      </c>
      <c r="D2619" t="s">
        <v>1</v>
      </c>
      <c r="E2619" t="s">
        <v>149</v>
      </c>
      <c r="F2619" t="s">
        <v>147</v>
      </c>
      <c r="G2619" t="s">
        <v>1046</v>
      </c>
      <c r="I2619" s="4">
        <v>35</v>
      </c>
      <c r="J2619" s="4" t="s">
        <v>1604</v>
      </c>
      <c r="L2619" t="s">
        <v>252</v>
      </c>
      <c r="M2619" t="s">
        <v>213</v>
      </c>
      <c r="N2619" s="4">
        <f>IF(L2619="","",IF(OR(Registro2[[#This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19" t="str">
        <f t="shared" si="55"/>
        <v>mai/25</v>
      </c>
      <c r="P2619" t="str">
        <f>IF(Registro2[[#This Row],[Data de Pagamento]]&gt;0,TEXT(A2619,"mmm/aa"),"")</f>
        <v>mai/25</v>
      </c>
      <c r="T2619" s="4">
        <f>IF(Registro2[[#This Row],[Data de Pagamento]]="",0,IF(Registro2[[#This Row],[Conta Financeira]]=base!$A$6,0,Registro2[[#This Row],[Valor Unitário]]))</f>
        <v>35</v>
      </c>
      <c r="U261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19" t="str">
        <f>VLOOKUP(Registro2[[#This Row],[Categoria]],'Plano de Contas'!$V$3:W2673,2,0)</f>
        <v>Receitas Serviços</v>
      </c>
      <c r="X261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20" spans="1:24">
      <c r="A2620" s="1">
        <v>45808</v>
      </c>
      <c r="B2620" s="1">
        <v>45808</v>
      </c>
      <c r="D2620" t="s">
        <v>2</v>
      </c>
      <c r="E2620" t="s">
        <v>149</v>
      </c>
      <c r="F2620" t="s">
        <v>147</v>
      </c>
      <c r="G2620" t="s">
        <v>163</v>
      </c>
      <c r="I2620" s="4">
        <v>20</v>
      </c>
      <c r="J2620" s="4">
        <v>20</v>
      </c>
      <c r="L2620" t="s">
        <v>264</v>
      </c>
      <c r="M2620" t="s">
        <v>208</v>
      </c>
      <c r="N2620" s="4">
        <f>IF(L2620="","",IF(OR(Registro2[[#This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620" t="str">
        <f t="shared" si="55"/>
        <v>mai/25</v>
      </c>
      <c r="P2620" t="str">
        <f>IF(Registro2[[#This Row],[Data de Pagamento]]&gt;0,TEXT(A2620,"mmm/aa"),"")</f>
        <v>mai/25</v>
      </c>
      <c r="T2620" s="4">
        <f>IF(Registro2[[#This Row],[Data de Pagamento]]="",0,IF(Registro2[[#This Row],[Conta Financeira]]=base!$A$6,0,Registro2[[#This Row],[Valor Unitário]]))</f>
        <v>20</v>
      </c>
      <c r="U262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20" t="str">
        <f>VLOOKUP(Registro2[[#This Row],[Categoria]],'Plano de Contas'!$V$3:W2674,2,0)</f>
        <v>Receitas Serviços</v>
      </c>
      <c r="X262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21" spans="1:24">
      <c r="A2621" s="1">
        <v>45808</v>
      </c>
      <c r="B2621" s="1">
        <v>45808</v>
      </c>
      <c r="D2621" t="s">
        <v>1</v>
      </c>
      <c r="E2621" t="s">
        <v>149</v>
      </c>
      <c r="F2621" t="s">
        <v>147</v>
      </c>
      <c r="G2621" t="s">
        <v>163</v>
      </c>
      <c r="I2621" s="4">
        <v>35</v>
      </c>
      <c r="J2621" s="4">
        <v>35</v>
      </c>
      <c r="L2621" t="s">
        <v>253</v>
      </c>
      <c r="M2621" t="s">
        <v>40</v>
      </c>
      <c r="N2621" s="4">
        <f>IF(L2621="","",IF(OR(Registro2[[#This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21" t="str">
        <f t="shared" si="55"/>
        <v>mai/25</v>
      </c>
      <c r="P2621" t="str">
        <f>IF(Registro2[[#This Row],[Data de Pagamento]]&gt;0,TEXT(A2621,"mmm/aa"),"")</f>
        <v>mai/25</v>
      </c>
      <c r="T2621" s="4">
        <f>IF(Registro2[[#This Row],[Data de Pagamento]]="",0,IF(Registro2[[#This Row],[Conta Financeira]]=base!$A$6,0,Registro2[[#This Row],[Valor Unitário]]))</f>
        <v>35</v>
      </c>
      <c r="U262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21" t="str">
        <f>VLOOKUP(Registro2[[#This Row],[Categoria]],'Plano de Contas'!$V$3:W2675,2,0)</f>
        <v>Receitas Serviços</v>
      </c>
      <c r="X262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22" spans="1:24">
      <c r="A2622" s="1">
        <v>45808</v>
      </c>
      <c r="B2622" s="1">
        <v>45808</v>
      </c>
      <c r="D2622" t="s">
        <v>1</v>
      </c>
      <c r="E2622" t="s">
        <v>149</v>
      </c>
      <c r="F2622" t="s">
        <v>147</v>
      </c>
      <c r="G2622" t="s">
        <v>163</v>
      </c>
      <c r="I2622" s="4">
        <v>35</v>
      </c>
      <c r="J2622" s="4">
        <v>45</v>
      </c>
      <c r="L2622" t="s">
        <v>252</v>
      </c>
      <c r="M2622" t="s">
        <v>2305</v>
      </c>
      <c r="N2622" s="4">
        <f>IF(L2622="","",IF(OR(Registro2[[#This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22" t="str">
        <f t="shared" si="55"/>
        <v>mai/25</v>
      </c>
      <c r="P2622" t="str">
        <f>IF(Registro2[[#This Row],[Data de Pagamento]]&gt;0,TEXT(A2622,"mmm/aa"),"")</f>
        <v>mai/25</v>
      </c>
      <c r="T2622" s="4">
        <f>IF(Registro2[[#This Row],[Data de Pagamento]]="",0,IF(Registro2[[#This Row],[Conta Financeira]]=base!$A$6,0,Registro2[[#This Row],[Valor Unitário]]))</f>
        <v>35</v>
      </c>
      <c r="U262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22" t="str">
        <f>VLOOKUP(Registro2[[#This Row],[Categoria]],'Plano de Contas'!$V$3:W2676,2,0)</f>
        <v>Receitas Serviços</v>
      </c>
      <c r="X262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23" spans="1:24">
      <c r="A2623" s="1">
        <v>45808</v>
      </c>
      <c r="B2623" s="1">
        <v>45808</v>
      </c>
      <c r="D2623" t="s">
        <v>1</v>
      </c>
      <c r="E2623" t="s">
        <v>149</v>
      </c>
      <c r="F2623" t="s">
        <v>147</v>
      </c>
      <c r="G2623" t="s">
        <v>167</v>
      </c>
      <c r="I2623" s="4">
        <v>10</v>
      </c>
      <c r="J2623" s="4" t="s">
        <v>1604</v>
      </c>
      <c r="L2623" t="s">
        <v>252</v>
      </c>
      <c r="M2623" t="s">
        <v>2305</v>
      </c>
      <c r="N2623" s="4">
        <f>IF(L2623="","",IF(OR(Registro2[[#This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623" t="str">
        <f t="shared" si="55"/>
        <v>mai/25</v>
      </c>
      <c r="P2623" t="str">
        <f>IF(Registro2[[#This Row],[Data de Pagamento]]&gt;0,TEXT(A2623,"mmm/aa"),"")</f>
        <v>mai/25</v>
      </c>
      <c r="T2623" s="4">
        <f>IF(Registro2[[#This Row],[Data de Pagamento]]="",0,IF(Registro2[[#This Row],[Conta Financeira]]=base!$A$6,0,Registro2[[#This Row],[Valor Unitário]]))</f>
        <v>10</v>
      </c>
      <c r="U262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23" t="str">
        <f>VLOOKUP(Registro2[[#This Row],[Categoria]],'Plano de Contas'!$V$3:W2677,2,0)</f>
        <v>Receitas Serviços</v>
      </c>
      <c r="X262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24" spans="1:24">
      <c r="A2624" s="1">
        <v>45808</v>
      </c>
      <c r="B2624" s="1">
        <v>45808</v>
      </c>
      <c r="D2624" t="s">
        <v>310</v>
      </c>
      <c r="E2624" t="s">
        <v>149</v>
      </c>
      <c r="F2624" t="s">
        <v>147</v>
      </c>
      <c r="G2624" t="s">
        <v>2825</v>
      </c>
      <c r="I2624" s="4">
        <v>20</v>
      </c>
      <c r="J2624" s="4">
        <v>70</v>
      </c>
      <c r="L2624" t="s">
        <v>253</v>
      </c>
      <c r="M2624" t="s">
        <v>95</v>
      </c>
      <c r="N2624" s="4">
        <f>IF(L2624="","",IF(OR(Registro2[[#This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624" t="str">
        <f t="shared" si="55"/>
        <v>mai/25</v>
      </c>
      <c r="P2624" t="str">
        <f>IF(Registro2[[#This Row],[Data de Pagamento]]&gt;0,TEXT(A2624,"mmm/aa"),"")</f>
        <v>mai/25</v>
      </c>
      <c r="T2624" s="4">
        <f>IF(Registro2[[#This Row],[Data de Pagamento]]="",0,IF(Registro2[[#This Row],[Conta Financeira]]=base!$A$6,0,Registro2[[#This Row],[Valor Unitário]]))</f>
        <v>20</v>
      </c>
      <c r="U262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24" t="e">
        <f>VLOOKUP(Registro2[[#This Row],[Categoria]],'Plano de Contas'!$V$3:W2678,2,0)</f>
        <v>#N/A</v>
      </c>
      <c r="X262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0.17799999999999999</v>
      </c>
    </row>
    <row r="2625" spans="1:24">
      <c r="A2625" s="1">
        <v>45808</v>
      </c>
      <c r="B2625" s="1">
        <v>45808</v>
      </c>
      <c r="D2625" t="s">
        <v>310</v>
      </c>
      <c r="E2625" t="s">
        <v>149</v>
      </c>
      <c r="F2625" t="s">
        <v>147</v>
      </c>
      <c r="G2625" t="s">
        <v>163</v>
      </c>
      <c r="I2625" s="4">
        <v>35</v>
      </c>
      <c r="J2625" s="4" t="s">
        <v>1604</v>
      </c>
      <c r="L2625" t="s">
        <v>253</v>
      </c>
      <c r="M2625" t="s">
        <v>95</v>
      </c>
      <c r="N2625" s="4">
        <f>IF(L2625="","",IF(OR(Registro2[[#This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25" t="str">
        <f t="shared" si="55"/>
        <v>mai/25</v>
      </c>
      <c r="P2625" t="str">
        <f>IF(Registro2[[#This Row],[Data de Pagamento]]&gt;0,TEXT(A2625,"mmm/aa"),"")</f>
        <v>mai/25</v>
      </c>
      <c r="T2625" s="4">
        <f>IF(Registro2[[#This Row],[Data de Pagamento]]="",0,IF(Registro2[[#This Row],[Conta Financeira]]=base!$A$6,0,Registro2[[#This Row],[Valor Unitário]]))</f>
        <v>35</v>
      </c>
      <c r="U262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25" t="str">
        <f>VLOOKUP(Registro2[[#This Row],[Categoria]],'Plano de Contas'!$V$3:W2679,2,0)</f>
        <v>Receitas Serviços</v>
      </c>
      <c r="X262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626" spans="1:24">
      <c r="A2626" s="1">
        <v>45808</v>
      </c>
      <c r="B2626" s="1">
        <v>45808</v>
      </c>
      <c r="D2626" t="s">
        <v>310</v>
      </c>
      <c r="E2626" t="s">
        <v>149</v>
      </c>
      <c r="F2626" t="s">
        <v>147</v>
      </c>
      <c r="G2626" t="s">
        <v>1046</v>
      </c>
      <c r="I2626" s="4">
        <v>15</v>
      </c>
      <c r="J2626" s="4" t="s">
        <v>1604</v>
      </c>
      <c r="L2626" t="s">
        <v>253</v>
      </c>
      <c r="M2626" t="s">
        <v>95</v>
      </c>
      <c r="N2626" s="4">
        <f>IF(L2626="","",IF(OR(Registro2[[#This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626" t="str">
        <f t="shared" si="55"/>
        <v>mai/25</v>
      </c>
      <c r="P2626" t="str">
        <f>IF(Registro2[[#This Row],[Data de Pagamento]]&gt;0,TEXT(A2626,"mmm/aa"),"")</f>
        <v>mai/25</v>
      </c>
      <c r="T2626" s="4">
        <f>IF(Registro2[[#This Row],[Data de Pagamento]]="",0,IF(Registro2[[#This Row],[Conta Financeira]]=base!$A$6,0,Registro2[[#This Row],[Valor Unitário]]))</f>
        <v>15</v>
      </c>
      <c r="U262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26" t="str">
        <f>VLOOKUP(Registro2[[#This Row],[Categoria]],'Plano de Contas'!$V$3:W2680,2,0)</f>
        <v>Receitas Serviços</v>
      </c>
      <c r="X2626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0.13350000000000001</v>
      </c>
    </row>
    <row r="2627" spans="1:24">
      <c r="A2627" s="1">
        <v>45808</v>
      </c>
      <c r="B2627" s="1">
        <v>45808</v>
      </c>
      <c r="D2627" t="s">
        <v>310</v>
      </c>
      <c r="E2627" t="s">
        <v>149</v>
      </c>
      <c r="F2627" t="s">
        <v>147</v>
      </c>
      <c r="G2627" t="s">
        <v>163</v>
      </c>
      <c r="I2627" s="4">
        <v>35</v>
      </c>
      <c r="J2627" s="4">
        <v>45</v>
      </c>
      <c r="L2627" t="s">
        <v>264</v>
      </c>
      <c r="M2627" t="s">
        <v>42</v>
      </c>
      <c r="N2627" s="4">
        <f>IF(L2627="","",IF(OR(Registro2[[#This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27" t="str">
        <f t="shared" si="55"/>
        <v>mai/25</v>
      </c>
      <c r="P2627" t="str">
        <f>IF(Registro2[[#This Row],[Data de Pagamento]]&gt;0,TEXT(A2627,"mmm/aa"),"")</f>
        <v>mai/25</v>
      </c>
      <c r="T2627" s="4">
        <f>IF(Registro2[[#This Row],[Data de Pagamento]]="",0,IF(Registro2[[#This Row],[Conta Financeira]]=base!$A$6,0,Registro2[[#This Row],[Valor Unitário]]))</f>
        <v>35</v>
      </c>
      <c r="U262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27" t="str">
        <f>VLOOKUP(Registro2[[#This Row],[Categoria]],'Plano de Contas'!$V$3:W2681,2,0)</f>
        <v>Receitas Serviços</v>
      </c>
      <c r="X262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628" spans="1:24">
      <c r="A2628" s="1">
        <v>45808</v>
      </c>
      <c r="B2628" s="1">
        <v>45808</v>
      </c>
      <c r="D2628" t="s">
        <v>310</v>
      </c>
      <c r="E2628" t="s">
        <v>149</v>
      </c>
      <c r="F2628" t="s">
        <v>147</v>
      </c>
      <c r="G2628" t="s">
        <v>167</v>
      </c>
      <c r="I2628" s="4">
        <v>10</v>
      </c>
      <c r="J2628" s="4" t="s">
        <v>1604</v>
      </c>
      <c r="L2628" t="s">
        <v>264</v>
      </c>
      <c r="M2628" t="s">
        <v>42</v>
      </c>
      <c r="N2628" s="4">
        <f>IF(L2628="","",IF(OR(Registro2[[#This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628" t="str">
        <f t="shared" si="55"/>
        <v>mai/25</v>
      </c>
      <c r="P2628" t="str">
        <f>IF(Registro2[[#This Row],[Data de Pagamento]]&gt;0,TEXT(A2628,"mmm/aa"),"")</f>
        <v>mai/25</v>
      </c>
      <c r="T2628" s="4">
        <f>IF(Registro2[[#This Row],[Data de Pagamento]]="",0,IF(Registro2[[#This Row],[Conta Financeira]]=base!$A$6,0,Registro2[[#This Row],[Valor Unitário]]))</f>
        <v>10</v>
      </c>
      <c r="U262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28" t="str">
        <f>VLOOKUP(Registro2[[#This Row],[Categoria]],'Plano de Contas'!$V$3:W2682,2,0)</f>
        <v>Receitas Serviços</v>
      </c>
      <c r="X262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8.8999999999999996E-2</v>
      </c>
    </row>
    <row r="2629" spans="1:24">
      <c r="A2629" s="1">
        <v>45808</v>
      </c>
      <c r="B2629" s="1">
        <v>45808</v>
      </c>
      <c r="D2629" t="s">
        <v>1</v>
      </c>
      <c r="E2629" t="s">
        <v>149</v>
      </c>
      <c r="F2629" t="s">
        <v>147</v>
      </c>
      <c r="G2629" t="s">
        <v>163</v>
      </c>
      <c r="I2629" s="4">
        <v>35</v>
      </c>
      <c r="J2629" s="4">
        <v>35</v>
      </c>
      <c r="L2629" t="s">
        <v>252</v>
      </c>
      <c r="M2629" t="s">
        <v>3483</v>
      </c>
      <c r="N2629" s="4">
        <f>IF(L2629="","",IF(OR(Registro2[[#This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29" t="str">
        <f t="shared" si="55"/>
        <v>mai/25</v>
      </c>
      <c r="P2629" t="str">
        <f>IF(Registro2[[#This Row],[Data de Pagamento]]&gt;0,TEXT(A2629,"mmm/aa"),"")</f>
        <v>mai/25</v>
      </c>
      <c r="T2629" s="4">
        <f>IF(Registro2[[#This Row],[Data de Pagamento]]="",0,IF(Registro2[[#This Row],[Conta Financeira]]=base!$A$6,0,Registro2[[#This Row],[Valor Unitário]]))</f>
        <v>35</v>
      </c>
      <c r="U2629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29" t="str">
        <f>VLOOKUP(Registro2[[#This Row],[Categoria]],'Plano de Contas'!$V$3:W2683,2,0)</f>
        <v>Receitas Serviços</v>
      </c>
      <c r="X262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30" spans="1:24">
      <c r="A2630" s="1">
        <v>45790</v>
      </c>
      <c r="B2630" s="1">
        <v>45790</v>
      </c>
      <c r="D2630" t="s">
        <v>947</v>
      </c>
      <c r="E2630" t="s">
        <v>137</v>
      </c>
      <c r="F2630" t="s">
        <v>967</v>
      </c>
      <c r="G2630" t="s">
        <v>449</v>
      </c>
      <c r="H2630" t="s">
        <v>3089</v>
      </c>
      <c r="I2630" s="4">
        <v>117</v>
      </c>
      <c r="J2630" s="4"/>
      <c r="N2630" s="4" t="str">
        <f>IF(L2630="","",IF(OR(Registro2[[#This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630" t="str">
        <f t="shared" ref="O2630:O2638" si="56">TEXT(B2630,"mmm/aa")</f>
        <v>mai/25</v>
      </c>
      <c r="P2630" t="str">
        <f>IF(Registro2[[#This Row],[Data de Pagamento]]&gt;0,TEXT(A2630,"mmm/aa"),"")</f>
        <v>mai/25</v>
      </c>
      <c r="T2630" s="4">
        <f>IF(Registro2[[#This Row],[Data de Pagamento]]="",0,IF(Registro2[[#This Row],[Conta Financeira]]=base!$A$6,0,Registro2[[#This Row],[Valor Unitário]]))</f>
        <v>117</v>
      </c>
      <c r="U2630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30" t="str">
        <f>VLOOKUP(Registro2[[#This Row],[Categoria]],'Plano de Contas'!$V$3:W2684,2,0)</f>
        <v>Despesas Administrativas</v>
      </c>
      <c r="X263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31" spans="1:24">
      <c r="A2631" s="1">
        <v>45790</v>
      </c>
      <c r="B2631" s="1">
        <v>45790</v>
      </c>
      <c r="D2631" t="s">
        <v>947</v>
      </c>
      <c r="E2631" t="s">
        <v>137</v>
      </c>
      <c r="F2631" t="s">
        <v>967</v>
      </c>
      <c r="G2631" t="s">
        <v>449</v>
      </c>
      <c r="H2631" t="s">
        <v>3090</v>
      </c>
      <c r="I2631" s="4">
        <v>7.99</v>
      </c>
      <c r="J2631" s="4"/>
      <c r="N2631" s="4" t="str">
        <f>IF(L2631="","",IF(OR(Registro2[[#This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631" t="str">
        <f t="shared" si="56"/>
        <v>mai/25</v>
      </c>
      <c r="P2631" t="str">
        <f>IF(Registro2[[#This Row],[Data de Pagamento]]&gt;0,TEXT(A2631,"mmm/aa"),"")</f>
        <v>mai/25</v>
      </c>
      <c r="T2631" s="4">
        <f>IF(Registro2[[#This Row],[Data de Pagamento]]="",0,IF(Registro2[[#This Row],[Conta Financeira]]=base!$A$6,0,Registro2[[#This Row],[Valor Unitário]]))</f>
        <v>7.99</v>
      </c>
      <c r="U2631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31" t="str">
        <f>VLOOKUP(Registro2[[#This Row],[Categoria]],'Plano de Contas'!$V$3:W2685,2,0)</f>
        <v>Despesas Administrativas</v>
      </c>
      <c r="X263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32" spans="1:24">
      <c r="A2632" s="1">
        <v>45790</v>
      </c>
      <c r="B2632" s="1">
        <v>45790</v>
      </c>
      <c r="D2632" t="s">
        <v>947</v>
      </c>
      <c r="E2632" t="s">
        <v>137</v>
      </c>
      <c r="F2632" t="s">
        <v>139</v>
      </c>
      <c r="G2632" t="s">
        <v>337</v>
      </c>
      <c r="H2632" t="s">
        <v>2979</v>
      </c>
      <c r="I2632" s="4">
        <v>120</v>
      </c>
      <c r="J2632" s="4"/>
      <c r="N2632" s="4" t="str">
        <f>IF(L2632="","",IF(OR(Registro2[[#This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632" t="str">
        <f t="shared" si="56"/>
        <v>mai/25</v>
      </c>
      <c r="P2632" t="str">
        <f>IF(Registro2[[#This Row],[Data de Pagamento]]&gt;0,TEXT(A2632,"mmm/aa"),"")</f>
        <v>mai/25</v>
      </c>
      <c r="T2632" s="4">
        <f>IF(Registro2[[#This Row],[Data de Pagamento]]="",0,IF(Registro2[[#This Row],[Conta Financeira]]=base!$A$6,0,Registro2[[#This Row],[Valor Unitário]]))</f>
        <v>120</v>
      </c>
      <c r="U2632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32" t="str">
        <f>VLOOKUP(Registro2[[#This Row],[Categoria]],'Plano de Contas'!$V$3:W2686,2,0)</f>
        <v>Despesas Gerias &amp; Vendas</v>
      </c>
      <c r="X263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33" spans="1:24">
      <c r="A2633" s="1">
        <v>45800</v>
      </c>
      <c r="B2633" s="1">
        <v>45800</v>
      </c>
      <c r="D2633" t="s">
        <v>947</v>
      </c>
      <c r="E2633" t="s">
        <v>137</v>
      </c>
      <c r="F2633" t="s">
        <v>967</v>
      </c>
      <c r="G2633" t="s">
        <v>144</v>
      </c>
      <c r="H2633" t="s">
        <v>144</v>
      </c>
      <c r="I2633" s="4">
        <v>40</v>
      </c>
      <c r="J2633" s="4"/>
      <c r="N2633" s="4" t="str">
        <f>IF(L2633="","",IF(OR(Registro2[[#This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633" t="str">
        <f t="shared" si="56"/>
        <v>mai/25</v>
      </c>
      <c r="P2633" t="str">
        <f>IF(Registro2[[#This Row],[Data de Pagamento]]&gt;0,TEXT(A2633,"mmm/aa"),"")</f>
        <v>mai/25</v>
      </c>
      <c r="T2633" s="4">
        <f>IF(Registro2[[#This Row],[Data de Pagamento]]="",0,IF(Registro2[[#This Row],[Conta Financeira]]=base!$A$6,0,Registro2[[#This Row],[Valor Unitário]]))</f>
        <v>40</v>
      </c>
      <c r="U2633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33" t="str">
        <f>VLOOKUP(Registro2[[#This Row],[Categoria]],'Plano de Contas'!$V$3:W2687,2,0)</f>
        <v>Despesas Administrativas</v>
      </c>
      <c r="X263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34" spans="1:24">
      <c r="A2634" s="1">
        <v>45801</v>
      </c>
      <c r="B2634" s="1">
        <v>45801</v>
      </c>
      <c r="D2634" t="s">
        <v>947</v>
      </c>
      <c r="E2634" t="s">
        <v>137</v>
      </c>
      <c r="F2634" t="s">
        <v>138</v>
      </c>
      <c r="G2634" t="s">
        <v>141</v>
      </c>
      <c r="H2634" t="s">
        <v>141</v>
      </c>
      <c r="I2634" s="4">
        <v>60</v>
      </c>
      <c r="J2634" s="4"/>
      <c r="N2634" s="4" t="str">
        <f>IF(L2634="","",IF(OR(Registro2[[#This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634" t="str">
        <f t="shared" si="56"/>
        <v>mai/25</v>
      </c>
      <c r="P2634" t="str">
        <f>IF(Registro2[[#This Row],[Data de Pagamento]]&gt;0,TEXT(A2634,"mmm/aa"),"")</f>
        <v>mai/25</v>
      </c>
      <c r="T2634" s="4">
        <f>IF(Registro2[[#This Row],[Data de Pagamento]]="",0,IF(Registro2[[#This Row],[Conta Financeira]]=base!$A$6,0,Registro2[[#This Row],[Valor Unitário]]))</f>
        <v>60</v>
      </c>
      <c r="U2634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34" t="str">
        <f>VLOOKUP(Registro2[[#This Row],[Categoria]],'Plano de Contas'!$V$3:W2688,2,0)</f>
        <v>Custos Operacionais</v>
      </c>
      <c r="X263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35" spans="1:24">
      <c r="A2635" s="1">
        <v>45801</v>
      </c>
      <c r="B2635" s="1">
        <v>45801</v>
      </c>
      <c r="D2635" t="s">
        <v>947</v>
      </c>
      <c r="E2635" t="s">
        <v>137</v>
      </c>
      <c r="F2635" t="s">
        <v>138</v>
      </c>
      <c r="G2635" t="s">
        <v>141</v>
      </c>
      <c r="H2635" t="s">
        <v>141</v>
      </c>
      <c r="I2635" s="4">
        <v>60</v>
      </c>
      <c r="J2635" s="4"/>
      <c r="N2635" s="4" t="str">
        <f>IF(L2635="","",IF(OR(Registro2[[#This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635" t="str">
        <f t="shared" si="56"/>
        <v>mai/25</v>
      </c>
      <c r="P2635" t="str">
        <f>IF(Registro2[[#This Row],[Data de Pagamento]]&gt;0,TEXT(A2635,"mmm/aa"),"")</f>
        <v>mai/25</v>
      </c>
      <c r="T2635" s="4">
        <f>IF(Registro2[[#This Row],[Data de Pagamento]]="",0,IF(Registro2[[#This Row],[Conta Financeira]]=base!$A$6,0,Registro2[[#This Row],[Valor Unitário]]))</f>
        <v>60</v>
      </c>
      <c r="U2635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35" t="str">
        <f>VLOOKUP(Registro2[[#This Row],[Categoria]],'Plano de Contas'!$V$3:W2689,2,0)</f>
        <v>Custos Operacionais</v>
      </c>
      <c r="X263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36" spans="1:24">
      <c r="A2636" s="1">
        <v>45803</v>
      </c>
      <c r="B2636" s="1">
        <v>45803</v>
      </c>
      <c r="D2636" t="s">
        <v>947</v>
      </c>
      <c r="E2636" t="s">
        <v>137</v>
      </c>
      <c r="F2636" t="s">
        <v>139</v>
      </c>
      <c r="G2636" t="s">
        <v>332</v>
      </c>
      <c r="H2636" t="s">
        <v>1252</v>
      </c>
      <c r="I2636" s="4">
        <v>59.98</v>
      </c>
      <c r="J2636" s="4"/>
      <c r="N2636" s="4" t="str">
        <f>IF(L2636="","",IF(OR(Registro2[[#This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636" t="str">
        <f t="shared" si="56"/>
        <v>mai/25</v>
      </c>
      <c r="P2636" t="str">
        <f>IF(Registro2[[#This Row],[Data de Pagamento]]&gt;0,TEXT(A2636,"mmm/aa"),"")</f>
        <v>mai/25</v>
      </c>
      <c r="T2636" s="4">
        <f>IF(Registro2[[#This Row],[Data de Pagamento]]="",0,IF(Registro2[[#This Row],[Conta Financeira]]=base!$A$6,0,Registro2[[#This Row],[Valor Unitário]]))</f>
        <v>59.98</v>
      </c>
      <c r="U2636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36" t="str">
        <f>VLOOKUP(Registro2[[#This Row],[Categoria]],'Plano de Contas'!$V$3:W2690,2,0)</f>
        <v>Custos Operacionais</v>
      </c>
      <c r="X263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37" spans="1:24">
      <c r="A2637" s="1">
        <v>45807.567361111112</v>
      </c>
      <c r="B2637" s="1">
        <v>45807.567361111112</v>
      </c>
      <c r="D2637" t="s">
        <v>136</v>
      </c>
      <c r="E2637" t="s">
        <v>137</v>
      </c>
      <c r="F2637" t="s">
        <v>138</v>
      </c>
      <c r="G2637" t="s">
        <v>143</v>
      </c>
      <c r="H2637" t="s">
        <v>964</v>
      </c>
      <c r="I2637" s="4">
        <v>70</v>
      </c>
      <c r="J2637" s="4"/>
      <c r="N2637" s="4" t="str">
        <f>IF(L2637="","",IF(OR(Registro2[[#This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637" t="str">
        <f t="shared" si="56"/>
        <v>mai/25</v>
      </c>
      <c r="P2637" t="str">
        <f>IF(Registro2[[#This Row],[Data de Pagamento]]&gt;0,TEXT(A2637,"mmm/aa"),"")</f>
        <v>mai/25</v>
      </c>
      <c r="T2637" s="4">
        <f>IF(Registro2[[#This Row],[Data de Pagamento]]="",0,IF(Registro2[[#This Row],[Conta Financeira]]=base!$A$6,0,Registro2[[#This Row],[Valor Unitário]]))</f>
        <v>70</v>
      </c>
      <c r="U2637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37" t="str">
        <f>VLOOKUP(Registro2[[#This Row],[Categoria]],'Plano de Contas'!$V$3:W2691,2,0)</f>
        <v>Custos Operacionais</v>
      </c>
      <c r="X263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38" spans="1:24">
      <c r="A2638" s="1">
        <v>45807.567361111112</v>
      </c>
      <c r="B2638" s="1">
        <v>45807.567361111112</v>
      </c>
      <c r="D2638" t="s">
        <v>136</v>
      </c>
      <c r="E2638" t="s">
        <v>137</v>
      </c>
      <c r="F2638" t="s">
        <v>138</v>
      </c>
      <c r="G2638" t="s">
        <v>141</v>
      </c>
      <c r="H2638" t="s">
        <v>3484</v>
      </c>
      <c r="I2638" s="4">
        <v>60</v>
      </c>
      <c r="J2638" s="4"/>
      <c r="N2638" s="4" t="str">
        <f>IF(L2638="","",IF(OR(Registro2[[#This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638" t="str">
        <f t="shared" si="56"/>
        <v>mai/25</v>
      </c>
      <c r="P2638" t="str">
        <f>IF(Registro2[[#This Row],[Data de Pagamento]]&gt;0,TEXT(A2638,"mmm/aa"),"")</f>
        <v>mai/25</v>
      </c>
      <c r="T2638" s="4">
        <f>IF(Registro2[[#This Row],[Data de Pagamento]]="",0,IF(Registro2[[#This Row],[Conta Financeira]]=base!$A$6,0,Registro2[[#This Row],[Valor Unitário]]))</f>
        <v>60</v>
      </c>
      <c r="U263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38" t="str">
        <f>VLOOKUP(Registro2[[#This Row],[Categoria]],'Plano de Contas'!$V$3:W2692,2,0)</f>
        <v>Custos Operacionais</v>
      </c>
      <c r="X263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39" spans="1:24">
      <c r="A2639" s="1">
        <v>45808</v>
      </c>
      <c r="B2639" s="1">
        <v>45808</v>
      </c>
      <c r="D2639" t="s">
        <v>947</v>
      </c>
      <c r="E2639" t="s">
        <v>137</v>
      </c>
      <c r="F2639" t="s">
        <v>967</v>
      </c>
      <c r="G2639" t="s">
        <v>449</v>
      </c>
      <c r="H2639" t="s">
        <v>3485</v>
      </c>
      <c r="I2639" s="4">
        <v>80</v>
      </c>
      <c r="J2639" s="4"/>
      <c r="N2639" s="77" t="str">
        <f>IF(L2639="","",IF(OR(Registro2[[#This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639" s="78" t="str">
        <f t="shared" ref="O2639:O2642" si="57">TEXT(B2639,"mmm/aa")</f>
        <v>mai/25</v>
      </c>
      <c r="P2639" s="78" t="str">
        <f>IF(Registro2[[#This Row],[Data de Pagamento]]&gt;0,TEXT(A2639,"mmm/aa"),"")</f>
        <v>mai/25</v>
      </c>
      <c r="T2639" s="4">
        <f>IF(Registro2[[#This Row],[Data de Pagamento]]="",0,IF(Registro2[[#This Row],[Conta Financeira]]=base!$A$6,0,Registro2[[#This Row],[Valor Unitário]]))</f>
        <v>80</v>
      </c>
      <c r="U2639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39" s="78" t="str">
        <f>VLOOKUP(Registro2[[#This Row],[Categoria]],'Plano de Contas'!$V$3:W2693,2,0)</f>
        <v>Despesas Administrativas</v>
      </c>
      <c r="X263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40" spans="1:24">
      <c r="A2640" s="1">
        <v>45808</v>
      </c>
      <c r="B2640" s="1">
        <v>45808</v>
      </c>
      <c r="D2640" t="s">
        <v>947</v>
      </c>
      <c r="E2640" t="s">
        <v>137</v>
      </c>
      <c r="F2640" t="s">
        <v>139</v>
      </c>
      <c r="G2640" t="s">
        <v>336</v>
      </c>
      <c r="H2640" t="s">
        <v>3486</v>
      </c>
      <c r="I2640" s="4">
        <v>2845.6</v>
      </c>
      <c r="J2640" s="4"/>
      <c r="L2640" t="s">
        <v>264</v>
      </c>
      <c r="N2640" s="77" t="str">
        <f>IF(L2640="","",IF(OR(Registro2[[#This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640" s="78" t="str">
        <f t="shared" si="57"/>
        <v>mai/25</v>
      </c>
      <c r="P2640" s="78" t="str">
        <f>IF(Registro2[[#This Row],[Data de Pagamento]]&gt;0,TEXT(A2640,"mmm/aa"),"")</f>
        <v>mai/25</v>
      </c>
      <c r="T2640" s="4">
        <f>IF(Registro2[[#This Row],[Data de Pagamento]]="",0,IF(Registro2[[#This Row],[Conta Financeira]]=base!$A$6,0,Registro2[[#This Row],[Valor Unitário]]))</f>
        <v>2845.6</v>
      </c>
      <c r="U2640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40" s="78" t="str">
        <f>VLOOKUP(Registro2[[#This Row],[Categoria]],'Plano de Contas'!$V$3:W2694,2,0)</f>
        <v>Custos Operacionais</v>
      </c>
      <c r="X264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41" spans="1:24">
      <c r="A2641" s="1">
        <v>45808</v>
      </c>
      <c r="B2641" s="1">
        <v>45808</v>
      </c>
      <c r="D2641" t="s">
        <v>947</v>
      </c>
      <c r="E2641" t="s">
        <v>137</v>
      </c>
      <c r="F2641" t="s">
        <v>139</v>
      </c>
      <c r="G2641" t="s">
        <v>180</v>
      </c>
      <c r="H2641" t="s">
        <v>3486</v>
      </c>
      <c r="I2641" s="4">
        <v>70</v>
      </c>
      <c r="J2641" s="4"/>
      <c r="L2641" t="s">
        <v>264</v>
      </c>
      <c r="N2641" s="77" t="str">
        <f>IF(L2641="","",IF(OR(Registro2[[#This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641" s="78" t="str">
        <f t="shared" si="57"/>
        <v>mai/25</v>
      </c>
      <c r="P2641" s="78" t="str">
        <f>IF(Registro2[[#This Row],[Data de Pagamento]]&gt;0,TEXT(A2641,"mmm/aa"),"")</f>
        <v>mai/25</v>
      </c>
      <c r="T2641" s="4">
        <f>IF(Registro2[[#This Row],[Data de Pagamento]]="",0,IF(Registro2[[#This Row],[Conta Financeira]]=base!$A$6,0,Registro2[[#This Row],[Valor Unitário]]))</f>
        <v>70</v>
      </c>
      <c r="U2641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41" s="78" t="str">
        <f>VLOOKUP(Registro2[[#This Row],[Categoria]],'Plano de Contas'!$V$3:W2695,2,0)</f>
        <v>Despesas Administrativas</v>
      </c>
      <c r="X264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42" spans="1:24">
      <c r="A2642" s="1">
        <v>45808</v>
      </c>
      <c r="B2642" s="1">
        <v>45808</v>
      </c>
      <c r="D2642" t="s">
        <v>947</v>
      </c>
      <c r="E2642" t="s">
        <v>137</v>
      </c>
      <c r="F2642" t="s">
        <v>139</v>
      </c>
      <c r="G2642" t="s">
        <v>336</v>
      </c>
      <c r="H2642" t="s">
        <v>3487</v>
      </c>
      <c r="I2642" s="4">
        <v>4001.8</v>
      </c>
      <c r="J2642" s="4"/>
      <c r="L2642" t="s">
        <v>253</v>
      </c>
      <c r="N2642" s="77" t="str">
        <f>IF(L2642="","",IF(OR(Registro2[[#This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642" s="78" t="str">
        <f t="shared" si="57"/>
        <v>mai/25</v>
      </c>
      <c r="P2642" s="78" t="str">
        <f>IF(Registro2[[#This Row],[Data de Pagamento]]&gt;0,TEXT(A2642,"mmm/aa"),"")</f>
        <v>mai/25</v>
      </c>
      <c r="T2642" s="4">
        <f>IF(Registro2[[#This Row],[Data de Pagamento]]="",0,IF(Registro2[[#This Row],[Conta Financeira]]=base!$A$6,0,Registro2[[#This Row],[Valor Unitário]]))</f>
        <v>4001.8</v>
      </c>
      <c r="U2642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42" s="78" t="str">
        <f>VLOOKUP(Registro2[[#This Row],[Categoria]],'Plano de Contas'!$V$3:W2696,2,0)</f>
        <v>Custos Operacionais</v>
      </c>
      <c r="X264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43" spans="1:24">
      <c r="A2643" s="1">
        <v>45808</v>
      </c>
      <c r="B2643" s="1">
        <v>45808</v>
      </c>
      <c r="D2643" t="s">
        <v>136</v>
      </c>
      <c r="E2643" t="s">
        <v>137</v>
      </c>
      <c r="F2643" t="s">
        <v>139</v>
      </c>
      <c r="G2643" t="s">
        <v>336</v>
      </c>
      <c r="H2643" t="s">
        <v>3488</v>
      </c>
      <c r="I2643" s="4">
        <v>3329.3</v>
      </c>
      <c r="J2643" s="4"/>
      <c r="L2643" t="s">
        <v>252</v>
      </c>
      <c r="N2643" s="77" t="str">
        <f>IF(L2643="","",IF(OR(Registro2[[#This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643" s="78" t="str">
        <f t="shared" ref="O2643:O2644" si="58">TEXT(B2643,"mmm/aa")</f>
        <v>mai/25</v>
      </c>
      <c r="P2643" s="78" t="str">
        <f>IF(Registro2[[#This Row],[Data de Pagamento]]&gt;0,TEXT(A2643,"mmm/aa"),"")</f>
        <v>mai/25</v>
      </c>
      <c r="T2643" s="4">
        <f>IF(Registro2[[#This Row],[Data de Pagamento]]="",0,IF(Registro2[[#This Row],[Conta Financeira]]=base!$A$6,0,Registro2[[#This Row],[Valor Unitário]]))</f>
        <v>3329.3</v>
      </c>
      <c r="U2643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43" s="78" t="str">
        <f>VLOOKUP(Registro2[[#This Row],[Categoria]],'Plano de Contas'!$V$3:W2697,2,0)</f>
        <v>Custos Operacionais</v>
      </c>
      <c r="X264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44" spans="1:24">
      <c r="A2644" s="1">
        <v>45810.79583333333</v>
      </c>
      <c r="B2644" s="1">
        <v>45810.79583333333</v>
      </c>
      <c r="D2644" t="s">
        <v>136</v>
      </c>
      <c r="E2644" t="s">
        <v>137</v>
      </c>
      <c r="F2644" t="s">
        <v>138</v>
      </c>
      <c r="G2644" t="s">
        <v>340</v>
      </c>
      <c r="H2644" t="s">
        <v>3489</v>
      </c>
      <c r="I2644" s="4">
        <v>3.99</v>
      </c>
      <c r="J2644" s="4"/>
      <c r="N2644" s="77" t="str">
        <f>IF(L2644="","",IF(OR(Registro2[[#This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644" s="78" t="str">
        <f t="shared" si="58"/>
        <v>jun/25</v>
      </c>
      <c r="P2644" s="78" t="str">
        <f>IF(Registro2[[#This Row],[Data de Pagamento]]&gt;0,TEXT(A2644,"mmm/aa"),"")</f>
        <v>jun/25</v>
      </c>
      <c r="T2644" s="4">
        <f>IF(Registro2[[#This Row],[Data de Pagamento]]="",0,IF(Registro2[[#This Row],[Conta Financeira]]=base!$A$6,0,Registro2[[#This Row],[Valor Unitário]]))</f>
        <v>3.99</v>
      </c>
      <c r="U2644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44" s="78" t="str">
        <f>VLOOKUP(Registro2[[#This Row],[Categoria]],'Plano de Contas'!$V$3:W2698,2,0)</f>
        <v>Despesas Gerias &amp; Vendas</v>
      </c>
      <c r="X264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45" spans="1:24">
      <c r="A2645" s="1">
        <v>45810</v>
      </c>
      <c r="B2645" s="1">
        <v>45810</v>
      </c>
      <c r="D2645" t="s">
        <v>882</v>
      </c>
      <c r="E2645" t="s">
        <v>149</v>
      </c>
      <c r="F2645" t="s">
        <v>147</v>
      </c>
      <c r="G2645" t="s">
        <v>1046</v>
      </c>
      <c r="I2645" s="80">
        <v>35</v>
      </c>
      <c r="J2645" s="80">
        <v>70</v>
      </c>
      <c r="L2645" t="s">
        <v>253</v>
      </c>
      <c r="M2645" t="s">
        <v>3141</v>
      </c>
      <c r="N2645" s="77">
        <f>IF(L2645="","",IF(OR(Registro2[[#This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45" s="78" t="str">
        <f t="shared" ref="O2645:O2657" si="59">TEXT(B2645,"mmm/aa")</f>
        <v>jun/25</v>
      </c>
      <c r="P2645" s="78" t="str">
        <f>IF(Registro2[[#This Row],[Data de Pagamento]]&gt;0,TEXT(A2645,"mmm/aa"),"")</f>
        <v>jun/25</v>
      </c>
      <c r="T2645" s="4">
        <f>IF(Registro2[[#This Row],[Data de Pagamento]]="",0,IF(Registro2[[#This Row],[Conta Financeira]]=base!$A$6,0,Registro2[[#This Row],[Valor Unitário]]))</f>
        <v>35</v>
      </c>
      <c r="U2645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45" s="78" t="str">
        <f>VLOOKUP(Registro2[[#This Row],[Categoria]],'Plano de Contas'!$V$3:W2699,2,0)</f>
        <v>Receitas Serviços</v>
      </c>
      <c r="X264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46" spans="1:24">
      <c r="A2646" s="1">
        <v>45810</v>
      </c>
      <c r="B2646" s="1">
        <v>45810</v>
      </c>
      <c r="D2646" t="s">
        <v>882</v>
      </c>
      <c r="E2646" t="s">
        <v>149</v>
      </c>
      <c r="F2646" t="s">
        <v>147</v>
      </c>
      <c r="G2646" t="s">
        <v>163</v>
      </c>
      <c r="I2646" s="80">
        <v>35</v>
      </c>
      <c r="J2646" s="4" t="s">
        <v>1604</v>
      </c>
      <c r="L2646" t="s">
        <v>253</v>
      </c>
      <c r="M2646" t="s">
        <v>3141</v>
      </c>
      <c r="N2646" s="77">
        <f>IF(L2646="","",IF(OR(Registro2[[#This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46" s="78" t="str">
        <f t="shared" si="59"/>
        <v>jun/25</v>
      </c>
      <c r="P2646" s="78" t="str">
        <f>IF(Registro2[[#This Row],[Data de Pagamento]]&gt;0,TEXT(A2646,"mmm/aa"),"")</f>
        <v>jun/25</v>
      </c>
      <c r="T2646" s="4">
        <f>IF(Registro2[[#This Row],[Data de Pagamento]]="",0,IF(Registro2[[#This Row],[Conta Financeira]]=base!$A$6,0,Registro2[[#This Row],[Valor Unitário]]))</f>
        <v>35</v>
      </c>
      <c r="U2646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46" s="78" t="str">
        <f>VLOOKUP(Registro2[[#This Row],[Categoria]],'Plano de Contas'!$V$3:W2700,2,0)</f>
        <v>Receitas Serviços</v>
      </c>
      <c r="X264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47" spans="1:24">
      <c r="A2647" s="1">
        <v>45810</v>
      </c>
      <c r="B2647" s="1">
        <v>45810</v>
      </c>
      <c r="D2647" t="s">
        <v>1</v>
      </c>
      <c r="E2647" t="s">
        <v>149</v>
      </c>
      <c r="F2647" t="s">
        <v>147</v>
      </c>
      <c r="G2647" t="s">
        <v>163</v>
      </c>
      <c r="I2647" s="80">
        <v>35</v>
      </c>
      <c r="J2647" s="80">
        <v>35</v>
      </c>
      <c r="L2647" t="s">
        <v>253</v>
      </c>
      <c r="M2647" t="s">
        <v>469</v>
      </c>
      <c r="N2647" s="77">
        <f>IF(L2647="","",IF(OR(Registro2[[#This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47" s="78" t="str">
        <f t="shared" si="59"/>
        <v>jun/25</v>
      </c>
      <c r="P2647" s="78" t="str">
        <f>IF(Registro2[[#This Row],[Data de Pagamento]]&gt;0,TEXT(A2647,"mmm/aa"),"")</f>
        <v>jun/25</v>
      </c>
      <c r="T2647" s="4">
        <f>IF(Registro2[[#This Row],[Data de Pagamento]]="",0,IF(Registro2[[#This Row],[Conta Financeira]]=base!$A$6,0,Registro2[[#This Row],[Valor Unitário]]))</f>
        <v>35</v>
      </c>
      <c r="U2647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47" s="78" t="str">
        <f>VLOOKUP(Registro2[[#This Row],[Categoria]],'Plano de Contas'!$V$3:W2701,2,0)</f>
        <v>Receitas Serviços</v>
      </c>
      <c r="X264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48" spans="1:24">
      <c r="A2648" s="1">
        <v>45810</v>
      </c>
      <c r="B2648" s="1">
        <v>45810</v>
      </c>
      <c r="D2648" t="s">
        <v>1</v>
      </c>
      <c r="E2648" t="s">
        <v>149</v>
      </c>
      <c r="F2648" t="s">
        <v>147</v>
      </c>
      <c r="G2648" t="s">
        <v>1046</v>
      </c>
      <c r="I2648" s="80">
        <v>35</v>
      </c>
      <c r="J2648" s="80">
        <v>80</v>
      </c>
      <c r="L2648" t="s">
        <v>253</v>
      </c>
      <c r="M2648" t="s">
        <v>2025</v>
      </c>
      <c r="N2648" s="77">
        <f>IF(L2648="","",IF(OR(Registro2[[#This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48" s="78" t="str">
        <f t="shared" si="59"/>
        <v>jun/25</v>
      </c>
      <c r="P2648" s="78" t="str">
        <f>IF(Registro2[[#This Row],[Data de Pagamento]]&gt;0,TEXT(A2648,"mmm/aa"),"")</f>
        <v>jun/25</v>
      </c>
      <c r="T2648" s="4">
        <f>IF(Registro2[[#This Row],[Data de Pagamento]]="",0,IF(Registro2[[#This Row],[Conta Financeira]]=base!$A$6,0,Registro2[[#This Row],[Valor Unitário]]))</f>
        <v>35</v>
      </c>
      <c r="U2648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48" s="78" t="str">
        <f>VLOOKUP(Registro2[[#This Row],[Categoria]],'Plano de Contas'!$V$3:W2702,2,0)</f>
        <v>Receitas Serviços</v>
      </c>
      <c r="X264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49" spans="1:24">
      <c r="A2649" s="1">
        <v>45810</v>
      </c>
      <c r="B2649" s="1">
        <v>45810</v>
      </c>
      <c r="D2649" t="s">
        <v>1</v>
      </c>
      <c r="E2649" t="s">
        <v>149</v>
      </c>
      <c r="F2649" t="s">
        <v>147</v>
      </c>
      <c r="G2649" t="s">
        <v>2825</v>
      </c>
      <c r="I2649" s="80">
        <v>10</v>
      </c>
      <c r="J2649" s="4" t="s">
        <v>1604</v>
      </c>
      <c r="L2649" t="s">
        <v>253</v>
      </c>
      <c r="M2649" t="s">
        <v>2025</v>
      </c>
      <c r="N2649" s="77">
        <f>IF(L2649="","",IF(OR(Registro2[[#This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649" s="78" t="str">
        <f t="shared" si="59"/>
        <v>jun/25</v>
      </c>
      <c r="P2649" s="78" t="str">
        <f>IF(Registro2[[#This Row],[Data de Pagamento]]&gt;0,TEXT(A2649,"mmm/aa"),"")</f>
        <v>jun/25</v>
      </c>
      <c r="T2649" s="4">
        <f>IF(Registro2[[#This Row],[Data de Pagamento]]="",0,IF(Registro2[[#This Row],[Conta Financeira]]=base!$A$6,0,Registro2[[#This Row],[Valor Unitário]]))</f>
        <v>10</v>
      </c>
      <c r="U2649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49" s="78" t="e">
        <f>VLOOKUP(Registro2[[#This Row],[Categoria]],'Plano de Contas'!$V$3:W2703,2,0)</f>
        <v>#N/A</v>
      </c>
      <c r="X264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50" spans="1:24">
      <c r="A2650" s="1">
        <v>45810</v>
      </c>
      <c r="B2650" s="1">
        <v>45810</v>
      </c>
      <c r="D2650" t="s">
        <v>1</v>
      </c>
      <c r="E2650" t="s">
        <v>149</v>
      </c>
      <c r="F2650" t="s">
        <v>150</v>
      </c>
      <c r="G2650" t="s">
        <v>2731</v>
      </c>
      <c r="I2650" s="80">
        <v>35</v>
      </c>
      <c r="J2650" s="4" t="s">
        <v>1604</v>
      </c>
      <c r="L2650" t="s">
        <v>253</v>
      </c>
      <c r="M2650" t="s">
        <v>2025</v>
      </c>
      <c r="N2650" s="77">
        <f>IF(L2650="","",IF(OR(Registro2[[#This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14</v>
      </c>
      <c r="O2650" s="78" t="str">
        <f t="shared" si="59"/>
        <v>jun/25</v>
      </c>
      <c r="P2650" s="78" t="str">
        <f>IF(Registro2[[#This Row],[Data de Pagamento]]&gt;0,TEXT(A2650,"mmm/aa"),"")</f>
        <v>jun/25</v>
      </c>
      <c r="T2650" s="4">
        <f>IF(Registro2[[#This Row],[Data de Pagamento]]="",0,IF(Registro2[[#This Row],[Conta Financeira]]=base!$A$6,0,Registro2[[#This Row],[Valor Unitário]]))</f>
        <v>35</v>
      </c>
      <c r="U2650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50" s="78" t="e">
        <f>VLOOKUP(Registro2[[#This Row],[Categoria]],'Plano de Contas'!$V$3:W2704,2,0)</f>
        <v>#N/A</v>
      </c>
      <c r="X265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51" spans="1:24">
      <c r="A2651" s="1">
        <v>45810</v>
      </c>
      <c r="B2651" s="1">
        <v>45810</v>
      </c>
      <c r="D2651" t="s">
        <v>1</v>
      </c>
      <c r="E2651" t="s">
        <v>149</v>
      </c>
      <c r="F2651" t="s">
        <v>147</v>
      </c>
      <c r="G2651" t="s">
        <v>163</v>
      </c>
      <c r="I2651" s="80">
        <v>35</v>
      </c>
      <c r="J2651" s="80">
        <v>53</v>
      </c>
      <c r="L2651" t="s">
        <v>253</v>
      </c>
      <c r="M2651" t="s">
        <v>2060</v>
      </c>
      <c r="N2651" s="77">
        <f>IF(L2651="","",IF(OR(Registro2[[#This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51" s="78" t="str">
        <f t="shared" si="59"/>
        <v>jun/25</v>
      </c>
      <c r="P2651" s="78" t="str">
        <f>IF(Registro2[[#This Row],[Data de Pagamento]]&gt;0,TEXT(A2651,"mmm/aa"),"")</f>
        <v>jun/25</v>
      </c>
      <c r="T2651" s="4">
        <f>IF(Registro2[[#This Row],[Data de Pagamento]]="",0,IF(Registro2[[#This Row],[Conta Financeira]]=base!$A$6,0,Registro2[[#This Row],[Valor Unitário]]))</f>
        <v>35</v>
      </c>
      <c r="U2651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51" s="78" t="str">
        <f>VLOOKUP(Registro2[[#This Row],[Categoria]],'Plano de Contas'!$V$3:W2705,2,0)</f>
        <v>Receitas Serviços</v>
      </c>
      <c r="X265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52" spans="1:24">
      <c r="A2652" s="1">
        <v>45810</v>
      </c>
      <c r="B2652" s="1">
        <v>45810</v>
      </c>
      <c r="D2652" t="s">
        <v>1</v>
      </c>
      <c r="E2652" t="s">
        <v>149</v>
      </c>
      <c r="F2652" t="s">
        <v>150</v>
      </c>
      <c r="G2652" t="s">
        <v>3316</v>
      </c>
      <c r="I2652" s="80">
        <v>18</v>
      </c>
      <c r="J2652" s="4" t="s">
        <v>1604</v>
      </c>
      <c r="L2652" t="s">
        <v>253</v>
      </c>
      <c r="M2652" t="s">
        <v>2060</v>
      </c>
      <c r="N2652" s="77">
        <f>IF(L2652="","",IF(OR(Registro2[[#This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7.2</v>
      </c>
      <c r="O2652" s="78" t="str">
        <f t="shared" si="59"/>
        <v>jun/25</v>
      </c>
      <c r="P2652" s="78" t="str">
        <f>IF(Registro2[[#This Row],[Data de Pagamento]]&gt;0,TEXT(A2652,"mmm/aa"),"")</f>
        <v>jun/25</v>
      </c>
      <c r="T2652" s="4">
        <f>IF(Registro2[[#This Row],[Data de Pagamento]]="",0,IF(Registro2[[#This Row],[Conta Financeira]]=base!$A$6,0,Registro2[[#This Row],[Valor Unitário]]))</f>
        <v>18</v>
      </c>
      <c r="U2652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52" s="78" t="e">
        <f>VLOOKUP(Registro2[[#This Row],[Categoria]],'Plano de Contas'!$V$3:W2706,2,0)</f>
        <v>#N/A</v>
      </c>
      <c r="X265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53" spans="1:24">
      <c r="A2653" s="1">
        <v>45810</v>
      </c>
      <c r="B2653" s="1">
        <v>45810</v>
      </c>
      <c r="D2653" t="s">
        <v>1</v>
      </c>
      <c r="E2653" t="s">
        <v>149</v>
      </c>
      <c r="F2653" t="s">
        <v>147</v>
      </c>
      <c r="G2653" t="s">
        <v>163</v>
      </c>
      <c r="I2653" s="80">
        <v>35</v>
      </c>
      <c r="J2653" s="80">
        <v>53</v>
      </c>
      <c r="L2653" t="s">
        <v>253</v>
      </c>
      <c r="M2653" t="s">
        <v>3414</v>
      </c>
      <c r="N2653" s="77">
        <f>IF(L2653="","",IF(OR(Registro2[[#This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53" s="78" t="str">
        <f t="shared" si="59"/>
        <v>jun/25</v>
      </c>
      <c r="P2653" s="78" t="str">
        <f>IF(Registro2[[#This Row],[Data de Pagamento]]&gt;0,TEXT(A2653,"mmm/aa"),"")</f>
        <v>jun/25</v>
      </c>
      <c r="T2653" s="4">
        <f>IF(Registro2[[#This Row],[Data de Pagamento]]="",0,IF(Registro2[[#This Row],[Conta Financeira]]=base!$A$6,0,Registro2[[#This Row],[Valor Unitário]]))</f>
        <v>35</v>
      </c>
      <c r="U2653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53" s="78" t="str">
        <f>VLOOKUP(Registro2[[#This Row],[Categoria]],'Plano de Contas'!$V$3:W2707,2,0)</f>
        <v>Receitas Serviços</v>
      </c>
      <c r="X265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54" spans="1:24">
      <c r="A2654" s="1">
        <v>45810</v>
      </c>
      <c r="B2654" s="1">
        <v>45810</v>
      </c>
      <c r="D2654" t="s">
        <v>1</v>
      </c>
      <c r="E2654" t="s">
        <v>149</v>
      </c>
      <c r="F2654" t="s">
        <v>150</v>
      </c>
      <c r="G2654" t="s">
        <v>3316</v>
      </c>
      <c r="I2654" s="80">
        <v>18</v>
      </c>
      <c r="J2654" s="4" t="s">
        <v>1604</v>
      </c>
      <c r="L2654" t="s">
        <v>253</v>
      </c>
      <c r="M2654" t="s">
        <v>3414</v>
      </c>
      <c r="N2654" s="77">
        <f>IF(L2654="","",IF(OR(Registro2[[#This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7.2</v>
      </c>
      <c r="O2654" s="78" t="str">
        <f t="shared" si="59"/>
        <v>jun/25</v>
      </c>
      <c r="P2654" s="78" t="str">
        <f>IF(Registro2[[#This Row],[Data de Pagamento]]&gt;0,TEXT(A2654,"mmm/aa"),"")</f>
        <v>jun/25</v>
      </c>
      <c r="T2654" s="4">
        <f>IF(Registro2[[#This Row],[Data de Pagamento]]="",0,IF(Registro2[[#This Row],[Conta Financeira]]=base!$A$6,0,Registro2[[#This Row],[Valor Unitário]]))</f>
        <v>18</v>
      </c>
      <c r="U2654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54" s="78" t="e">
        <f>VLOOKUP(Registro2[[#This Row],[Categoria]],'Plano de Contas'!$V$3:W2708,2,0)</f>
        <v>#N/A</v>
      </c>
      <c r="X265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55" spans="1:24">
      <c r="A2655" s="1">
        <v>45810</v>
      </c>
      <c r="B2655" s="1">
        <v>45810</v>
      </c>
      <c r="D2655" t="s">
        <v>1</v>
      </c>
      <c r="E2655" t="s">
        <v>149</v>
      </c>
      <c r="F2655" t="s">
        <v>147</v>
      </c>
      <c r="G2655" t="s">
        <v>163</v>
      </c>
      <c r="I2655" s="80">
        <v>35</v>
      </c>
      <c r="J2655" s="80">
        <v>35</v>
      </c>
      <c r="L2655" t="s">
        <v>253</v>
      </c>
      <c r="M2655" t="s">
        <v>288</v>
      </c>
      <c r="N2655" s="77">
        <f>IF(L2655="","",IF(OR(Registro2[[#This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55" s="78" t="str">
        <f t="shared" si="59"/>
        <v>jun/25</v>
      </c>
      <c r="P2655" s="78" t="str">
        <f>IF(Registro2[[#This Row],[Data de Pagamento]]&gt;0,TEXT(A2655,"mmm/aa"),"")</f>
        <v>jun/25</v>
      </c>
      <c r="T2655" s="4">
        <f>IF(Registro2[[#This Row],[Data de Pagamento]]="",0,IF(Registro2[[#This Row],[Conta Financeira]]=base!$A$6,0,Registro2[[#This Row],[Valor Unitário]]))</f>
        <v>35</v>
      </c>
      <c r="U2655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55" s="78" t="str">
        <f>VLOOKUP(Registro2[[#This Row],[Categoria]],'Plano de Contas'!$V$3:W2709,2,0)</f>
        <v>Receitas Serviços</v>
      </c>
      <c r="X265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56" spans="1:24">
      <c r="A2656" s="1">
        <v>45810</v>
      </c>
      <c r="B2656" s="1">
        <v>45810</v>
      </c>
      <c r="D2656" t="s">
        <v>1</v>
      </c>
      <c r="E2656" t="s">
        <v>149</v>
      </c>
      <c r="F2656" t="s">
        <v>152</v>
      </c>
      <c r="G2656" t="s">
        <v>353</v>
      </c>
      <c r="I2656" s="80">
        <v>50</v>
      </c>
      <c r="J2656" s="80">
        <v>50</v>
      </c>
      <c r="L2656" t="s">
        <v>253</v>
      </c>
      <c r="M2656" t="s">
        <v>3504</v>
      </c>
      <c r="N2656" s="77">
        <f>IF(L2656="","",IF(OR(Registro2[[#This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2656" s="78" t="str">
        <f t="shared" si="59"/>
        <v>jun/25</v>
      </c>
      <c r="P2656" s="78" t="str">
        <f>IF(Registro2[[#This Row],[Data de Pagamento]]&gt;0,TEXT(A2656,"mmm/aa"),"")</f>
        <v>jun/25</v>
      </c>
      <c r="T2656" s="4">
        <f>IF(Registro2[[#This Row],[Data de Pagamento]]="",0,IF(Registro2[[#This Row],[Conta Financeira]]=base!$A$6,0,Registro2[[#This Row],[Valor Unitário]]))</f>
        <v>50</v>
      </c>
      <c r="U2656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56" s="78" t="str">
        <f>VLOOKUP(Registro2[[#This Row],[Categoria]],'Plano de Contas'!$V$3:W2710,2,0)</f>
        <v>Receitas Serviços</v>
      </c>
      <c r="X265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57" spans="1:24">
      <c r="A2657" s="1">
        <v>45810</v>
      </c>
      <c r="B2657" s="1">
        <v>45810</v>
      </c>
      <c r="D2657" t="s">
        <v>1</v>
      </c>
      <c r="E2657" t="s">
        <v>149</v>
      </c>
      <c r="F2657" t="s">
        <v>152</v>
      </c>
      <c r="G2657" t="s">
        <v>353</v>
      </c>
      <c r="I2657" s="80">
        <v>50</v>
      </c>
      <c r="J2657" s="80">
        <v>0</v>
      </c>
      <c r="L2657" t="s">
        <v>253</v>
      </c>
      <c r="M2657" t="s">
        <v>1214</v>
      </c>
      <c r="N2657" s="77">
        <f>IF(L2657="","",IF(OR(Registro2[[#This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22.5</v>
      </c>
      <c r="O2657" s="78" t="str">
        <f t="shared" si="59"/>
        <v>jun/25</v>
      </c>
      <c r="P2657" s="78" t="str">
        <f>IF(Registro2[[#This Row],[Data de Pagamento]]&gt;0,TEXT(A2657,"mmm/aa"),"")</f>
        <v>jun/25</v>
      </c>
      <c r="T2657" s="4">
        <f>IF(Registro2[[#This Row],[Data de Pagamento]]="",0,IF(Registro2[[#This Row],[Conta Financeira]]=base!$A$6,0,Registro2[[#This Row],[Valor Unitário]]))</f>
        <v>50</v>
      </c>
      <c r="U2657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57" s="78" t="str">
        <f>VLOOKUP(Registro2[[#This Row],[Categoria]],'Plano de Contas'!$V$3:W2711,2,0)</f>
        <v>Receitas Serviços</v>
      </c>
      <c r="X265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58" spans="1:24">
      <c r="A2658" s="1">
        <v>45811.4375</v>
      </c>
      <c r="B2658" s="1">
        <v>45811.4375</v>
      </c>
      <c r="D2658" t="s">
        <v>1</v>
      </c>
      <c r="E2658" t="s">
        <v>149</v>
      </c>
      <c r="F2658" t="s">
        <v>147</v>
      </c>
      <c r="G2658" t="s">
        <v>163</v>
      </c>
      <c r="I2658" s="4">
        <v>35</v>
      </c>
      <c r="J2658" s="4">
        <v>45</v>
      </c>
      <c r="L2658" t="s">
        <v>252</v>
      </c>
      <c r="M2658" t="s">
        <v>62</v>
      </c>
      <c r="N2658" s="77">
        <f>IF(L2658="","",IF(OR(Registro2[[#This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58" s="78" t="str">
        <f t="shared" ref="O2658:O2685" si="60">TEXT(B2658,"mmm/aa")</f>
        <v>jun/25</v>
      </c>
      <c r="P2658" s="78" t="str">
        <f>IF(Registro2[[#This Row],[Data de Pagamento]]&gt;0,TEXT(A2658,"mmm/aa"),"")</f>
        <v>jun/25</v>
      </c>
      <c r="T2658" s="4">
        <f>IF(Registro2[[#This Row],[Data de Pagamento]]="",0,IF(Registro2[[#This Row],[Conta Financeira]]=base!$A$6,0,Registro2[[#This Row],[Valor Unitário]]))</f>
        <v>35</v>
      </c>
      <c r="U2658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58" s="78" t="str">
        <f>VLOOKUP(Registro2[[#This Row],[Categoria]],'Plano de Contas'!$V$3:W2712,2,0)</f>
        <v>Receitas Serviços</v>
      </c>
      <c r="X265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59" spans="1:24">
      <c r="A2659" s="1">
        <v>45811.4375</v>
      </c>
      <c r="B2659" s="1">
        <v>45811.4375</v>
      </c>
      <c r="D2659" t="s">
        <v>1</v>
      </c>
      <c r="E2659" t="s">
        <v>149</v>
      </c>
      <c r="F2659" t="s">
        <v>147</v>
      </c>
      <c r="G2659" t="s">
        <v>167</v>
      </c>
      <c r="I2659" s="4">
        <v>10</v>
      </c>
      <c r="J2659" s="4">
        <v>0</v>
      </c>
      <c r="L2659" t="s">
        <v>252</v>
      </c>
      <c r="M2659" t="s">
        <v>62</v>
      </c>
      <c r="N2659" s="77">
        <f>IF(L2659="","",IF(OR(Registro2[[#This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4.5</v>
      </c>
      <c r="O2659" s="78" t="str">
        <f t="shared" si="60"/>
        <v>jun/25</v>
      </c>
      <c r="P2659" s="78" t="str">
        <f>IF(Registro2[[#This Row],[Data de Pagamento]]&gt;0,TEXT(A2659,"mmm/aa"),"")</f>
        <v>jun/25</v>
      </c>
      <c r="T2659" s="4">
        <f>IF(Registro2[[#This Row],[Data de Pagamento]]="",0,IF(Registro2[[#This Row],[Conta Financeira]]=base!$A$6,0,Registro2[[#This Row],[Valor Unitário]]))</f>
        <v>10</v>
      </c>
      <c r="U2659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59" s="78" t="str">
        <f>VLOOKUP(Registro2[[#This Row],[Categoria]],'Plano de Contas'!$V$3:W2713,2,0)</f>
        <v>Receitas Serviços</v>
      </c>
      <c r="X265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60" spans="1:24">
      <c r="A2660" s="1">
        <v>45811.427083333336</v>
      </c>
      <c r="B2660" s="1">
        <v>45811.427083333336</v>
      </c>
      <c r="D2660" t="s">
        <v>1</v>
      </c>
      <c r="E2660" t="s">
        <v>149</v>
      </c>
      <c r="F2660" t="s">
        <v>147</v>
      </c>
      <c r="G2660" t="s">
        <v>2825</v>
      </c>
      <c r="I2660" s="4">
        <v>20</v>
      </c>
      <c r="J2660" s="4">
        <v>70</v>
      </c>
      <c r="L2660" t="s">
        <v>264</v>
      </c>
      <c r="M2660" t="s">
        <v>465</v>
      </c>
      <c r="N2660" s="77">
        <f>IF(L2660="","",IF(OR(Registro2[[#This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660" s="78" t="str">
        <f t="shared" si="60"/>
        <v>jun/25</v>
      </c>
      <c r="P2660" s="78" t="str">
        <f>IF(Registro2[[#This Row],[Data de Pagamento]]&gt;0,TEXT(A2660,"mmm/aa"),"")</f>
        <v>jun/25</v>
      </c>
      <c r="T2660" s="4">
        <f>IF(Registro2[[#This Row],[Data de Pagamento]]="",0,IF(Registro2[[#This Row],[Conta Financeira]]=base!$A$6,0,Registro2[[#This Row],[Valor Unitário]]))</f>
        <v>20</v>
      </c>
      <c r="U2660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60" s="78" t="e">
        <f>VLOOKUP(Registro2[[#This Row],[Categoria]],'Plano de Contas'!$V$3:W2714,2,0)</f>
        <v>#N/A</v>
      </c>
      <c r="X266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61" spans="1:24">
      <c r="A2661" s="1">
        <v>45811.427083333336</v>
      </c>
      <c r="B2661" s="1">
        <v>45811.427083333336</v>
      </c>
      <c r="D2661" t="s">
        <v>1</v>
      </c>
      <c r="E2661" t="s">
        <v>149</v>
      </c>
      <c r="F2661" t="s">
        <v>147</v>
      </c>
      <c r="G2661" t="s">
        <v>163</v>
      </c>
      <c r="I2661" s="4">
        <v>35</v>
      </c>
      <c r="J2661" s="4">
        <v>0</v>
      </c>
      <c r="L2661" t="s">
        <v>264</v>
      </c>
      <c r="M2661" t="s">
        <v>465</v>
      </c>
      <c r="N2661" s="77">
        <f>IF(L2661="","",IF(OR(Registro2[[#This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61" s="78" t="str">
        <f t="shared" si="60"/>
        <v>jun/25</v>
      </c>
      <c r="P2661" s="78" t="str">
        <f>IF(Registro2[[#This Row],[Data de Pagamento]]&gt;0,TEXT(A2661,"mmm/aa"),"")</f>
        <v>jun/25</v>
      </c>
      <c r="T2661" s="4">
        <f>IF(Registro2[[#This Row],[Data de Pagamento]]="",0,IF(Registro2[[#This Row],[Conta Financeira]]=base!$A$6,0,Registro2[[#This Row],[Valor Unitário]]))</f>
        <v>35</v>
      </c>
      <c r="U2661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61" s="78" t="str">
        <f>VLOOKUP(Registro2[[#This Row],[Categoria]],'Plano de Contas'!$V$3:W2715,2,0)</f>
        <v>Receitas Serviços</v>
      </c>
      <c r="X266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62" spans="1:24">
      <c r="A2662" s="1">
        <v>45811.427083333336</v>
      </c>
      <c r="B2662" s="1">
        <v>45811.427083333336</v>
      </c>
      <c r="D2662" t="s">
        <v>1</v>
      </c>
      <c r="E2662" t="s">
        <v>149</v>
      </c>
      <c r="F2662" t="s">
        <v>147</v>
      </c>
      <c r="G2662" t="s">
        <v>1046</v>
      </c>
      <c r="I2662" s="4">
        <v>15</v>
      </c>
      <c r="J2662" s="4">
        <v>0</v>
      </c>
      <c r="L2662" t="s">
        <v>264</v>
      </c>
      <c r="M2662" t="s">
        <v>465</v>
      </c>
      <c r="N2662" s="77">
        <f>IF(L2662="","",IF(OR(Registro2[[#This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662" s="78" t="str">
        <f t="shared" si="60"/>
        <v>jun/25</v>
      </c>
      <c r="P2662" s="78" t="str">
        <f>IF(Registro2[[#This Row],[Data de Pagamento]]&gt;0,TEXT(A2662,"mmm/aa"),"")</f>
        <v>jun/25</v>
      </c>
      <c r="T2662" s="4">
        <f>IF(Registro2[[#This Row],[Data de Pagamento]]="",0,IF(Registro2[[#This Row],[Conta Financeira]]=base!$A$6,0,Registro2[[#This Row],[Valor Unitário]]))</f>
        <v>15</v>
      </c>
      <c r="U2662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62" s="78" t="str">
        <f>VLOOKUP(Registro2[[#This Row],[Categoria]],'Plano de Contas'!$V$3:W2716,2,0)</f>
        <v>Receitas Serviços</v>
      </c>
      <c r="X266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63" spans="1:24">
      <c r="A2663" s="1">
        <v>45811.604166666664</v>
      </c>
      <c r="B2663" s="1">
        <v>45811.604166666664</v>
      </c>
      <c r="D2663" t="s">
        <v>882</v>
      </c>
      <c r="E2663" t="s">
        <v>149</v>
      </c>
      <c r="F2663" t="s">
        <v>147</v>
      </c>
      <c r="G2663" t="s">
        <v>2825</v>
      </c>
      <c r="I2663" s="4">
        <v>20</v>
      </c>
      <c r="J2663" s="4">
        <v>70</v>
      </c>
      <c r="L2663" t="s">
        <v>264</v>
      </c>
      <c r="M2663" t="s">
        <v>496</v>
      </c>
      <c r="N2663" s="77">
        <f>IF(L2663="","",IF(OR(Registro2[[#This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663" s="78" t="str">
        <f t="shared" si="60"/>
        <v>jun/25</v>
      </c>
      <c r="P2663" s="78" t="str">
        <f>IF(Registro2[[#This Row],[Data de Pagamento]]&gt;0,TEXT(A2663,"mmm/aa"),"")</f>
        <v>jun/25</v>
      </c>
      <c r="T2663" s="4">
        <f>IF(Registro2[[#This Row],[Data de Pagamento]]="",0,IF(Registro2[[#This Row],[Conta Financeira]]=base!$A$6,0,Registro2[[#This Row],[Valor Unitário]]))</f>
        <v>20</v>
      </c>
      <c r="U2663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63" s="78" t="e">
        <f>VLOOKUP(Registro2[[#This Row],[Categoria]],'Plano de Contas'!$V$3:W2717,2,0)</f>
        <v>#N/A</v>
      </c>
      <c r="X266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64" spans="1:24">
      <c r="A2664" s="1">
        <v>45811.604166666664</v>
      </c>
      <c r="B2664" s="1">
        <v>45811.604166666664</v>
      </c>
      <c r="D2664" t="s">
        <v>882</v>
      </c>
      <c r="E2664" t="s">
        <v>149</v>
      </c>
      <c r="F2664" t="s">
        <v>147</v>
      </c>
      <c r="G2664" t="s">
        <v>163</v>
      </c>
      <c r="I2664" s="4">
        <v>35</v>
      </c>
      <c r="J2664" s="4">
        <v>0</v>
      </c>
      <c r="L2664" t="s">
        <v>264</v>
      </c>
      <c r="M2664" t="s">
        <v>496</v>
      </c>
      <c r="N2664" s="77">
        <f>IF(L2664="","",IF(OR(Registro2[[#This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64" s="78" t="str">
        <f t="shared" si="60"/>
        <v>jun/25</v>
      </c>
      <c r="P2664" s="78" t="str">
        <f>IF(Registro2[[#This Row],[Data de Pagamento]]&gt;0,TEXT(A2664,"mmm/aa"),"")</f>
        <v>jun/25</v>
      </c>
      <c r="T2664" s="4">
        <f>IF(Registro2[[#This Row],[Data de Pagamento]]="",0,IF(Registro2[[#This Row],[Conta Financeira]]=base!$A$6,0,Registro2[[#This Row],[Valor Unitário]]))</f>
        <v>35</v>
      </c>
      <c r="U2664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64" s="78" t="str">
        <f>VLOOKUP(Registro2[[#This Row],[Categoria]],'Plano de Contas'!$V$3:W2718,2,0)</f>
        <v>Receitas Serviços</v>
      </c>
      <c r="X266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65" spans="1:24">
      <c r="A2665" s="1">
        <v>45811.604166666664</v>
      </c>
      <c r="B2665" s="1">
        <v>45811.604166666664</v>
      </c>
      <c r="D2665" t="s">
        <v>882</v>
      </c>
      <c r="E2665" t="s">
        <v>149</v>
      </c>
      <c r="F2665" t="s">
        <v>147</v>
      </c>
      <c r="G2665" t="s">
        <v>1046</v>
      </c>
      <c r="I2665" s="4">
        <v>15</v>
      </c>
      <c r="J2665" s="4">
        <v>0</v>
      </c>
      <c r="L2665" t="s">
        <v>264</v>
      </c>
      <c r="M2665" t="s">
        <v>496</v>
      </c>
      <c r="N2665" s="77">
        <f>IF(L2665="","",IF(OR(Registro2[[#This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665" s="78" t="str">
        <f t="shared" si="60"/>
        <v>jun/25</v>
      </c>
      <c r="P2665" s="78" t="str">
        <f>IF(Registro2[[#This Row],[Data de Pagamento]]&gt;0,TEXT(A2665,"mmm/aa"),"")</f>
        <v>jun/25</v>
      </c>
      <c r="T2665" s="4">
        <f>IF(Registro2[[#This Row],[Data de Pagamento]]="",0,IF(Registro2[[#This Row],[Conta Financeira]]=base!$A$6,0,Registro2[[#This Row],[Valor Unitário]]))</f>
        <v>15</v>
      </c>
      <c r="U2665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65" s="78" t="str">
        <f>VLOOKUP(Registro2[[#This Row],[Categoria]],'Plano de Contas'!$V$3:W2719,2,0)</f>
        <v>Receitas Serviços</v>
      </c>
      <c r="X266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66" spans="1:24">
      <c r="A2666" s="1">
        <v>45811.479166666664</v>
      </c>
      <c r="B2666" s="1">
        <v>45811.479166666664</v>
      </c>
      <c r="D2666" t="s">
        <v>1</v>
      </c>
      <c r="E2666" t="s">
        <v>149</v>
      </c>
      <c r="F2666" t="s">
        <v>147</v>
      </c>
      <c r="G2666" t="s">
        <v>163</v>
      </c>
      <c r="I2666" s="4">
        <v>35</v>
      </c>
      <c r="J2666" s="4">
        <v>0</v>
      </c>
      <c r="L2666" t="s">
        <v>253</v>
      </c>
      <c r="M2666" t="s">
        <v>122</v>
      </c>
      <c r="N2666" s="77">
        <f>IF(L2666="","",IF(OR(Registro2[[#This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66" s="78" t="str">
        <f t="shared" si="60"/>
        <v>jun/25</v>
      </c>
      <c r="P2666" s="78" t="str">
        <f>IF(Registro2[[#This Row],[Data de Pagamento]]&gt;0,TEXT(A2666,"mmm/aa"),"")</f>
        <v>jun/25</v>
      </c>
      <c r="T2666" s="4">
        <f>IF(Registro2[[#This Row],[Data de Pagamento]]="",0,IF(Registro2[[#This Row],[Conta Financeira]]=base!$A$6,0,Registro2[[#This Row],[Valor Unitário]]))</f>
        <v>35</v>
      </c>
      <c r="U2666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66" s="78" t="str">
        <f>VLOOKUP(Registro2[[#This Row],[Categoria]],'Plano de Contas'!$V$3:W2720,2,0)</f>
        <v>Receitas Serviços</v>
      </c>
      <c r="X266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67" spans="1:24">
      <c r="A2667" s="1">
        <v>45811.434027777781</v>
      </c>
      <c r="B2667" s="1">
        <v>45811.434027777781</v>
      </c>
      <c r="D2667" t="s">
        <v>1</v>
      </c>
      <c r="E2667" t="s">
        <v>149</v>
      </c>
      <c r="F2667" t="s">
        <v>147</v>
      </c>
      <c r="G2667" t="s">
        <v>1046</v>
      </c>
      <c r="I2667" s="4">
        <v>25</v>
      </c>
      <c r="J2667" s="4">
        <v>43</v>
      </c>
      <c r="L2667" t="s">
        <v>264</v>
      </c>
      <c r="M2667" t="s">
        <v>291</v>
      </c>
      <c r="N2667" s="77">
        <f>IF(L2667="","",IF(OR(Registro2[[#This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11.25</v>
      </c>
      <c r="O2667" s="78" t="str">
        <f t="shared" si="60"/>
        <v>jun/25</v>
      </c>
      <c r="P2667" s="78" t="str">
        <f>IF(Registro2[[#This Row],[Data de Pagamento]]&gt;0,TEXT(A2667,"mmm/aa"),"")</f>
        <v>jun/25</v>
      </c>
      <c r="T2667" s="4">
        <f>IF(Registro2[[#This Row],[Data de Pagamento]]="",0,IF(Registro2[[#This Row],[Conta Financeira]]=base!$A$6,0,Registro2[[#This Row],[Valor Unitário]]))</f>
        <v>25</v>
      </c>
      <c r="U2667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67" s="78" t="str">
        <f>VLOOKUP(Registro2[[#This Row],[Categoria]],'Plano de Contas'!$V$3:W2721,2,0)</f>
        <v>Receitas Serviços</v>
      </c>
      <c r="X2667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68" spans="1:24">
      <c r="A2668" s="1">
        <v>45811.434027777781</v>
      </c>
      <c r="B2668" s="1">
        <v>45811.434027777781</v>
      </c>
      <c r="D2668" t="s">
        <v>1</v>
      </c>
      <c r="E2668" t="s">
        <v>149</v>
      </c>
      <c r="F2668" t="s">
        <v>150</v>
      </c>
      <c r="G2668" t="s">
        <v>3316</v>
      </c>
      <c r="I2668" s="4">
        <v>18</v>
      </c>
      <c r="J2668" s="4">
        <v>0</v>
      </c>
      <c r="L2668" t="s">
        <v>264</v>
      </c>
      <c r="M2668" t="s">
        <v>291</v>
      </c>
      <c r="N2668" s="77">
        <f>IF(L2668="","",IF(OR(Registro2[[#This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7.2</v>
      </c>
      <c r="O2668" s="78" t="str">
        <f t="shared" si="60"/>
        <v>jun/25</v>
      </c>
      <c r="P2668" s="78" t="str">
        <f>IF(Registro2[[#This Row],[Data de Pagamento]]&gt;0,TEXT(A2668,"mmm/aa"),"")</f>
        <v>jun/25</v>
      </c>
      <c r="T2668" s="4">
        <f>IF(Registro2[[#This Row],[Data de Pagamento]]="",0,IF(Registro2[[#This Row],[Conta Financeira]]=base!$A$6,0,Registro2[[#This Row],[Valor Unitário]]))</f>
        <v>18</v>
      </c>
      <c r="U2668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68" s="78" t="e">
        <f>VLOOKUP(Registro2[[#This Row],[Categoria]],'Plano de Contas'!$V$3:W2722,2,0)</f>
        <v>#N/A</v>
      </c>
      <c r="X2668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69" spans="1:24">
      <c r="A2669" s="1">
        <v>45811.444444444445</v>
      </c>
      <c r="B2669" s="1">
        <v>45811.444444444445</v>
      </c>
      <c r="D2669" t="s">
        <v>2</v>
      </c>
      <c r="E2669" t="s">
        <v>149</v>
      </c>
      <c r="F2669" t="s">
        <v>147</v>
      </c>
      <c r="G2669" t="s">
        <v>163</v>
      </c>
      <c r="I2669" s="4">
        <v>35</v>
      </c>
      <c r="J2669" s="4">
        <v>35</v>
      </c>
      <c r="L2669" t="s">
        <v>253</v>
      </c>
      <c r="M2669" t="s">
        <v>1879</v>
      </c>
      <c r="N2669" s="77">
        <f>IF(L2669="","",IF(OR(Registro2[[#This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69" s="78" t="str">
        <f t="shared" si="60"/>
        <v>jun/25</v>
      </c>
      <c r="P2669" s="78" t="str">
        <f>IF(Registro2[[#This Row],[Data de Pagamento]]&gt;0,TEXT(A2669,"mmm/aa"),"")</f>
        <v>jun/25</v>
      </c>
      <c r="T2669" s="4">
        <f>IF(Registro2[[#This Row],[Data de Pagamento]]="",0,IF(Registro2[[#This Row],[Conta Financeira]]=base!$A$6,0,Registro2[[#This Row],[Valor Unitário]]))</f>
        <v>35</v>
      </c>
      <c r="U2669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69" s="78" t="str">
        <f>VLOOKUP(Registro2[[#This Row],[Categoria]],'Plano de Contas'!$V$3:W2723,2,0)</f>
        <v>Receitas Serviços</v>
      </c>
      <c r="X266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70" spans="1:24">
      <c r="A2670" s="1">
        <v>45811.677083333336</v>
      </c>
      <c r="B2670" s="1">
        <v>45811.677083333336</v>
      </c>
      <c r="D2670" t="s">
        <v>354</v>
      </c>
      <c r="E2670" t="s">
        <v>149</v>
      </c>
      <c r="F2670" t="s">
        <v>147</v>
      </c>
      <c r="G2670" t="s">
        <v>163</v>
      </c>
      <c r="I2670" s="4">
        <v>35</v>
      </c>
      <c r="J2670" s="4">
        <v>35</v>
      </c>
      <c r="L2670" t="s">
        <v>252</v>
      </c>
      <c r="M2670" t="s">
        <v>400</v>
      </c>
      <c r="N2670" s="77">
        <f>IF(L2670="","",IF(OR(Registro2[[#This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70" s="78" t="str">
        <f t="shared" si="60"/>
        <v>jun/25</v>
      </c>
      <c r="P2670" s="78" t="str">
        <f>IF(Registro2[[#This Row],[Data de Pagamento]]&gt;0,TEXT(A2670,"mmm/aa"),"")</f>
        <v>jun/25</v>
      </c>
      <c r="T2670" s="4">
        <f>IF(Registro2[[#This Row],[Data de Pagamento]]="",0,IF(Registro2[[#This Row],[Conta Financeira]]=base!$A$6,0,Registro2[[#This Row],[Valor Unitário]]))</f>
        <v>35</v>
      </c>
      <c r="U2670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70" s="78" t="str">
        <f>VLOOKUP(Registro2[[#This Row],[Categoria]],'Plano de Contas'!$V$3:W2724,2,0)</f>
        <v>Receitas Serviços</v>
      </c>
      <c r="X2670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671" spans="1:24">
      <c r="A2671" s="1">
        <v>45811.729166666664</v>
      </c>
      <c r="B2671" s="1">
        <v>45811.729166666664</v>
      </c>
      <c r="D2671" t="s">
        <v>2</v>
      </c>
      <c r="E2671" t="s">
        <v>149</v>
      </c>
      <c r="F2671" t="s">
        <v>147</v>
      </c>
      <c r="G2671" t="s">
        <v>163</v>
      </c>
      <c r="I2671" s="4">
        <v>35</v>
      </c>
      <c r="J2671" s="4">
        <v>35</v>
      </c>
      <c r="L2671" t="s">
        <v>253</v>
      </c>
      <c r="M2671" t="s">
        <v>127</v>
      </c>
      <c r="N2671" s="77">
        <f>IF(L2671="","",IF(OR(Registro2[[#This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71" s="78" t="str">
        <f t="shared" si="60"/>
        <v>jun/25</v>
      </c>
      <c r="P2671" s="78" t="str">
        <f>IF(Registro2[[#This Row],[Data de Pagamento]]&gt;0,TEXT(A2671,"mmm/aa"),"")</f>
        <v>jun/25</v>
      </c>
      <c r="T2671" s="4">
        <f>IF(Registro2[[#This Row],[Data de Pagamento]]="",0,IF(Registro2[[#This Row],[Conta Financeira]]=base!$A$6,0,Registro2[[#This Row],[Valor Unitário]]))</f>
        <v>35</v>
      </c>
      <c r="U2671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71" s="78" t="str">
        <f>VLOOKUP(Registro2[[#This Row],[Categoria]],'Plano de Contas'!$V$3:W2725,2,0)</f>
        <v>Receitas Serviços</v>
      </c>
      <c r="X267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72" spans="1:24">
      <c r="A2672" s="1">
        <v>45811.645833333336</v>
      </c>
      <c r="B2672" s="1">
        <v>45811.645833333336</v>
      </c>
      <c r="D2672" t="s">
        <v>1</v>
      </c>
      <c r="E2672" t="s">
        <v>149</v>
      </c>
      <c r="F2672" t="s">
        <v>147</v>
      </c>
      <c r="G2672" t="s">
        <v>163</v>
      </c>
      <c r="I2672" s="4">
        <v>35</v>
      </c>
      <c r="J2672" s="4">
        <v>35</v>
      </c>
      <c r="L2672" t="s">
        <v>264</v>
      </c>
      <c r="M2672" t="s">
        <v>483</v>
      </c>
      <c r="N2672" s="77">
        <f>IF(L2672="","",IF(OR(Registro2[[#This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72" s="78" t="str">
        <f t="shared" si="60"/>
        <v>jun/25</v>
      </c>
      <c r="P2672" s="78" t="str">
        <f>IF(Registro2[[#This Row],[Data de Pagamento]]&gt;0,TEXT(A2672,"mmm/aa"),"")</f>
        <v>jun/25</v>
      </c>
      <c r="T2672" s="4">
        <f>IF(Registro2[[#This Row],[Data de Pagamento]]="",0,IF(Registro2[[#This Row],[Conta Financeira]]=base!$A$6,0,Registro2[[#This Row],[Valor Unitário]]))</f>
        <v>35</v>
      </c>
      <c r="U2672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72" s="78" t="str">
        <f>VLOOKUP(Registro2[[#This Row],[Categoria]],'Plano de Contas'!$V$3:W2726,2,0)</f>
        <v>Receitas Serviços</v>
      </c>
      <c r="X267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73" spans="1:24">
      <c r="A2673" s="1">
        <v>45811.65625</v>
      </c>
      <c r="B2673" s="1">
        <v>45811.65625</v>
      </c>
      <c r="D2673" t="s">
        <v>1</v>
      </c>
      <c r="E2673" t="s">
        <v>149</v>
      </c>
      <c r="F2673" t="s">
        <v>147</v>
      </c>
      <c r="G2673" t="s">
        <v>163</v>
      </c>
      <c r="I2673" s="4">
        <v>35</v>
      </c>
      <c r="J2673" s="4">
        <v>35</v>
      </c>
      <c r="L2673" t="s">
        <v>253</v>
      </c>
      <c r="M2673" t="s">
        <v>3518</v>
      </c>
      <c r="N2673" s="77">
        <f>IF(L2673="","",IF(OR(Registro2[[#This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73" s="78" t="str">
        <f t="shared" si="60"/>
        <v>jun/25</v>
      </c>
      <c r="P2673" s="78" t="str">
        <f>IF(Registro2[[#This Row],[Data de Pagamento]]&gt;0,TEXT(A2673,"mmm/aa"),"")</f>
        <v>jun/25</v>
      </c>
      <c r="T2673" s="4">
        <f>IF(Registro2[[#This Row],[Data de Pagamento]]="",0,IF(Registro2[[#This Row],[Conta Financeira]]=base!$A$6,0,Registro2[[#This Row],[Valor Unitário]]))</f>
        <v>35</v>
      </c>
      <c r="U2673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73" s="78" t="str">
        <f>VLOOKUP(Registro2[[#This Row],[Categoria]],'Plano de Contas'!$V$3:W2727,2,0)</f>
        <v>Receitas Serviços</v>
      </c>
      <c r="X267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74" spans="1:24">
      <c r="A2674" s="1">
        <v>45811.618055555555</v>
      </c>
      <c r="B2674" s="1">
        <v>45811.618055555555</v>
      </c>
      <c r="D2674" t="s">
        <v>354</v>
      </c>
      <c r="E2674" t="s">
        <v>149</v>
      </c>
      <c r="F2674" t="s">
        <v>147</v>
      </c>
      <c r="G2674" t="s">
        <v>163</v>
      </c>
      <c r="I2674" s="4">
        <v>35</v>
      </c>
      <c r="J2674" s="4">
        <v>35</v>
      </c>
      <c r="L2674" t="s">
        <v>264</v>
      </c>
      <c r="M2674" t="s">
        <v>2657</v>
      </c>
      <c r="N2674" s="77">
        <f>IF(L2674="","",IF(OR(Registro2[[#This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74" s="78" t="str">
        <f t="shared" si="60"/>
        <v>jun/25</v>
      </c>
      <c r="P2674" s="78" t="str">
        <f>IF(Registro2[[#This Row],[Data de Pagamento]]&gt;0,TEXT(A2674,"mmm/aa"),"")</f>
        <v>jun/25</v>
      </c>
      <c r="T2674" s="4">
        <f>IF(Registro2[[#This Row],[Data de Pagamento]]="",0,IF(Registro2[[#This Row],[Conta Financeira]]=base!$A$6,0,Registro2[[#This Row],[Valor Unitário]]))</f>
        <v>35</v>
      </c>
      <c r="U2674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74" s="78" t="str">
        <f>VLOOKUP(Registro2[[#This Row],[Categoria]],'Plano de Contas'!$V$3:W2728,2,0)</f>
        <v>Receitas Serviços</v>
      </c>
      <c r="X2674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1.1025</v>
      </c>
    </row>
    <row r="2675" spans="1:24">
      <c r="A2675" s="1">
        <v>45811.649305555555</v>
      </c>
      <c r="B2675" s="1">
        <v>45811.649305555555</v>
      </c>
      <c r="D2675" t="s">
        <v>1</v>
      </c>
      <c r="E2675" t="s">
        <v>149</v>
      </c>
      <c r="F2675" t="s">
        <v>147</v>
      </c>
      <c r="G2675" t="s">
        <v>163</v>
      </c>
      <c r="I2675" s="4">
        <v>35</v>
      </c>
      <c r="J2675" s="4">
        <v>35</v>
      </c>
      <c r="L2675" t="s">
        <v>253</v>
      </c>
      <c r="M2675" t="s">
        <v>3521</v>
      </c>
      <c r="N2675" s="77">
        <f>IF(L2675="","",IF(OR(Registro2[[#This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75" s="78" t="str">
        <f t="shared" si="60"/>
        <v>jun/25</v>
      </c>
      <c r="P2675" s="78" t="str">
        <f>IF(Registro2[[#This Row],[Data de Pagamento]]&gt;0,TEXT(A2675,"mmm/aa"),"")</f>
        <v>jun/25</v>
      </c>
      <c r="T2675" s="4">
        <f>IF(Registro2[[#This Row],[Data de Pagamento]]="",0,IF(Registro2[[#This Row],[Conta Financeira]]=base!$A$6,0,Registro2[[#This Row],[Valor Unitário]]))</f>
        <v>35</v>
      </c>
      <c r="U2675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75" s="78" t="str">
        <f>VLOOKUP(Registro2[[#This Row],[Categoria]],'Plano de Contas'!$V$3:W2729,2,0)</f>
        <v>Receitas Serviços</v>
      </c>
      <c r="X2675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76" spans="1:24">
      <c r="A2676" s="1">
        <v>45811.75</v>
      </c>
      <c r="B2676" s="1">
        <v>45811.75</v>
      </c>
      <c r="D2676" t="s">
        <v>1</v>
      </c>
      <c r="E2676" t="s">
        <v>149</v>
      </c>
      <c r="F2676" t="s">
        <v>147</v>
      </c>
      <c r="G2676" t="s">
        <v>163</v>
      </c>
      <c r="I2676" s="4">
        <v>35</v>
      </c>
      <c r="J2676" s="4">
        <v>45</v>
      </c>
      <c r="L2676" t="s">
        <v>253</v>
      </c>
      <c r="M2676" t="s">
        <v>53</v>
      </c>
      <c r="N2676" s="77">
        <f>IF(L2676="","",IF(OR(Registro2[[#This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76" s="78" t="str">
        <f t="shared" si="60"/>
        <v>jun/25</v>
      </c>
      <c r="P2676" s="78" t="str">
        <f>IF(Registro2[[#This Row],[Data de Pagamento]]&gt;0,TEXT(A2676,"mmm/aa"),"")</f>
        <v>jun/25</v>
      </c>
      <c r="T2676" s="4">
        <f>IF(Registro2[[#This Row],[Data de Pagamento]]="",0,IF(Registro2[[#This Row],[Conta Financeira]]=base!$A$6,0,Registro2[[#This Row],[Valor Unitário]]))</f>
        <v>35</v>
      </c>
      <c r="U2676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76" s="78" t="str">
        <f>VLOOKUP(Registro2[[#This Row],[Categoria]],'Plano de Contas'!$V$3:W2730,2,0)</f>
        <v>Receitas Serviços</v>
      </c>
      <c r="X2676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77" spans="1:24">
      <c r="A2677" s="1">
        <v>45811.697916666664</v>
      </c>
      <c r="B2677" s="1">
        <v>45811.697916666664</v>
      </c>
      <c r="D2677" t="s">
        <v>310</v>
      </c>
      <c r="E2677" t="s">
        <v>149</v>
      </c>
      <c r="F2677" t="s">
        <v>147</v>
      </c>
      <c r="G2677" t="s">
        <v>163</v>
      </c>
      <c r="I2677" s="4">
        <v>35</v>
      </c>
      <c r="J2677" s="4">
        <v>80</v>
      </c>
      <c r="L2677" t="s">
        <v>252</v>
      </c>
      <c r="M2677" t="s">
        <v>499</v>
      </c>
      <c r="N2677" s="77">
        <f>IF(L2677="","",IF(OR(Registro2[[#This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77" s="78" t="str">
        <f t="shared" si="60"/>
        <v>jun/25</v>
      </c>
      <c r="P2677" s="78" t="str">
        <f>IF(Registro2[[#This Row],[Data de Pagamento]]&gt;0,TEXT(A2677,"mmm/aa"),"")</f>
        <v>jun/25</v>
      </c>
      <c r="T2677" s="4">
        <f>IF(Registro2[[#This Row],[Data de Pagamento]]="",0,IF(Registro2[[#This Row],[Conta Financeira]]=base!$A$6,0,Registro2[[#This Row],[Valor Unitário]]))</f>
        <v>35</v>
      </c>
      <c r="U2677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77" s="78" t="str">
        <f>VLOOKUP(Registro2[[#This Row],[Categoria]],'Plano de Contas'!$V$3:W2731,2,0)</f>
        <v>Receitas Serviços</v>
      </c>
      <c r="X2677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0.3115</v>
      </c>
    </row>
    <row r="2678" spans="1:24">
      <c r="A2678" s="1">
        <v>45811.697916666664</v>
      </c>
      <c r="B2678" s="1">
        <v>45811.697916666664</v>
      </c>
      <c r="D2678" t="s">
        <v>310</v>
      </c>
      <c r="E2678" t="s">
        <v>149</v>
      </c>
      <c r="F2678" t="s">
        <v>150</v>
      </c>
      <c r="G2678" t="s">
        <v>3061</v>
      </c>
      <c r="I2678" s="4">
        <v>45</v>
      </c>
      <c r="J2678" s="4">
        <v>0</v>
      </c>
      <c r="L2678" t="s">
        <v>252</v>
      </c>
      <c r="M2678" t="s">
        <v>499</v>
      </c>
      <c r="N2678" s="77">
        <f>IF(L2678="","",IF(OR(Registro2[[#This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18</v>
      </c>
      <c r="O2678" s="78" t="str">
        <f t="shared" si="60"/>
        <v>jun/25</v>
      </c>
      <c r="P2678" s="78" t="str">
        <f>IF(Registro2[[#This Row],[Data de Pagamento]]&gt;0,TEXT(A2678,"mmm/aa"),"")</f>
        <v>jun/25</v>
      </c>
      <c r="T2678" s="4">
        <f>IF(Registro2[[#This Row],[Data de Pagamento]]="",0,IF(Registro2[[#This Row],[Conta Financeira]]=base!$A$6,0,Registro2[[#This Row],[Valor Unitário]]))</f>
        <v>45</v>
      </c>
      <c r="U2678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78" s="78" t="e">
        <f>VLOOKUP(Registro2[[#This Row],[Categoria]],'Plano de Contas'!$V$3:W2732,2,0)</f>
        <v>#N/A</v>
      </c>
      <c r="X2678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0.40050000000000002</v>
      </c>
    </row>
    <row r="2679" spans="1:24">
      <c r="A2679" s="1">
        <v>45811.697916666664</v>
      </c>
      <c r="B2679" s="1">
        <v>45811.697916666664</v>
      </c>
      <c r="D2679" t="s">
        <v>1</v>
      </c>
      <c r="E2679" t="s">
        <v>149</v>
      </c>
      <c r="F2679" t="s">
        <v>147</v>
      </c>
      <c r="G2679" t="s">
        <v>163</v>
      </c>
      <c r="I2679" s="4">
        <v>35</v>
      </c>
      <c r="J2679" s="4">
        <v>35</v>
      </c>
      <c r="L2679" t="s">
        <v>253</v>
      </c>
      <c r="M2679" t="s">
        <v>470</v>
      </c>
      <c r="N2679" s="77">
        <f>IF(L2679="","",IF(OR(Registro2[[#This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79" s="78" t="str">
        <f t="shared" si="60"/>
        <v>jun/25</v>
      </c>
      <c r="P2679" s="78" t="str">
        <f>IF(Registro2[[#This Row],[Data de Pagamento]]&gt;0,TEXT(A2679,"mmm/aa"),"")</f>
        <v>jun/25</v>
      </c>
      <c r="T2679" s="4">
        <f>IF(Registro2[[#This Row],[Data de Pagamento]]="",0,IF(Registro2[[#This Row],[Conta Financeira]]=base!$A$6,0,Registro2[[#This Row],[Valor Unitário]]))</f>
        <v>35</v>
      </c>
      <c r="U2679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79" s="78" t="str">
        <f>VLOOKUP(Registro2[[#This Row],[Categoria]],'Plano de Contas'!$V$3:W2733,2,0)</f>
        <v>Receitas Serviços</v>
      </c>
      <c r="X2679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80" spans="1:24">
      <c r="A2680" s="1">
        <v>45811.739583333336</v>
      </c>
      <c r="B2680" s="1">
        <v>45811.739583333336</v>
      </c>
      <c r="D2680" t="s">
        <v>1</v>
      </c>
      <c r="E2680" t="s">
        <v>149</v>
      </c>
      <c r="F2680" t="s">
        <v>147</v>
      </c>
      <c r="G2680" t="s">
        <v>163</v>
      </c>
      <c r="I2680" s="4">
        <v>35</v>
      </c>
      <c r="J2680" s="4">
        <v>35</v>
      </c>
      <c r="L2680" t="s">
        <v>264</v>
      </c>
      <c r="M2680" t="s">
        <v>1134</v>
      </c>
      <c r="N2680" s="77">
        <f>IF(L2680="","",IF(OR(Registro2[[#This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80" s="78" t="str">
        <f t="shared" si="60"/>
        <v>jun/25</v>
      </c>
      <c r="P2680" s="78" t="str">
        <f>IF(Registro2[[#This Row],[Data de Pagamento]]&gt;0,TEXT(A2680,"mmm/aa"),"")</f>
        <v>jun/25</v>
      </c>
      <c r="T2680" s="4">
        <f>IF(Registro2[[#This Row],[Data de Pagamento]]="",0,IF(Registro2[[#This Row],[Conta Financeira]]=base!$A$6,0,Registro2[[#This Row],[Valor Unitário]]))</f>
        <v>35</v>
      </c>
      <c r="U2680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80" s="78" t="str">
        <f>VLOOKUP(Registro2[[#This Row],[Categoria]],'Plano de Contas'!$V$3:W2734,2,0)</f>
        <v>Receitas Serviços</v>
      </c>
      <c r="X2680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81" spans="1:24">
      <c r="A2681" s="1">
        <v>45811.78125</v>
      </c>
      <c r="B2681" s="1">
        <v>45811.78125</v>
      </c>
      <c r="D2681" t="s">
        <v>1</v>
      </c>
      <c r="E2681" t="s">
        <v>149</v>
      </c>
      <c r="F2681" t="s">
        <v>147</v>
      </c>
      <c r="G2681" t="s">
        <v>163</v>
      </c>
      <c r="I2681" s="4">
        <v>35</v>
      </c>
      <c r="J2681" s="4">
        <v>50</v>
      </c>
      <c r="L2681" t="s">
        <v>252</v>
      </c>
      <c r="M2681" t="s">
        <v>424</v>
      </c>
      <c r="N2681" s="77">
        <f>IF(L2681="","",IF(OR(Registro2[[#This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81" s="78" t="str">
        <f t="shared" si="60"/>
        <v>jun/25</v>
      </c>
      <c r="P2681" s="78" t="str">
        <f>IF(Registro2[[#This Row],[Data de Pagamento]]&gt;0,TEXT(A2681,"mmm/aa"),"")</f>
        <v>jun/25</v>
      </c>
      <c r="T2681" s="4">
        <f>IF(Registro2[[#This Row],[Data de Pagamento]]="",0,IF(Registro2[[#This Row],[Conta Financeira]]=base!$A$6,0,Registro2[[#This Row],[Valor Unitário]]))</f>
        <v>35</v>
      </c>
      <c r="U2681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81" s="78" t="str">
        <f>VLOOKUP(Registro2[[#This Row],[Categoria]],'Plano de Contas'!$V$3:W2735,2,0)</f>
        <v>Receitas Serviços</v>
      </c>
      <c r="X2681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82" spans="1:24">
      <c r="A2682" s="1">
        <v>45811.78125</v>
      </c>
      <c r="B2682" s="1">
        <v>45811.78125</v>
      </c>
      <c r="D2682" t="s">
        <v>1</v>
      </c>
      <c r="E2682" t="s">
        <v>149</v>
      </c>
      <c r="F2682" t="s">
        <v>147</v>
      </c>
      <c r="G2682" t="s">
        <v>1187</v>
      </c>
      <c r="I2682" s="4">
        <v>15</v>
      </c>
      <c r="J2682" s="4">
        <v>0</v>
      </c>
      <c r="L2682" t="s">
        <v>252</v>
      </c>
      <c r="M2682" t="s">
        <v>424</v>
      </c>
      <c r="N2682" s="77">
        <f>IF(L2682="","",IF(OR(Registro2[[#This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6.75</v>
      </c>
      <c r="O2682" s="78" t="str">
        <f t="shared" si="60"/>
        <v>jun/25</v>
      </c>
      <c r="P2682" s="78" t="str">
        <f>IF(Registro2[[#This Row],[Data de Pagamento]]&gt;0,TEXT(A2682,"mmm/aa"),"")</f>
        <v>jun/25</v>
      </c>
      <c r="T2682" s="4">
        <f>IF(Registro2[[#This Row],[Data de Pagamento]]="",0,IF(Registro2[[#This Row],[Conta Financeira]]=base!$A$6,0,Registro2[[#This Row],[Valor Unitário]]))</f>
        <v>15</v>
      </c>
      <c r="U2682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82" s="78" t="str">
        <f>VLOOKUP(Registro2[[#This Row],[Categoria]],'Plano de Contas'!$V$3:W2736,2,0)</f>
        <v>Receitas Serviços</v>
      </c>
      <c r="X2682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83" spans="1:24">
      <c r="A2683" s="1">
        <v>45811.788194444445</v>
      </c>
      <c r="B2683" s="1">
        <v>45811.788194444445</v>
      </c>
      <c r="D2683" t="s">
        <v>1</v>
      </c>
      <c r="E2683" t="s">
        <v>149</v>
      </c>
      <c r="F2683" t="s">
        <v>147</v>
      </c>
      <c r="G2683" t="s">
        <v>163</v>
      </c>
      <c r="I2683" s="4">
        <v>20</v>
      </c>
      <c r="J2683" s="4">
        <v>20</v>
      </c>
      <c r="L2683" t="s">
        <v>264</v>
      </c>
      <c r="M2683" t="s">
        <v>1006</v>
      </c>
      <c r="N2683" s="77">
        <f>IF(L2683="","",IF(OR(Registro2[[#This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9</v>
      </c>
      <c r="O2683" s="78" t="str">
        <f t="shared" si="60"/>
        <v>jun/25</v>
      </c>
      <c r="P2683" s="78" t="str">
        <f>IF(Registro2[[#This Row],[Data de Pagamento]]&gt;0,TEXT(A2683,"mmm/aa"),"")</f>
        <v>jun/25</v>
      </c>
      <c r="T2683" s="4">
        <f>IF(Registro2[[#This Row],[Data de Pagamento]]="",0,IF(Registro2[[#This Row],[Conta Financeira]]=base!$A$6,0,Registro2[[#This Row],[Valor Unitário]]))</f>
        <v>20</v>
      </c>
      <c r="U2683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83" s="78" t="str">
        <f>VLOOKUP(Registro2[[#This Row],[Categoria]],'Plano de Contas'!$V$3:W2737,2,0)</f>
        <v>Receitas Serviços</v>
      </c>
      <c r="X2683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84" spans="1:24">
      <c r="A2684" s="1">
        <v>45811.798611111109</v>
      </c>
      <c r="B2684" s="1">
        <v>45811.798611111109</v>
      </c>
      <c r="D2684" t="s">
        <v>1</v>
      </c>
      <c r="E2684" t="s">
        <v>149</v>
      </c>
      <c r="F2684" t="s">
        <v>147</v>
      </c>
      <c r="G2684" t="s">
        <v>163</v>
      </c>
      <c r="I2684" s="4">
        <v>35</v>
      </c>
      <c r="J2684" s="4">
        <v>35</v>
      </c>
      <c r="L2684" t="s">
        <v>253</v>
      </c>
      <c r="M2684" t="s">
        <v>187</v>
      </c>
      <c r="N2684" s="77">
        <f>IF(L2684="","",IF(OR(Registro2[[#This Row],[Entrada/Saída]]="Serviços",Registro2[[#This Row],[Entrada/Saída]]="Combos"),Registro2[[#This Row],[Valor Unitário]]*45%,IF(Registro2[[#This Row],[Entrada/Saída]]="Produtos",Registro2[[#This Row],[Valor Unitário]]*40%,"")))</f>
        <v>15.75</v>
      </c>
      <c r="O2684" s="78" t="str">
        <f t="shared" si="60"/>
        <v>jun/25</v>
      </c>
      <c r="P2684" s="78" t="str">
        <f>IF(Registro2[[#This Row],[Data de Pagamento]]&gt;0,TEXT(A2684,"mmm/aa"),"")</f>
        <v>jun/25</v>
      </c>
      <c r="T2684" s="4">
        <f>IF(Registro2[[#This Row],[Data de Pagamento]]="",0,IF(Registro2[[#This Row],[Conta Financeira]]=base!$A$6,0,Registro2[[#This Row],[Valor Unitário]]))</f>
        <v>35</v>
      </c>
      <c r="U2684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84" s="78" t="str">
        <f>VLOOKUP(Registro2[[#This Row],[Categoria]],'Plano de Contas'!$V$3:W2738,2,0)</f>
        <v>Receitas Serviços</v>
      </c>
      <c r="X2684" s="4" t="str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/>
      </c>
    </row>
    <row r="2685" spans="1:24">
      <c r="A2685" s="1">
        <v>45811.521527777775</v>
      </c>
      <c r="B2685" s="1">
        <v>45811.521527777775</v>
      </c>
      <c r="D2685" t="s">
        <v>354</v>
      </c>
      <c r="E2685" t="s">
        <v>149</v>
      </c>
      <c r="F2685" t="s">
        <v>824</v>
      </c>
      <c r="I2685" s="4">
        <v>140</v>
      </c>
      <c r="J2685" s="4">
        <v>140</v>
      </c>
      <c r="L2685" t="s">
        <v>1604</v>
      </c>
      <c r="M2685" t="s">
        <v>122</v>
      </c>
      <c r="N2685" s="77" t="str">
        <f>IF(L2685="","",IF(OR(Registro2[[#This Row],[Entrada/Saída]]="Serviços",Registro2[[#This Row],[Entrada/Saída]]="Combos"),Registro2[[#This Row],[Valor Unitário]]*45%,IF(Registro2[[#This Row],[Entrada/Saída]]="Produtos",Registro2[[#This Row],[Valor Unitário]]*40%,"")))</f>
        <v/>
      </c>
      <c r="O2685" s="78" t="str">
        <f t="shared" si="60"/>
        <v>jun/25</v>
      </c>
      <c r="P2685" s="78" t="str">
        <f>IF(Registro2[[#This Row],[Data de Pagamento]]&gt;0,TEXT(A2685,"mmm/aa"),"")</f>
        <v>jun/25</v>
      </c>
      <c r="T2685" s="4">
        <f>IF(Registro2[[#This Row],[Data de Pagamento]]="",0,IF(Registro2[[#This Row],[Conta Financeira]]=base!$A$6,0,Registro2[[#This Row],[Valor Unitário]]))</f>
        <v>140</v>
      </c>
      <c r="U2685" s="78" t="str">
        <f>IF(AND(Registro2[[#This Row],[Valor Unitário]]=IFERROR(VLOOKUP(Registro2[[#This Row],[Valor Unitário]],base!$W$2:$W$10,1,0),""),Registro2[[#This Row],[Cliente]]=IFERROR(VLOOKUP(Registro2[[#This Row],[Cliente]],base!$X$1:$X$12,1,0),""),Registro2[[#This Row],[Valor Atualizado]]=0,Registro2[[#This Row],[Tipo]]="Receitas"),"Pacote","")</f>
        <v/>
      </c>
      <c r="W2685" s="78" t="e">
        <f>VLOOKUP(Registro2[[#This Row],[Categoria]],'Plano de Contas'!$V$3:W2739,2,0)</f>
        <v>#N/A</v>
      </c>
      <c r="X2685" s="4">
        <f>IF(AND(Registro2[[#This Row],[Tipo]]="Receitas",Registro2[[#This Row],[Forma de Pagamento]]="Cartão de Débito"),Registro2[[#This Row],[Valor Unitário]]*0.89%,IF(AND(Registro2[[#This Row],[Tipo]]="Receitas",Registro2[[#This Row],[Forma de Pagamento]]="Cartão de Crédito"),Registro2[[#This Row],[Valor Unitário]]*3.15%,""))</f>
        <v>4.41</v>
      </c>
    </row>
  </sheetData>
  <dataValidations count="2">
    <dataValidation type="list" allowBlank="1" showInputMessage="1" showErrorMessage="1" sqref="E2:E2685" xr:uid="{F6EFDF8B-BC3C-4331-8631-BB0AFD45292C}">
      <formula1>tipo</formula1>
    </dataValidation>
    <dataValidation type="list" allowBlank="1" showInputMessage="1" showErrorMessage="1" sqref="D2:D2685 F2:G2685" xr:uid="{69284D48-5699-4EBA-BA0C-3355147BDCC3}">
      <formula1>INDIRECT(C2)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D216EDA-508E-4E42-A88D-BEA538D4AD70}">
          <x14:formula1>
            <xm:f>base!$R$2:$R$165</xm:f>
          </x14:formula1>
          <xm:sqref>M2:M1806</xm:sqref>
        </x14:dataValidation>
        <x14:dataValidation type="list" allowBlank="1" showInputMessage="1" showErrorMessage="1" xr:uid="{103B5912-2677-4021-BE99-7738D24E0AAD}">
          <x14:formula1>
            <xm:f>base!$I$2:$I$7</xm:f>
          </x14:formula1>
          <xm:sqref>L2:L1806 L1809:L1812 L1814:L1816 L1818:L1820 L1824:L1826 L1829:L1830 L1832:L1833 L1835:L1836 L1841:L1849 M1807:M1853</xm:sqref>
        </x14:dataValidation>
        <x14:dataValidation type="list" allowBlank="1" showInputMessage="1" showErrorMessage="1" xr:uid="{C3F7422F-F048-48FE-8402-E2EE6D7B308C}">
          <x14:formula1>
            <xm:f>base!$A$2:$A$6</xm:f>
          </x14:formula1>
          <xm:sqref>C2:C2685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B535-EE2E-45CE-ADA4-87ACD6C06E60}">
  <dimension ref="B1:AB73"/>
  <sheetViews>
    <sheetView showGridLines="0" topLeftCell="A7" zoomScaleNormal="100" workbookViewId="0">
      <selection activeCell="I33" sqref="I33"/>
    </sheetView>
  </sheetViews>
  <sheetFormatPr defaultRowHeight="15" outlineLevelRow="1"/>
  <cols>
    <col min="2" max="2" width="11.28515625" style="5" bestFit="1" customWidth="1"/>
    <col min="3" max="3" width="29" bestFit="1" customWidth="1"/>
    <col min="5" max="5" width="10.42578125" bestFit="1" customWidth="1"/>
    <col min="6" max="6" width="9.85546875" customWidth="1"/>
    <col min="7" max="8" width="9.85546875" bestFit="1" customWidth="1"/>
    <col min="9" max="9" width="9.140625" customWidth="1"/>
    <col min="10" max="15" width="9.140625" hidden="1" customWidth="1"/>
  </cols>
  <sheetData>
    <row r="1" spans="2:28">
      <c r="C1">
        <v>25</v>
      </c>
    </row>
    <row r="2" spans="2:28" ht="6" customHeight="1"/>
    <row r="3" spans="2:28">
      <c r="B3" s="74" t="s">
        <v>316</v>
      </c>
      <c r="C3" s="74"/>
      <c r="D3" s="39" t="s">
        <v>327</v>
      </c>
      <c r="E3" s="39" t="s">
        <v>450</v>
      </c>
      <c r="F3" s="39" t="s">
        <v>451</v>
      </c>
      <c r="G3" s="39" t="s">
        <v>452</v>
      </c>
      <c r="H3" s="39" t="s">
        <v>453</v>
      </c>
      <c r="I3" s="39" t="s">
        <v>454</v>
      </c>
      <c r="J3" s="39" t="s">
        <v>455</v>
      </c>
      <c r="K3" s="39" t="s">
        <v>456</v>
      </c>
      <c r="L3" s="39" t="s">
        <v>457</v>
      </c>
      <c r="M3" s="39" t="s">
        <v>458</v>
      </c>
      <c r="N3" s="39" t="s">
        <v>459</v>
      </c>
      <c r="O3" s="39" t="s">
        <v>460</v>
      </c>
    </row>
    <row r="4" spans="2:28">
      <c r="B4" s="39" t="s">
        <v>320</v>
      </c>
      <c r="C4" s="39" t="s">
        <v>178</v>
      </c>
      <c r="D4" s="39" t="str">
        <f>D3&amp;"/"&amp;$C$1</f>
        <v>Jan/25</v>
      </c>
      <c r="E4" s="39" t="str">
        <f>E3&amp;"/"&amp;$C$1</f>
        <v>fev/25</v>
      </c>
      <c r="F4" s="39" t="str">
        <f t="shared" ref="F4:O4" si="0">F3&amp;"/"&amp;$C$1</f>
        <v>mar/25</v>
      </c>
      <c r="G4" s="39" t="str">
        <f t="shared" si="0"/>
        <v>abr/25</v>
      </c>
      <c r="H4" s="39" t="str">
        <f t="shared" si="0"/>
        <v>mai/25</v>
      </c>
      <c r="I4" s="39" t="str">
        <f t="shared" si="0"/>
        <v>jun/25</v>
      </c>
      <c r="J4" s="39" t="str">
        <f t="shared" si="0"/>
        <v>jul/25</v>
      </c>
      <c r="K4" s="39" t="str">
        <f t="shared" si="0"/>
        <v>ago/25</v>
      </c>
      <c r="L4" s="39" t="str">
        <f t="shared" si="0"/>
        <v>set/25</v>
      </c>
      <c r="M4" s="39" t="str">
        <f t="shared" si="0"/>
        <v>out/25</v>
      </c>
      <c r="N4" s="39" t="str">
        <f t="shared" si="0"/>
        <v>nov/25</v>
      </c>
      <c r="O4" s="39" t="str">
        <f t="shared" si="0"/>
        <v>dez/25</v>
      </c>
    </row>
    <row r="5" spans="2:28">
      <c r="B5" s="40">
        <v>1</v>
      </c>
      <c r="C5" s="41" t="s">
        <v>149</v>
      </c>
      <c r="D5" s="59">
        <f>SUM(D6:D8)</f>
        <v>0</v>
      </c>
      <c r="E5" s="59">
        <f>SUM(E6:E9)+E12+E13</f>
        <v>18294.98</v>
      </c>
      <c r="F5" s="59">
        <f>SUM(F6:F9)+F12+F13</f>
        <v>18319.5</v>
      </c>
      <c r="G5" s="59">
        <f>SUM(G6:G9)+G12+G13</f>
        <v>20117</v>
      </c>
      <c r="H5" s="59">
        <f>SUM(H6:H9)+H12+H13</f>
        <v>22546</v>
      </c>
      <c r="I5" s="59">
        <f>SUM(I6:I9)+I12+I13</f>
        <v>1289</v>
      </c>
      <c r="J5" s="42">
        <f t="shared" ref="I5:O5" si="1">SUM(J6:J8)</f>
        <v>0</v>
      </c>
      <c r="K5" s="42">
        <f t="shared" si="1"/>
        <v>0</v>
      </c>
      <c r="L5" s="42">
        <f t="shared" si="1"/>
        <v>0</v>
      </c>
      <c r="M5" s="42">
        <f t="shared" si="1"/>
        <v>0</v>
      </c>
      <c r="N5" s="42">
        <f t="shared" si="1"/>
        <v>0</v>
      </c>
      <c r="O5" s="42">
        <f t="shared" si="1"/>
        <v>0</v>
      </c>
      <c r="Q5" s="3"/>
      <c r="R5" s="3"/>
      <c r="V5" s="3"/>
      <c r="W5" s="3"/>
      <c r="X5" s="3"/>
    </row>
    <row r="6" spans="2:28">
      <c r="B6" s="17" t="s">
        <v>317</v>
      </c>
      <c r="C6" s="18" t="s">
        <v>147</v>
      </c>
      <c r="D6" s="53">
        <f>SUMIFS(Registro!$T:$T,Registro!$E:$E,'Análise - Caixa'!$C$5,Registro!$F:$F,'Análise - Caixa'!$C6,Registro!$O:$O,'Análise - Caixa'!D$4)</f>
        <v>0</v>
      </c>
      <c r="E6" s="53">
        <f>SUMIFS(Registro!$T:$T,Registro!$E:$E,'Análise - Caixa'!$C$5,Registro!$F:$F,'Análise - Caixa'!$C6,Registro!$O:$O,'Análise - Caixa'!E$4)</f>
        <v>10696</v>
      </c>
      <c r="F6" s="53">
        <f>SUMIFS(Registro!$T:$T,Registro!$E:$E,'Análise - Caixa'!$C$5,Registro!$F:$F,'Análise - Caixa'!$C6,Registro!$O:$O,'Análise - Caixa'!F$4)</f>
        <v>13861</v>
      </c>
      <c r="G6" s="53">
        <f>SUMIFS(Registro!$T:$T,Registro!$E:$E,'Análise - Caixa'!$C$5,Registro!$F:$F,'Análise - Caixa'!$C6,Registro!$O:$O,'Análise - Caixa'!G$4)+35</f>
        <v>14234</v>
      </c>
      <c r="H6" s="53">
        <f>SUMIFS(Registro!$T:$T,Registro!$E:$E,'Análise - Caixa'!$C$5,Registro!$F:$F,'Análise - Caixa'!$C6,Registro!$O:$O,'Análise - Caixa'!H$4)</f>
        <v>17254</v>
      </c>
      <c r="I6" s="53">
        <f>SUMIFS(Registro!$T:$T,Registro!$E:$E,'Análise - Caixa'!$C$5,Registro!$F:$F,'Análise - Caixa'!$C6,Registro!$O:$O,'Análise - Caixa'!I$4)</f>
        <v>990</v>
      </c>
      <c r="J6" s="19">
        <f>SUMIFS(Registro!$T:$T,Registro!$E:$E,'Análise - Caixa'!$C$5,Registro!$F:$F,'Análise - Caixa'!$C6,Registro!$O:$O,'Análise - Caixa'!J$4)</f>
        <v>0</v>
      </c>
      <c r="K6" s="19">
        <f>SUMIFS(Registro!$T:$T,Registro!$E:$E,'Análise - Caixa'!$C$5,Registro!$F:$F,'Análise - Caixa'!$C6,Registro!$O:$O,'Análise - Caixa'!K$4)</f>
        <v>0</v>
      </c>
      <c r="L6" s="19">
        <f>SUMIFS(Registro!$T:$T,Registro!$E:$E,'Análise - Caixa'!$C$5,Registro!$F:$F,'Análise - Caixa'!$C6,Registro!$O:$O,'Análise - Caixa'!L$4)</f>
        <v>0</v>
      </c>
      <c r="M6" s="19">
        <f>SUMIFS(Registro!$T:$T,Registro!$E:$E,'Análise - Caixa'!$C$5,Registro!$F:$F,'Análise - Caixa'!$C6,Registro!$O:$O,'Análise - Caixa'!M$4)</f>
        <v>0</v>
      </c>
      <c r="N6" s="19">
        <f>SUMIFS(Registro!$T:$T,Registro!$E:$E,'Análise - Caixa'!$C$5,Registro!$F:$F,'Análise - Caixa'!$C6,Registro!$O:$O,'Análise - Caixa'!N$4)</f>
        <v>0</v>
      </c>
      <c r="O6" s="19">
        <f>SUMIFS(Registro!$T:$T,Registro!$E:$E,'Análise - Caixa'!$C$5,Registro!$F:$F,'Análise - Caixa'!$C6,Registro!$O:$O,'Análise - Caixa'!O$4)</f>
        <v>0</v>
      </c>
      <c r="S6" s="3"/>
      <c r="T6" s="3"/>
      <c r="U6" s="3"/>
      <c r="X6" s="3"/>
      <c r="Y6" s="3"/>
    </row>
    <row r="7" spans="2:28">
      <c r="B7" s="17" t="s">
        <v>318</v>
      </c>
      <c r="C7" s="18" t="s">
        <v>150</v>
      </c>
      <c r="D7" s="53">
        <f>SUMIFS(Registro!$T:$T,Registro!$E:$E,'Análise - Caixa'!$C$5,Registro!$F:$F,'Análise - Caixa'!$C7,Registro!$O:$O,'Análise - Caixa'!D$4)</f>
        <v>0</v>
      </c>
      <c r="E7" s="53">
        <f>SUMIFS(Registro!$T:$T,Registro!$E:$E,'Análise - Caixa'!$C$5,Registro!$F:$F,'Análise - Caixa'!$C7,Registro!$O:$O,'Análise - Caixa'!E$4)</f>
        <v>552</v>
      </c>
      <c r="F7" s="53">
        <f>SUMIFS(Registro!$T:$T,Registro!$E:$E,'Análise - Caixa'!$C$5,Registro!$F:$F,'Análise - Caixa'!$C7,Registro!$O:$O,'Análise - Caixa'!F$4)</f>
        <v>795</v>
      </c>
      <c r="G7" s="53">
        <f>SUMIFS(Registro!$T:$T,Registro!$E:$E,'Análise - Caixa'!$C$5,Registro!$F:$F,'Análise - Caixa'!$C7,Registro!$O:$O,'Análise - Caixa'!G$4)</f>
        <v>1125</v>
      </c>
      <c r="H7" s="53">
        <f>SUMIFS(Registro!$T:$T,Registro!$E:$E,'Análise - Caixa'!$C$5,Registro!$F:$F,'Análise - Caixa'!$C7,Registro!$O:$O,'Análise - Caixa'!H$4)</f>
        <v>1651</v>
      </c>
      <c r="I7" s="53">
        <f>SUMIFS(Registro!$T:$T,Registro!$E:$E,'Análise - Caixa'!$C$5,Registro!$F:$F,'Análise - Caixa'!$C7,Registro!$O:$O,'Análise - Caixa'!I$4)</f>
        <v>134</v>
      </c>
      <c r="J7" s="19">
        <f>SUMIFS(Registro!$T:$T,Registro!$E:$E,'Análise - Caixa'!$C$5,Registro!$F:$F,'Análise - Caixa'!$C7,Registro!$O:$O,'Análise - Caixa'!J$4)</f>
        <v>0</v>
      </c>
      <c r="K7" s="19">
        <f>SUMIFS(Registro!$T:$T,Registro!$E:$E,'Análise - Caixa'!$C$5,Registro!$F:$F,'Análise - Caixa'!$C7,Registro!$O:$O,'Análise - Caixa'!K$4)</f>
        <v>0</v>
      </c>
      <c r="L7" s="19">
        <f>SUMIFS(Registro!$T:$T,Registro!$E:$E,'Análise - Caixa'!$C$5,Registro!$F:$F,'Análise - Caixa'!$C7,Registro!$O:$O,'Análise - Caixa'!L$4)</f>
        <v>0</v>
      </c>
      <c r="M7" s="19">
        <f>SUMIFS(Registro!$T:$T,Registro!$E:$E,'Análise - Caixa'!$C$5,Registro!$F:$F,'Análise - Caixa'!$C7,Registro!$O:$O,'Análise - Caixa'!M$4)</f>
        <v>0</v>
      </c>
      <c r="N7" s="19">
        <f>SUMIFS(Registro!$T:$T,Registro!$E:$E,'Análise - Caixa'!$C$5,Registro!$F:$F,'Análise - Caixa'!$C7,Registro!$O:$O,'Análise - Caixa'!N$4)</f>
        <v>0</v>
      </c>
      <c r="O7" s="19">
        <f>SUMIFS(Registro!$T:$T,Registro!$E:$E,'Análise - Caixa'!$C$5,Registro!$F:$F,'Análise - Caixa'!$C7,Registro!$O:$O,'Análise - Caixa'!O$4)</f>
        <v>0</v>
      </c>
      <c r="V7" s="3"/>
    </row>
    <row r="8" spans="2:28">
      <c r="B8" s="17" t="s">
        <v>319</v>
      </c>
      <c r="C8" s="18" t="s">
        <v>152</v>
      </c>
      <c r="D8" s="53">
        <f>SUMIFS(Registro!$T:$T,Registro!$E:$E,'Análise - Caixa'!$C$5,Registro!$F:$F,'Análise - Caixa'!$C8,Registro!$O:$O,'Análise - Caixa'!D$4)</f>
        <v>0</v>
      </c>
      <c r="E8" s="53">
        <f>SUMIFS(Registro!$T:$T,Registro!$E:$E,'Análise - Caixa'!$C$5,Registro!$F:$F,'Análise - Caixa'!$C8,Registro!$O:$O,'Análise - Caixa'!E$4)</f>
        <v>6611.65</v>
      </c>
      <c r="F8" s="53">
        <f>SUMIFS(Registro!$T:$T,Registro!$E:$E,'Análise - Caixa'!$C$5,Registro!$F:$F,'Análise - Caixa'!$C8,Registro!$O:$O,'Análise - Caixa'!F$4)</f>
        <v>4063.33</v>
      </c>
      <c r="G8" s="53">
        <f>SUMIFS(Registro!$T:$T,Registro!$E:$E,'Análise - Caixa'!$C$5,Registro!$F:$F,'Análise - Caixa'!$C8,Registro!$O:$O,'Análise - Caixa'!G$4)</f>
        <v>4422</v>
      </c>
      <c r="H8" s="53">
        <f>SUMIFS(Registro!$T:$T,Registro!$E:$E,'Análise - Caixa'!$C$5,Registro!$F:$F,'Análise - Caixa'!$C8,Registro!$O:$O,'Análise - Caixa'!H$4)</f>
        <v>3915</v>
      </c>
      <c r="I8" s="53">
        <f>SUMIFS(Registro!$T:$T,Registro!$E:$E,'Análise - Caixa'!$C$5,Registro!$F:$F,'Análise - Caixa'!$C8,Registro!$O:$O,'Análise - Caixa'!I$4)</f>
        <v>100</v>
      </c>
      <c r="J8" s="19">
        <f>SUMIFS(Registro!$T:$T,Registro!$E:$E,'Análise - Caixa'!$C$5,Registro!$F:$F,'Análise - Caixa'!$C8,Registro!$O:$O,'Análise - Caixa'!J$4)</f>
        <v>0</v>
      </c>
      <c r="K8" s="19">
        <f>SUMIFS(Registro!$T:$T,Registro!$E:$E,'Análise - Caixa'!$C$5,Registro!$F:$F,'Análise - Caixa'!$C8,Registro!$O:$O,'Análise - Caixa'!K$4)</f>
        <v>0</v>
      </c>
      <c r="L8" s="19">
        <f>SUMIFS(Registro!$T:$T,Registro!$E:$E,'Análise - Caixa'!$C$5,Registro!$F:$F,'Análise - Caixa'!$C8,Registro!$O:$O,'Análise - Caixa'!L$4)</f>
        <v>0</v>
      </c>
      <c r="M8" s="19">
        <f>SUMIFS(Registro!$T:$T,Registro!$E:$E,'Análise - Caixa'!$C$5,Registro!$F:$F,'Análise - Caixa'!$C8,Registro!$O:$O,'Análise - Caixa'!M$4)</f>
        <v>0</v>
      </c>
      <c r="N8" s="19">
        <f>SUMIFS(Registro!$T:$T,Registro!$E:$E,'Análise - Caixa'!$C$5,Registro!$F:$F,'Análise - Caixa'!$C8,Registro!$O:$O,'Análise - Caixa'!N$4)</f>
        <v>0</v>
      </c>
      <c r="O8" s="19">
        <f>SUMIFS(Registro!$T:$T,Registro!$E:$E,'Análise - Caixa'!$C$5,Registro!$F:$F,'Análise - Caixa'!$C8,Registro!$O:$O,'Análise - Caixa'!O$4)</f>
        <v>0</v>
      </c>
      <c r="T8" s="3"/>
      <c r="U8" s="3"/>
    </row>
    <row r="9" spans="2:28">
      <c r="B9" s="17" t="s">
        <v>825</v>
      </c>
      <c r="C9" s="18" t="s">
        <v>824</v>
      </c>
      <c r="D9" s="53">
        <f>SUMIFS(Registro!$T:$T,Registro!$E:$E,'Análise - Caixa'!$C$5,Registro!$F:$F,'Análise - Caixa'!$C9,Registro!$O:$O,'Análise - Caixa'!D$4)</f>
        <v>0</v>
      </c>
      <c r="E9" s="53">
        <f>E10</f>
        <v>1069.98</v>
      </c>
      <c r="F9" s="53">
        <f>SUMIFS(Registro!$T:$T,Registro!$E:$E,'Análise - Caixa'!$C$5,Registro!$F:$F,'Análise - Caixa'!$C9,Registro!$O:$O,'Análise - Caixa'!F$4)</f>
        <v>0</v>
      </c>
      <c r="G9" s="53">
        <f>SUMIFS(Registro!$T:$T,Registro!$E:$E,'Análise - Caixa'!$C$5,Registro!$F:$F,'Análise - Caixa'!$C9,Registro!$O:$O,'Análise - Caixa'!G$4)</f>
        <v>0</v>
      </c>
      <c r="H9" s="53">
        <f>SUMIFS(Registro!$T:$T,Registro!$E:$E,'Análise - Caixa'!$C$5,Registro!$F:$F,'Análise - Caixa'!$C9,Registro!$O:$O,'Análise - Caixa'!H$4)</f>
        <v>0</v>
      </c>
      <c r="I9" s="53">
        <f>SUMIFS(Registro!$T:$T,Registro!$E:$E,'Análise - Caixa'!$C$5,Registro!$F:$F,'Análise - Caixa'!$C9,Registro!$O:$O,'Análise - Caixa'!I$4)</f>
        <v>140</v>
      </c>
      <c r="J9" s="19">
        <f>SUMIFS(Registro!$T:$T,Registro!$E:$E,'Análise - Caixa'!$C$5,Registro!$F:$F,'Análise - Caixa'!$C9,Registro!$O:$O,'Análise - Caixa'!J$4)</f>
        <v>0</v>
      </c>
      <c r="K9" s="19">
        <f>SUMIFS(Registro!$T:$T,Registro!$E:$E,'Análise - Caixa'!$C$5,Registro!$F:$F,'Análise - Caixa'!$C9,Registro!$O:$O,'Análise - Caixa'!K$4)</f>
        <v>0</v>
      </c>
      <c r="L9" s="19">
        <f>SUMIFS(Registro!$T:$T,Registro!$E:$E,'Análise - Caixa'!$C$5,Registro!$F:$F,'Análise - Caixa'!$C9,Registro!$O:$O,'Análise - Caixa'!L$4)</f>
        <v>0</v>
      </c>
      <c r="M9" s="19">
        <f>SUMIFS(Registro!$T:$T,Registro!$E:$E,'Análise - Caixa'!$C$5,Registro!$F:$F,'Análise - Caixa'!$C9,Registro!$O:$O,'Análise - Caixa'!M$4)</f>
        <v>0</v>
      </c>
      <c r="N9" s="19">
        <f>SUMIFS(Registro!$T:$T,Registro!$E:$E,'Análise - Caixa'!$C$5,Registro!$F:$F,'Análise - Caixa'!$C9,Registro!$O:$O,'Análise - Caixa'!N$4)</f>
        <v>0</v>
      </c>
      <c r="O9" s="19">
        <f>SUMIFS(Registro!$T:$T,Registro!$E:$E,'Análise - Caixa'!$C$5,Registro!$F:$F,'Análise - Caixa'!$C9,Registro!$O:$O,'Análise - Caixa'!O$4)</f>
        <v>0</v>
      </c>
      <c r="T9" s="3"/>
      <c r="AA9" s="3"/>
      <c r="AB9" s="3"/>
    </row>
    <row r="10" spans="2:28" ht="15.75" hidden="1" customHeight="1">
      <c r="B10" s="17" t="s">
        <v>835</v>
      </c>
      <c r="C10" s="20" t="s">
        <v>837</v>
      </c>
      <c r="D10" s="53">
        <f>SUMIFS(Registro!$T:$T,Registro!$E:$E,'Análise - Caixa'!$C$5,Registro!$F:$F,'Análise - Caixa'!$C10,Registro!$O:$O,'Análise - Caixa'!D$4)</f>
        <v>0</v>
      </c>
      <c r="E10" s="53">
        <f>SUMIFS(Registro!$T:$T,Registro!$E:$E,'Análise - Caixa'!$C$5,Registro!$G:$G,'Análise - Caixa'!$C10,Registro!$O:$O,'Análise - Caixa'!E$4)</f>
        <v>1069.98</v>
      </c>
      <c r="F10" s="53">
        <f>SUMIFS(Registro!$T:$T,Registro!$E:$E,'Análise - Caixa'!$C$5,Registro!$G:$G,'Análise - Caixa'!$C10,Registro!$O:$O,'Análise - Caixa'!F$4)</f>
        <v>0</v>
      </c>
      <c r="G10" s="53">
        <f>SUMIFS(Registro!$T:$T,Registro!$E:$E,'Análise - Caixa'!$C$5,Registro!$G:$G,'Análise - Caixa'!$C10,Registro!$O:$O,'Análise - Caixa'!G$4)</f>
        <v>0</v>
      </c>
      <c r="H10" s="53">
        <f>SUMIFS(Registro!$T:$T,Registro!$E:$E,'Análise - Caixa'!$C$5,Registro!$G:$G,'Análise - Caixa'!$C10,Registro!$O:$O,'Análise - Caixa'!H$4)</f>
        <v>0</v>
      </c>
      <c r="I10" s="53">
        <f>SUMIFS(Registro!$T:$T,Registro!$E:$E,'Análise - Caixa'!$C$5,Registro!$G:$G,'Análise - Caixa'!$C10,Registro!$O:$O,'Análise - Caixa'!I$4)</f>
        <v>0</v>
      </c>
      <c r="J10" s="19"/>
      <c r="K10" s="19"/>
      <c r="L10" s="19"/>
      <c r="M10" s="19"/>
      <c r="N10" s="19"/>
      <c r="O10" s="19"/>
      <c r="X10" s="3"/>
      <c r="AA10" s="3"/>
    </row>
    <row r="11" spans="2:28" hidden="1">
      <c r="B11" s="17" t="s">
        <v>834</v>
      </c>
      <c r="C11" s="20" t="s">
        <v>836</v>
      </c>
      <c r="D11" s="53">
        <f>SUMIFS(Registro!$T:$T,Registro!$E:$E,'Análise - Caixa'!$C$5,Registro!$F:$F,'Análise - Caixa'!$C11,Registro!$O:$O,'Análise - Caixa'!D$4)</f>
        <v>0</v>
      </c>
      <c r="E11" s="53">
        <f>-SUMIFS(Registro!I:I,Registro!U:U,"Pacote",Registro!E:E,'Análise - Caixa'!$C$5,Registro!$O:$O,'Análise - Caixa'!E$4)</f>
        <v>-703.32</v>
      </c>
      <c r="F11" s="53">
        <f>-SUMIFS(Registro!J:J,Registro!V:V,"Pacote",Registro!F:F,'Análise - Caixa'!$C$5,Registro!$O:$O,'Análise - Caixa'!F$4)</f>
        <v>0</v>
      </c>
      <c r="G11" s="53">
        <f>-SUMIFS(Registro!K:K,Registro!W:W,"Pacote",Registro!G:G,'Análise - Caixa'!$C$5,Registro!$O:$O,'Análise - Caixa'!G$4)</f>
        <v>0</v>
      </c>
      <c r="H11" s="53">
        <f>-SUMIFS(Registro!L:L,Registro!X:X,"Pacote",Registro!H:H,'Análise - Caixa'!$C$5,Registro!$O:$O,'Análise - Caixa'!H$4)</f>
        <v>0</v>
      </c>
      <c r="I11" s="53">
        <f>-SUMIFS(Registro!M:M,Registro!Y:Y,"Pacote",Registro!I:I,'Análise - Caixa'!$C$5,Registro!$O:$O,'Análise - Caixa'!I$4)</f>
        <v>0</v>
      </c>
      <c r="J11" s="19"/>
      <c r="K11" s="19"/>
      <c r="L11" s="19"/>
      <c r="M11" s="19"/>
      <c r="N11" s="19"/>
      <c r="O11" s="19"/>
      <c r="X11" s="3"/>
    </row>
    <row r="12" spans="2:28">
      <c r="B12" s="17" t="s">
        <v>838</v>
      </c>
      <c r="C12" s="18" t="s">
        <v>839</v>
      </c>
      <c r="D12" s="53">
        <f>SUMIFS(Registro!$T:$T,Registro!$E:$E,'Análise - Caixa'!$C$5,Registro!$F:$F,'Análise - Caixa'!$C12,Registro!$O:$O,'Análise - Caixa'!D$4)</f>
        <v>0</v>
      </c>
      <c r="E12" s="53">
        <f>-(SUMIFS(Registro!$T:$T,Registro!$E:$E,'Análise - Caixa'!$C$5, Registro!$O:$O,'Análise - Caixa'!E$4)-SUMIFS(Registro!$J:$J,Registro!$E:$E,'Análise - Caixa'!$C$5,Registro!$O:$O,'Análise - Caixa'!E$4))</f>
        <v>-657.65000000000146</v>
      </c>
      <c r="F12" s="53">
        <f>-(SUMIFS(Registro!$T:$T,Registro!$E:$E,'Análise - Caixa'!$C$5, Registro!$O:$O,'Análise - Caixa'!F$4)-SUMIFS(Registro!$J:$J,Registro!$E:$E,'Análise - Caixa'!$C$5,Registro!$O:$O,'Análise - Caixa'!F$4))</f>
        <v>-465.33000000000175</v>
      </c>
      <c r="G12" s="53">
        <f>-(SUMIFS(Registro!$T:$T,Registro!$E:$E,'Análise - Caixa'!$C$5, Registro!$O:$O,'Análise - Caixa'!G$4)-SUMIFS(Registro!$J:$J,Registro!$E:$E,'Análise - Caixa'!$C$5,Registro!$O:$O,'Análise - Caixa'!G$4))</f>
        <v>281</v>
      </c>
      <c r="H12" s="53">
        <f>-(SUMIFS(Registro!$T:$T,Registro!$E:$E,'Análise - Caixa'!$C$5, Registro!$O:$O,'Análise - Caixa'!H$4)-SUMIFS(Registro!$J:$J,Registro!$E:$E,'Análise - Caixa'!$C$5,Registro!$O:$O,'Análise - Caixa'!H$4))</f>
        <v>-445</v>
      </c>
      <c r="I12" s="53">
        <f>-(SUMIFS(Registro!$T:$T,Registro!$E:$E,'Análise - Caixa'!$C$5, Registro!$O:$O,'Análise - Caixa'!I$4)-SUMIFS(Registro!$J:$J,Registro!$E:$E,'Análise - Caixa'!$C$5,Registro!$O:$O,'Análise - Caixa'!I$4))</f>
        <v>-75</v>
      </c>
      <c r="J12" s="19"/>
      <c r="K12" s="19"/>
      <c r="L12" s="19"/>
      <c r="M12" s="19"/>
      <c r="N12" s="19"/>
      <c r="O12" s="19"/>
      <c r="X12" s="3"/>
    </row>
    <row r="13" spans="2:28">
      <c r="B13" s="17" t="s">
        <v>1240</v>
      </c>
      <c r="C13" s="18" t="s">
        <v>910</v>
      </c>
      <c r="D13" s="53">
        <f>SUMIFS(Registro!$T:$T,Registro!$E:$E,'Análise - Caixa'!$C$5,Registro!$F:$F,'Análise - Caixa'!$C13,Registro!$O:$O,'Análise - Caixa'!D$4)</f>
        <v>0</v>
      </c>
      <c r="E13" s="53">
        <f>SUMIFS(Registro!$T:$T,Registro!$E:$E,'Análise - Caixa'!$C$5,Registro!$F:$F,'Análise - Caixa'!$C13,Registro!$O:$O,'Análise - Caixa'!E$4)</f>
        <v>23</v>
      </c>
      <c r="F13" s="53">
        <f>SUMIFS(Registro!$T:$T,Registro!$E:$E,'Análise - Caixa'!$C$5,Registro!$F:$F,'Análise - Caixa'!$C13,Registro!$O:$O,'Análise - Caixa'!F$4)</f>
        <v>65.5</v>
      </c>
      <c r="G13" s="53">
        <f>SUMIFS(Registro!$T:$T,Registro!$E:$E,'Análise - Caixa'!$C$5,Registro!$F:$F,'Análise - Caixa'!$C13,Registro!$O:$O,'Análise - Caixa'!G$4)</f>
        <v>55</v>
      </c>
      <c r="H13" s="53">
        <f>SUMIFS(Registro!$T:$T,Registro!$E:$E,'Análise - Caixa'!$C$5,Registro!$F:$F,'Análise - Caixa'!$C13,Registro!$O:$O,'Análise - Caixa'!H$4)</f>
        <v>171</v>
      </c>
      <c r="I13" s="53">
        <f>SUMIFS(Registro!$T:$T,Registro!$E:$E,'Análise - Caixa'!$C$5,Registro!$F:$F,'Análise - Caixa'!$C13,Registro!$O:$O,'Análise - Caixa'!I$4)</f>
        <v>0</v>
      </c>
      <c r="J13" s="19"/>
      <c r="K13" s="19"/>
      <c r="L13" s="19"/>
      <c r="M13" s="19"/>
      <c r="N13" s="19"/>
      <c r="O13" s="19"/>
      <c r="X13" s="3"/>
    </row>
    <row r="14" spans="2:28">
      <c r="B14" s="43">
        <v>2</v>
      </c>
      <c r="C14" s="44" t="s">
        <v>137</v>
      </c>
      <c r="D14" s="60">
        <f>SUM(D15:D41)</f>
        <v>0</v>
      </c>
      <c r="E14" s="60">
        <f>-(E15+E16+E17+E40+E41+E42)</f>
        <v>-16290.22</v>
      </c>
      <c r="F14" s="60">
        <f>-(F15+F16+F17+F40+F41+F42+F43)</f>
        <v>-14476.740000000002</v>
      </c>
      <c r="G14" s="60">
        <f>-(G15+G16+G17+G40+G41+G42+G43)</f>
        <v>-18496.6188</v>
      </c>
      <c r="H14" s="60">
        <f>-(H15+H16+H17+H40+H41+H42+H43)</f>
        <v>-18368.295999999998</v>
      </c>
      <c r="I14" s="60">
        <f>-(I15+I16+I17+I40+I41+I42+I43)</f>
        <v>-11.317</v>
      </c>
      <c r="J14" s="45">
        <f t="shared" ref="I14:O14" si="2">-(J15+J16+J17+J40+J41+J42+J43)</f>
        <v>0</v>
      </c>
      <c r="K14" s="45">
        <f t="shared" si="2"/>
        <v>0</v>
      </c>
      <c r="L14" s="45">
        <f t="shared" si="2"/>
        <v>0</v>
      </c>
      <c r="M14" s="45">
        <f t="shared" si="2"/>
        <v>0</v>
      </c>
      <c r="N14" s="45">
        <f t="shared" si="2"/>
        <v>0</v>
      </c>
      <c r="O14" s="45">
        <f t="shared" si="2"/>
        <v>0</v>
      </c>
      <c r="X14" s="3"/>
    </row>
    <row r="15" spans="2:28">
      <c r="B15" s="17" t="s">
        <v>321</v>
      </c>
      <c r="C15" s="18" t="s">
        <v>138</v>
      </c>
      <c r="D15" s="53">
        <f>SUMIFS(Registro!$T:$T,Registro!$F:$F,'Análise - Caixa'!$C15,Registro!$E:$E,'Análise - Caixa'!$C$14,Registro!$P:$P,D$4)</f>
        <v>0</v>
      </c>
      <c r="E15" s="53">
        <f>SUMIFS(Registro!$T:$T,Registro!$E:$E,'Análise - Caixa'!$C$14,Registro!$F:$F,'Análise - Caixa'!$C15,Registro!$O:$O,'Análise - Caixa'!E$4)</f>
        <v>2744.11</v>
      </c>
      <c r="F15" s="53">
        <f>SUMIFS(Registro!$T:$T,Registro!$E:$E,'Análise - Caixa'!$C$14,Registro!$F:$F,'Análise - Caixa'!$C15,Registro!$O:$O,'Análise - Caixa'!F$4)</f>
        <v>2981.27</v>
      </c>
      <c r="G15" s="53">
        <f>SUMIFS(Registro!$T:$T,Registro!$E:$E,'Análise - Caixa'!$C$14,Registro!$F:$F,'Análise - Caixa'!$C15,Registro!$O:$O,'Análise - Caixa'!G$4)</f>
        <v>3440.8</v>
      </c>
      <c r="H15" s="53">
        <f>SUMIFS(Registro!$T:$T,Registro!$E:$E,'Análise - Caixa'!$C$14,Registro!$F:$F,'Análise - Caixa'!$C15,Registro!$O:$O,'Análise - Caixa'!H$4)</f>
        <v>3119.3</v>
      </c>
      <c r="I15" s="53">
        <f>SUMIFS(Registro!$T:$T,Registro!$E:$E,'Análise - Caixa'!$C$14,Registro!$F:$F,'Análise - Caixa'!$C15,Registro!$O:$O,'Análise - Caixa'!I$4)</f>
        <v>3.99</v>
      </c>
      <c r="J15" s="19">
        <f>SUMIFS(Registro!$T:$T,Registro!$E:$E,'Análise - Caixa'!$C$14,Registro!$F:$F,'Análise - Caixa'!$C15,Registro!$O:$O,'Análise - Caixa'!J$4)</f>
        <v>0</v>
      </c>
      <c r="K15" s="19">
        <f>SUMIFS(Registro!$T:$T,Registro!$E:$E,'Análise - Caixa'!$C$14,Registro!$F:$F,'Análise - Caixa'!$C15,Registro!$O:$O,'Análise - Caixa'!K$4)</f>
        <v>0</v>
      </c>
      <c r="L15" s="19">
        <f>SUMIFS(Registro!$T:$T,Registro!$E:$E,'Análise - Caixa'!$C$14,Registro!$F:$F,'Análise - Caixa'!$C15,Registro!$O:$O,'Análise - Caixa'!L$4)</f>
        <v>0</v>
      </c>
      <c r="M15" s="19">
        <f>SUMIFS(Registro!$T:$T,Registro!$E:$E,'Análise - Caixa'!$C$14,Registro!$F:$F,'Análise - Caixa'!$C15,Registro!$O:$O,'Análise - Caixa'!M$4)</f>
        <v>0</v>
      </c>
      <c r="N15" s="19">
        <f>SUMIFS(Registro!$T:$T,Registro!$E:$E,'Análise - Caixa'!$C$14,Registro!$F:$F,'Análise - Caixa'!$C15,Registro!$O:$O,'Análise - Caixa'!N$4)</f>
        <v>0</v>
      </c>
      <c r="O15" s="19">
        <f>SUMIFS(Registro!$T:$T,Registro!$E:$E,'Análise - Caixa'!$C$14,Registro!$F:$F,'Análise - Caixa'!$C15,Registro!$O:$O,'Análise - Caixa'!O$4)</f>
        <v>0</v>
      </c>
    </row>
    <row r="16" spans="2:28">
      <c r="B16" s="17" t="s">
        <v>322</v>
      </c>
      <c r="C16" s="18" t="s">
        <v>139</v>
      </c>
      <c r="D16" s="53">
        <f>SUMIFS(Registro!$T:$T,Registro!$F:$F,'Análise - Caixa'!$C16,Registro!$E:$E,'Análise - Caixa'!$C$14,Registro!$P:$P,D$4)</f>
        <v>0</v>
      </c>
      <c r="E16" s="53">
        <f>SUMIFS(Registro!$T:$T,Registro!$E:$E,'Análise - Caixa'!$C$14,Registro!$F:$F,'Análise - Caixa'!$C16,Registro!$O:$O,'Análise - Caixa'!E$4)-SUMIFS(Registro!$T:$T,Registro!$E:$E,'Análise - Caixa'!$C$14,Registro!$G:$G,"Comissões a Pagar",Registro!$O:$O,'Análise - Caixa'!E$4)</f>
        <v>1380.7899999999991</v>
      </c>
      <c r="F16" s="53">
        <f>SUMIFS(Registro!$T:$T,Registro!$E:$E,'Análise - Caixa'!$C$14,Registro!$F:$F,'Análise - Caixa'!$C16,Registro!$O:$O,'Análise - Caixa'!F$4)-SUMIFS(Registro!$T:$T,Registro!$E:$E,'Análise - Caixa'!$C$14,Registro!$G:$G,"Comissões a Pagar",Registro!$O:$O,'Análise - Caixa'!F$4)</f>
        <v>962.79999999999927</v>
      </c>
      <c r="G16" s="53">
        <f>SUMIFS(Registro!$T:$T,Registro!$E:$E,'Análise - Caixa'!$C$14,Registro!$F:$F,'Análise - Caixa'!$C16,Registro!$O:$O,'Análise - Caixa'!G$4)-SUMIFS(Registro!$T:$T,Registro!$E:$E,'Análise - Caixa'!$C$14,Registro!$G:$G,"Comissões a Pagar",Registro!$O:$O,'Análise - Caixa'!G$4)</f>
        <v>1841.9700000000012</v>
      </c>
      <c r="H16" s="53">
        <f>SUMIFS(Registro!$T:$T,Registro!$E:$E,'Análise - Caixa'!$C$14,Registro!$F:$F,'Análise - Caixa'!$C16,Registro!$O:$O,'Análise - Caixa'!H$4)-SUMIFS(Registro!$T:$T,Registro!$E:$E,'Análise - Caixa'!$C$14,Registro!$G:$G,"Comissões a Pagar",Registro!$O:$O,'Análise - Caixa'!H$4)</f>
        <v>2001.5999999999985</v>
      </c>
      <c r="I16" s="53">
        <f>SUMIFS(Registro!$T:$T,Registro!$E:$E,'Análise - Caixa'!$C$14,Registro!$F:$F,'Análise - Caixa'!$C16,Registro!$O:$O,'Análise - Caixa'!I$4)-SUMIFS(Registro!$T:$T,Registro!$E:$E,'Análise - Caixa'!$C$14,Registro!$G:$G,"Comissões a Pagar",Registro!$O:$O,'Análise - Caixa'!I$4)</f>
        <v>0</v>
      </c>
      <c r="J16" s="19">
        <f>SUMIFS(Registro!$T:$T,Registro!$E:$E,'Análise - Caixa'!$C$14,Registro!$F:$F,'Análise - Caixa'!$C16,Registro!$O:$O,'Análise - Caixa'!J$4)</f>
        <v>0</v>
      </c>
      <c r="K16" s="19">
        <f>SUMIFS(Registro!$T:$T,Registro!$E:$E,'Análise - Caixa'!$C$14,Registro!$F:$F,'Análise - Caixa'!$C16,Registro!$O:$O,'Análise - Caixa'!K$4)</f>
        <v>0</v>
      </c>
      <c r="L16" s="19">
        <f>SUMIFS(Registro!$T:$T,Registro!$E:$E,'Análise - Caixa'!$C$14,Registro!$F:$F,'Análise - Caixa'!$C16,Registro!$O:$O,'Análise - Caixa'!L$4)</f>
        <v>0</v>
      </c>
      <c r="M16" s="19">
        <f>SUMIFS(Registro!$T:$T,Registro!$E:$E,'Análise - Caixa'!$C$14,Registro!$F:$F,'Análise - Caixa'!$C16,Registro!$O:$O,'Análise - Caixa'!M$4)</f>
        <v>0</v>
      </c>
      <c r="N16" s="19">
        <f>SUMIFS(Registro!$T:$T,Registro!$E:$E,'Análise - Caixa'!$C$14,Registro!$F:$F,'Análise - Caixa'!$C16,Registro!$O:$O,'Análise - Caixa'!N$4)</f>
        <v>0</v>
      </c>
      <c r="O16" s="19">
        <f>SUMIFS(Registro!$T:$T,Registro!$E:$E,'Análise - Caixa'!$C$14,Registro!$F:$F,'Análise - Caixa'!$C16,Registro!$O:$O,'Análise - Caixa'!O$4)</f>
        <v>0</v>
      </c>
    </row>
    <row r="17" spans="2:16">
      <c r="B17" s="17" t="s">
        <v>840</v>
      </c>
      <c r="C17" s="20" t="s">
        <v>2621</v>
      </c>
      <c r="D17" s="53">
        <f>SUMIFS(Registro!$T:$T,Registro!$F:$F,'Análise - Caixa'!$C17,Registro!$E:$E,'Análise - Caixa'!$C$14,Registro!$P:$P,D$4)</f>
        <v>0</v>
      </c>
      <c r="E17" s="53">
        <f>E20+E27+E34</f>
        <v>8328.25</v>
      </c>
      <c r="F17" s="53">
        <f>F20+F27+F34</f>
        <v>8382.4500000000007</v>
      </c>
      <c r="G17" s="53">
        <f>G20+G27+G34</f>
        <v>8885.5499999999993</v>
      </c>
      <c r="H17" s="53">
        <f>H20+H27+H34</f>
        <v>10471.700000000001</v>
      </c>
      <c r="I17" s="53">
        <f>I20+I27+I34</f>
        <v>0</v>
      </c>
      <c r="J17" s="19">
        <f>SUMIFS(Registro!$N:$N,Registro!$O:$O,'Análise - Caixa'!J$4)</f>
        <v>0</v>
      </c>
      <c r="K17" s="19">
        <f>SUMIFS(Registro!$N:$N,Registro!$O:$O,'Análise - Caixa'!K$4)</f>
        <v>0</v>
      </c>
      <c r="L17" s="19">
        <f>SUMIFS(Registro!$N:$N,Registro!$O:$O,'Análise - Caixa'!L$4)</f>
        <v>0</v>
      </c>
      <c r="M17" s="19">
        <f>SUMIFS(Registro!$N:$N,Registro!$O:$O,'Análise - Caixa'!M$4)</f>
        <v>0</v>
      </c>
      <c r="N17" s="19">
        <f>SUMIFS(Registro!$N:$N,Registro!$O:$O,'Análise - Caixa'!N$4)</f>
        <v>0</v>
      </c>
      <c r="O17" s="19">
        <f>SUMIFS(Registro!$N:$N,Registro!$O:$O,'Análise - Caixa'!O$4)</f>
        <v>0</v>
      </c>
    </row>
    <row r="18" spans="2:16">
      <c r="B18" s="17" t="s">
        <v>2620</v>
      </c>
      <c r="C18" s="20" t="s">
        <v>2622</v>
      </c>
      <c r="D18" s="53">
        <f>SUMIFS(Registro!$T:$T,Registro!$F:$F,'Análise - Caixa'!$C18,Registro!$E:$E,'Análise - Caixa'!$C$14,Registro!$P:$P,D$4)</f>
        <v>0</v>
      </c>
      <c r="E18" s="53">
        <f>E19+E26+E33</f>
        <v>8032.2425000000012</v>
      </c>
      <c r="F18" s="53">
        <f>F19+F26+F33</f>
        <v>8398.9485000000004</v>
      </c>
      <c r="G18" s="53">
        <f>G19+G26+G33</f>
        <v>8844.4500000000007</v>
      </c>
      <c r="H18" s="53">
        <f>H19+H26+H33</f>
        <v>10271.449999999999</v>
      </c>
      <c r="I18" s="53">
        <f>I19+I26+I33</f>
        <v>544.09999999999991</v>
      </c>
      <c r="J18" s="19"/>
      <c r="K18" s="19"/>
      <c r="L18" s="19"/>
      <c r="M18" s="19"/>
      <c r="N18" s="19"/>
      <c r="O18" s="19"/>
    </row>
    <row r="19" spans="2:16">
      <c r="B19" s="17" t="s">
        <v>971</v>
      </c>
      <c r="C19" s="21" t="str">
        <f>base!I2</f>
        <v>Christian Magon</v>
      </c>
      <c r="D19" s="53"/>
      <c r="E19" s="53">
        <f>SUMIFS(Registro!$N:$N,Registro!$O:$O,'Análise - Caixa'!E$4,Registro!$L:$L,'Análise - Caixa'!$C19)+E25</f>
        <v>2575.4485000000004</v>
      </c>
      <c r="F19" s="53">
        <f>SUMIFS(Registro!$N:$N,Registro!$O:$O,'Análise - Caixa'!F$4,Registro!$L:$L,'Análise - Caixa'!$C19)+F25</f>
        <v>2924.5000000000005</v>
      </c>
      <c r="G19" s="53">
        <f>SUMIFS(Registro!$N:$N,Registro!$O:$O,'Análise - Caixa'!G$4,Registro!$L:$L,'Análise - Caixa'!$C19)+G25</f>
        <v>2767.5</v>
      </c>
      <c r="H19" s="53">
        <f>SUMIFS(Registro!$N:$N,Registro!$O:$O,'Análise - Caixa'!H$4,Registro!$L:$L,'Análise - Caixa'!$C19)+H25</f>
        <v>3221.0499999999993</v>
      </c>
      <c r="I19" s="53">
        <f>SUMIFS(Registro!$N:$N,Registro!$O:$O,'Análise - Caixa'!I$4,Registro!$L:$L,'Análise - Caixa'!$C19)+I25</f>
        <v>92.25</v>
      </c>
      <c r="J19" s="19"/>
      <c r="K19" s="19"/>
      <c r="L19" s="19"/>
      <c r="M19" s="19"/>
      <c r="N19" s="19"/>
      <c r="O19" s="19"/>
    </row>
    <row r="20" spans="2:16" hidden="1" outlineLevel="1">
      <c r="B20" s="17" t="s">
        <v>972</v>
      </c>
      <c r="C20" s="22" t="s">
        <v>976</v>
      </c>
      <c r="D20" s="53"/>
      <c r="E20" s="53">
        <f>SUMIFS(Registro!$I:$I,Registro!$E:$E,'Análise - Caixa'!$C$14,Registro!$L:$L,'Análise - Caixa'!$C$19,Registro!$G:$G,base!$H$5,Registro!$O:$O,'Análise - Caixa'!E$4)</f>
        <v>2668.45</v>
      </c>
      <c r="F20" s="53">
        <f>SUMIFS(Registro!$I:$I,Registro!$E:$E,'Análise - Caixa'!$C$14,Registro!$L:$L,'Análise - Caixa'!$C$19,Registro!$G:$G,base!$H$5,Registro!$O:$O,'Análise - Caixa'!F$4)</f>
        <v>2959.5</v>
      </c>
      <c r="G20" s="53">
        <f>SUMIFS(Registro!$I:$I,Registro!$E:$E,'Análise - Caixa'!$C$14,Registro!$L:$L,'Análise - Caixa'!$C$19,Registro!$G:$G,base!$H$5,Registro!$O:$O,'Análise - Caixa'!G$4)</f>
        <v>2767.5</v>
      </c>
      <c r="H20" s="53">
        <f>SUMIFS(Registro!$I:$I,Registro!$E:$E,'Análise - Caixa'!$C$14,Registro!$L:$L,'Análise - Caixa'!$C$19,Registro!$G:$G,base!$H$5,Registro!$O:$O,'Análise - Caixa'!H$4)</f>
        <v>3329.3</v>
      </c>
      <c r="I20" s="53">
        <f>SUMIFS(Registro!$I:$I,Registro!$E:$E,'Análise - Caixa'!$C$14,Registro!$L:$L,'Análise - Caixa'!$C$19,Registro!$G:$G,base!$H$5,Registro!$O:$O,'Análise - Caixa'!I$4)</f>
        <v>0</v>
      </c>
      <c r="J20" s="53">
        <f>SUMIFS(Registro!$I:$I,Registro!$E:$E,'Análise - Caixa'!$C$14,Registro!$L:$L,'Análise - Caixa'!$C$19,Registro!$G:$G,base!$H$5,Registro!$O:$O,'Análise - Caixa'!J$4)</f>
        <v>0</v>
      </c>
      <c r="K20" s="53">
        <f>SUMIFS(Registro!$I:$I,Registro!$E:$E,'Análise - Caixa'!$C$14,Registro!$L:$L,'Análise - Caixa'!$C$19,Registro!$G:$G,base!$H$5,Registro!$O:$O,'Análise - Caixa'!K$4)</f>
        <v>0</v>
      </c>
      <c r="L20" s="53">
        <f>SUMIFS(Registro!$I:$I,Registro!$E:$E,'Análise - Caixa'!$C$14,Registro!$L:$L,'Análise - Caixa'!$C$19,Registro!$G:$G,base!$H$5,Registro!$O:$O,'Análise - Caixa'!L$4)</f>
        <v>0</v>
      </c>
      <c r="M20" s="53">
        <f>SUMIFS(Registro!$I:$I,Registro!$E:$E,'Análise - Caixa'!$C$14,Registro!$L:$L,'Análise - Caixa'!$C$19,Registro!$G:$G,base!$H$5,Registro!$O:$O,'Análise - Caixa'!M$4)</f>
        <v>0</v>
      </c>
      <c r="N20" s="53">
        <f>SUMIFS(Registro!$I:$I,Registro!$E:$E,'Análise - Caixa'!$C$14,Registro!$L:$L,'Análise - Caixa'!$C$19,Registro!$G:$G,base!$H$5,Registro!$O:$O,'Análise - Caixa'!N$4)</f>
        <v>0</v>
      </c>
      <c r="O20" s="53">
        <f>SUMIFS(Registro!$I:$I,Registro!$E:$E,'Análise - Caixa'!$C$14,Registro!$L:$L,'Análise - Caixa'!$C$19,Registro!$G:$G,base!$H$5,Registro!$O:$O,'Análise - Caixa'!O$4)</f>
        <v>0</v>
      </c>
    </row>
    <row r="21" spans="2:16" hidden="1" outlineLevel="1">
      <c r="B21" s="17"/>
      <c r="C21" s="22" t="s">
        <v>987</v>
      </c>
      <c r="D21" s="53"/>
      <c r="E21" s="53">
        <f>E19-E20</f>
        <v>-93.001499999999396</v>
      </c>
      <c r="F21" s="53">
        <f>F19-F20</f>
        <v>-34.999999999999545</v>
      </c>
      <c r="G21" s="53">
        <f>G19-G20</f>
        <v>0</v>
      </c>
      <c r="H21" s="53">
        <f>H19-H20</f>
        <v>-108.25000000000091</v>
      </c>
      <c r="I21" s="53">
        <f>I19-I20</f>
        <v>92.25</v>
      </c>
      <c r="J21" s="19"/>
      <c r="K21" s="19"/>
      <c r="L21" s="19"/>
      <c r="M21" s="19"/>
      <c r="N21" s="19"/>
      <c r="O21" s="19"/>
    </row>
    <row r="22" spans="2:16" hidden="1" outlineLevel="1">
      <c r="B22" s="17" t="s">
        <v>973</v>
      </c>
      <c r="C22" s="23" t="str">
        <f>base!J2</f>
        <v>Serviços</v>
      </c>
      <c r="D22" s="53"/>
      <c r="E22" s="53">
        <f>SUMIFS(Registro!$N:$N,Registro!$O:$O,'Análise - Caixa'!E$4,Registro!$L:$L,'Análise - Caixa'!$C$19,Registro!$F:$F,$C22)</f>
        <v>1640.7000000000003</v>
      </c>
      <c r="F22" s="53">
        <f>SUMIFS(Registro!$N:$N,Registro!$O:$O,'Análise - Caixa'!F$4,Registro!$L:$L,'Análise - Caixa'!$C$19,Registro!$F:$F,$C22)</f>
        <v>2148.75</v>
      </c>
      <c r="G22" s="53">
        <f>SUMIFS(Registro!$N:$N,Registro!$O:$O,'Análise - Caixa'!G$4,Registro!$L:$L,'Análise - Caixa'!$C$19,Registro!$F:$F,$C22)</f>
        <v>2016.0000000000002</v>
      </c>
      <c r="H22" s="53">
        <f>SUMIFS(Registro!$N:$N,Registro!$O:$O,'Análise - Caixa'!H$4,Registro!$L:$L,'Análise - Caixa'!$C$19,Registro!$F:$F,$C22)</f>
        <v>2443.5</v>
      </c>
      <c r="I22" s="53">
        <f>SUMIFS(Registro!$N:$N,Registro!$O:$O,'Análise - Caixa'!I$4,Registro!$L:$L,'Análise - Caixa'!$C$19,Registro!$F:$F,$C22)</f>
        <v>74.25</v>
      </c>
      <c r="J22" s="19"/>
      <c r="K22" s="19"/>
      <c r="L22" s="19"/>
      <c r="M22" s="19"/>
      <c r="N22" s="19"/>
      <c r="O22" s="19"/>
    </row>
    <row r="23" spans="2:16" hidden="1" outlineLevel="1">
      <c r="B23" s="17" t="s">
        <v>974</v>
      </c>
      <c r="C23" s="23" t="str">
        <f>base!J3</f>
        <v>Produtos</v>
      </c>
      <c r="D23" s="53"/>
      <c r="E23" s="53">
        <f>SUMIFS(Registro!$N:$N,Registro!$O:$O,'Análise - Caixa'!E$4,Registro!$L:$L,'Análise - Caixa'!$C$19,Registro!$F:$F,$C23)</f>
        <v>34</v>
      </c>
      <c r="F23" s="53">
        <f>SUMIFS(Registro!$N:$N,Registro!$O:$O,'Análise - Caixa'!F$4,Registro!$L:$L,'Análise - Caixa'!$C$19,Registro!$F:$F,$C23)</f>
        <v>88</v>
      </c>
      <c r="G23" s="53">
        <f>SUMIFS(Registro!$N:$N,Registro!$O:$O,'Análise - Caixa'!G$4,Registro!$L:$L,'Análise - Caixa'!$C$19,Registro!$F:$F,$C23)</f>
        <v>120</v>
      </c>
      <c r="H23" s="53">
        <f>SUMIFS(Registro!$N:$N,Registro!$O:$O,'Análise - Caixa'!H$4,Registro!$L:$L,'Análise - Caixa'!$C$19,Registro!$F:$F,$C23)</f>
        <v>100.80000000000001</v>
      </c>
      <c r="I23" s="53">
        <f>SUMIFS(Registro!$N:$N,Registro!$O:$O,'Análise - Caixa'!I$4,Registro!$L:$L,'Análise - Caixa'!$C$19,Registro!$F:$F,$C23)</f>
        <v>18</v>
      </c>
      <c r="J23" s="19"/>
      <c r="K23" s="19"/>
      <c r="L23" s="19"/>
      <c r="M23" s="19"/>
      <c r="N23" s="19"/>
      <c r="O23" s="19"/>
    </row>
    <row r="24" spans="2:16" hidden="1" outlineLevel="1">
      <c r="B24" s="17" t="s">
        <v>975</v>
      </c>
      <c r="C24" s="23" t="str">
        <f>base!J4</f>
        <v>Combos</v>
      </c>
      <c r="D24" s="53"/>
      <c r="E24" s="53">
        <f>SUMIFS(Registro!$N:$N,Registro!$O:$O,'Análise - Caixa'!E$4,Registro!$L:$L,'Análise - Caixa'!$C$19,Registro!$F:$F,$C24)</f>
        <v>885.74850000000004</v>
      </c>
      <c r="F24" s="53">
        <f>SUMIFS(Registro!$N:$N,Registro!$O:$O,'Análise - Caixa'!F$4,Registro!$L:$L,'Análise - Caixa'!$C$19,Registro!$F:$F,$C24)</f>
        <v>672.75</v>
      </c>
      <c r="G24" s="53">
        <f>SUMIFS(Registro!$N:$N,Registro!$O:$O,'Análise - Caixa'!G$4,Registro!$L:$L,'Análise - Caixa'!$C$19,Registro!$F:$F,$C24)</f>
        <v>616.5</v>
      </c>
      <c r="H24" s="53">
        <f>SUMIFS(Registro!$N:$N,Registro!$O:$O,'Análise - Caixa'!H$4,Registro!$L:$L,'Análise - Caixa'!$C$19,Registro!$F:$F,$C24)</f>
        <v>591.75</v>
      </c>
      <c r="I24" s="53">
        <f>SUMIFS(Registro!$N:$N,Registro!$O:$O,'Análise - Caixa'!I$4,Registro!$L:$L,'Análise - Caixa'!$C$19,Registro!$F:$F,$C24)</f>
        <v>0</v>
      </c>
      <c r="J24" s="19"/>
      <c r="K24" s="19"/>
      <c r="L24" s="19"/>
      <c r="M24" s="19"/>
      <c r="N24" s="19"/>
      <c r="O24" s="19"/>
    </row>
    <row r="25" spans="2:16" hidden="1" outlineLevel="1">
      <c r="B25" s="17" t="s">
        <v>1249</v>
      </c>
      <c r="C25" s="23" t="s">
        <v>910</v>
      </c>
      <c r="D25" s="53"/>
      <c r="E25" s="53">
        <f>SUMIFS(Registro!$T:$T,Registro!$O:$O,'Análise - Caixa'!E$4,Registro!$L:$L,'Análise - Caixa'!$C$19,Registro!$F:$F,$C25)</f>
        <v>15</v>
      </c>
      <c r="F25" s="53">
        <f>SUMIFS(Registro!$T:$T,Registro!$O:$O,'Análise - Caixa'!F$4,Registro!$L:$L,'Análise - Caixa'!$C$19,Registro!$F:$F,$C25)</f>
        <v>15</v>
      </c>
      <c r="G25" s="53">
        <f>SUMIFS(Registro!$T:$T,Registro!$O:$O,'Análise - Caixa'!G$4,Registro!$L:$L,'Análise - Caixa'!$C$19,Registro!$F:$F,$C25)</f>
        <v>15</v>
      </c>
      <c r="H25" s="53">
        <f>SUMIFS(Registro!$T:$T,Registro!$O:$O,'Análise - Caixa'!H$4,Registro!$L:$L,'Análise - Caixa'!$C$19,Registro!$F:$F,$C25)</f>
        <v>85</v>
      </c>
      <c r="I25" s="53">
        <f>SUMIFS(Registro!$T:$T,Registro!$O:$O,'Análise - Caixa'!I$4,Registro!$L:$L,'Análise - Caixa'!$C$19,Registro!$F:$F,$C25)</f>
        <v>0</v>
      </c>
      <c r="J25" s="19"/>
      <c r="K25" s="19"/>
      <c r="L25" s="19"/>
      <c r="M25" s="19"/>
      <c r="N25" s="19"/>
      <c r="O25" s="19"/>
    </row>
    <row r="26" spans="2:16" collapsed="1">
      <c r="B26" s="17" t="s">
        <v>982</v>
      </c>
      <c r="C26" s="21" t="str">
        <f>base!I3</f>
        <v>Gustavo de Castro</v>
      </c>
      <c r="D26" s="53"/>
      <c r="E26" s="53">
        <f>SUMIFS(Registro!$N:$N,Registro!$O:$O,'Análise - Caixa'!E$4,Registro!$L:$L,'Análise - Caixa'!$C26)+E32</f>
        <v>3475.7940000000008</v>
      </c>
      <c r="F26" s="53">
        <f>SUMIFS(Registro!$N:$N,Registro!$O:$O,'Análise - Caixa'!F$4,Registro!$L:$L,'Análise - Caixa'!$C26)+F32</f>
        <v>3419.0485000000003</v>
      </c>
      <c r="G26" s="53">
        <f>SUMIFS(Registro!$N:$N,Registro!$O:$O,'Análise - Caixa'!G$4,Registro!$L:$L,'Análise - Caixa'!$C26)+G32</f>
        <v>3951.9500000000003</v>
      </c>
      <c r="H26" s="53">
        <f>SUMIFS(Registro!$N:$N,Registro!$O:$O,'Análise - Caixa'!H$4,Registro!$L:$L,'Análise - Caixa'!$C26)+H32</f>
        <v>4299.8</v>
      </c>
      <c r="I26" s="53">
        <f>SUMIFS(Registro!$N:$N,Registro!$O:$O,'Análise - Caixa'!I$4,Registro!$L:$L,'Análise - Caixa'!$C26)+I32</f>
        <v>314.14999999999998</v>
      </c>
      <c r="J26" s="19"/>
      <c r="K26" s="19"/>
      <c r="L26" s="19"/>
      <c r="M26" s="19"/>
      <c r="N26" s="19"/>
      <c r="O26" s="19"/>
    </row>
    <row r="27" spans="2:16" hidden="1" outlineLevel="1">
      <c r="B27" s="17" t="s">
        <v>983</v>
      </c>
      <c r="C27" s="22" t="s">
        <v>976</v>
      </c>
      <c r="D27" s="53"/>
      <c r="E27" s="53">
        <f>SUMIFS(Registro!$I:$I,Registro!$E:$E,'Análise - Caixa'!$C$14,Registro!$L:$L,'Análise - Caixa'!$C$26,Registro!$G:$G,base!$H$5,Registro!$O:$O,'Análise - Caixa'!E$4)</f>
        <v>3476.8</v>
      </c>
      <c r="F27" s="53">
        <f>SUMIFS(Registro!$I:$I,Registro!$E:$E,'Análise - Caixa'!$C$14,Registro!$L:$L,'Análise - Caixa'!$C$26,Registro!$G:$G,base!$H$5,Registro!$O:$O,'Análise - Caixa'!F$4)</f>
        <v>3317.05</v>
      </c>
      <c r="G27" s="53">
        <f>SUMIFS(Registro!$I:$I,Registro!$E:$E,'Análise - Caixa'!$C$14,Registro!$L:$L,'Análise - Caixa'!$C$26,Registro!$G:$G,base!$H$5,Registro!$O:$O,'Análise - Caixa'!G$4)</f>
        <v>3951.95</v>
      </c>
      <c r="H27" s="53">
        <f>SUMIFS(Registro!$I:$I,Registro!$E:$E,'Análise - Caixa'!$C$14,Registro!$L:$L,'Análise - Caixa'!$C$26,Registro!$G:$G,base!$H$5,Registro!$O:$O,'Análise - Caixa'!H$4)</f>
        <v>4296.8</v>
      </c>
      <c r="I27" s="53">
        <f>SUMIFS(Registro!$I:$I,Registro!$E:$E,'Análise - Caixa'!$C$14,Registro!$L:$L,'Análise - Caixa'!$C$26,Registro!$G:$G,base!$H$5,Registro!$O:$O,'Análise - Caixa'!I$4)</f>
        <v>0</v>
      </c>
      <c r="J27" s="19"/>
      <c r="K27" s="19"/>
      <c r="L27" s="19"/>
      <c r="M27" s="19"/>
      <c r="N27" s="19"/>
      <c r="O27" s="19"/>
    </row>
    <row r="28" spans="2:16" hidden="1" outlineLevel="1">
      <c r="B28" s="17"/>
      <c r="C28" s="22" t="s">
        <v>987</v>
      </c>
      <c r="D28" s="53"/>
      <c r="E28" s="53">
        <f>E26-E27</f>
        <v>-1.0059999999994034</v>
      </c>
      <c r="F28" s="53">
        <f>F26-F27</f>
        <v>101.99850000000015</v>
      </c>
      <c r="G28" s="53">
        <f>G26-G27</f>
        <v>0</v>
      </c>
      <c r="H28" s="53">
        <f>H26-H27</f>
        <v>3</v>
      </c>
      <c r="I28" s="53">
        <f>I26-I27</f>
        <v>314.14999999999998</v>
      </c>
      <c r="J28" s="19"/>
      <c r="K28" s="19"/>
      <c r="L28" s="19"/>
      <c r="M28" s="19"/>
      <c r="N28" s="19"/>
      <c r="O28" s="19"/>
    </row>
    <row r="29" spans="2:16" hidden="1" outlineLevel="1">
      <c r="B29" s="17" t="s">
        <v>984</v>
      </c>
      <c r="C29" s="23" t="str">
        <f>C22</f>
        <v>Serviços</v>
      </c>
      <c r="D29" s="53"/>
      <c r="E29" s="53">
        <f>SUMIFS(Registro!$N:$N,Registro!$O:$O,'Análise - Caixa'!E$4,Registro!$L:$L,'Análise - Caixa'!$C$26,Registro!$F:$F,$C29)</f>
        <v>1941.7500000000002</v>
      </c>
      <c r="F29" s="53">
        <f>SUMIFS(Registro!$N:$N,Registro!$O:$O,'Análise - Caixa'!F$4,Registro!$L:$L,'Análise - Caixa'!$C$26,Registro!$F:$F,$C29)</f>
        <v>2690.55</v>
      </c>
      <c r="G29" s="53">
        <f>SUMIFS(Registro!$N:$N,Registro!$O:$O,'Análise - Caixa'!G$4,Registro!$L:$L,'Análise - Caixa'!$C$26,Registro!$F:$F,$C29)</f>
        <v>2956.9500000000003</v>
      </c>
      <c r="H29" s="53">
        <f>SUMIFS(Registro!$N:$N,Registro!$O:$O,'Análise - Caixa'!H$4,Registro!$L:$L,'Análise - Caixa'!$C$26,Registro!$F:$F,$C29)</f>
        <v>3385.8</v>
      </c>
      <c r="I29" s="53">
        <f>SUMIFS(Registro!$N:$N,Registro!$O:$O,'Análise - Caixa'!I$4,Registro!$L:$L,'Análise - Caixa'!$C$26,Registro!$F:$F,$C29)</f>
        <v>240.75</v>
      </c>
      <c r="J29" s="19"/>
      <c r="K29" s="19"/>
      <c r="L29" s="19"/>
      <c r="M29" s="19"/>
      <c r="N29" s="19"/>
      <c r="O29" s="19"/>
    </row>
    <row r="30" spans="2:16" hidden="1" outlineLevel="1">
      <c r="B30" s="17" t="s">
        <v>985</v>
      </c>
      <c r="C30" s="23" t="str">
        <f>C23</f>
        <v>Produtos</v>
      </c>
      <c r="D30" s="53"/>
      <c r="E30" s="53">
        <f>SUMIFS(Registro!$N:$N,Registro!$O:$O,'Análise - Caixa'!E$4,Registro!$L:$L,'Análise - Caixa'!$C$26,Registro!$F:$F,$C30)</f>
        <v>130.80000000000001</v>
      </c>
      <c r="F30" s="53">
        <f>SUMIFS(Registro!$N:$N,Registro!$O:$O,'Análise - Caixa'!F$4,Registro!$L:$L,'Análise - Caixa'!$C$26,Registro!$F:$F,$C30)</f>
        <v>70</v>
      </c>
      <c r="G30" s="53">
        <f>SUMIFS(Registro!$N:$N,Registro!$O:$O,'Análise - Caixa'!G$4,Registro!$L:$L,'Análise - Caixa'!$C$26,Registro!$F:$F,$C30)</f>
        <v>248</v>
      </c>
      <c r="H30" s="53">
        <f>SUMIFS(Registro!$N:$N,Registro!$O:$O,'Análise - Caixa'!H$4,Registro!$L:$L,'Análise - Caixa'!$C$26,Registro!$F:$F,$C30)</f>
        <v>373.99999999999994</v>
      </c>
      <c r="I30" s="53">
        <f>SUMIFS(Registro!$N:$N,Registro!$O:$O,'Análise - Caixa'!I$4,Registro!$L:$L,'Análise - Caixa'!$C$26,Registro!$F:$F,$C30)</f>
        <v>28.4</v>
      </c>
      <c r="J30" s="19"/>
      <c r="K30" s="19"/>
      <c r="L30" s="19"/>
      <c r="M30" s="19"/>
      <c r="N30" s="19"/>
      <c r="O30" s="19"/>
      <c r="P30" s="3"/>
    </row>
    <row r="31" spans="2:16" hidden="1" outlineLevel="1">
      <c r="B31" s="17" t="s">
        <v>986</v>
      </c>
      <c r="C31" s="23" t="str">
        <f>C24</f>
        <v>Combos</v>
      </c>
      <c r="D31" s="53"/>
      <c r="E31" s="53">
        <f>SUMIFS(Registro!$N:$N,Registro!$O:$O,'Análise - Caixa'!E$4,Registro!$L:$L,'Análise - Caixa'!$C$26,Registro!$F:$F,$C31)</f>
        <v>1403.2439999999999</v>
      </c>
      <c r="F31" s="53">
        <f>SUMIFS(Registro!$N:$N,Registro!$O:$O,'Análise - Caixa'!F$4,Registro!$L:$L,'Análise - Caixa'!$C$26,Registro!$F:$F,$C31)</f>
        <v>658.49850000000004</v>
      </c>
      <c r="G31" s="53">
        <f>SUMIFS(Registro!$N:$N,Registro!$O:$O,'Análise - Caixa'!G$4,Registro!$L:$L,'Análise - Caixa'!$C$26,Registro!$F:$F,$C31)</f>
        <v>747</v>
      </c>
      <c r="H31" s="53">
        <f>SUMIFS(Registro!$N:$N,Registro!$O:$O,'Análise - Caixa'!H$4,Registro!$L:$L,'Análise - Caixa'!$C$26,Registro!$F:$F,$C31)</f>
        <v>540</v>
      </c>
      <c r="I31" s="53">
        <f>SUMIFS(Registro!$N:$N,Registro!$O:$O,'Análise - Caixa'!I$4,Registro!$L:$L,'Análise - Caixa'!$C$26,Registro!$F:$F,$C31)</f>
        <v>45</v>
      </c>
      <c r="J31" s="19"/>
      <c r="K31" s="19"/>
      <c r="L31" s="19"/>
      <c r="M31" s="19"/>
      <c r="N31" s="19"/>
      <c r="O31" s="19"/>
    </row>
    <row r="32" spans="2:16" hidden="1" outlineLevel="1">
      <c r="B32" s="17" t="s">
        <v>1248</v>
      </c>
      <c r="C32" s="23" t="s">
        <v>910</v>
      </c>
      <c r="D32" s="53"/>
      <c r="E32" s="53">
        <f>SUMIFS(Registro!$T:$T,Registro!$O:$O,'Análise - Caixa'!E$4,Registro!$L:$L,'Análise - Caixa'!$C$26,Registro!$F:$F,$C32)</f>
        <v>0</v>
      </c>
      <c r="F32" s="53">
        <f>SUMIFS(Registro!$T:$T,Registro!$O:$O,'Análise - Caixa'!F$4,Registro!$L:$L,'Análise - Caixa'!$C$26,Registro!$F:$F,$C32)</f>
        <v>0</v>
      </c>
      <c r="G32" s="53">
        <f>SUMIFS(Registro!$T:$T,Registro!$O:$O,'Análise - Caixa'!G$4,Registro!$L:$L,'Análise - Caixa'!$C$26,Registro!$F:$F,$C32)</f>
        <v>0</v>
      </c>
      <c r="H32" s="53">
        <f>SUMIFS(Registro!$T:$T,Registro!$O:$O,'Análise - Caixa'!H$4,Registro!$L:$L,'Análise - Caixa'!$C$26,Registro!$F:$F,$C32)</f>
        <v>0</v>
      </c>
      <c r="I32" s="53">
        <f>SUMIFS(Registro!$T:$T,Registro!$O:$O,'Análise - Caixa'!I$4,Registro!$L:$L,'Análise - Caixa'!$C$26,Registro!$F:$F,$C32)</f>
        <v>0</v>
      </c>
      <c r="J32" s="19"/>
      <c r="K32" s="19"/>
      <c r="L32" s="19"/>
      <c r="M32" s="19"/>
      <c r="N32" s="19"/>
      <c r="O32" s="19"/>
    </row>
    <row r="33" spans="2:15" collapsed="1">
      <c r="B33" s="17" t="s">
        <v>977</v>
      </c>
      <c r="C33" s="21" t="str">
        <f>base!I4</f>
        <v>PATRICK CARDOSO</v>
      </c>
      <c r="D33" s="53"/>
      <c r="E33" s="53">
        <f>SUMIFS(Registro!$N:$N,Registro!$O:$O,'Análise - Caixa'!E$4,Registro!$L:$L,'Análise - Caixa'!$C33)+E39</f>
        <v>1981</v>
      </c>
      <c r="F33" s="53">
        <f>SUMIFS(Registro!$N:$N,Registro!$O:$O,'Análise - Caixa'!F$4,Registro!$L:$L,'Análise - Caixa'!$C33)</f>
        <v>2055.4</v>
      </c>
      <c r="G33" s="53">
        <f>SUMIFS(Registro!$N:$N,Registro!$O:$O,'Análise - Caixa'!G$4,Registro!$L:$L,'Análise - Caixa'!$C33)</f>
        <v>2125</v>
      </c>
      <c r="H33" s="53">
        <f>SUMIFS(Registro!$N:$N,Registro!$O:$O,'Análise - Caixa'!H$4,Registro!$L:$L,'Análise - Caixa'!$C33)</f>
        <v>2750.5999999999995</v>
      </c>
      <c r="I33" s="53">
        <f>SUMIFS(Registro!$N:$N,Registro!$O:$O,'Análise - Caixa'!I$4,Registro!$L:$L,'Análise - Caixa'!$C33)</f>
        <v>137.69999999999999</v>
      </c>
      <c r="J33" s="19"/>
      <c r="K33" s="19"/>
      <c r="L33" s="19"/>
      <c r="M33" s="19"/>
      <c r="N33" s="19"/>
      <c r="O33" s="19"/>
    </row>
    <row r="34" spans="2:15" hidden="1" outlineLevel="1">
      <c r="B34" s="17" t="s">
        <v>978</v>
      </c>
      <c r="C34" s="21" t="s">
        <v>976</v>
      </c>
      <c r="D34" s="53"/>
      <c r="E34" s="53">
        <f>SUMIFS(Registro!$I:$I,Registro!$E:$E,'Análise - Caixa'!$C$14,Registro!$L:$L,'Análise - Caixa'!$C$33,Registro!$G:$G,base!$H$5,Registro!$O:$O,'Análise - Caixa'!E$4)</f>
        <v>2183</v>
      </c>
      <c r="F34" s="53">
        <f>SUMIFS(Registro!$I:$I,Registro!$E:$E,'Análise - Caixa'!$C$14,Registro!$L:$L,'Análise - Caixa'!$C$33,Registro!$G:$G,base!$H$5,Registro!$O:$O,'Análise - Caixa'!F$4)</f>
        <v>2105.9</v>
      </c>
      <c r="G34" s="53">
        <f>SUMIFS(Registro!$I:$I,Registro!$E:$E,'Análise - Caixa'!$C$14,Registro!$L:$L,'Análise - Caixa'!$C$33,Registro!$G:$G,base!$H$5,Registro!$O:$O,'Análise - Caixa'!G$4)</f>
        <v>2166.1</v>
      </c>
      <c r="H34" s="53">
        <f>SUMIFS(Registro!$I:$I,Registro!$E:$E,'Análise - Caixa'!$C$14,Registro!$L:$L,'Análise - Caixa'!$C$33,Registro!$G:$G,base!$H$5,Registro!$O:$O,'Análise - Caixa'!H$4)</f>
        <v>2845.6</v>
      </c>
      <c r="I34" s="53">
        <f>SUMIFS(Registro!$I:$I,Registro!$E:$E,'Análise - Caixa'!$C$14,Registro!$L:$L,'Análise - Caixa'!$C$33,Registro!$G:$G,base!$H$5,Registro!$O:$O,'Análise - Caixa'!I$4)</f>
        <v>0</v>
      </c>
      <c r="J34" s="19"/>
      <c r="K34" s="19"/>
      <c r="L34" s="19"/>
      <c r="M34" s="19"/>
      <c r="N34" s="19"/>
      <c r="O34" s="19"/>
    </row>
    <row r="35" spans="2:15" hidden="1" outlineLevel="1">
      <c r="B35" s="17"/>
      <c r="C35" s="22" t="s">
        <v>987</v>
      </c>
      <c r="D35" s="53"/>
      <c r="E35" s="53">
        <f>E33-E34</f>
        <v>-202</v>
      </c>
      <c r="F35" s="53">
        <f>F33-F34</f>
        <v>-50.5</v>
      </c>
      <c r="G35" s="53">
        <f>G33-G34</f>
        <v>-41.099999999999909</v>
      </c>
      <c r="H35" s="53">
        <f>H33-H34</f>
        <v>-95.000000000000455</v>
      </c>
      <c r="I35" s="53">
        <f>I33-I34</f>
        <v>137.69999999999999</v>
      </c>
      <c r="J35" s="19"/>
      <c r="K35" s="19"/>
      <c r="L35" s="19"/>
      <c r="M35" s="19"/>
      <c r="N35" s="19"/>
      <c r="O35" s="19"/>
    </row>
    <row r="36" spans="2:15" hidden="1" outlineLevel="1">
      <c r="B36" s="17" t="s">
        <v>979</v>
      </c>
      <c r="C36" s="23" t="str">
        <f>C22</f>
        <v>Serviços</v>
      </c>
      <c r="D36" s="53"/>
      <c r="E36" s="53">
        <f>SUMIFS(Registro!$N:$N,Registro!$O:$O,'Análise - Caixa'!E$4,Registro!$L:$L,'Análise - Caixa'!$C$33,Registro!$F:$F,$C36)</f>
        <v>1230.75</v>
      </c>
      <c r="F36" s="53">
        <f>SUMIFS(Registro!$N:$N,Registro!$O:$O,'Análise - Caixa'!F$4,Registro!$L:$L,'Análise - Caixa'!$C$33,Registro!$F:$F,$C36)</f>
        <v>1398.15</v>
      </c>
      <c r="G36" s="53">
        <f>SUMIFS(Registro!$N:$N,Registro!$O:$O,'Análise - Caixa'!G$4,Registro!$L:$L,'Análise - Caixa'!$C$33,Registro!$F:$F,$C36)</f>
        <v>1416.6000000000001</v>
      </c>
      <c r="H36" s="53">
        <f>SUMIFS(Registro!$N:$N,Registro!$O:$O,'Análise - Caixa'!H$4,Registro!$L:$L,'Análise - Caixa'!$C$33,Registro!$F:$F,$C36)</f>
        <v>1935</v>
      </c>
      <c r="I36" s="53">
        <f>SUMIFS(Registro!$N:$N,Registro!$O:$O,'Análise - Caixa'!I$4,Registro!$L:$L,'Análise - Caixa'!$C$33,Registro!$F:$F,$C36)</f>
        <v>130.5</v>
      </c>
      <c r="J36" s="19"/>
      <c r="K36" s="19"/>
      <c r="L36" s="19"/>
      <c r="M36" s="19"/>
      <c r="N36" s="19"/>
      <c r="O36" s="19"/>
    </row>
    <row r="37" spans="2:15" hidden="1" outlineLevel="1">
      <c r="B37" s="17" t="s">
        <v>980</v>
      </c>
      <c r="C37" s="23" t="str">
        <f>C23</f>
        <v>Produtos</v>
      </c>
      <c r="D37" s="53"/>
      <c r="E37" s="53">
        <f>SUMIFS(Registro!$N:$N,Registro!$O:$O,'Análise - Caixa'!E$4,Registro!$L:$L,'Análise - Caixa'!$C$33,Registro!$F:$F,$C37)</f>
        <v>56</v>
      </c>
      <c r="F37" s="53">
        <f>SUMIFS(Registro!$N:$N,Registro!$O:$O,'Análise - Caixa'!F$4,Registro!$L:$L,'Análise - Caixa'!$C$33,Registro!$F:$F,$C37)</f>
        <v>160</v>
      </c>
      <c r="G37" s="53">
        <f>SUMIFS(Registro!$N:$N,Registro!$O:$O,'Análise - Caixa'!G$4,Registro!$L:$L,'Análise - Caixa'!$C$33,Registro!$F:$F,$C37)</f>
        <v>82</v>
      </c>
      <c r="H37" s="53">
        <f>SUMIFS(Registro!$N:$N,Registro!$O:$O,'Análise - Caixa'!H$4,Registro!$L:$L,'Análise - Caixa'!$C$33,Registro!$F:$F,$C37)</f>
        <v>185.59999999999997</v>
      </c>
      <c r="I37" s="53">
        <f>SUMIFS(Registro!$N:$N,Registro!$O:$O,'Análise - Caixa'!I$4,Registro!$L:$L,'Análise - Caixa'!$C$33,Registro!$F:$F,$C37)</f>
        <v>7.2</v>
      </c>
      <c r="J37" s="19"/>
      <c r="K37" s="19"/>
      <c r="L37" s="19"/>
      <c r="M37" s="19"/>
      <c r="N37" s="19"/>
      <c r="O37" s="19"/>
    </row>
    <row r="38" spans="2:15" hidden="1" outlineLevel="1">
      <c r="B38" s="17" t="s">
        <v>981</v>
      </c>
      <c r="C38" s="23" t="str">
        <f>C24</f>
        <v>Combos</v>
      </c>
      <c r="D38" s="53"/>
      <c r="E38" s="53">
        <f>SUMIFS(Registro!$N:$N,Registro!$O:$O,'Análise - Caixa'!E$4,Registro!$L:$L,'Análise - Caixa'!$C$33,Registro!$F:$F,$C38)</f>
        <v>686.25</v>
      </c>
      <c r="F38" s="53">
        <f>SUMIFS(Registro!$N:$N,Registro!$O:$O,'Análise - Caixa'!F$4,Registro!$L:$L,'Análise - Caixa'!$C$33,Registro!$F:$F,$C38)</f>
        <v>497.25</v>
      </c>
      <c r="G38" s="53">
        <f>SUMIFS(Registro!$N:$N,Registro!$O:$O,'Análise - Caixa'!G$4,Registro!$L:$L,'Análise - Caixa'!$C$33,Registro!$F:$F,$C38)</f>
        <v>626.4</v>
      </c>
      <c r="H38" s="53">
        <f>SUMIFS(Registro!$N:$N,Registro!$O:$O,'Análise - Caixa'!H$4,Registro!$L:$L,'Análise - Caixa'!$C$33,Registro!$F:$F,$C38)</f>
        <v>630</v>
      </c>
      <c r="I38" s="53">
        <f>SUMIFS(Registro!$N:$N,Registro!$O:$O,'Análise - Caixa'!I$4,Registro!$L:$L,'Análise - Caixa'!$C$33,Registro!$F:$F,$C38)</f>
        <v>0</v>
      </c>
      <c r="J38" s="19"/>
      <c r="K38" s="19"/>
      <c r="L38" s="19"/>
      <c r="M38" s="19"/>
      <c r="N38" s="19"/>
      <c r="O38" s="19"/>
    </row>
    <row r="39" spans="2:15" hidden="1" outlineLevel="1">
      <c r="B39" s="17" t="s">
        <v>1250</v>
      </c>
      <c r="C39" s="23" t="s">
        <v>910</v>
      </c>
      <c r="D39" s="53"/>
      <c r="E39" s="53">
        <f>SUMIFS(Registro!$T:$T,Registro!$O:$O,'Análise - Caixa'!E$4,Registro!$L:$L,'Análise - Caixa'!$C$33,Registro!$F:$F,$C39)</f>
        <v>8</v>
      </c>
      <c r="F39" s="53">
        <f>SUMIFS(Registro!$T:$T,Registro!$O:$O,'Análise - Caixa'!F$4,Registro!$L:$L,'Análise - Caixa'!$C$33,Registro!$F:$F,$C39)</f>
        <v>50.5</v>
      </c>
      <c r="G39" s="53">
        <f>SUMIFS(Registro!$T:$T,Registro!$O:$O,'Análise - Caixa'!G$4,Registro!$L:$L,'Análise - Caixa'!$C$33,Registro!$F:$F,$C39)</f>
        <v>40</v>
      </c>
      <c r="H39" s="53">
        <f>SUMIFS(Registro!$T:$T,Registro!$O:$O,'Análise - Caixa'!H$4,Registro!$L:$L,'Análise - Caixa'!$C$33,Registro!$F:$F,$C39)</f>
        <v>86</v>
      </c>
      <c r="I39" s="53">
        <f>SUMIFS(Registro!$T:$T,Registro!$O:$O,'Análise - Caixa'!I$4,Registro!$L:$L,'Análise - Caixa'!$C$33,Registro!$F:$F,$C39)</f>
        <v>0</v>
      </c>
      <c r="J39" s="19"/>
      <c r="K39" s="19"/>
      <c r="L39" s="19"/>
      <c r="M39" s="19"/>
      <c r="N39" s="19"/>
      <c r="O39" s="19"/>
    </row>
    <row r="40" spans="2:15" collapsed="1">
      <c r="B40" s="17" t="s">
        <v>323</v>
      </c>
      <c r="C40" s="18" t="s">
        <v>967</v>
      </c>
      <c r="D40" s="53">
        <f>SUMIFS(Registro!$T:$T,Registro!$F:$F,'Análise - Caixa'!$C40,Registro!$E:$E,'Análise - Caixa'!$C$14,Registro!$P:$P,D$4)</f>
        <v>0</v>
      </c>
      <c r="E40" s="53">
        <f>SUMIFS(Registro!$T:$T,Registro!$E:$E,'Análise - Caixa'!$C$14,Registro!$F:$F,'Análise - Caixa'!$C40,Registro!$O:$O,'Análise - Caixa'!E$4)</f>
        <v>738.1400000000001</v>
      </c>
      <c r="F40" s="53">
        <f>SUMIFS(Registro!$T:$T,Registro!$E:$E,'Análise - Caixa'!$C$14,Registro!$F:$F,'Análise - Caixa'!$C40,Registro!$O:$O,'Análise - Caixa'!F$4)</f>
        <v>31</v>
      </c>
      <c r="G40" s="53">
        <f>SUMIFS(Registro!$T:$T,Registro!$E:$E,'Análise - Caixa'!$C$14,Registro!$F:$F,'Análise - Caixa'!$C40,Registro!$O:$O,'Análise - Caixa'!G$4)</f>
        <v>2233.7200000000003</v>
      </c>
      <c r="H40" s="53">
        <f>SUMIFS(Registro!$T:$T,Registro!$E:$E,'Análise - Caixa'!$C$14,Registro!$F:$F,'Análise - Caixa'!$C40,Registro!$O:$O,'Análise - Caixa'!H$4)</f>
        <v>409.98</v>
      </c>
      <c r="I40" s="53">
        <f>SUMIFS(Registro!$T:$T,Registro!$E:$E,'Análise - Caixa'!$C$14,Registro!$F:$F,'Análise - Caixa'!$C40,Registro!$O:$O,'Análise - Caixa'!I$4)</f>
        <v>0</v>
      </c>
      <c r="J40" s="19">
        <f>SUMIFS(Registro!$T:$T,Registro!$E:$E,'Análise - Caixa'!$C$14,Registro!$F:$F,'Análise - Caixa'!$C40,Registro!$O:$O,'Análise - Caixa'!J$4)</f>
        <v>0</v>
      </c>
      <c r="K40" s="19">
        <f>SUMIFS(Registro!$T:$T,Registro!$E:$E,'Análise - Caixa'!$C$14,Registro!$F:$F,'Análise - Caixa'!$C40,Registro!$O:$O,'Análise - Caixa'!K$4)</f>
        <v>0</v>
      </c>
      <c r="L40" s="19">
        <f>SUMIFS(Registro!$T:$T,Registro!$E:$E,'Análise - Caixa'!$C$14,Registro!$F:$F,'Análise - Caixa'!$C40,Registro!$O:$O,'Análise - Caixa'!L$4)</f>
        <v>0</v>
      </c>
      <c r="M40" s="19">
        <f>SUMIFS(Registro!$T:$T,Registro!$E:$E,'Análise - Caixa'!$C$14,Registro!$F:$F,'Análise - Caixa'!$C40,Registro!$O:$O,'Análise - Caixa'!M$4)</f>
        <v>0</v>
      </c>
      <c r="N40" s="19">
        <f>SUMIFS(Registro!$T:$T,Registro!$E:$E,'Análise - Caixa'!$C$14,Registro!$F:$F,'Análise - Caixa'!$C40,Registro!$O:$O,'Análise - Caixa'!N$4)</f>
        <v>0</v>
      </c>
      <c r="O40" s="19">
        <f>SUMIFS(Registro!$T:$T,Registro!$E:$E,'Análise - Caixa'!$C$14,Registro!$F:$F,'Análise - Caixa'!$C40,Registro!$O:$O,'Análise - Caixa'!O$4)</f>
        <v>0</v>
      </c>
    </row>
    <row r="41" spans="2:15">
      <c r="B41" s="17" t="s">
        <v>324</v>
      </c>
      <c r="C41" s="18" t="s">
        <v>140</v>
      </c>
      <c r="D41" s="53">
        <f>SUMIFS(Registro!$T:$T,Registro!$F:$F,'Análise - Caixa'!$C41,Registro!$E:$E,'Análise - Caixa'!$C$14,Registro!$P:$P,D$4)</f>
        <v>0</v>
      </c>
      <c r="E41" s="53">
        <f>SUMIFS(Registro!$T:$T,Registro!$E:$E,'Análise - Caixa'!$C$14,Registro!$F:$F,'Análise - Caixa'!$C41,Registro!$O:$O,'Análise - Caixa'!E$4)</f>
        <v>0</v>
      </c>
      <c r="F41" s="53">
        <f>SUMIFS(Registro!$T:$T,Registro!$E:$E,'Análise - Caixa'!$C$14,Registro!$F:$F,'Análise - Caixa'!$C41,Registro!$O:$O,'Análise - Caixa'!F$4)</f>
        <v>0</v>
      </c>
      <c r="G41" s="53">
        <f>SUMIFS(Registro!$T:$T,Registro!$E:$E,'Análise - Caixa'!$C$14,Registro!$F:$F,'Análise - Caixa'!$C41,Registro!$O:$O,'Análise - Caixa'!G$4)</f>
        <v>0</v>
      </c>
      <c r="H41" s="53">
        <f>SUMIFS(Registro!$T:$T,Registro!$E:$E,'Análise - Caixa'!$C$14,Registro!$F:$F,'Análise - Caixa'!$C41,Registro!$O:$O,'Análise - Caixa'!H$4)</f>
        <v>0</v>
      </c>
      <c r="I41" s="53">
        <f>SUMIFS(Registro!$T:$T,Registro!$E:$E,'Análise - Caixa'!$C$14,Registro!$F:$F,'Análise - Caixa'!$C41,Registro!$O:$O,'Análise - Caixa'!I$4)</f>
        <v>0</v>
      </c>
      <c r="J41" s="19">
        <f>SUMIFS(Registro!$T:$T,Registro!$E:$E,'Análise - Caixa'!$C$14,Registro!$F:$F,'Análise - Caixa'!$C41,Registro!$O:$O,'Análise - Caixa'!J$4)</f>
        <v>0</v>
      </c>
      <c r="K41" s="19">
        <f>SUMIFS(Registro!$T:$T,Registro!$E:$E,'Análise - Caixa'!$C$14,Registro!$F:$F,'Análise - Caixa'!$C41,Registro!$O:$O,'Análise - Caixa'!K$4)</f>
        <v>0</v>
      </c>
      <c r="L41" s="19">
        <f>SUMIFS(Registro!$T:$T,Registro!$E:$E,'Análise - Caixa'!$C$14,Registro!$F:$F,'Análise - Caixa'!$C41,Registro!$O:$O,'Análise - Caixa'!L$4)</f>
        <v>0</v>
      </c>
      <c r="M41" s="19">
        <f>SUMIFS(Registro!$T:$T,Registro!$E:$E,'Análise - Caixa'!$C$14,Registro!$F:$F,'Análise - Caixa'!$C41,Registro!$O:$O,'Análise - Caixa'!M$4)</f>
        <v>0</v>
      </c>
      <c r="N41" s="19">
        <f>SUMIFS(Registro!$T:$T,Registro!$E:$E,'Análise - Caixa'!$C$14,Registro!$F:$F,'Análise - Caixa'!$C41,Registro!$O:$O,'Análise - Caixa'!N$4)</f>
        <v>0</v>
      </c>
      <c r="O41" s="19">
        <f>SUMIFS(Registro!$T:$T,Registro!$E:$E,'Análise - Caixa'!$C$14,Registro!$F:$F,'Análise - Caixa'!$C41,Registro!$O:$O,'Análise - Caixa'!O$4)</f>
        <v>0</v>
      </c>
    </row>
    <row r="42" spans="2:15">
      <c r="B42" s="17" t="s">
        <v>970</v>
      </c>
      <c r="C42" s="18" t="s">
        <v>146</v>
      </c>
      <c r="D42" s="53">
        <f>SUMIFS(Registro!$T:$T,Registro!$F:$F,'Análise - Caixa'!$C42,Registro!$E:$E,'Análise - Caixa'!$C$14,Registro!$P:$P,D$4)</f>
        <v>0</v>
      </c>
      <c r="E42" s="53">
        <f>SUMIFS(Registro!$T:$T,Registro!$E:$E,'Análise - Caixa'!$C$14,Registro!$F:$F,'Análise - Caixa'!$C42,Registro!$O:$O,'Análise - Caixa'!E$4)</f>
        <v>3098.9300000000003</v>
      </c>
      <c r="F42" s="53">
        <f>SUMIFS(Registro!$T:$T,Registro!$E:$E,'Análise - Caixa'!$C$14,Registro!$F:$F,'Análise - Caixa'!$C42,Registro!$O:$O,'Análise - Caixa'!F$4)</f>
        <v>2022.93</v>
      </c>
      <c r="G42" s="53">
        <f>SUMIFS(Registro!$T:$T,Registro!$E:$E,'Análise - Caixa'!$C$14,Registro!$F:$F,'Análise - Caixa'!$C42,Registro!$O:$O,'Análise - Caixa'!G$4)</f>
        <v>1973.6100000000001</v>
      </c>
      <c r="H42" s="53">
        <f>SUMIFS(Registro!$T:$T,Registro!$E:$E,'Análise - Caixa'!$C$14,Registro!$F:$F,'Análise - Caixa'!$C42,Registro!$O:$O,'Análise - Caixa'!H$4)</f>
        <v>2233.9300000000003</v>
      </c>
      <c r="I42" s="53">
        <f>SUMIFS(Registro!$T:$T,Registro!$E:$E,'Análise - Caixa'!$C$14,Registro!$F:$F,'Análise - Caixa'!$C42,Registro!$O:$O,'Análise - Caixa'!I$4)</f>
        <v>0</v>
      </c>
      <c r="J42" s="19">
        <f>SUMIFS(Registro!$T:$T,Registro!$E:$E,'Análise - Caixa'!$C$14,Registro!$F:$F,'Análise - Caixa'!$C42,Registro!$O:$O,'Análise - Caixa'!J$4)</f>
        <v>0</v>
      </c>
      <c r="K42" s="19">
        <f>SUMIFS(Registro!$T:$T,Registro!$E:$E,'Análise - Caixa'!$C$14,Registro!$F:$F,'Análise - Caixa'!$C42,Registro!$O:$O,'Análise - Caixa'!K$4)</f>
        <v>0</v>
      </c>
      <c r="L42" s="19">
        <f>SUMIFS(Registro!$T:$T,Registro!$E:$E,'Análise - Caixa'!$C$14,Registro!$F:$F,'Análise - Caixa'!$C42,Registro!$O:$O,'Análise - Caixa'!L$4)</f>
        <v>0</v>
      </c>
      <c r="M42" s="19">
        <f>SUMIFS(Registro!$T:$T,Registro!$E:$E,'Análise - Caixa'!$C$14,Registro!$F:$F,'Análise - Caixa'!$C42,Registro!$O:$O,'Análise - Caixa'!M$4)</f>
        <v>0</v>
      </c>
      <c r="N42" s="19">
        <f>SUMIFS(Registro!$T:$T,Registro!$E:$E,'Análise - Caixa'!$C$14,Registro!$F:$F,'Análise - Caixa'!$C42,Registro!$O:$O,'Análise - Caixa'!N$4)</f>
        <v>0</v>
      </c>
      <c r="O42" s="19">
        <f>SUMIFS(Registro!$T:$T,Registro!$E:$E,'Análise - Caixa'!$C$14,Registro!$F:$F,'Análise - Caixa'!$C42,Registro!$O:$O,'Análise - Caixa'!O$4)</f>
        <v>0</v>
      </c>
    </row>
    <row r="43" spans="2:15">
      <c r="B43" s="17" t="s">
        <v>1922</v>
      </c>
      <c r="C43" s="18" t="s">
        <v>1923</v>
      </c>
      <c r="D43" s="53">
        <f>SUMIFS(Registro!$T:$T,Registro!$F:$F,'Análise - Caixa'!$C43,Registro!$E:$E,'Análise - Caixa'!$C$14,Registro!$P:$P,D$4)</f>
        <v>0</v>
      </c>
      <c r="E43" s="53">
        <f>SUMIFS(Registro!$X:$X,Registro!$E:$E,'Análise - Caixa'!$C$5,Registro!$O:$O,'Análise - Caixa'!E$4)</f>
        <v>104.90850000000005</v>
      </c>
      <c r="F43" s="53">
        <f>SUMIFS(Registro!$X:$X,Registro!$E:$E,'Análise - Caixa'!$C$5,Registro!$O:$O,'Análise - Caixa'!F$4)</f>
        <v>96.290000000000077</v>
      </c>
      <c r="G43" s="53">
        <f>SUMIFS(Registro!$X:$X,Registro!$E:$E,'Análise - Caixa'!$C$5,Registro!$O:$O,'Análise - Caixa'!G$4)</f>
        <v>120.96880000000003</v>
      </c>
      <c r="H43" s="53">
        <f>SUMIFS(Registro!$X:$X,Registro!$E:$E,'Análise - Caixa'!$C$5,Registro!$O:$O,'Análise - Caixa'!H$4)</f>
        <v>131.78599999999989</v>
      </c>
      <c r="I43" s="53">
        <f>SUMIFS(Registro!$X:$X,Registro!$E:$E,'Análise - Caixa'!$C$5,Registro!$O:$O,'Análise - Caixa'!I$4)</f>
        <v>7.327</v>
      </c>
      <c r="J43" s="3"/>
      <c r="K43" s="3"/>
      <c r="L43" s="3"/>
      <c r="M43" s="3"/>
      <c r="N43" s="3"/>
      <c r="O43" s="3"/>
    </row>
    <row r="44" spans="2:15">
      <c r="B44" s="17" t="s">
        <v>3110</v>
      </c>
      <c r="C44" s="18" t="s">
        <v>3108</v>
      </c>
      <c r="D44" s="53">
        <f>SUMIFS(Registro!$T:$T,Registro!$F:$F,'Análise - Caixa'!$C44,Registro!$E:$E,'Análise - Caixa'!$C$14,Registro!$P:$P,D$4)</f>
        <v>0</v>
      </c>
      <c r="E44" s="53">
        <f>SUMIFS(Registro!$T:$T,Registro!$E:$E,'Análise - Caixa'!$C$14,Registro!$F:$F,'Análise - Caixa'!$C44,Registro!$O:$O,'Análise - Caixa'!E$4)</f>
        <v>0</v>
      </c>
      <c r="F44" s="53">
        <f>SUMIFS(Registro!$T:$T,Registro!$E:$E,'Análise - Caixa'!$C$14,Registro!$F:$F,'Análise - Caixa'!$C44,Registro!$O:$O,'Análise - Caixa'!F$4)</f>
        <v>0</v>
      </c>
      <c r="G44" s="53">
        <f>SUMIFS(Registro!$T:$T,Registro!$E:$E,'Análise - Caixa'!$C$14,Registro!$F:$F,'Análise - Caixa'!$C44,Registro!$O:$O,'Análise - Caixa'!G$4)</f>
        <v>0</v>
      </c>
      <c r="H44" s="53">
        <f>SUMIFS(Registro!$T:$T,Registro!$E:$E,'Análise - Caixa'!$C$14,Registro!$F:$F,'Análise - Caixa'!$C44,Registro!$O:$O,'Análise - Caixa'!H$4)</f>
        <v>500</v>
      </c>
      <c r="I44" s="53">
        <f>SUMIFS(Registro!$T:$T,Registro!$E:$E,'Análise - Caixa'!$C$14,Registro!$F:$F,'Análise - Caixa'!$C44,Registro!$O:$O,'Análise - Caixa'!I$4)</f>
        <v>0</v>
      </c>
      <c r="J44" s="3"/>
      <c r="K44" s="3"/>
      <c r="L44" s="3"/>
      <c r="M44" s="3"/>
      <c r="N44" s="3"/>
      <c r="O44" s="3"/>
    </row>
    <row r="45" spans="2:15" ht="4.5" customHeight="1">
      <c r="D45" s="5"/>
      <c r="E45" s="5"/>
      <c r="F45" s="5"/>
      <c r="G45" s="5"/>
      <c r="H45" s="5"/>
    </row>
    <row r="46" spans="2:15">
      <c r="C46" s="18" t="s">
        <v>328</v>
      </c>
      <c r="D46" s="53"/>
      <c r="E46" s="53">
        <f>D49</f>
        <v>1673.24</v>
      </c>
      <c r="F46" s="53">
        <f>E49</f>
        <v>3678</v>
      </c>
      <c r="G46" s="53">
        <f>F49</f>
        <v>7520.7599999999984</v>
      </c>
      <c r="H46" s="53">
        <f>G49</f>
        <v>4191.1000000000022</v>
      </c>
      <c r="I46" s="53">
        <f>H49</f>
        <v>8368.8040000000037</v>
      </c>
      <c r="J46" s="24"/>
      <c r="K46" s="24"/>
      <c r="L46" s="24"/>
      <c r="M46" s="24"/>
      <c r="N46" s="24"/>
      <c r="O46" s="24"/>
    </row>
    <row r="47" spans="2:15">
      <c r="C47" s="66" t="s">
        <v>325</v>
      </c>
      <c r="D47" s="67">
        <v>1673.24</v>
      </c>
      <c r="E47" s="67">
        <f>E5+E14</f>
        <v>2004.7600000000002</v>
      </c>
      <c r="F47" s="67">
        <f>F5+F14</f>
        <v>3842.7599999999984</v>
      </c>
      <c r="G47" s="67">
        <f>G5+G14</f>
        <v>1620.3811999999998</v>
      </c>
      <c r="H47" s="67">
        <f>H5+H14</f>
        <v>4177.7040000000015</v>
      </c>
      <c r="I47" s="67">
        <f>I5+I14</f>
        <v>1277.683</v>
      </c>
      <c r="J47" s="24"/>
      <c r="K47" s="24"/>
      <c r="L47" s="24"/>
      <c r="M47" s="24"/>
      <c r="N47" s="24"/>
      <c r="O47" s="24"/>
    </row>
    <row r="48" spans="2:15" hidden="1">
      <c r="C48" s="18" t="s">
        <v>2709</v>
      </c>
      <c r="D48" s="53"/>
      <c r="E48" s="53"/>
      <c r="F48" s="53"/>
      <c r="G48" s="53">
        <v>-4950.041199999996</v>
      </c>
      <c r="H48" s="53"/>
      <c r="I48" s="53"/>
      <c r="J48" s="24"/>
      <c r="K48" s="24"/>
      <c r="L48" s="24"/>
      <c r="M48" s="24"/>
      <c r="N48" s="24"/>
      <c r="O48" s="24"/>
    </row>
    <row r="49" spans="3:17">
      <c r="C49" s="18" t="s">
        <v>326</v>
      </c>
      <c r="D49" s="53">
        <f>D46+D47</f>
        <v>1673.24</v>
      </c>
      <c r="E49" s="53">
        <f>E46+E47</f>
        <v>3678</v>
      </c>
      <c r="F49" s="53">
        <f>F46+F47</f>
        <v>7520.7599999999984</v>
      </c>
      <c r="G49" s="53">
        <f>G46+G47+G48</f>
        <v>4191.1000000000022</v>
      </c>
      <c r="H49" s="53">
        <f>H46+H47+H48</f>
        <v>8368.8040000000037</v>
      </c>
      <c r="I49" s="53">
        <f>I46+I47+I48</f>
        <v>9646.4870000000046</v>
      </c>
      <c r="J49" s="24"/>
      <c r="K49" s="24"/>
      <c r="L49" s="24"/>
      <c r="M49" s="24"/>
      <c r="N49" s="24"/>
      <c r="O49" s="24"/>
      <c r="Q49" s="3"/>
    </row>
    <row r="51" spans="3:17">
      <c r="F51" s="3">
        <f>F49-E49</f>
        <v>3842.7599999999984</v>
      </c>
      <c r="G51" s="3">
        <f>G49-F49</f>
        <v>-3329.6599999999962</v>
      </c>
      <c r="Q51" s="3"/>
    </row>
    <row r="52" spans="3:17">
      <c r="Q52" s="3"/>
    </row>
    <row r="53" spans="3:17">
      <c r="C53" s="1">
        <v>45712</v>
      </c>
      <c r="D53">
        <v>3678</v>
      </c>
      <c r="E53" t="s">
        <v>136</v>
      </c>
      <c r="F53" s="3">
        <f>F19+F26+F33</f>
        <v>8398.9485000000004</v>
      </c>
    </row>
    <row r="54" spans="3:17">
      <c r="C54" s="1">
        <v>45737</v>
      </c>
      <c r="D54">
        <v>10889</v>
      </c>
      <c r="F54" s="3">
        <f>F53-F27</f>
        <v>5081.8985000000002</v>
      </c>
    </row>
    <row r="55" spans="3:17">
      <c r="F55">
        <v>3000</v>
      </c>
    </row>
    <row r="56" spans="3:17">
      <c r="C56" t="s">
        <v>2710</v>
      </c>
      <c r="D56" s="3">
        <f>4222+424+20.1-475</f>
        <v>4191.1000000000004</v>
      </c>
      <c r="F56" s="3"/>
    </row>
    <row r="58" spans="3:17">
      <c r="F58" s="3"/>
    </row>
    <row r="60" spans="3:17">
      <c r="F60" s="3"/>
    </row>
    <row r="65" spans="3:15">
      <c r="C65" s="52"/>
      <c r="D65" s="52" t="str">
        <f t="shared" ref="D65:H66" si="3">D4</f>
        <v>Jan/25</v>
      </c>
      <c r="E65" s="52" t="str">
        <f t="shared" si="3"/>
        <v>fev/25</v>
      </c>
      <c r="F65" s="52" t="str">
        <f t="shared" si="3"/>
        <v>mar/25</v>
      </c>
      <c r="G65" s="52" t="str">
        <f t="shared" si="3"/>
        <v>abr/25</v>
      </c>
      <c r="H65" s="52" t="str">
        <f t="shared" si="3"/>
        <v>mai/25</v>
      </c>
    </row>
    <row r="66" spans="3:15">
      <c r="C66" s="17" t="str">
        <f>C5</f>
        <v>Receitas</v>
      </c>
      <c r="D66" s="53">
        <f t="shared" si="3"/>
        <v>0</v>
      </c>
      <c r="E66" s="53">
        <f t="shared" si="3"/>
        <v>18294.98</v>
      </c>
      <c r="F66" s="53">
        <f t="shared" si="3"/>
        <v>18319.5</v>
      </c>
      <c r="G66" s="53">
        <f t="shared" si="3"/>
        <v>20117</v>
      </c>
      <c r="H66" s="53">
        <f t="shared" si="3"/>
        <v>22546</v>
      </c>
    </row>
    <row r="67" spans="3:15">
      <c r="C67" s="17" t="s">
        <v>2703</v>
      </c>
      <c r="D67" s="54"/>
      <c r="E67" s="55"/>
      <c r="F67" s="55">
        <f>F66/E66-1</f>
        <v>1.3402583659560818E-3</v>
      </c>
      <c r="G67" s="55">
        <f>G66/F66-1</f>
        <v>9.8119490160757605E-2</v>
      </c>
      <c r="H67" s="55">
        <f>H66/G66-1</f>
        <v>0.1207436496495502</v>
      </c>
    </row>
    <row r="68" spans="3:15">
      <c r="C68" s="57"/>
      <c r="D68" s="5"/>
      <c r="E68" s="56"/>
      <c r="F68" s="56"/>
      <c r="G68" s="56"/>
      <c r="H68" s="56"/>
      <c r="I68" s="51">
        <f t="shared" ref="I68:O68" si="4">(I66-H66)/H66</f>
        <v>-1</v>
      </c>
      <c r="J68" s="51" t="e">
        <f t="shared" si="4"/>
        <v>#DIV/0!</v>
      </c>
      <c r="K68" s="51" t="e">
        <f t="shared" si="4"/>
        <v>#DIV/0!</v>
      </c>
      <c r="L68" s="51" t="e">
        <f t="shared" si="4"/>
        <v>#DIV/0!</v>
      </c>
      <c r="M68" s="51" t="e">
        <f t="shared" si="4"/>
        <v>#DIV/0!</v>
      </c>
      <c r="N68" s="51" t="e">
        <f t="shared" si="4"/>
        <v>#DIV/0!</v>
      </c>
      <c r="O68" s="51" t="e">
        <f t="shared" si="4"/>
        <v>#DIV/0!</v>
      </c>
    </row>
    <row r="69" spans="3:15">
      <c r="C69" s="17" t="s">
        <v>2704</v>
      </c>
      <c r="D69" s="53">
        <f>D47</f>
        <v>1673.24</v>
      </c>
      <c r="E69" s="53">
        <f>E47</f>
        <v>2004.7600000000002</v>
      </c>
      <c r="F69" s="53">
        <f>F47</f>
        <v>3842.7599999999984</v>
      </c>
      <c r="G69" s="53">
        <f>G47</f>
        <v>1620.3811999999998</v>
      </c>
      <c r="H69" s="53">
        <f>H47</f>
        <v>4177.7040000000015</v>
      </c>
      <c r="I69" t="e">
        <f t="shared" ref="I69:O69" si="5">I68/I66</f>
        <v>#DIV/0!</v>
      </c>
      <c r="J69" t="e">
        <f t="shared" si="5"/>
        <v>#DIV/0!</v>
      </c>
      <c r="K69" t="e">
        <f t="shared" si="5"/>
        <v>#DIV/0!</v>
      </c>
      <c r="L69" t="e">
        <f t="shared" si="5"/>
        <v>#DIV/0!</v>
      </c>
      <c r="M69" t="e">
        <f t="shared" si="5"/>
        <v>#DIV/0!</v>
      </c>
      <c r="N69" t="e">
        <f t="shared" si="5"/>
        <v>#DIV/0!</v>
      </c>
      <c r="O69" t="e">
        <f t="shared" si="5"/>
        <v>#DIV/0!</v>
      </c>
    </row>
    <row r="70" spans="3:15">
      <c r="C70" s="17" t="s">
        <v>2707</v>
      </c>
      <c r="D70" s="54"/>
      <c r="E70" s="55">
        <f>E69/E66</f>
        <v>0.10957978636762654</v>
      </c>
      <c r="F70" s="55">
        <f>F69/F66</f>
        <v>0.20976336690411848</v>
      </c>
      <c r="G70" s="55">
        <f>G69/G66</f>
        <v>8.0547855047969366E-2</v>
      </c>
      <c r="H70" s="55">
        <f>H69/H66</f>
        <v>0.18529690410715877</v>
      </c>
    </row>
    <row r="71" spans="3:15">
      <c r="C71" s="58"/>
      <c r="E71" s="51"/>
      <c r="F71" s="51"/>
      <c r="G71" s="51"/>
      <c r="H71" s="51"/>
    </row>
    <row r="72" spans="3:15">
      <c r="C72" s="17" t="s">
        <v>2705</v>
      </c>
      <c r="D72" s="53">
        <f>D49</f>
        <v>1673.24</v>
      </c>
      <c r="E72" s="53">
        <f>E49</f>
        <v>3678</v>
      </c>
      <c r="F72" s="53">
        <f>F49</f>
        <v>7520.7599999999984</v>
      </c>
      <c r="G72" s="53">
        <f>G49</f>
        <v>4191.1000000000022</v>
      </c>
      <c r="H72" s="53">
        <f>H49</f>
        <v>8368.8040000000037</v>
      </c>
    </row>
    <row r="73" spans="3:15">
      <c r="C73" s="17" t="s">
        <v>2706</v>
      </c>
      <c r="D73" s="55"/>
      <c r="E73" s="55">
        <f>E72/D72-1</f>
        <v>1.1981305730200091</v>
      </c>
      <c r="F73" s="55">
        <f>F72/E72-1</f>
        <v>1.044796084828711</v>
      </c>
      <c r="G73" s="55">
        <f>G72/F72-1</f>
        <v>-0.44272919226248375</v>
      </c>
      <c r="H73" s="55">
        <f>H72/G72-1</f>
        <v>0.99680370308510868</v>
      </c>
    </row>
  </sheetData>
  <mergeCells count="1">
    <mergeCell ref="B3:C3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A039-69A5-42F4-B599-B64895B688DA}">
  <dimension ref="A1:X2496"/>
  <sheetViews>
    <sheetView topLeftCell="G2469" workbookViewId="0">
      <selection activeCell="L2469" sqref="L2469:X2496"/>
    </sheetView>
  </sheetViews>
  <sheetFormatPr defaultRowHeight="15"/>
  <cols>
    <col min="1" max="1" width="32.140625" bestFit="1" customWidth="1"/>
    <col min="2" max="2" width="44" bestFit="1" customWidth="1"/>
    <col min="3" max="3" width="57" customWidth="1"/>
    <col min="4" max="4" width="15.7109375" bestFit="1" customWidth="1"/>
    <col min="5" max="5" width="24" bestFit="1" customWidth="1"/>
    <col min="6" max="6" width="15.85546875" bestFit="1" customWidth="1"/>
    <col min="7" max="7" width="26.28515625" bestFit="1" customWidth="1"/>
    <col min="8" max="8" width="35.85546875" bestFit="1" customWidth="1"/>
    <col min="10" max="10" width="12.7109375" bestFit="1" customWidth="1"/>
    <col min="11" max="14" width="12.7109375" customWidth="1"/>
    <col min="16" max="16" width="32.140625" style="1" bestFit="1" customWidth="1"/>
    <col min="18" max="18" width="31.7109375" bestFit="1" customWidth="1"/>
    <col min="23" max="23" width="33.85546875" bestFit="1" customWidth="1"/>
  </cols>
  <sheetData>
    <row r="1" spans="1:21">
      <c r="A1" t="s">
        <v>148</v>
      </c>
      <c r="B1" t="s">
        <v>514</v>
      </c>
      <c r="C1" t="s">
        <v>178</v>
      </c>
      <c r="D1" t="s">
        <v>515</v>
      </c>
      <c r="E1" t="s">
        <v>516</v>
      </c>
      <c r="F1" t="s">
        <v>517</v>
      </c>
      <c r="G1" t="s">
        <v>518</v>
      </c>
      <c r="H1" t="s">
        <v>6</v>
      </c>
      <c r="I1" t="s">
        <v>174</v>
      </c>
      <c r="J1" t="s">
        <v>819</v>
      </c>
      <c r="P1" s="48" t="s">
        <v>820</v>
      </c>
      <c r="Q1" s="3">
        <f>SUM(E:E)</f>
        <v>80791.48</v>
      </c>
      <c r="R1" s="3">
        <f>SUM(J:J)</f>
        <v>36275.715999999986</v>
      </c>
      <c r="S1">
        <v>4781.05</v>
      </c>
      <c r="T1" s="3">
        <f>R1-S1</f>
        <v>31494.665999999987</v>
      </c>
      <c r="U1" s="3"/>
    </row>
    <row r="2" spans="1:21">
      <c r="A2" t="s">
        <v>519</v>
      </c>
      <c r="B2" t="s">
        <v>163</v>
      </c>
      <c r="C2" t="s">
        <v>520</v>
      </c>
      <c r="D2" s="14">
        <v>35</v>
      </c>
      <c r="E2" s="14">
        <v>35</v>
      </c>
      <c r="F2" s="13">
        <v>45691.375</v>
      </c>
      <c r="G2" t="s">
        <v>1</v>
      </c>
      <c r="H2" t="s">
        <v>288</v>
      </c>
      <c r="I2" t="str">
        <f>IF(B2=IFERROR(VLOOKUP(B2,base!$L$1:$L$9,1,0),""),"Produtos",IF(B2=IFERROR(VLOOKUP(B2,base!$K$2:$K$8,1,0),""),"Serviços","Combos"))</f>
        <v>Serviços</v>
      </c>
      <c r="J2">
        <f t="shared" ref="J2:J33" si="0">IF(AND(I2="Serviços",E2&gt;0),ROUND(D2*45%,2),IF(I2="Produtos",ROUND(D2*40%,2),D2*45%))</f>
        <v>15.75</v>
      </c>
      <c r="P2" s="1" t="s">
        <v>519</v>
      </c>
      <c r="Q2" s="3">
        <f>SUMIF(A:A,P2,J:J)</f>
        <v>15461.742500000002</v>
      </c>
      <c r="R2" s="3">
        <v>1859.8</v>
      </c>
      <c r="S2" s="3">
        <f>Q2-R2</f>
        <v>13601.942500000003</v>
      </c>
      <c r="T2" s="3"/>
    </row>
    <row r="3" spans="1:21">
      <c r="A3" t="s">
        <v>252</v>
      </c>
      <c r="B3" t="s">
        <v>163</v>
      </c>
      <c r="C3" t="s">
        <v>521</v>
      </c>
      <c r="D3" s="14">
        <v>35</v>
      </c>
      <c r="E3" s="14">
        <v>35</v>
      </c>
      <c r="F3" s="13">
        <v>45691.375</v>
      </c>
      <c r="G3" t="s">
        <v>1</v>
      </c>
      <c r="H3" t="s">
        <v>360</v>
      </c>
      <c r="I3" t="str">
        <f>IF(B3=IFERROR(VLOOKUP(B3,base!$L$1:$L$9,1,0),""),"Produtos",IF(B3=IFERROR(VLOOKUP(B3,base!$K$2:$K$8,1,0),""),"Serviços","Combos"))</f>
        <v>Serviços</v>
      </c>
      <c r="J3">
        <f t="shared" si="0"/>
        <v>15.75</v>
      </c>
      <c r="P3" s="49" t="s">
        <v>150</v>
      </c>
      <c r="Q3" s="3">
        <f>SUMIFS(J:J,I:I,P3,A:A,$P$2)</f>
        <v>843.20000000000027</v>
      </c>
    </row>
    <row r="4" spans="1:21">
      <c r="A4" t="s">
        <v>519</v>
      </c>
      <c r="B4" t="s">
        <v>163</v>
      </c>
      <c r="C4" t="s">
        <v>526</v>
      </c>
      <c r="D4" s="14">
        <v>35</v>
      </c>
      <c r="E4" s="14">
        <v>35</v>
      </c>
      <c r="F4" s="13">
        <v>45691.395833333336</v>
      </c>
      <c r="G4" t="s">
        <v>1</v>
      </c>
      <c r="H4" t="s">
        <v>362</v>
      </c>
      <c r="I4" t="str">
        <f>IF(B4=IFERROR(VLOOKUP(B4,base!$L$1:$L$9,1,0),""),"Produtos",IF(B4=IFERROR(VLOOKUP(B4,base!$K$2:$K$8,1,0),""),"Serviços","Combos"))</f>
        <v>Serviços</v>
      </c>
      <c r="J4">
        <f t="shared" si="0"/>
        <v>15.75</v>
      </c>
      <c r="P4" s="49" t="s">
        <v>147</v>
      </c>
      <c r="Q4" s="3">
        <f>SUMIFS(J:J,I:I,P4,A:A,$P$2)</f>
        <v>10880.549999999997</v>
      </c>
      <c r="R4" s="3"/>
    </row>
    <row r="5" spans="1:21">
      <c r="A5" t="s">
        <v>252</v>
      </c>
      <c r="B5" t="s">
        <v>153</v>
      </c>
      <c r="C5" t="s">
        <v>530</v>
      </c>
      <c r="D5" s="14">
        <v>50</v>
      </c>
      <c r="E5" s="14">
        <v>85</v>
      </c>
      <c r="F5" s="13">
        <v>45691.416666666664</v>
      </c>
      <c r="G5" t="s">
        <v>354</v>
      </c>
      <c r="H5" t="s">
        <v>363</v>
      </c>
      <c r="I5" t="str">
        <f>IF(B5=IFERROR(VLOOKUP(B5,base!$L$1:$L$9,1,0),""),"Produtos",IF(B5=IFERROR(VLOOKUP(B5,base!$K$2:$K$8,1,0),""),"Serviços","Combos"))</f>
        <v>Combos</v>
      </c>
      <c r="J5">
        <f t="shared" si="0"/>
        <v>22.5</v>
      </c>
      <c r="P5" s="1" t="s">
        <v>252</v>
      </c>
      <c r="Q5" s="3">
        <f>SUMIF(A:A,P5,J:J)</f>
        <v>11509.248500000002</v>
      </c>
      <c r="R5" s="11">
        <v>1639.9</v>
      </c>
      <c r="S5" s="3">
        <f>Q5-R5</f>
        <v>9869.3485000000019</v>
      </c>
    </row>
    <row r="6" spans="1:21">
      <c r="A6" t="s">
        <v>252</v>
      </c>
      <c r="B6" t="s">
        <v>510</v>
      </c>
      <c r="C6" t="s">
        <v>530</v>
      </c>
      <c r="D6" s="14">
        <v>25</v>
      </c>
      <c r="F6" s="13">
        <v>45691.416666666664</v>
      </c>
      <c r="G6" t="s">
        <v>354</v>
      </c>
      <c r="H6" t="s">
        <v>363</v>
      </c>
      <c r="I6" t="str">
        <f>IF(B6=IFERROR(VLOOKUP(B6,base!$L$1:$L$9,1,0),""),"Produtos",IF(B6=IFERROR(VLOOKUP(B6,base!$K$2:$K$8,1,0),""),"Serviços","Combos"))</f>
        <v>Produtos</v>
      </c>
      <c r="J6">
        <f t="shared" si="0"/>
        <v>10</v>
      </c>
      <c r="P6" s="49" t="s">
        <v>150</v>
      </c>
      <c r="Q6" s="3">
        <f>SUMIFS(J:J,I:I,P6,A:A,$P$5)</f>
        <v>360.79999999999995</v>
      </c>
      <c r="R6" s="3"/>
    </row>
    <row r="7" spans="1:21">
      <c r="A7" t="s">
        <v>252</v>
      </c>
      <c r="B7" t="s">
        <v>304</v>
      </c>
      <c r="C7" t="s">
        <v>530</v>
      </c>
      <c r="D7" s="14">
        <v>10</v>
      </c>
      <c r="F7" s="13">
        <v>45691.416666666664</v>
      </c>
      <c r="G7" t="s">
        <v>354</v>
      </c>
      <c r="H7" t="s">
        <v>363</v>
      </c>
      <c r="I7" t="str">
        <f>IF(B7=IFERROR(VLOOKUP(B7,base!$L$1:$L$9,1,0),""),"Produtos",IF(B7=IFERROR(VLOOKUP(B7,base!$K$2:$K$8,1,0),""),"Serviços","Combos"))</f>
        <v>Combos</v>
      </c>
      <c r="J7">
        <f t="shared" si="0"/>
        <v>4.5</v>
      </c>
      <c r="P7" s="49" t="s">
        <v>147</v>
      </c>
      <c r="Q7" s="3">
        <f>SUMIFS(J:J,I:I,P7,A:A,$P$5)</f>
        <v>8199.4499999999989</v>
      </c>
      <c r="R7" s="15"/>
      <c r="S7" s="3"/>
    </row>
    <row r="8" spans="1:21">
      <c r="A8" t="s">
        <v>252</v>
      </c>
      <c r="B8" t="s">
        <v>163</v>
      </c>
      <c r="C8" t="s">
        <v>535</v>
      </c>
      <c r="D8" s="14">
        <v>35</v>
      </c>
      <c r="E8" s="14">
        <v>35</v>
      </c>
      <c r="F8" s="13">
        <v>45691.458333333336</v>
      </c>
      <c r="G8" t="s">
        <v>355</v>
      </c>
      <c r="H8" t="s">
        <v>273</v>
      </c>
      <c r="I8" t="str">
        <f>IF(B8=IFERROR(VLOOKUP(B8,base!$L$1:$L$9,1,0),""),"Produtos",IF(B8=IFERROR(VLOOKUP(B8,base!$K$2:$K$8,1,0),""),"Serviços","Combos"))</f>
        <v>Serviços</v>
      </c>
      <c r="J8">
        <f t="shared" si="0"/>
        <v>15.75</v>
      </c>
      <c r="P8" s="1" t="s">
        <v>536</v>
      </c>
      <c r="Q8" s="3">
        <f>SUMIF(A:A,P8,J:J)</f>
        <v>9124.7250000000022</v>
      </c>
      <c r="R8" s="16">
        <v>1281.3499999999999</v>
      </c>
      <c r="S8" s="3">
        <f>Q8-R8</f>
        <v>7843.3750000000018</v>
      </c>
    </row>
    <row r="9" spans="1:21">
      <c r="A9" t="s">
        <v>252</v>
      </c>
      <c r="B9" t="s">
        <v>163</v>
      </c>
      <c r="C9" t="s">
        <v>524</v>
      </c>
      <c r="D9" s="14">
        <v>35</v>
      </c>
      <c r="E9" s="14">
        <v>35</v>
      </c>
      <c r="F9" s="13">
        <v>45691.604166666664</v>
      </c>
      <c r="G9" t="s">
        <v>1</v>
      </c>
      <c r="H9" t="s">
        <v>299</v>
      </c>
      <c r="I9" t="str">
        <f>IF(B9=IFERROR(VLOOKUP(B9,base!$L$1:$L$9,1,0),""),"Produtos",IF(B9=IFERROR(VLOOKUP(B9,base!$K$2:$K$8,1,0),""),"Serviços","Combos"))</f>
        <v>Serviços</v>
      </c>
      <c r="J9">
        <f t="shared" si="0"/>
        <v>15.75</v>
      </c>
      <c r="P9" s="49" t="s">
        <v>150</v>
      </c>
      <c r="Q9" s="3">
        <f>SUMIFS(J:J,I:I,P9,A:A,$P$8)</f>
        <v>490.79999999999995</v>
      </c>
    </row>
    <row r="10" spans="1:21">
      <c r="A10" t="s">
        <v>252</v>
      </c>
      <c r="B10" t="s">
        <v>163</v>
      </c>
      <c r="C10" t="s">
        <v>525</v>
      </c>
      <c r="D10" s="14">
        <v>35</v>
      </c>
      <c r="E10" s="14">
        <v>35</v>
      </c>
      <c r="F10" s="13">
        <v>45691.677083333336</v>
      </c>
      <c r="G10" t="s">
        <v>1</v>
      </c>
      <c r="H10" t="s">
        <v>302</v>
      </c>
      <c r="I10" t="str">
        <f>IF(B10=IFERROR(VLOOKUP(B10,base!$L$1:$L$9,1,0),""),"Produtos",IF(B10=IFERROR(VLOOKUP(B10,base!$K$2:$K$8,1,0),""),"Serviços","Combos"))</f>
        <v>Serviços</v>
      </c>
      <c r="J10">
        <f t="shared" si="0"/>
        <v>15.75</v>
      </c>
      <c r="P10" s="49" t="s">
        <v>147</v>
      </c>
      <c r="Q10" s="3">
        <f>SUMIFS(J:J,I:I,P10,A:A,$P$8)</f>
        <v>5852.25</v>
      </c>
      <c r="R10" s="3">
        <v>1178.0999999999999</v>
      </c>
      <c r="S10" s="3">
        <f>R10-Q10</f>
        <v>-4674.1499999999996</v>
      </c>
    </row>
    <row r="11" spans="1:21">
      <c r="A11" t="s">
        <v>252</v>
      </c>
      <c r="B11" t="s">
        <v>161</v>
      </c>
      <c r="C11" t="s">
        <v>563</v>
      </c>
      <c r="D11" s="14">
        <v>20</v>
      </c>
      <c r="E11" s="14">
        <v>20</v>
      </c>
      <c r="F11" s="13">
        <v>45691.71875</v>
      </c>
      <c r="G11" t="s">
        <v>2</v>
      </c>
      <c r="H11" t="s">
        <v>374</v>
      </c>
      <c r="I11" t="str">
        <f>IF(B11=IFERROR(VLOOKUP(B11,base!$L$1:$L$9,1,0),""),"Produtos",IF(B11=IFERROR(VLOOKUP(B11,base!$K$2:$K$8,1,0),""),"Serviços","Combos"))</f>
        <v>Serviços</v>
      </c>
      <c r="J11">
        <f t="shared" si="0"/>
        <v>9</v>
      </c>
    </row>
    <row r="12" spans="1:21">
      <c r="A12" t="s">
        <v>252</v>
      </c>
      <c r="B12" t="s">
        <v>163</v>
      </c>
      <c r="C12" t="s">
        <v>522</v>
      </c>
      <c r="D12" s="14">
        <v>35</v>
      </c>
      <c r="E12" s="14">
        <v>35</v>
      </c>
      <c r="F12" s="13">
        <v>45691.729166666664</v>
      </c>
      <c r="G12" t="s">
        <v>310</v>
      </c>
      <c r="H12" t="s">
        <v>361</v>
      </c>
      <c r="I12" t="str">
        <f>IF(B12=IFERROR(VLOOKUP(B12,base!$L$1:$L$9,1,0),""),"Produtos",IF(B12=IFERROR(VLOOKUP(B12,base!$K$2:$K$8,1,0),""),"Serviços","Combos"))</f>
        <v>Serviços</v>
      </c>
      <c r="J12">
        <f t="shared" si="0"/>
        <v>15.75</v>
      </c>
    </row>
    <row r="13" spans="1:21">
      <c r="A13" t="s">
        <v>519</v>
      </c>
      <c r="B13" t="s">
        <v>163</v>
      </c>
      <c r="C13" t="s">
        <v>534</v>
      </c>
      <c r="D13" s="14">
        <v>30</v>
      </c>
      <c r="E13" s="14">
        <v>30</v>
      </c>
      <c r="F13" s="13">
        <v>45692.385416666664</v>
      </c>
      <c r="G13" t="s">
        <v>2</v>
      </c>
      <c r="H13" t="s">
        <v>46</v>
      </c>
      <c r="I13" t="str">
        <f>IF(B13=IFERROR(VLOOKUP(B13,base!$L$1:$L$9,1,0),""),"Produtos",IF(B13=IFERROR(VLOOKUP(B13,base!$K$2:$K$8,1,0),""),"Serviços","Combos"))</f>
        <v>Serviços</v>
      </c>
      <c r="J13">
        <f t="shared" si="0"/>
        <v>13.5</v>
      </c>
    </row>
    <row r="14" spans="1:21">
      <c r="A14" t="s">
        <v>536</v>
      </c>
      <c r="B14" t="s">
        <v>163</v>
      </c>
      <c r="C14" t="s">
        <v>537</v>
      </c>
      <c r="D14" s="14">
        <v>35</v>
      </c>
      <c r="E14" s="14">
        <v>35</v>
      </c>
      <c r="F14" s="13">
        <v>45692.416666666664</v>
      </c>
      <c r="G14" t="s">
        <v>1</v>
      </c>
      <c r="H14" t="s">
        <v>365</v>
      </c>
      <c r="I14" t="str">
        <f>IF(B14=IFERROR(VLOOKUP(B14,base!$L$1:$L$9,1,0),""),"Produtos",IF(B14=IFERROR(VLOOKUP(B14,base!$K$2:$K$8,1,0),""),"Serviços","Combos"))</f>
        <v>Serviços</v>
      </c>
      <c r="J14">
        <f t="shared" si="0"/>
        <v>15.75</v>
      </c>
    </row>
    <row r="15" spans="1:21">
      <c r="A15" t="s">
        <v>519</v>
      </c>
      <c r="B15" t="s">
        <v>163</v>
      </c>
      <c r="C15" t="s">
        <v>527</v>
      </c>
      <c r="D15" s="14">
        <v>35</v>
      </c>
      <c r="E15" s="14">
        <v>35</v>
      </c>
      <c r="F15" s="13">
        <v>45692.4375</v>
      </c>
      <c r="G15" t="s">
        <v>1</v>
      </c>
      <c r="H15" t="s">
        <v>193</v>
      </c>
      <c r="I15" t="str">
        <f>IF(B15=IFERROR(VLOOKUP(B15,base!$L$1:$L$9,1,0),""),"Produtos",IF(B15=IFERROR(VLOOKUP(B15,base!$K$2:$K$8,1,0),""),"Serviços","Combos"))</f>
        <v>Serviços</v>
      </c>
      <c r="J15">
        <f t="shared" si="0"/>
        <v>15.75</v>
      </c>
    </row>
    <row r="16" spans="1:21">
      <c r="A16" t="s">
        <v>252</v>
      </c>
      <c r="B16" t="s">
        <v>163</v>
      </c>
      <c r="C16" t="s">
        <v>539</v>
      </c>
      <c r="D16" s="14">
        <v>20</v>
      </c>
      <c r="E16" s="14">
        <v>20</v>
      </c>
      <c r="F16" s="13">
        <v>45692.604166666664</v>
      </c>
      <c r="G16" t="s">
        <v>1</v>
      </c>
      <c r="H16" t="s">
        <v>367</v>
      </c>
      <c r="I16" t="str">
        <f>IF(B16=IFERROR(VLOOKUP(B16,base!$L$1:$L$9,1,0),""),"Produtos",IF(B16=IFERROR(VLOOKUP(B16,base!$K$2:$K$8,1,0),""),"Serviços","Combos"))</f>
        <v>Serviços</v>
      </c>
      <c r="J16">
        <f t="shared" si="0"/>
        <v>9</v>
      </c>
    </row>
    <row r="17" spans="1:10">
      <c r="A17" t="s">
        <v>536</v>
      </c>
      <c r="B17" t="s">
        <v>163</v>
      </c>
      <c r="C17" t="s">
        <v>552</v>
      </c>
      <c r="D17" s="14">
        <v>35</v>
      </c>
      <c r="E17" s="14">
        <v>70</v>
      </c>
      <c r="F17" s="13">
        <v>45692.677083333336</v>
      </c>
      <c r="G17" t="s">
        <v>310</v>
      </c>
      <c r="H17" t="s">
        <v>370</v>
      </c>
      <c r="I17" t="str">
        <f>IF(B17=IFERROR(VLOOKUP(B17,base!$L$1:$L$9,1,0),""),"Produtos",IF(B17=IFERROR(VLOOKUP(B17,base!$K$2:$K$8,1,0),""),"Serviços","Combos"))</f>
        <v>Serviços</v>
      </c>
      <c r="J17">
        <f t="shared" si="0"/>
        <v>15.75</v>
      </c>
    </row>
    <row r="18" spans="1:10">
      <c r="A18" t="s">
        <v>536</v>
      </c>
      <c r="B18" t="s">
        <v>163</v>
      </c>
      <c r="C18" t="s">
        <v>552</v>
      </c>
      <c r="D18" s="14">
        <v>35</v>
      </c>
      <c r="F18" s="13">
        <v>45692.677083333336</v>
      </c>
      <c r="G18" t="s">
        <v>310</v>
      </c>
      <c r="H18" t="s">
        <v>370</v>
      </c>
      <c r="I18" t="str">
        <f>IF(B18=IFERROR(VLOOKUP(B18,base!$L$1:$L$9,1,0),""),"Produtos",IF(B18=IFERROR(VLOOKUP(B18,base!$K$2:$K$8,1,0),""),"Serviços","Combos"))</f>
        <v>Serviços</v>
      </c>
      <c r="J18">
        <f t="shared" si="0"/>
        <v>15.75</v>
      </c>
    </row>
    <row r="19" spans="1:10">
      <c r="A19" t="s">
        <v>519</v>
      </c>
      <c r="B19" t="s">
        <v>163</v>
      </c>
      <c r="C19" t="s">
        <v>533</v>
      </c>
      <c r="D19" s="14">
        <v>35</v>
      </c>
      <c r="E19" s="14">
        <v>35</v>
      </c>
      <c r="F19" s="13">
        <v>45692.6875</v>
      </c>
      <c r="G19" t="s">
        <v>1</v>
      </c>
      <c r="H19" t="s">
        <v>87</v>
      </c>
      <c r="I19" t="str">
        <f>IF(B19=IFERROR(VLOOKUP(B19,base!$L$1:$L$9,1,0),""),"Produtos",IF(B19=IFERROR(VLOOKUP(B19,base!$K$2:$K$8,1,0),""),"Serviços","Combos"))</f>
        <v>Serviços</v>
      </c>
      <c r="J19">
        <f t="shared" si="0"/>
        <v>15.75</v>
      </c>
    </row>
    <row r="20" spans="1:10">
      <c r="A20" t="s">
        <v>536</v>
      </c>
      <c r="B20" t="s">
        <v>163</v>
      </c>
      <c r="C20" t="s">
        <v>541</v>
      </c>
      <c r="D20" s="14">
        <v>35</v>
      </c>
      <c r="E20" s="14">
        <v>35</v>
      </c>
      <c r="F20" s="13">
        <v>45692.697916666664</v>
      </c>
      <c r="G20" t="s">
        <v>2</v>
      </c>
      <c r="H20" t="s">
        <v>368</v>
      </c>
      <c r="I20" t="str">
        <f>IF(B20=IFERROR(VLOOKUP(B20,base!$L$1:$L$9,1,0),""),"Produtos",IF(B20=IFERROR(VLOOKUP(B20,base!$K$2:$K$8,1,0),""),"Serviços","Combos"))</f>
        <v>Serviços</v>
      </c>
      <c r="J20">
        <f t="shared" si="0"/>
        <v>15.75</v>
      </c>
    </row>
    <row r="21" spans="1:10">
      <c r="A21" t="s">
        <v>519</v>
      </c>
      <c r="B21" t="s">
        <v>163</v>
      </c>
      <c r="C21" t="s">
        <v>532</v>
      </c>
      <c r="D21" s="14">
        <v>35</v>
      </c>
      <c r="E21" s="14">
        <v>35</v>
      </c>
      <c r="F21" s="13">
        <v>45692.708333333336</v>
      </c>
      <c r="G21" t="s">
        <v>1</v>
      </c>
      <c r="H21" t="s">
        <v>40</v>
      </c>
      <c r="I21" t="str">
        <f>IF(B21=IFERROR(VLOOKUP(B21,base!$L$1:$L$9,1,0),""),"Produtos",IF(B21=IFERROR(VLOOKUP(B21,base!$K$2:$K$8,1,0),""),"Serviços","Combos"))</f>
        <v>Serviços</v>
      </c>
      <c r="J21">
        <f t="shared" si="0"/>
        <v>15.75</v>
      </c>
    </row>
    <row r="22" spans="1:10">
      <c r="A22" t="s">
        <v>536</v>
      </c>
      <c r="B22" t="s">
        <v>163</v>
      </c>
      <c r="C22" t="s">
        <v>538</v>
      </c>
      <c r="D22" s="14">
        <v>28</v>
      </c>
      <c r="E22" s="14">
        <v>28</v>
      </c>
      <c r="F22" s="13">
        <v>45692.708333333336</v>
      </c>
      <c r="G22" t="s">
        <v>2</v>
      </c>
      <c r="H22" t="s">
        <v>366</v>
      </c>
      <c r="I22" t="str">
        <f>IF(B22=IFERROR(VLOOKUP(B22,base!$L$1:$L$9,1,0),""),"Produtos",IF(B22=IFERROR(VLOOKUP(B22,base!$K$2:$K$8,1,0),""),"Serviços","Combos"))</f>
        <v>Serviços</v>
      </c>
      <c r="J22">
        <f t="shared" si="0"/>
        <v>12.6</v>
      </c>
    </row>
    <row r="23" spans="1:10">
      <c r="A23" t="s">
        <v>519</v>
      </c>
      <c r="B23" t="s">
        <v>163</v>
      </c>
      <c r="C23" t="s">
        <v>542</v>
      </c>
      <c r="D23" s="14">
        <v>35</v>
      </c>
      <c r="E23" s="14">
        <v>35</v>
      </c>
      <c r="F23" s="13">
        <v>45692.729166666664</v>
      </c>
      <c r="G23" t="s">
        <v>2</v>
      </c>
      <c r="H23" t="s">
        <v>280</v>
      </c>
      <c r="I23" t="str">
        <f>IF(B23=IFERROR(VLOOKUP(B23,base!$L$1:$L$9,1,0),""),"Produtos",IF(B23=IFERROR(VLOOKUP(B23,base!$K$2:$K$8,1,0),""),"Serviços","Combos"))</f>
        <v>Serviços</v>
      </c>
      <c r="J23">
        <f t="shared" si="0"/>
        <v>15.75</v>
      </c>
    </row>
    <row r="24" spans="1:10">
      <c r="A24" t="s">
        <v>519</v>
      </c>
      <c r="B24" t="s">
        <v>163</v>
      </c>
      <c r="C24" t="s">
        <v>540</v>
      </c>
      <c r="D24" s="14">
        <v>35</v>
      </c>
      <c r="E24" s="14">
        <v>35</v>
      </c>
      <c r="F24" s="13">
        <v>45692.739583333336</v>
      </c>
      <c r="G24" t="s">
        <v>1</v>
      </c>
      <c r="H24" t="s">
        <v>287</v>
      </c>
      <c r="I24" t="str">
        <f>IF(B24=IFERROR(VLOOKUP(B24,base!$L$1:$L$9,1,0),""),"Produtos",IF(B24=IFERROR(VLOOKUP(B24,base!$K$2:$K$8,1,0),""),"Serviços","Combos"))</f>
        <v>Serviços</v>
      </c>
      <c r="J24">
        <f t="shared" si="0"/>
        <v>15.75</v>
      </c>
    </row>
    <row r="25" spans="1:10">
      <c r="A25" t="s">
        <v>252</v>
      </c>
      <c r="B25" t="s">
        <v>163</v>
      </c>
      <c r="C25" t="s">
        <v>560</v>
      </c>
      <c r="D25" s="14">
        <v>35</v>
      </c>
      <c r="E25" s="14">
        <v>35</v>
      </c>
      <c r="F25" s="13">
        <v>45692.739583333336</v>
      </c>
      <c r="G25" t="s">
        <v>310</v>
      </c>
      <c r="H25" t="s">
        <v>370</v>
      </c>
      <c r="I25" t="str">
        <f>IF(B25=IFERROR(VLOOKUP(B25,base!$L$1:$L$9,1,0),""),"Produtos",IF(B25=IFERROR(VLOOKUP(B25,base!$K$2:$K$8,1,0),""),"Serviços","Combos"))</f>
        <v>Serviços</v>
      </c>
      <c r="J25">
        <f t="shared" si="0"/>
        <v>15.75</v>
      </c>
    </row>
    <row r="26" spans="1:10">
      <c r="A26" t="s">
        <v>252</v>
      </c>
      <c r="B26" t="s">
        <v>163</v>
      </c>
      <c r="C26" t="s">
        <v>544</v>
      </c>
      <c r="D26" s="14">
        <v>35</v>
      </c>
      <c r="E26" s="14">
        <v>70</v>
      </c>
      <c r="F26" s="13">
        <v>45692.75</v>
      </c>
      <c r="G26" t="s">
        <v>1</v>
      </c>
      <c r="H26" t="s">
        <v>303</v>
      </c>
      <c r="I26" t="str">
        <f>IF(B26=IFERROR(VLOOKUP(B26,base!$L$1:$L$9,1,0),""),"Produtos",IF(B26=IFERROR(VLOOKUP(B26,base!$K$2:$K$8,1,0),""),"Serviços","Combos"))</f>
        <v>Serviços</v>
      </c>
      <c r="J26">
        <f t="shared" si="0"/>
        <v>15.75</v>
      </c>
    </row>
    <row r="27" spans="1:10">
      <c r="A27" t="s">
        <v>252</v>
      </c>
      <c r="B27" t="s">
        <v>163</v>
      </c>
      <c r="C27" t="s">
        <v>544</v>
      </c>
      <c r="D27" s="14">
        <v>35</v>
      </c>
      <c r="F27" s="13">
        <v>45692.75</v>
      </c>
      <c r="G27" t="s">
        <v>1</v>
      </c>
      <c r="H27" t="s">
        <v>303</v>
      </c>
      <c r="I27" t="str">
        <f>IF(B27=IFERROR(VLOOKUP(B27,base!$L$1:$L$9,1,0),""),"Produtos",IF(B27=IFERROR(VLOOKUP(B27,base!$K$2:$K$8,1,0),""),"Serviços","Combos"))</f>
        <v>Serviços</v>
      </c>
      <c r="J27">
        <f t="shared" si="0"/>
        <v>15.75</v>
      </c>
    </row>
    <row r="28" spans="1:10">
      <c r="A28" t="s">
        <v>519</v>
      </c>
      <c r="B28" t="s">
        <v>163</v>
      </c>
      <c r="C28" t="s">
        <v>548</v>
      </c>
      <c r="D28" s="14">
        <v>35</v>
      </c>
      <c r="E28" s="14">
        <v>35</v>
      </c>
      <c r="F28" s="13">
        <v>45692.770833333336</v>
      </c>
      <c r="G28" t="s">
        <v>354</v>
      </c>
      <c r="H28" t="s">
        <v>95</v>
      </c>
      <c r="I28" t="str">
        <f>IF(B28=IFERROR(VLOOKUP(B28,base!$L$1:$L$9,1,0),""),"Produtos",IF(B28=IFERROR(VLOOKUP(B28,base!$K$2:$K$8,1,0),""),"Serviços","Combos"))</f>
        <v>Serviços</v>
      </c>
      <c r="J28">
        <f t="shared" si="0"/>
        <v>15.75</v>
      </c>
    </row>
    <row r="29" spans="1:10">
      <c r="A29" t="s">
        <v>536</v>
      </c>
      <c r="B29" t="s">
        <v>163</v>
      </c>
      <c r="C29" t="s">
        <v>551</v>
      </c>
      <c r="D29" s="14">
        <v>35</v>
      </c>
      <c r="E29" s="14">
        <v>60</v>
      </c>
      <c r="F29" s="13">
        <v>45692.788194444445</v>
      </c>
      <c r="G29" t="s">
        <v>354</v>
      </c>
      <c r="H29" t="s">
        <v>286</v>
      </c>
      <c r="I29" t="str">
        <f>IF(B29=IFERROR(VLOOKUP(B29,base!$L$1:$L$9,1,0),""),"Produtos",IF(B29=IFERROR(VLOOKUP(B29,base!$K$2:$K$8,1,0),""),"Serviços","Combos"))</f>
        <v>Serviços</v>
      </c>
      <c r="J29">
        <f t="shared" si="0"/>
        <v>15.75</v>
      </c>
    </row>
    <row r="30" spans="1:10">
      <c r="A30" t="s">
        <v>536</v>
      </c>
      <c r="B30" t="s">
        <v>508</v>
      </c>
      <c r="C30" t="s">
        <v>551</v>
      </c>
      <c r="D30" s="14">
        <v>25</v>
      </c>
      <c r="F30" s="13">
        <v>45692.788194444445</v>
      </c>
      <c r="G30" t="s">
        <v>354</v>
      </c>
      <c r="H30" t="s">
        <v>286</v>
      </c>
      <c r="I30" t="str">
        <f>IF(B30=IFERROR(VLOOKUP(B30,base!$L$1:$L$9,1,0),""),"Produtos",IF(B30=IFERROR(VLOOKUP(B30,base!$K$2:$K$8,1,0),""),"Serviços","Combos"))</f>
        <v>Produtos</v>
      </c>
      <c r="J30">
        <f t="shared" si="0"/>
        <v>10</v>
      </c>
    </row>
    <row r="31" spans="1:10">
      <c r="A31" t="s">
        <v>519</v>
      </c>
      <c r="B31" t="s">
        <v>160</v>
      </c>
      <c r="C31" t="s">
        <v>545</v>
      </c>
      <c r="D31" s="14">
        <v>15</v>
      </c>
      <c r="E31" s="14">
        <v>15</v>
      </c>
      <c r="F31" s="13">
        <v>45692.791666666664</v>
      </c>
      <c r="G31" t="s">
        <v>1</v>
      </c>
      <c r="H31" t="s">
        <v>282</v>
      </c>
      <c r="I31" t="str">
        <f>IF(B31=IFERROR(VLOOKUP(B31,base!$L$1:$L$9,1,0),""),"Produtos",IF(B31=IFERROR(VLOOKUP(B31,base!$K$2:$K$8,1,0),""),"Serviços","Combos"))</f>
        <v>Serviços</v>
      </c>
      <c r="J31">
        <f t="shared" si="0"/>
        <v>6.75</v>
      </c>
    </row>
    <row r="32" spans="1:10">
      <c r="A32" t="s">
        <v>252</v>
      </c>
      <c r="B32" t="s">
        <v>163</v>
      </c>
      <c r="C32" t="s">
        <v>558</v>
      </c>
      <c r="D32" s="14">
        <v>30</v>
      </c>
      <c r="E32" s="14">
        <v>30</v>
      </c>
      <c r="F32" s="13">
        <v>45692.791666666664</v>
      </c>
      <c r="G32" t="s">
        <v>1</v>
      </c>
      <c r="H32" t="s">
        <v>95</v>
      </c>
      <c r="I32" t="str">
        <f>IF(B32=IFERROR(VLOOKUP(B32,base!$L$1:$L$9,1,0),""),"Produtos",IF(B32=IFERROR(VLOOKUP(B32,base!$K$2:$K$8,1,0),""),"Serviços","Combos"))</f>
        <v>Serviços</v>
      </c>
      <c r="J32">
        <f t="shared" si="0"/>
        <v>13.5</v>
      </c>
    </row>
    <row r="33" spans="1:10">
      <c r="A33" t="s">
        <v>252</v>
      </c>
      <c r="B33" t="s">
        <v>163</v>
      </c>
      <c r="C33" t="s">
        <v>543</v>
      </c>
      <c r="D33" s="14">
        <v>35</v>
      </c>
      <c r="E33" s="14">
        <v>35</v>
      </c>
      <c r="F33" s="13">
        <v>45692.802083333336</v>
      </c>
      <c r="G33" t="s">
        <v>1</v>
      </c>
      <c r="H33" t="s">
        <v>85</v>
      </c>
      <c r="I33" t="str">
        <f>IF(B33=IFERROR(VLOOKUP(B33,base!$L$1:$L$9,1,0),""),"Produtos",IF(B33=IFERROR(VLOOKUP(B33,base!$K$2:$K$8,1,0),""),"Serviços","Combos"))</f>
        <v>Serviços</v>
      </c>
      <c r="J33">
        <f t="shared" si="0"/>
        <v>15.75</v>
      </c>
    </row>
    <row r="34" spans="1:10">
      <c r="A34" t="s">
        <v>519</v>
      </c>
      <c r="B34" t="s">
        <v>163</v>
      </c>
      <c r="C34" t="s">
        <v>547</v>
      </c>
      <c r="D34" s="14">
        <v>20</v>
      </c>
      <c r="E34" s="14">
        <v>20</v>
      </c>
      <c r="F34" s="13">
        <v>45692.8125</v>
      </c>
      <c r="G34" t="s">
        <v>2</v>
      </c>
      <c r="H34" t="s">
        <v>208</v>
      </c>
      <c r="I34" t="str">
        <f>IF(B34=IFERROR(VLOOKUP(B34,base!$L$1:$L$9,1,0),""),"Produtos",IF(B34=IFERROR(VLOOKUP(B34,base!$K$2:$K$8,1,0),""),"Serviços","Combos"))</f>
        <v>Serviços</v>
      </c>
      <c r="J34">
        <f t="shared" ref="J34:J65" si="1">IF(AND(I34="Serviços",E34&gt;0),ROUND(D34*45%,2),IF(I34="Produtos",ROUND(D34*40%,2),D34*45%))</f>
        <v>9</v>
      </c>
    </row>
    <row r="35" spans="1:10">
      <c r="A35" t="s">
        <v>536</v>
      </c>
      <c r="B35" t="s">
        <v>163</v>
      </c>
      <c r="C35" t="s">
        <v>556</v>
      </c>
      <c r="D35" s="14">
        <v>35</v>
      </c>
      <c r="E35" s="14">
        <v>35</v>
      </c>
      <c r="F35" s="13">
        <v>45692.8125</v>
      </c>
      <c r="G35" t="s">
        <v>310</v>
      </c>
      <c r="H35" t="s">
        <v>275</v>
      </c>
      <c r="I35" t="str">
        <f>IF(B35=IFERROR(VLOOKUP(B35,base!$L$1:$L$9,1,0),""),"Produtos",IF(B35=IFERROR(VLOOKUP(B35,base!$K$2:$K$8,1,0),""),"Serviços","Combos"))</f>
        <v>Serviços</v>
      </c>
      <c r="J35">
        <f t="shared" si="1"/>
        <v>15.75</v>
      </c>
    </row>
    <row r="36" spans="1:10">
      <c r="A36" t="s">
        <v>252</v>
      </c>
      <c r="B36" t="s">
        <v>163</v>
      </c>
      <c r="C36" t="s">
        <v>559</v>
      </c>
      <c r="D36" s="14">
        <v>35</v>
      </c>
      <c r="E36" s="14">
        <v>35</v>
      </c>
      <c r="F36" s="13">
        <v>45692.822916666664</v>
      </c>
      <c r="G36" t="s">
        <v>354</v>
      </c>
      <c r="H36" t="s">
        <v>197</v>
      </c>
      <c r="I36" t="str">
        <f>IF(B36=IFERROR(VLOOKUP(B36,base!$L$1:$L$9,1,0),""),"Produtos",IF(B36=IFERROR(VLOOKUP(B36,base!$K$2:$K$8,1,0),""),"Serviços","Combos"))</f>
        <v>Serviços</v>
      </c>
      <c r="J36">
        <f t="shared" si="1"/>
        <v>15.75</v>
      </c>
    </row>
    <row r="37" spans="1:10">
      <c r="A37" t="s">
        <v>519</v>
      </c>
      <c r="B37" t="s">
        <v>163</v>
      </c>
      <c r="C37" t="s">
        <v>549</v>
      </c>
      <c r="D37" s="14">
        <v>35</v>
      </c>
      <c r="E37" s="14">
        <v>35</v>
      </c>
      <c r="F37" s="13">
        <v>45692.84375</v>
      </c>
      <c r="G37" t="s">
        <v>1</v>
      </c>
      <c r="H37" t="s">
        <v>369</v>
      </c>
      <c r="I37" t="str">
        <f>IF(B37=IFERROR(VLOOKUP(B37,base!$L$1:$L$9,1,0),""),"Produtos",IF(B37=IFERROR(VLOOKUP(B37,base!$K$2:$K$8,1,0),""),"Serviços","Combos"))</f>
        <v>Serviços</v>
      </c>
      <c r="J37">
        <f t="shared" si="1"/>
        <v>15.75</v>
      </c>
    </row>
    <row r="38" spans="1:10">
      <c r="A38" t="s">
        <v>519</v>
      </c>
      <c r="B38" t="s">
        <v>163</v>
      </c>
      <c r="C38" t="s">
        <v>555</v>
      </c>
      <c r="D38" s="14">
        <v>35</v>
      </c>
      <c r="E38" s="14">
        <v>35</v>
      </c>
      <c r="F38" s="13">
        <v>45692.875</v>
      </c>
      <c r="G38" t="s">
        <v>529</v>
      </c>
      <c r="H38" t="s">
        <v>295</v>
      </c>
      <c r="I38" t="str">
        <f>IF(B38=IFERROR(VLOOKUP(B38,base!$L$1:$L$9,1,0),""),"Produtos",IF(B38=IFERROR(VLOOKUP(B38,base!$K$2:$K$8,1,0),""),"Serviços","Combos"))</f>
        <v>Serviços</v>
      </c>
      <c r="J38">
        <f t="shared" si="1"/>
        <v>15.75</v>
      </c>
    </row>
    <row r="39" spans="1:10">
      <c r="A39" t="s">
        <v>519</v>
      </c>
      <c r="B39" t="s">
        <v>163</v>
      </c>
      <c r="C39" t="s">
        <v>553</v>
      </c>
      <c r="D39" s="14">
        <v>35</v>
      </c>
      <c r="E39" s="14">
        <v>70</v>
      </c>
      <c r="F39" s="13">
        <v>45692.895833333336</v>
      </c>
      <c r="G39" t="s">
        <v>310</v>
      </c>
      <c r="H39" t="s">
        <v>371</v>
      </c>
      <c r="I39" t="str">
        <f>IF(B39=IFERROR(VLOOKUP(B39,base!$L$1:$L$9,1,0),""),"Produtos",IF(B39=IFERROR(VLOOKUP(B39,base!$K$2:$K$8,1,0),""),"Serviços","Combos"))</f>
        <v>Serviços</v>
      </c>
      <c r="J39">
        <f t="shared" si="1"/>
        <v>15.75</v>
      </c>
    </row>
    <row r="40" spans="1:10">
      <c r="A40" t="s">
        <v>519</v>
      </c>
      <c r="B40" t="s">
        <v>163</v>
      </c>
      <c r="C40" t="s">
        <v>553</v>
      </c>
      <c r="D40" s="14">
        <v>35</v>
      </c>
      <c r="F40" s="13">
        <v>45692.895833333336</v>
      </c>
      <c r="G40" t="s">
        <v>310</v>
      </c>
      <c r="H40" t="s">
        <v>371</v>
      </c>
      <c r="I40" t="str">
        <f>IF(B40=IFERROR(VLOOKUP(B40,base!$L$1:$L$9,1,0),""),"Produtos",IF(B40=IFERROR(VLOOKUP(B40,base!$K$2:$K$8,1,0),""),"Serviços","Combos"))</f>
        <v>Serviços</v>
      </c>
      <c r="J40">
        <f t="shared" si="1"/>
        <v>15.75</v>
      </c>
    </row>
    <row r="41" spans="1:10">
      <c r="A41" t="s">
        <v>536</v>
      </c>
      <c r="B41" t="s">
        <v>163</v>
      </c>
      <c r="C41" t="s">
        <v>554</v>
      </c>
      <c r="D41" s="14">
        <v>35</v>
      </c>
      <c r="E41" s="14">
        <v>35</v>
      </c>
      <c r="F41" s="13">
        <v>45692.899305555555</v>
      </c>
      <c r="G41" t="s">
        <v>310</v>
      </c>
      <c r="H41" t="s">
        <v>370</v>
      </c>
      <c r="I41" t="str">
        <f>IF(B41=IFERROR(VLOOKUP(B41,base!$L$1:$L$9,1,0),""),"Produtos",IF(B41=IFERROR(VLOOKUP(B41,base!$K$2:$K$8,1,0),""),"Serviços","Combos"))</f>
        <v>Serviços</v>
      </c>
      <c r="J41">
        <f t="shared" si="1"/>
        <v>15.75</v>
      </c>
    </row>
    <row r="42" spans="1:10">
      <c r="A42" t="s">
        <v>536</v>
      </c>
      <c r="B42" t="s">
        <v>163</v>
      </c>
      <c r="C42" t="s">
        <v>562</v>
      </c>
      <c r="D42" s="14">
        <v>35</v>
      </c>
      <c r="E42" s="14">
        <v>35</v>
      </c>
      <c r="F42" s="13">
        <v>45693.375</v>
      </c>
      <c r="G42" t="s">
        <v>1</v>
      </c>
      <c r="H42" t="s">
        <v>373</v>
      </c>
      <c r="I42" t="str">
        <f>IF(B42=IFERROR(VLOOKUP(B42,base!$L$1:$L$9,1,0),""),"Produtos",IF(B42=IFERROR(VLOOKUP(B42,base!$K$2:$K$8,1,0),""),"Serviços","Combos"))</f>
        <v>Serviços</v>
      </c>
      <c r="J42">
        <f t="shared" si="1"/>
        <v>15.75</v>
      </c>
    </row>
    <row r="43" spans="1:10">
      <c r="A43" t="s">
        <v>519</v>
      </c>
      <c r="B43" t="s">
        <v>163</v>
      </c>
      <c r="C43" t="s">
        <v>550</v>
      </c>
      <c r="D43" s="14">
        <v>35</v>
      </c>
      <c r="E43" s="14">
        <v>35</v>
      </c>
      <c r="F43" s="13">
        <v>45693.395833333336</v>
      </c>
      <c r="G43" t="s">
        <v>2</v>
      </c>
      <c r="H43" t="s">
        <v>268</v>
      </c>
      <c r="I43" t="str">
        <f>IF(B43=IFERROR(VLOOKUP(B43,base!$L$1:$L$9,1,0),""),"Produtos",IF(B43=IFERROR(VLOOKUP(B43,base!$K$2:$K$8,1,0),""),"Serviços","Combos"))</f>
        <v>Serviços</v>
      </c>
      <c r="J43">
        <f t="shared" si="1"/>
        <v>15.75</v>
      </c>
    </row>
    <row r="44" spans="1:10">
      <c r="A44" t="s">
        <v>519</v>
      </c>
      <c r="B44" t="s">
        <v>163</v>
      </c>
      <c r="C44" t="s">
        <v>561</v>
      </c>
      <c r="D44" s="14">
        <v>35</v>
      </c>
      <c r="E44" s="14">
        <v>100</v>
      </c>
      <c r="F44" s="13">
        <v>45693.416666666664</v>
      </c>
      <c r="G44" t="s">
        <v>310</v>
      </c>
      <c r="H44" t="s">
        <v>292</v>
      </c>
      <c r="I44" t="str">
        <f>IF(B44=IFERROR(VLOOKUP(B44,base!$L$1:$L$9,1,0),""),"Produtos",IF(B44=IFERROR(VLOOKUP(B44,base!$K$2:$K$8,1,0),""),"Serviços","Combos"))</f>
        <v>Serviços</v>
      </c>
      <c r="J44">
        <f t="shared" si="1"/>
        <v>15.75</v>
      </c>
    </row>
    <row r="45" spans="1:10">
      <c r="A45" t="s">
        <v>536</v>
      </c>
      <c r="B45" t="s">
        <v>163</v>
      </c>
      <c r="C45" t="s">
        <v>561</v>
      </c>
      <c r="D45" s="14">
        <v>35</v>
      </c>
      <c r="F45" s="13">
        <v>45693.416666666664</v>
      </c>
      <c r="G45" t="s">
        <v>310</v>
      </c>
      <c r="H45" t="s">
        <v>292</v>
      </c>
      <c r="I45" t="str">
        <f>IF(B45=IFERROR(VLOOKUP(B45,base!$L$1:$L$9,1,0),""),"Produtos",IF(B45=IFERROR(VLOOKUP(B45,base!$K$2:$K$8,1,0),""),"Serviços","Combos"))</f>
        <v>Serviços</v>
      </c>
      <c r="J45">
        <f t="shared" si="1"/>
        <v>15.75</v>
      </c>
    </row>
    <row r="46" spans="1:10">
      <c r="A46" t="s">
        <v>536</v>
      </c>
      <c r="B46" t="s">
        <v>304</v>
      </c>
      <c r="C46" t="s">
        <v>561</v>
      </c>
      <c r="D46" s="14">
        <v>15</v>
      </c>
      <c r="F46" s="13">
        <v>45693.416666666664</v>
      </c>
      <c r="G46" t="s">
        <v>310</v>
      </c>
      <c r="H46" t="s">
        <v>292</v>
      </c>
      <c r="I46" t="str">
        <f>IF(B46=IFERROR(VLOOKUP(B46,base!$L$1:$L$9,1,0),""),"Produtos",IF(B46=IFERROR(VLOOKUP(B46,base!$K$2:$K$8,1,0),""),"Serviços","Combos"))</f>
        <v>Combos</v>
      </c>
      <c r="J46">
        <f t="shared" si="1"/>
        <v>6.75</v>
      </c>
    </row>
    <row r="47" spans="1:10">
      <c r="A47" t="s">
        <v>519</v>
      </c>
      <c r="B47" t="s">
        <v>352</v>
      </c>
      <c r="C47" t="s">
        <v>561</v>
      </c>
      <c r="D47" s="14">
        <v>15</v>
      </c>
      <c r="F47" s="13">
        <v>45693.416666666664</v>
      </c>
      <c r="G47" t="s">
        <v>310</v>
      </c>
      <c r="H47" t="s">
        <v>292</v>
      </c>
      <c r="I47" t="str">
        <f>IF(B47=IFERROR(VLOOKUP(B47,base!$L$1:$L$9,1,0),""),"Produtos",IF(B47=IFERROR(VLOOKUP(B47,base!$K$2:$K$8,1,0),""),"Serviços","Combos"))</f>
        <v>Combos</v>
      </c>
      <c r="J47">
        <f t="shared" si="1"/>
        <v>6.75</v>
      </c>
    </row>
    <row r="48" spans="1:10">
      <c r="A48" t="s">
        <v>519</v>
      </c>
      <c r="B48" t="s">
        <v>163</v>
      </c>
      <c r="C48" t="s">
        <v>624</v>
      </c>
      <c r="D48" s="14">
        <v>35</v>
      </c>
      <c r="E48" s="14">
        <v>35</v>
      </c>
      <c r="F48" s="13">
        <v>45693.458333333336</v>
      </c>
      <c r="G48" t="s">
        <v>2</v>
      </c>
      <c r="H48" t="s">
        <v>382</v>
      </c>
      <c r="I48" t="str">
        <f>IF(B48=IFERROR(VLOOKUP(B48,base!$L$1:$L$9,1,0),""),"Produtos",IF(B48=IFERROR(VLOOKUP(B48,base!$K$2:$K$8,1,0),""),"Serviços","Combos"))</f>
        <v>Serviços</v>
      </c>
      <c r="J48">
        <f t="shared" si="1"/>
        <v>15.75</v>
      </c>
    </row>
    <row r="49" spans="1:10">
      <c r="A49" t="s">
        <v>252</v>
      </c>
      <c r="B49" t="s">
        <v>163</v>
      </c>
      <c r="C49" t="s">
        <v>557</v>
      </c>
      <c r="D49" s="14">
        <v>35</v>
      </c>
      <c r="E49" s="14">
        <v>35</v>
      </c>
      <c r="F49" s="13">
        <v>45693.5</v>
      </c>
      <c r="G49" t="s">
        <v>1</v>
      </c>
      <c r="H49" t="s">
        <v>372</v>
      </c>
      <c r="I49" t="str">
        <f>IF(B49=IFERROR(VLOOKUP(B49,base!$L$1:$L$9,1,0),""),"Produtos",IF(B49=IFERROR(VLOOKUP(B49,base!$K$2:$K$8,1,0),""),"Serviços","Combos"))</f>
        <v>Serviços</v>
      </c>
      <c r="J49">
        <f t="shared" si="1"/>
        <v>15.75</v>
      </c>
    </row>
    <row r="50" spans="1:10">
      <c r="A50" t="s">
        <v>519</v>
      </c>
      <c r="B50" t="s">
        <v>163</v>
      </c>
      <c r="C50" t="s">
        <v>523</v>
      </c>
      <c r="D50" s="14">
        <v>35</v>
      </c>
      <c r="E50" s="14">
        <v>35</v>
      </c>
      <c r="F50" s="13">
        <v>45693.604166666664</v>
      </c>
      <c r="G50" t="s">
        <v>1</v>
      </c>
      <c r="H50" t="s">
        <v>66</v>
      </c>
      <c r="I50" t="str">
        <f>IF(B50=IFERROR(VLOOKUP(B50,base!$L$1:$L$9,1,0),""),"Produtos",IF(B50=IFERROR(VLOOKUP(B50,base!$K$2:$K$8,1,0),""),"Serviços","Combos"))</f>
        <v>Serviços</v>
      </c>
      <c r="J50">
        <f t="shared" si="1"/>
        <v>15.75</v>
      </c>
    </row>
    <row r="51" spans="1:10">
      <c r="A51" t="s">
        <v>536</v>
      </c>
      <c r="B51" t="s">
        <v>163</v>
      </c>
      <c r="C51" t="s">
        <v>564</v>
      </c>
      <c r="D51" s="14">
        <v>35</v>
      </c>
      <c r="E51" s="14">
        <v>35</v>
      </c>
      <c r="F51" s="13">
        <v>45693.697916666664</v>
      </c>
      <c r="G51" t="s">
        <v>1</v>
      </c>
      <c r="H51" t="s">
        <v>301</v>
      </c>
      <c r="I51" t="str">
        <f>IF(B51=IFERROR(VLOOKUP(B51,base!$L$1:$L$9,1,0),""),"Produtos",IF(B51=IFERROR(VLOOKUP(B51,base!$K$2:$K$8,1,0),""),"Serviços","Combos"))</f>
        <v>Serviços</v>
      </c>
      <c r="J51">
        <f t="shared" si="1"/>
        <v>15.75</v>
      </c>
    </row>
    <row r="52" spans="1:10">
      <c r="A52" t="s">
        <v>252</v>
      </c>
      <c r="B52" t="s">
        <v>154</v>
      </c>
      <c r="C52" t="s">
        <v>567</v>
      </c>
      <c r="D52" s="14">
        <v>50</v>
      </c>
      <c r="E52" s="14">
        <v>45</v>
      </c>
      <c r="F52" s="13">
        <v>45693.71875</v>
      </c>
      <c r="G52" t="s">
        <v>310</v>
      </c>
      <c r="H52" t="s">
        <v>57</v>
      </c>
      <c r="I52" t="str">
        <f>IF(B52=IFERROR(VLOOKUP(B52,base!$L$1:$L$9,1,0),""),"Produtos",IF(B52=IFERROR(VLOOKUP(B52,base!$K$2:$K$8,1,0),""),"Serviços","Combos"))</f>
        <v>Combos</v>
      </c>
      <c r="J52">
        <f t="shared" si="1"/>
        <v>22.5</v>
      </c>
    </row>
    <row r="53" spans="1:10">
      <c r="A53" t="s">
        <v>536</v>
      </c>
      <c r="B53" t="s">
        <v>163</v>
      </c>
      <c r="C53" t="s">
        <v>566</v>
      </c>
      <c r="D53" s="14">
        <v>35</v>
      </c>
      <c r="E53" s="14">
        <v>35</v>
      </c>
      <c r="F53" s="13">
        <v>45693.739583333336</v>
      </c>
      <c r="G53" t="s">
        <v>1</v>
      </c>
      <c r="H53" t="s">
        <v>376</v>
      </c>
      <c r="I53" t="str">
        <f>IF(B53=IFERROR(VLOOKUP(B53,base!$L$1:$L$9,1,0),""),"Produtos",IF(B53=IFERROR(VLOOKUP(B53,base!$K$2:$K$8,1,0),""),"Serviços","Combos"))</f>
        <v>Serviços</v>
      </c>
      <c r="J53">
        <f t="shared" si="1"/>
        <v>15.75</v>
      </c>
    </row>
    <row r="54" spans="1:10">
      <c r="A54" t="s">
        <v>252</v>
      </c>
      <c r="B54" t="s">
        <v>353</v>
      </c>
      <c r="C54" t="s">
        <v>569</v>
      </c>
      <c r="D54" s="14">
        <v>55</v>
      </c>
      <c r="E54" s="14">
        <v>40</v>
      </c>
      <c r="F54" s="13">
        <v>45693.760416666664</v>
      </c>
      <c r="G54" t="s">
        <v>1</v>
      </c>
      <c r="H54" t="s">
        <v>28</v>
      </c>
      <c r="I54" t="str">
        <f>IF(B54=IFERROR(VLOOKUP(B54,base!$L$1:$L$9,1,0),""),"Produtos",IF(B54=IFERROR(VLOOKUP(B54,base!$K$2:$K$8,1,0),""),"Serviços","Combos"))</f>
        <v>Combos</v>
      </c>
      <c r="J54">
        <f t="shared" si="1"/>
        <v>24.75</v>
      </c>
    </row>
    <row r="55" spans="1:10">
      <c r="A55" t="s">
        <v>536</v>
      </c>
      <c r="B55" t="s">
        <v>163</v>
      </c>
      <c r="C55" t="s">
        <v>565</v>
      </c>
      <c r="D55" s="14">
        <v>35</v>
      </c>
      <c r="E55" s="14">
        <v>35</v>
      </c>
      <c r="F55" s="13">
        <v>45693.770833333336</v>
      </c>
      <c r="G55" t="s">
        <v>1</v>
      </c>
      <c r="H55" t="s">
        <v>375</v>
      </c>
      <c r="I55" t="str">
        <f>IF(B55=IFERROR(VLOOKUP(B55,base!$L$1:$L$9,1,0),""),"Produtos",IF(B55=IFERROR(VLOOKUP(B55,base!$K$2:$K$8,1,0),""),"Serviços","Combos"))</f>
        <v>Serviços</v>
      </c>
      <c r="J55">
        <f t="shared" si="1"/>
        <v>15.75</v>
      </c>
    </row>
    <row r="56" spans="1:10">
      <c r="A56" t="s">
        <v>252</v>
      </c>
      <c r="B56" t="s">
        <v>353</v>
      </c>
      <c r="C56" t="s">
        <v>568</v>
      </c>
      <c r="D56" s="14">
        <v>55</v>
      </c>
      <c r="E56" s="14">
        <v>55</v>
      </c>
      <c r="F56" s="13">
        <v>45693.78125</v>
      </c>
      <c r="G56" t="s">
        <v>310</v>
      </c>
      <c r="H56" t="s">
        <v>34</v>
      </c>
      <c r="I56" t="str">
        <f>IF(B56=IFERROR(VLOOKUP(B56,base!$L$1:$L$9,1,0),""),"Produtos",IF(B56=IFERROR(VLOOKUP(B56,base!$K$2:$K$8,1,0),""),"Serviços","Combos"))</f>
        <v>Combos</v>
      </c>
      <c r="J56">
        <f t="shared" si="1"/>
        <v>24.75</v>
      </c>
    </row>
    <row r="57" spans="1:10">
      <c r="A57" t="s">
        <v>519</v>
      </c>
      <c r="B57" t="s">
        <v>159</v>
      </c>
      <c r="C57" t="s">
        <v>528</v>
      </c>
      <c r="D57" s="14">
        <v>0</v>
      </c>
      <c r="E57" s="14">
        <v>25</v>
      </c>
      <c r="F57" s="13">
        <v>45694.375</v>
      </c>
      <c r="G57" t="s">
        <v>821</v>
      </c>
      <c r="H57" t="s">
        <v>7</v>
      </c>
      <c r="I57" t="str">
        <f>IF(B57=IFERROR(VLOOKUP(B57,base!$L$1:$L$9,1,0),""),"Produtos",IF(B57=IFERROR(VLOOKUP(B57,base!$K$2:$K$8,1,0),""),"Serviços","Combos"))</f>
        <v>Combos</v>
      </c>
      <c r="J57">
        <f t="shared" si="1"/>
        <v>0</v>
      </c>
    </row>
    <row r="58" spans="1:10">
      <c r="A58" t="s">
        <v>519</v>
      </c>
      <c r="B58" t="s">
        <v>509</v>
      </c>
      <c r="C58" t="s">
        <v>528</v>
      </c>
      <c r="D58" s="14">
        <v>25</v>
      </c>
      <c r="F58" s="13">
        <v>45694.375</v>
      </c>
      <c r="G58" t="s">
        <v>821</v>
      </c>
      <c r="H58" t="s">
        <v>7</v>
      </c>
      <c r="I58" t="str">
        <f>IF(B58=IFERROR(VLOOKUP(B58,base!$L$1:$L$9,1,0),""),"Produtos",IF(B58=IFERROR(VLOOKUP(B58,base!$K$2:$K$8,1,0),""),"Serviços","Combos"))</f>
        <v>Produtos</v>
      </c>
      <c r="J58">
        <f t="shared" si="1"/>
        <v>10</v>
      </c>
    </row>
    <row r="59" spans="1:10">
      <c r="A59" t="s">
        <v>252</v>
      </c>
      <c r="B59" t="s">
        <v>163</v>
      </c>
      <c r="C59" t="s">
        <v>531</v>
      </c>
      <c r="D59" s="14">
        <v>30</v>
      </c>
      <c r="E59" s="14">
        <v>90</v>
      </c>
      <c r="F59" s="13">
        <v>45694.375</v>
      </c>
      <c r="G59" t="s">
        <v>1</v>
      </c>
      <c r="H59" t="s">
        <v>364</v>
      </c>
      <c r="I59" t="str">
        <f>IF(B59=IFERROR(VLOOKUP(B59,base!$L$1:$L$9,1,0),""),"Produtos",IF(B59=IFERROR(VLOOKUP(B59,base!$K$2:$K$8,1,0),""),"Serviços","Combos"))</f>
        <v>Serviços</v>
      </c>
      <c r="J59">
        <f t="shared" si="1"/>
        <v>13.5</v>
      </c>
    </row>
    <row r="60" spans="1:10">
      <c r="A60" t="s">
        <v>519</v>
      </c>
      <c r="B60" t="s">
        <v>163</v>
      </c>
      <c r="C60" t="s">
        <v>571</v>
      </c>
      <c r="D60" s="14">
        <v>35</v>
      </c>
      <c r="E60" s="14">
        <v>35</v>
      </c>
      <c r="F60" s="13">
        <v>45694.4375</v>
      </c>
      <c r="G60" t="s">
        <v>1</v>
      </c>
      <c r="H60" t="s">
        <v>378</v>
      </c>
      <c r="I60" t="str">
        <f>IF(B60=IFERROR(VLOOKUP(B60,base!$L$1:$L$9,1,0),""),"Produtos",IF(B60=IFERROR(VLOOKUP(B60,base!$K$2:$K$8,1,0),""),"Serviços","Combos"))</f>
        <v>Serviços</v>
      </c>
      <c r="J60">
        <f t="shared" si="1"/>
        <v>15.75</v>
      </c>
    </row>
    <row r="61" spans="1:10">
      <c r="A61" t="s">
        <v>536</v>
      </c>
      <c r="B61" t="s">
        <v>163</v>
      </c>
      <c r="C61" t="s">
        <v>574</v>
      </c>
      <c r="D61" s="14">
        <v>35</v>
      </c>
      <c r="E61" s="14">
        <v>35</v>
      </c>
      <c r="F61" s="13">
        <v>45694.447916666664</v>
      </c>
      <c r="G61" t="s">
        <v>310</v>
      </c>
      <c r="H61" t="s">
        <v>121</v>
      </c>
      <c r="I61" t="str">
        <f>IF(B61=IFERROR(VLOOKUP(B61,base!$L$1:$L$9,1,0),""),"Produtos",IF(B61=IFERROR(VLOOKUP(B61,base!$K$2:$K$8,1,0),""),"Serviços","Combos"))</f>
        <v>Serviços</v>
      </c>
      <c r="J61">
        <f t="shared" si="1"/>
        <v>15.75</v>
      </c>
    </row>
    <row r="62" spans="1:10">
      <c r="A62" t="s">
        <v>519</v>
      </c>
      <c r="B62" t="s">
        <v>159</v>
      </c>
      <c r="C62" t="s">
        <v>572</v>
      </c>
      <c r="D62" s="14">
        <v>40</v>
      </c>
      <c r="E62" s="14">
        <v>40</v>
      </c>
      <c r="F62" s="13">
        <v>45694.458333333336</v>
      </c>
      <c r="G62" t="s">
        <v>310</v>
      </c>
      <c r="H62" t="s">
        <v>62</v>
      </c>
      <c r="I62" t="str">
        <f>IF(B62=IFERROR(VLOOKUP(B62,base!$L$1:$L$9,1,0),""),"Produtos",IF(B62=IFERROR(VLOOKUP(B62,base!$K$2:$K$8,1,0),""),"Serviços","Combos"))</f>
        <v>Combos</v>
      </c>
      <c r="J62">
        <f t="shared" si="1"/>
        <v>18</v>
      </c>
    </row>
    <row r="63" spans="1:10">
      <c r="A63" t="s">
        <v>519</v>
      </c>
      <c r="B63" t="s">
        <v>163</v>
      </c>
      <c r="C63" t="s">
        <v>570</v>
      </c>
      <c r="D63" s="14">
        <v>35</v>
      </c>
      <c r="E63" s="14">
        <v>35</v>
      </c>
      <c r="F63" s="13">
        <v>45694.604166666664</v>
      </c>
      <c r="G63" t="s">
        <v>310</v>
      </c>
      <c r="H63" t="s">
        <v>377</v>
      </c>
      <c r="I63" t="str">
        <f>IF(B63=IFERROR(VLOOKUP(B63,base!$L$1:$L$9,1,0),""),"Produtos",IF(B63=IFERROR(VLOOKUP(B63,base!$K$2:$K$8,1,0),""),"Serviços","Combos"))</f>
        <v>Serviços</v>
      </c>
      <c r="J63">
        <f t="shared" si="1"/>
        <v>15.75</v>
      </c>
    </row>
    <row r="64" spans="1:10">
      <c r="A64" t="s">
        <v>519</v>
      </c>
      <c r="B64" t="s">
        <v>160</v>
      </c>
      <c r="C64" t="s">
        <v>575</v>
      </c>
      <c r="D64" s="14">
        <v>12</v>
      </c>
      <c r="E64" s="14">
        <v>12</v>
      </c>
      <c r="F64" s="13">
        <v>45694.625</v>
      </c>
      <c r="G64" t="s">
        <v>1</v>
      </c>
      <c r="H64" t="s">
        <v>90</v>
      </c>
      <c r="I64" t="str">
        <f>IF(B64=IFERROR(VLOOKUP(B64,base!$L$1:$L$9,1,0),""),"Produtos",IF(B64=IFERROR(VLOOKUP(B64,base!$K$2:$K$8,1,0),""),"Serviços","Combos"))</f>
        <v>Serviços</v>
      </c>
      <c r="J64">
        <f t="shared" si="1"/>
        <v>5.4</v>
      </c>
    </row>
    <row r="65" spans="1:10">
      <c r="A65" t="s">
        <v>519</v>
      </c>
      <c r="B65" t="s">
        <v>163</v>
      </c>
      <c r="C65" t="s">
        <v>576</v>
      </c>
      <c r="D65" s="14">
        <v>35</v>
      </c>
      <c r="E65" s="14">
        <v>55</v>
      </c>
      <c r="F65" s="13">
        <v>45694.645833333336</v>
      </c>
      <c r="G65" t="s">
        <v>1</v>
      </c>
      <c r="H65" t="s">
        <v>124</v>
      </c>
      <c r="I65" t="str">
        <f>IF(B65=IFERROR(VLOOKUP(B65,base!$L$1:$L$9,1,0),""),"Produtos",IF(B65=IFERROR(VLOOKUP(B65,base!$K$2:$K$8,1,0),""),"Serviços","Combos"))</f>
        <v>Serviços</v>
      </c>
      <c r="J65">
        <f t="shared" si="1"/>
        <v>15.75</v>
      </c>
    </row>
    <row r="66" spans="1:10">
      <c r="A66" t="s">
        <v>519</v>
      </c>
      <c r="B66" t="s">
        <v>511</v>
      </c>
      <c r="C66" t="s">
        <v>576</v>
      </c>
      <c r="D66" s="14">
        <v>20</v>
      </c>
      <c r="F66" s="13">
        <v>45694.645833333336</v>
      </c>
      <c r="G66" t="s">
        <v>1</v>
      </c>
      <c r="H66" t="s">
        <v>124</v>
      </c>
      <c r="I66" t="str">
        <f>IF(B66=IFERROR(VLOOKUP(B66,base!$L$1:$L$9,1,0),""),"Produtos",IF(B66=IFERROR(VLOOKUP(B66,base!$K$2:$K$8,1,0),""),"Serviços","Combos"))</f>
        <v>Produtos</v>
      </c>
      <c r="J66">
        <f t="shared" ref="J66:J97" si="2">IF(AND(I66="Serviços",E66&gt;0),ROUND(D66*45%,2),IF(I66="Produtos",ROUND(D66*40%,2),D66*45%))</f>
        <v>8</v>
      </c>
    </row>
    <row r="67" spans="1:10">
      <c r="A67" t="s">
        <v>252</v>
      </c>
      <c r="B67" t="s">
        <v>159</v>
      </c>
      <c r="C67" t="s">
        <v>579</v>
      </c>
      <c r="D67" s="14">
        <v>40</v>
      </c>
      <c r="E67" s="14">
        <v>40</v>
      </c>
      <c r="F67" s="13">
        <v>45694.666666666664</v>
      </c>
      <c r="G67" t="s">
        <v>1</v>
      </c>
      <c r="H67" t="s">
        <v>380</v>
      </c>
      <c r="I67" t="str">
        <f>IF(B67=IFERROR(VLOOKUP(B67,base!$L$1:$L$9,1,0),""),"Produtos",IF(B67=IFERROR(VLOOKUP(B67,base!$K$2:$K$8,1,0),""),"Serviços","Combos"))</f>
        <v>Combos</v>
      </c>
      <c r="J67">
        <f t="shared" si="2"/>
        <v>18</v>
      </c>
    </row>
    <row r="68" spans="1:10">
      <c r="A68" t="s">
        <v>519</v>
      </c>
      <c r="B68" t="s">
        <v>162</v>
      </c>
      <c r="C68" t="s">
        <v>578</v>
      </c>
      <c r="D68" s="14">
        <v>20</v>
      </c>
      <c r="E68" s="14">
        <v>20</v>
      </c>
      <c r="F68" s="13">
        <v>45694.6875</v>
      </c>
      <c r="G68" t="s">
        <v>310</v>
      </c>
      <c r="H68" t="s">
        <v>120</v>
      </c>
      <c r="I68" t="str">
        <f>IF(B68=IFERROR(VLOOKUP(B68,base!$L$1:$L$9,1,0),""),"Produtos",IF(B68=IFERROR(VLOOKUP(B68,base!$K$2:$K$8,1,0),""),"Serviços","Combos"))</f>
        <v>Serviços</v>
      </c>
      <c r="J68">
        <f t="shared" si="2"/>
        <v>9</v>
      </c>
    </row>
    <row r="69" spans="1:10">
      <c r="A69" t="s">
        <v>536</v>
      </c>
      <c r="B69" t="s">
        <v>159</v>
      </c>
      <c r="C69" t="s">
        <v>580</v>
      </c>
      <c r="D69" s="14">
        <v>40</v>
      </c>
      <c r="E69" s="14">
        <v>40</v>
      </c>
      <c r="F69" s="13">
        <v>45694.6875</v>
      </c>
      <c r="G69" t="s">
        <v>1</v>
      </c>
      <c r="H69" t="s">
        <v>212</v>
      </c>
      <c r="I69" t="str">
        <f>IF(B69=IFERROR(VLOOKUP(B69,base!$L$1:$L$9,1,0),""),"Produtos",IF(B69=IFERROR(VLOOKUP(B69,base!$K$2:$K$8,1,0),""),"Serviços","Combos"))</f>
        <v>Combos</v>
      </c>
      <c r="J69">
        <f t="shared" si="2"/>
        <v>18</v>
      </c>
    </row>
    <row r="70" spans="1:10">
      <c r="A70" t="s">
        <v>519</v>
      </c>
      <c r="B70" t="s">
        <v>161</v>
      </c>
      <c r="C70" t="s">
        <v>581</v>
      </c>
      <c r="D70" s="14">
        <v>20</v>
      </c>
      <c r="E70" s="14">
        <v>20</v>
      </c>
      <c r="F70" s="13">
        <v>45694.708333333336</v>
      </c>
      <c r="G70" t="s">
        <v>1</v>
      </c>
      <c r="H70" t="s">
        <v>192</v>
      </c>
      <c r="I70" t="str">
        <f>IF(B70=IFERROR(VLOOKUP(B70,base!$L$1:$L$9,1,0),""),"Produtos",IF(B70=IFERROR(VLOOKUP(B70,base!$K$2:$K$8,1,0),""),"Serviços","Combos"))</f>
        <v>Serviços</v>
      </c>
      <c r="J70">
        <f t="shared" si="2"/>
        <v>9</v>
      </c>
    </row>
    <row r="71" spans="1:10">
      <c r="A71" t="s">
        <v>252</v>
      </c>
      <c r="B71" t="s">
        <v>163</v>
      </c>
      <c r="C71" t="s">
        <v>582</v>
      </c>
      <c r="D71" s="14">
        <v>35</v>
      </c>
      <c r="E71" s="14">
        <v>70</v>
      </c>
      <c r="F71" s="13">
        <v>45694.708333333336</v>
      </c>
      <c r="G71" t="s">
        <v>356</v>
      </c>
      <c r="H71" t="s">
        <v>381</v>
      </c>
      <c r="I71" t="str">
        <f>IF(B71=IFERROR(VLOOKUP(B71,base!$L$1:$L$9,1,0),""),"Produtos",IF(B71=IFERROR(VLOOKUP(B71,base!$K$2:$K$8,1,0),""),"Serviços","Combos"))</f>
        <v>Serviços</v>
      </c>
      <c r="J71">
        <f t="shared" si="2"/>
        <v>15.75</v>
      </c>
    </row>
    <row r="72" spans="1:10">
      <c r="A72" t="s">
        <v>536</v>
      </c>
      <c r="B72" t="s">
        <v>163</v>
      </c>
      <c r="C72" t="s">
        <v>582</v>
      </c>
      <c r="D72" s="14">
        <v>35</v>
      </c>
      <c r="F72" s="13">
        <v>45694.708333333336</v>
      </c>
      <c r="G72" t="s">
        <v>356</v>
      </c>
      <c r="H72" t="s">
        <v>381</v>
      </c>
      <c r="I72" t="str">
        <f>IF(B72=IFERROR(VLOOKUP(B72,base!$L$1:$L$9,1,0),""),"Produtos",IF(B72=IFERROR(VLOOKUP(B72,base!$K$2:$K$8,1,0),""),"Serviços","Combos"))</f>
        <v>Serviços</v>
      </c>
      <c r="J72">
        <f t="shared" si="2"/>
        <v>15.75</v>
      </c>
    </row>
    <row r="73" spans="1:10">
      <c r="A73" t="s">
        <v>536</v>
      </c>
      <c r="B73" t="s">
        <v>163</v>
      </c>
      <c r="C73" t="s">
        <v>583</v>
      </c>
      <c r="D73" s="14">
        <v>35</v>
      </c>
      <c r="E73" s="14">
        <v>35</v>
      </c>
      <c r="F73" s="13">
        <v>45694.729166666664</v>
      </c>
      <c r="G73" t="s">
        <v>1</v>
      </c>
      <c r="H73" t="s">
        <v>382</v>
      </c>
      <c r="I73" t="str">
        <f>IF(B73=IFERROR(VLOOKUP(B73,base!$L$1:$L$9,1,0),""),"Produtos",IF(B73=IFERROR(VLOOKUP(B73,base!$K$2:$K$8,1,0),""),"Serviços","Combos"))</f>
        <v>Serviços</v>
      </c>
      <c r="J73">
        <f t="shared" si="2"/>
        <v>15.75</v>
      </c>
    </row>
    <row r="74" spans="1:10">
      <c r="A74" t="s">
        <v>519</v>
      </c>
      <c r="B74" t="s">
        <v>353</v>
      </c>
      <c r="C74" t="s">
        <v>584</v>
      </c>
      <c r="D74" s="14">
        <v>50</v>
      </c>
      <c r="E74" s="14">
        <v>50</v>
      </c>
      <c r="F74" s="13">
        <v>45694.739583333336</v>
      </c>
      <c r="G74" t="s">
        <v>1</v>
      </c>
      <c r="H74" t="s">
        <v>383</v>
      </c>
      <c r="I74" t="str">
        <f>IF(B74=IFERROR(VLOOKUP(B74,base!$L$1:$L$9,1,0),""),"Produtos",IF(B74=IFERROR(VLOOKUP(B74,base!$K$2:$K$8,1,0),""),"Serviços","Combos"))</f>
        <v>Combos</v>
      </c>
      <c r="J74">
        <f t="shared" si="2"/>
        <v>22.5</v>
      </c>
    </row>
    <row r="75" spans="1:10">
      <c r="A75" t="s">
        <v>252</v>
      </c>
      <c r="B75" t="s">
        <v>159</v>
      </c>
      <c r="C75" t="s">
        <v>585</v>
      </c>
      <c r="D75" s="14">
        <v>40</v>
      </c>
      <c r="E75" s="14">
        <v>40</v>
      </c>
      <c r="F75" s="13">
        <v>45694.75</v>
      </c>
      <c r="G75" t="s">
        <v>2</v>
      </c>
      <c r="H75" t="s">
        <v>300</v>
      </c>
      <c r="I75" t="str">
        <f>IF(B75=IFERROR(VLOOKUP(B75,base!$L$1:$L$9,1,0),""),"Produtos",IF(B75=IFERROR(VLOOKUP(B75,base!$K$2:$K$8,1,0),""),"Serviços","Combos"))</f>
        <v>Combos</v>
      </c>
      <c r="J75">
        <f t="shared" si="2"/>
        <v>18</v>
      </c>
    </row>
    <row r="76" spans="1:10">
      <c r="A76" t="s">
        <v>519</v>
      </c>
      <c r="B76" t="s">
        <v>163</v>
      </c>
      <c r="C76" t="s">
        <v>586</v>
      </c>
      <c r="D76" s="14">
        <v>35</v>
      </c>
      <c r="E76" s="14">
        <v>35</v>
      </c>
      <c r="F76" s="13">
        <v>45694.760416666664</v>
      </c>
      <c r="G76" t="s">
        <v>1</v>
      </c>
      <c r="H76" t="s">
        <v>17</v>
      </c>
      <c r="I76" t="str">
        <f>IF(B76=IFERROR(VLOOKUP(B76,base!$L$1:$L$9,1,0),""),"Produtos",IF(B76=IFERROR(VLOOKUP(B76,base!$K$2:$K$8,1,0),""),"Serviços","Combos"))</f>
        <v>Serviços</v>
      </c>
      <c r="J76">
        <f t="shared" si="2"/>
        <v>15.75</v>
      </c>
    </row>
    <row r="77" spans="1:10">
      <c r="A77" t="s">
        <v>536</v>
      </c>
      <c r="B77" t="s">
        <v>163</v>
      </c>
      <c r="C77" t="s">
        <v>587</v>
      </c>
      <c r="D77" s="14">
        <v>35</v>
      </c>
      <c r="E77" s="14">
        <v>35</v>
      </c>
      <c r="F77" s="13">
        <v>45694.770833333336</v>
      </c>
      <c r="G77" t="s">
        <v>1</v>
      </c>
      <c r="H77" t="s">
        <v>116</v>
      </c>
      <c r="I77" t="str">
        <f>IF(B77=IFERROR(VLOOKUP(B77,base!$L$1:$L$9,1,0),""),"Produtos",IF(B77=IFERROR(VLOOKUP(B77,base!$K$2:$K$8,1,0),""),"Serviços","Combos"))</f>
        <v>Serviços</v>
      </c>
      <c r="J77">
        <f t="shared" si="2"/>
        <v>15.75</v>
      </c>
    </row>
    <row r="78" spans="1:10">
      <c r="A78" t="s">
        <v>519</v>
      </c>
      <c r="B78" t="s">
        <v>306</v>
      </c>
      <c r="C78" t="s">
        <v>573</v>
      </c>
      <c r="D78" s="14">
        <v>50</v>
      </c>
      <c r="E78" s="14">
        <v>50</v>
      </c>
      <c r="F78" s="13">
        <v>45694.791666666664</v>
      </c>
      <c r="G78" t="s">
        <v>1</v>
      </c>
      <c r="H78" t="s">
        <v>379</v>
      </c>
      <c r="I78" t="str">
        <f>IF(B78=IFERROR(VLOOKUP(B78,base!$L$1:$L$9,1,0),""),"Produtos",IF(B78=IFERROR(VLOOKUP(B78,base!$K$2:$K$8,1,0),""),"Serviços","Combos"))</f>
        <v>Combos</v>
      </c>
      <c r="J78">
        <f t="shared" si="2"/>
        <v>22.5</v>
      </c>
    </row>
    <row r="79" spans="1:10">
      <c r="A79" t="s">
        <v>536</v>
      </c>
      <c r="B79" t="s">
        <v>353</v>
      </c>
      <c r="C79" t="s">
        <v>591</v>
      </c>
      <c r="D79" s="14">
        <v>55</v>
      </c>
      <c r="E79" s="14">
        <v>55</v>
      </c>
      <c r="F79" s="13">
        <v>45694.791666666664</v>
      </c>
      <c r="G79" t="s">
        <v>354</v>
      </c>
      <c r="H79" t="s">
        <v>385</v>
      </c>
      <c r="I79" t="str">
        <f>IF(B79=IFERROR(VLOOKUP(B79,base!$L$1:$L$9,1,0),""),"Produtos",IF(B79=IFERROR(VLOOKUP(B79,base!$K$2:$K$8,1,0),""),"Serviços","Combos"))</f>
        <v>Combos</v>
      </c>
      <c r="J79">
        <f t="shared" si="2"/>
        <v>24.75</v>
      </c>
    </row>
    <row r="80" spans="1:10">
      <c r="A80" t="s">
        <v>252</v>
      </c>
      <c r="B80" t="s">
        <v>163</v>
      </c>
      <c r="C80" t="s">
        <v>588</v>
      </c>
      <c r="D80" s="14">
        <v>35</v>
      </c>
      <c r="E80" s="14">
        <v>35</v>
      </c>
      <c r="F80" s="13">
        <v>45694.809027777781</v>
      </c>
      <c r="G80" t="s">
        <v>1</v>
      </c>
      <c r="H80" t="s">
        <v>270</v>
      </c>
      <c r="I80" t="str">
        <f>IF(B80=IFERROR(VLOOKUP(B80,base!$L$1:$L$9,1,0),""),"Produtos",IF(B80=IFERROR(VLOOKUP(B80,base!$K$2:$K$8,1,0),""),"Serviços","Combos"))</f>
        <v>Serviços</v>
      </c>
      <c r="J80">
        <f t="shared" si="2"/>
        <v>15.75</v>
      </c>
    </row>
    <row r="81" spans="1:10">
      <c r="A81" t="s">
        <v>536</v>
      </c>
      <c r="B81" t="s">
        <v>306</v>
      </c>
      <c r="C81" t="s">
        <v>592</v>
      </c>
      <c r="D81" s="14">
        <v>50</v>
      </c>
      <c r="E81" s="14">
        <v>100</v>
      </c>
      <c r="F81" s="13">
        <v>45694.868055555555</v>
      </c>
      <c r="G81" t="s">
        <v>2</v>
      </c>
      <c r="H81" t="s">
        <v>386</v>
      </c>
      <c r="I81" t="str">
        <f>IF(B81=IFERROR(VLOOKUP(B81,base!$L$1:$L$9,1,0),""),"Produtos",IF(B81=IFERROR(VLOOKUP(B81,base!$K$2:$K$8,1,0),""),"Serviços","Combos"))</f>
        <v>Combos</v>
      </c>
      <c r="J81">
        <f t="shared" si="2"/>
        <v>22.5</v>
      </c>
    </row>
    <row r="82" spans="1:10">
      <c r="A82" t="s">
        <v>519</v>
      </c>
      <c r="B82" t="s">
        <v>157</v>
      </c>
      <c r="C82" t="s">
        <v>592</v>
      </c>
      <c r="D82" s="14"/>
      <c r="F82" s="13">
        <v>45694.868055555555</v>
      </c>
      <c r="G82" t="s">
        <v>2</v>
      </c>
      <c r="H82" t="s">
        <v>386</v>
      </c>
      <c r="I82" t="str">
        <f>IF(B82=IFERROR(VLOOKUP(B82,base!$L$1:$L$9,1,0),""),"Produtos",IF(B82=IFERROR(VLOOKUP(B82,base!$K$2:$K$8,1,0),""),"Serviços","Combos"))</f>
        <v>Combos</v>
      </c>
      <c r="J82">
        <f t="shared" si="2"/>
        <v>0</v>
      </c>
    </row>
    <row r="83" spans="1:10">
      <c r="A83" t="s">
        <v>519</v>
      </c>
      <c r="B83" t="s">
        <v>163</v>
      </c>
      <c r="C83" t="s">
        <v>590</v>
      </c>
      <c r="D83" s="14">
        <v>35</v>
      </c>
      <c r="E83" s="14">
        <v>35</v>
      </c>
      <c r="F83" s="13">
        <v>45695.375</v>
      </c>
      <c r="G83" t="s">
        <v>1</v>
      </c>
      <c r="H83" t="s">
        <v>384</v>
      </c>
      <c r="I83" t="str">
        <f>IF(B83=IFERROR(VLOOKUP(B83,base!$L$1:$L$9,1,0),""),"Produtos",IF(B83=IFERROR(VLOOKUP(B83,base!$K$2:$K$8,1,0),""),"Serviços","Combos"))</f>
        <v>Serviços</v>
      </c>
      <c r="J83">
        <f t="shared" si="2"/>
        <v>15.75</v>
      </c>
    </row>
    <row r="84" spans="1:10">
      <c r="A84" t="s">
        <v>252</v>
      </c>
      <c r="B84" t="s">
        <v>157</v>
      </c>
      <c r="C84" t="s">
        <v>600</v>
      </c>
      <c r="D84" s="14">
        <v>50</v>
      </c>
      <c r="E84" s="14">
        <v>50</v>
      </c>
      <c r="F84" s="13">
        <v>45695.385416666664</v>
      </c>
      <c r="G84" t="s">
        <v>310</v>
      </c>
      <c r="H84" t="s">
        <v>276</v>
      </c>
      <c r="I84" t="str">
        <f>IF(B84=IFERROR(VLOOKUP(B84,base!$L$1:$L$9,1,0),""),"Produtos",IF(B84=IFERROR(VLOOKUP(B84,base!$K$2:$K$8,1,0),""),"Serviços","Combos"))</f>
        <v>Combos</v>
      </c>
      <c r="J84">
        <f t="shared" si="2"/>
        <v>22.5</v>
      </c>
    </row>
    <row r="85" spans="1:10">
      <c r="A85" t="s">
        <v>519</v>
      </c>
      <c r="B85" t="s">
        <v>353</v>
      </c>
      <c r="C85" t="s">
        <v>597</v>
      </c>
      <c r="D85" s="14">
        <v>45</v>
      </c>
      <c r="E85" s="14">
        <v>45</v>
      </c>
      <c r="F85" s="13">
        <v>45695.40625</v>
      </c>
      <c r="G85" t="s">
        <v>356</v>
      </c>
      <c r="H85" t="s">
        <v>387</v>
      </c>
      <c r="I85" t="str">
        <f>IF(B85=IFERROR(VLOOKUP(B85,base!$L$1:$L$9,1,0),""),"Produtos",IF(B85=IFERROR(VLOOKUP(B85,base!$K$2:$K$8,1,0),""),"Serviços","Combos"))</f>
        <v>Combos</v>
      </c>
      <c r="J85">
        <f t="shared" si="2"/>
        <v>20.25</v>
      </c>
    </row>
    <row r="86" spans="1:10">
      <c r="A86" t="s">
        <v>536</v>
      </c>
      <c r="B86" t="s">
        <v>353</v>
      </c>
      <c r="C86" t="s">
        <v>599</v>
      </c>
      <c r="D86" s="14">
        <v>55</v>
      </c>
      <c r="E86" s="14">
        <v>55</v>
      </c>
      <c r="F86" s="13">
        <v>45695.416666666664</v>
      </c>
      <c r="G86" t="s">
        <v>1</v>
      </c>
      <c r="H86" t="s">
        <v>388</v>
      </c>
      <c r="I86" t="str">
        <f>IF(B86=IFERROR(VLOOKUP(B86,base!$L$1:$L$9,1,0),""),"Produtos",IF(B86=IFERROR(VLOOKUP(B86,base!$K$2:$K$8,1,0),""),"Serviços","Combos"))</f>
        <v>Combos</v>
      </c>
      <c r="J86">
        <f t="shared" si="2"/>
        <v>24.75</v>
      </c>
    </row>
    <row r="87" spans="1:10">
      <c r="A87" t="s">
        <v>519</v>
      </c>
      <c r="B87" t="s">
        <v>159</v>
      </c>
      <c r="C87" t="s">
        <v>596</v>
      </c>
      <c r="D87" s="14">
        <v>40</v>
      </c>
      <c r="E87" s="14">
        <v>40</v>
      </c>
      <c r="F87" s="13">
        <v>45695.4375</v>
      </c>
      <c r="G87" t="s">
        <v>1</v>
      </c>
      <c r="H87" t="s">
        <v>12</v>
      </c>
      <c r="I87" t="str">
        <f>IF(B87=IFERROR(VLOOKUP(B87,base!$L$1:$L$9,1,0),""),"Produtos",IF(B87=IFERROR(VLOOKUP(B87,base!$K$2:$K$8,1,0),""),"Serviços","Combos"))</f>
        <v>Combos</v>
      </c>
      <c r="J87">
        <f t="shared" si="2"/>
        <v>18</v>
      </c>
    </row>
    <row r="88" spans="1:10">
      <c r="A88" t="s">
        <v>252</v>
      </c>
      <c r="B88" t="s">
        <v>163</v>
      </c>
      <c r="C88" t="s">
        <v>589</v>
      </c>
      <c r="D88" s="14">
        <v>35</v>
      </c>
      <c r="E88" s="14">
        <v>35</v>
      </c>
      <c r="F88" s="13">
        <v>45695.447916666664</v>
      </c>
      <c r="G88" t="s">
        <v>1</v>
      </c>
      <c r="H88" t="s">
        <v>80</v>
      </c>
      <c r="I88" t="str">
        <f>IF(B88=IFERROR(VLOOKUP(B88,base!$L$1:$L$9,1,0),""),"Produtos",IF(B88=IFERROR(VLOOKUP(B88,base!$K$2:$K$8,1,0),""),"Serviços","Combos"))</f>
        <v>Serviços</v>
      </c>
      <c r="J88">
        <f t="shared" si="2"/>
        <v>15.75</v>
      </c>
    </row>
    <row r="89" spans="1:10">
      <c r="A89" t="s">
        <v>519</v>
      </c>
      <c r="B89" t="s">
        <v>159</v>
      </c>
      <c r="C89" t="s">
        <v>594</v>
      </c>
      <c r="D89" s="14">
        <v>40</v>
      </c>
      <c r="E89" s="14">
        <v>40</v>
      </c>
      <c r="F89" s="13">
        <v>45695.458333333336</v>
      </c>
      <c r="G89" t="s">
        <v>1</v>
      </c>
      <c r="H89" t="s">
        <v>14</v>
      </c>
      <c r="I89" t="str">
        <f>IF(B89=IFERROR(VLOOKUP(B89,base!$L$1:$L$9,1,0),""),"Produtos",IF(B89=IFERROR(VLOOKUP(B89,base!$K$2:$K$8,1,0),""),"Serviços","Combos"))</f>
        <v>Combos</v>
      </c>
      <c r="J89">
        <f t="shared" si="2"/>
        <v>18</v>
      </c>
    </row>
    <row r="90" spans="1:10">
      <c r="A90" t="s">
        <v>252</v>
      </c>
      <c r="B90" t="s">
        <v>163</v>
      </c>
      <c r="C90" t="s">
        <v>598</v>
      </c>
      <c r="D90" s="14">
        <v>35</v>
      </c>
      <c r="E90" s="14">
        <v>35</v>
      </c>
      <c r="F90" s="13">
        <v>45695.46875</v>
      </c>
      <c r="G90" t="s">
        <v>2</v>
      </c>
      <c r="H90" t="s">
        <v>123</v>
      </c>
      <c r="I90" t="str">
        <f>IF(B90=IFERROR(VLOOKUP(B90,base!$L$1:$L$9,1,0),""),"Produtos",IF(B90=IFERROR(VLOOKUP(B90,base!$K$2:$K$8,1,0),""),"Serviços","Combos"))</f>
        <v>Serviços</v>
      </c>
      <c r="J90">
        <f t="shared" si="2"/>
        <v>15.75</v>
      </c>
    </row>
    <row r="91" spans="1:10">
      <c r="A91" t="s">
        <v>536</v>
      </c>
      <c r="B91" t="s">
        <v>158</v>
      </c>
      <c r="C91" t="s">
        <v>603</v>
      </c>
      <c r="D91" s="14">
        <v>100</v>
      </c>
      <c r="E91" s="14">
        <v>100</v>
      </c>
      <c r="F91" s="13">
        <v>45695.53125</v>
      </c>
      <c r="G91" t="s">
        <v>1</v>
      </c>
      <c r="H91" t="s">
        <v>274</v>
      </c>
      <c r="I91" t="str">
        <f>IF(B91=IFERROR(VLOOKUP(B91,base!$L$1:$L$9,1,0),""),"Produtos",IF(B91=IFERROR(VLOOKUP(B91,base!$K$2:$K$8,1,0),""),"Serviços","Combos"))</f>
        <v>Combos</v>
      </c>
      <c r="J91">
        <f t="shared" si="2"/>
        <v>45</v>
      </c>
    </row>
    <row r="92" spans="1:10">
      <c r="A92" t="s">
        <v>519</v>
      </c>
      <c r="B92" t="s">
        <v>353</v>
      </c>
      <c r="C92" t="s">
        <v>604</v>
      </c>
      <c r="D92" s="14">
        <v>55</v>
      </c>
      <c r="E92" s="14">
        <v>55</v>
      </c>
      <c r="F92" s="13">
        <v>45695.552083333336</v>
      </c>
      <c r="G92" t="s">
        <v>310</v>
      </c>
      <c r="H92" t="s">
        <v>389</v>
      </c>
      <c r="I92" t="str">
        <f>IF(B92=IFERROR(VLOOKUP(B92,base!$L$1:$L$9,1,0),""),"Produtos",IF(B92=IFERROR(VLOOKUP(B92,base!$K$2:$K$8,1,0),""),"Serviços","Combos"))</f>
        <v>Combos</v>
      </c>
      <c r="J92">
        <f t="shared" si="2"/>
        <v>24.75</v>
      </c>
    </row>
    <row r="93" spans="1:10">
      <c r="A93" t="s">
        <v>519</v>
      </c>
      <c r="B93" t="s">
        <v>163</v>
      </c>
      <c r="C93" t="s">
        <v>605</v>
      </c>
      <c r="D93" s="14">
        <v>35</v>
      </c>
      <c r="E93" s="14">
        <v>35</v>
      </c>
      <c r="F93" s="13">
        <v>45695.59375</v>
      </c>
      <c r="G93" t="s">
        <v>1</v>
      </c>
      <c r="H93" t="s">
        <v>390</v>
      </c>
      <c r="I93" t="str">
        <f>IF(B93=IFERROR(VLOOKUP(B93,base!$L$1:$L$9,1,0),""),"Produtos",IF(B93=IFERROR(VLOOKUP(B93,base!$K$2:$K$8,1,0),""),"Serviços","Combos"))</f>
        <v>Serviços</v>
      </c>
      <c r="J93">
        <f t="shared" si="2"/>
        <v>15.75</v>
      </c>
    </row>
    <row r="94" spans="1:10">
      <c r="A94" t="s">
        <v>519</v>
      </c>
      <c r="B94" t="s">
        <v>163</v>
      </c>
      <c r="C94" t="s">
        <v>606</v>
      </c>
      <c r="D94" s="14">
        <v>25</v>
      </c>
      <c r="E94" s="14">
        <v>35</v>
      </c>
      <c r="F94" s="13">
        <v>45695.600694444445</v>
      </c>
      <c r="G94" t="s">
        <v>1</v>
      </c>
      <c r="H94" t="s">
        <v>10</v>
      </c>
      <c r="I94" t="str">
        <f>IF(B94=IFERROR(VLOOKUP(B94,base!$L$1:$L$9,1,0),""),"Produtos",IF(B94=IFERROR(VLOOKUP(B94,base!$K$2:$K$8,1,0),""),"Serviços","Combos"))</f>
        <v>Serviços</v>
      </c>
      <c r="J94">
        <f t="shared" si="2"/>
        <v>11.25</v>
      </c>
    </row>
    <row r="95" spans="1:10">
      <c r="A95" t="s">
        <v>519</v>
      </c>
      <c r="B95" t="s">
        <v>304</v>
      </c>
      <c r="C95" t="s">
        <v>606</v>
      </c>
      <c r="D95" s="14">
        <v>10</v>
      </c>
      <c r="F95" s="13">
        <v>45695.600694444445</v>
      </c>
      <c r="G95" t="s">
        <v>1</v>
      </c>
      <c r="H95" t="s">
        <v>10</v>
      </c>
      <c r="I95" t="str">
        <f>IF(B95=IFERROR(VLOOKUP(B95,base!$L$1:$L$9,1,0),""),"Produtos",IF(B95=IFERROR(VLOOKUP(B95,base!$K$2:$K$8,1,0),""),"Serviços","Combos"))</f>
        <v>Combos</v>
      </c>
      <c r="J95">
        <f t="shared" si="2"/>
        <v>4.5</v>
      </c>
    </row>
    <row r="96" spans="1:10">
      <c r="A96" t="s">
        <v>252</v>
      </c>
      <c r="B96" t="s">
        <v>159</v>
      </c>
      <c r="C96" t="s">
        <v>602</v>
      </c>
      <c r="D96" s="14">
        <v>40</v>
      </c>
      <c r="E96" s="14">
        <v>40</v>
      </c>
      <c r="F96" s="13">
        <v>45695.614583333336</v>
      </c>
      <c r="G96" t="s">
        <v>2</v>
      </c>
      <c r="H96" t="s">
        <v>200</v>
      </c>
      <c r="I96" t="str">
        <f>IF(B96=IFERROR(VLOOKUP(B96,base!$L$1:$L$9,1,0),""),"Produtos",IF(B96=IFERROR(VLOOKUP(B96,base!$K$2:$K$8,1,0),""),"Serviços","Combos"))</f>
        <v>Combos</v>
      </c>
      <c r="J96">
        <f t="shared" si="2"/>
        <v>18</v>
      </c>
    </row>
    <row r="97" spans="1:10">
      <c r="A97" t="s">
        <v>536</v>
      </c>
      <c r="B97" t="s">
        <v>353</v>
      </c>
      <c r="C97" t="s">
        <v>608</v>
      </c>
      <c r="D97" s="14">
        <v>55</v>
      </c>
      <c r="E97" s="14">
        <v>55</v>
      </c>
      <c r="F97" s="13">
        <v>45695.625</v>
      </c>
      <c r="G97" t="s">
        <v>310</v>
      </c>
      <c r="H97" t="s">
        <v>391</v>
      </c>
      <c r="I97" t="str">
        <f>IF(B97=IFERROR(VLOOKUP(B97,base!$L$1:$L$9,1,0),""),"Produtos",IF(B97=IFERROR(VLOOKUP(B97,base!$K$2:$K$8,1,0),""),"Serviços","Combos"))</f>
        <v>Combos</v>
      </c>
      <c r="J97">
        <f t="shared" si="2"/>
        <v>24.75</v>
      </c>
    </row>
    <row r="98" spans="1:10">
      <c r="A98" t="s">
        <v>519</v>
      </c>
      <c r="B98" t="s">
        <v>163</v>
      </c>
      <c r="C98" t="s">
        <v>610</v>
      </c>
      <c r="D98" s="14">
        <v>35</v>
      </c>
      <c r="E98" s="14">
        <v>35</v>
      </c>
      <c r="F98" s="13">
        <v>45695.666666666664</v>
      </c>
      <c r="G98" t="s">
        <v>354</v>
      </c>
      <c r="H98" t="s">
        <v>279</v>
      </c>
      <c r="I98" t="str">
        <f>IF(B98=IFERROR(VLOOKUP(B98,base!$L$1:$L$9,1,0),""),"Produtos",IF(B98=IFERROR(VLOOKUP(B98,base!$K$2:$K$8,1,0),""),"Serviços","Combos"))</f>
        <v>Serviços</v>
      </c>
      <c r="J98">
        <f t="shared" ref="J98:J113" si="3">IF(AND(I98="Serviços",E98&gt;0),ROUND(D98*45%,2),IF(I98="Produtos",ROUND(D98*40%,2),D98*45%))</f>
        <v>15.75</v>
      </c>
    </row>
    <row r="99" spans="1:10">
      <c r="A99" t="s">
        <v>252</v>
      </c>
      <c r="B99" t="s">
        <v>163</v>
      </c>
      <c r="C99" t="s">
        <v>611</v>
      </c>
      <c r="D99" s="14">
        <v>35</v>
      </c>
      <c r="E99" s="14">
        <v>35</v>
      </c>
      <c r="F99" s="13">
        <v>45695.666666666664</v>
      </c>
      <c r="G99" t="s">
        <v>2</v>
      </c>
      <c r="H99" t="s">
        <v>392</v>
      </c>
      <c r="I99" t="str">
        <f>IF(B99=IFERROR(VLOOKUP(B99,base!$L$1:$L$9,1,0),""),"Produtos",IF(B99=IFERROR(VLOOKUP(B99,base!$K$2:$K$8,1,0),""),"Serviços","Combos"))</f>
        <v>Serviços</v>
      </c>
      <c r="J99">
        <f t="shared" si="3"/>
        <v>15.75</v>
      </c>
    </row>
    <row r="100" spans="1:10">
      <c r="A100" t="s">
        <v>519</v>
      </c>
      <c r="B100" t="s">
        <v>163</v>
      </c>
      <c r="C100" t="s">
        <v>607</v>
      </c>
      <c r="D100" s="14">
        <v>35</v>
      </c>
      <c r="E100" s="14">
        <v>35</v>
      </c>
      <c r="F100" s="13">
        <v>45695.677083333336</v>
      </c>
      <c r="G100" t="s">
        <v>2</v>
      </c>
      <c r="H100" t="s">
        <v>382</v>
      </c>
      <c r="I100" t="str">
        <f>IF(B100=IFERROR(VLOOKUP(B100,base!$L$1:$L$9,1,0),""),"Produtos",IF(B100=IFERROR(VLOOKUP(B100,base!$K$2:$K$8,1,0),""),"Serviços","Combos"))</f>
        <v>Serviços</v>
      </c>
      <c r="J100">
        <f t="shared" si="3"/>
        <v>15.75</v>
      </c>
    </row>
    <row r="101" spans="1:10">
      <c r="A101" t="s">
        <v>519</v>
      </c>
      <c r="B101" t="s">
        <v>159</v>
      </c>
      <c r="C101" t="s">
        <v>546</v>
      </c>
      <c r="D101" s="14">
        <v>40</v>
      </c>
      <c r="E101" s="14">
        <v>40</v>
      </c>
      <c r="F101" s="13">
        <v>45695.708333333336</v>
      </c>
      <c r="G101" t="s">
        <v>354</v>
      </c>
      <c r="H101" t="s">
        <v>284</v>
      </c>
      <c r="I101" t="str">
        <f>IF(B101=IFERROR(VLOOKUP(B101,base!$L$1:$L$9,1,0),""),"Produtos",IF(B101=IFERROR(VLOOKUP(B101,base!$K$2:$K$8,1,0),""),"Serviços","Combos"))</f>
        <v>Combos</v>
      </c>
      <c r="J101">
        <f t="shared" si="3"/>
        <v>18</v>
      </c>
    </row>
    <row r="102" spans="1:10">
      <c r="A102" t="s">
        <v>536</v>
      </c>
      <c r="B102" t="s">
        <v>161</v>
      </c>
      <c r="C102" t="s">
        <v>617</v>
      </c>
      <c r="D102" s="14">
        <v>25</v>
      </c>
      <c r="E102" s="14">
        <v>25</v>
      </c>
      <c r="F102" s="13">
        <v>45695.708333333336</v>
      </c>
      <c r="G102" t="s">
        <v>1</v>
      </c>
      <c r="H102" t="s">
        <v>294</v>
      </c>
      <c r="I102" t="str">
        <f>IF(B102=IFERROR(VLOOKUP(B102,base!$L$1:$L$9,1,0),""),"Produtos",IF(B102=IFERROR(VLOOKUP(B102,base!$K$2:$K$8,1,0),""),"Serviços","Combos"))</f>
        <v>Serviços</v>
      </c>
      <c r="J102">
        <f t="shared" si="3"/>
        <v>11.25</v>
      </c>
    </row>
    <row r="103" spans="1:10">
      <c r="A103" t="s">
        <v>536</v>
      </c>
      <c r="B103" t="s">
        <v>163</v>
      </c>
      <c r="C103" t="s">
        <v>616</v>
      </c>
      <c r="D103" s="14">
        <v>35</v>
      </c>
      <c r="E103" s="14">
        <v>35</v>
      </c>
      <c r="F103" s="13">
        <v>45695.71875</v>
      </c>
      <c r="G103" t="s">
        <v>1</v>
      </c>
      <c r="H103" t="s">
        <v>59</v>
      </c>
      <c r="I103" t="str">
        <f>IF(B103=IFERROR(VLOOKUP(B103,base!$L$1:$L$9,1,0),""),"Produtos",IF(B103=IFERROR(VLOOKUP(B103,base!$K$2:$K$8,1,0),""),"Serviços","Combos"))</f>
        <v>Serviços</v>
      </c>
      <c r="J103">
        <f t="shared" si="3"/>
        <v>15.75</v>
      </c>
    </row>
    <row r="104" spans="1:10">
      <c r="A104" t="s">
        <v>252</v>
      </c>
      <c r="B104" t="s">
        <v>163</v>
      </c>
      <c r="C104" t="s">
        <v>612</v>
      </c>
      <c r="D104" s="14">
        <v>30</v>
      </c>
      <c r="E104" s="14">
        <v>0</v>
      </c>
      <c r="F104" s="13">
        <v>45695.729166666664</v>
      </c>
      <c r="G104" t="s">
        <v>1</v>
      </c>
      <c r="H104" t="s">
        <v>83</v>
      </c>
      <c r="I104" t="str">
        <f>IF(B104=IFERROR(VLOOKUP(B104,base!$L$1:$L$9,1,0),""),"Produtos",IF(B104=IFERROR(VLOOKUP(B104,base!$K$2:$K$8,1,0),""),"Serviços","Combos"))</f>
        <v>Serviços</v>
      </c>
      <c r="J104">
        <f t="shared" si="3"/>
        <v>13.5</v>
      </c>
    </row>
    <row r="105" spans="1:10">
      <c r="A105" t="s">
        <v>519</v>
      </c>
      <c r="B105" t="s">
        <v>159</v>
      </c>
      <c r="C105" t="s">
        <v>601</v>
      </c>
      <c r="D105" s="14">
        <v>40</v>
      </c>
      <c r="E105" s="14">
        <v>40</v>
      </c>
      <c r="F105" s="13">
        <v>45695.75</v>
      </c>
      <c r="G105" t="s">
        <v>2</v>
      </c>
      <c r="H105" t="s">
        <v>77</v>
      </c>
      <c r="I105" t="str">
        <f>IF(B105=IFERROR(VLOOKUP(B105,base!$L$1:$L$9,1,0),""),"Produtos",IF(B105=IFERROR(VLOOKUP(B105,base!$K$2:$K$8,1,0),""),"Serviços","Combos"))</f>
        <v>Combos</v>
      </c>
      <c r="J105">
        <f t="shared" si="3"/>
        <v>18</v>
      </c>
    </row>
    <row r="106" spans="1:10">
      <c r="A106" t="s">
        <v>252</v>
      </c>
      <c r="B106" t="s">
        <v>159</v>
      </c>
      <c r="C106" t="s">
        <v>609</v>
      </c>
      <c r="D106" s="14">
        <v>40</v>
      </c>
      <c r="E106" s="14">
        <v>40</v>
      </c>
      <c r="F106" s="13">
        <v>45695.770833333336</v>
      </c>
      <c r="G106" t="s">
        <v>1</v>
      </c>
      <c r="H106" t="s">
        <v>18</v>
      </c>
      <c r="I106" t="str">
        <f>IF(B106=IFERROR(VLOOKUP(B106,base!$L$1:$L$9,1,0),""),"Produtos",IF(B106=IFERROR(VLOOKUP(B106,base!$K$2:$K$8,1,0),""),"Serviços","Combos"))</f>
        <v>Combos</v>
      </c>
      <c r="J106">
        <f t="shared" si="3"/>
        <v>18</v>
      </c>
    </row>
    <row r="107" spans="1:10">
      <c r="A107" t="s">
        <v>536</v>
      </c>
      <c r="B107" t="s">
        <v>163</v>
      </c>
      <c r="C107" t="s">
        <v>615</v>
      </c>
      <c r="D107" s="14">
        <v>35</v>
      </c>
      <c r="E107" s="14">
        <v>35</v>
      </c>
      <c r="F107" s="13">
        <v>45695.770833333336</v>
      </c>
      <c r="G107" t="s">
        <v>310</v>
      </c>
      <c r="H107" t="s">
        <v>395</v>
      </c>
      <c r="I107" t="str">
        <f>IF(B107=IFERROR(VLOOKUP(B107,base!$L$1:$L$9,1,0),""),"Produtos",IF(B107=IFERROR(VLOOKUP(B107,base!$K$2:$K$8,1,0),""),"Serviços","Combos"))</f>
        <v>Serviços</v>
      </c>
      <c r="J107">
        <f t="shared" si="3"/>
        <v>15.75</v>
      </c>
    </row>
    <row r="108" spans="1:10">
      <c r="A108" t="s">
        <v>519</v>
      </c>
      <c r="B108" t="s">
        <v>353</v>
      </c>
      <c r="C108" t="s">
        <v>593</v>
      </c>
      <c r="D108" s="14">
        <v>48.33</v>
      </c>
      <c r="E108" s="14">
        <v>0</v>
      </c>
      <c r="F108" s="13">
        <v>45695.78125</v>
      </c>
      <c r="G108" t="s">
        <v>1</v>
      </c>
      <c r="H108" t="s">
        <v>183</v>
      </c>
      <c r="I108" t="str">
        <f>IF(B108=IFERROR(VLOOKUP(B108,base!$L$1:$L$9,1,0),""),"Produtos",IF(B108=IFERROR(VLOOKUP(B108,base!$K$2:$K$8,1,0),""),"Serviços","Combos"))</f>
        <v>Combos</v>
      </c>
      <c r="J108">
        <f t="shared" si="3"/>
        <v>21.7485</v>
      </c>
    </row>
    <row r="109" spans="1:10">
      <c r="A109" t="s">
        <v>252</v>
      </c>
      <c r="B109" t="s">
        <v>163</v>
      </c>
      <c r="C109" t="s">
        <v>614</v>
      </c>
      <c r="D109" s="14">
        <v>35</v>
      </c>
      <c r="E109" s="14">
        <v>35</v>
      </c>
      <c r="F109" s="13">
        <v>45695.791666666664</v>
      </c>
      <c r="G109" t="s">
        <v>2</v>
      </c>
      <c r="H109" t="s">
        <v>394</v>
      </c>
      <c r="I109" t="str">
        <f>IF(B109=IFERROR(VLOOKUP(B109,base!$L$1:$L$9,1,0),""),"Produtos",IF(B109=IFERROR(VLOOKUP(B109,base!$K$2:$K$8,1,0),""),"Serviços","Combos"))</f>
        <v>Serviços</v>
      </c>
      <c r="J109">
        <f t="shared" si="3"/>
        <v>15.75</v>
      </c>
    </row>
    <row r="110" spans="1:10">
      <c r="A110" t="s">
        <v>536</v>
      </c>
      <c r="B110" t="s">
        <v>163</v>
      </c>
      <c r="C110" t="s">
        <v>620</v>
      </c>
      <c r="D110" s="14">
        <v>35</v>
      </c>
      <c r="E110" s="14">
        <v>35</v>
      </c>
      <c r="F110" s="13">
        <v>45695.791666666664</v>
      </c>
      <c r="G110" t="s">
        <v>1</v>
      </c>
      <c r="H110" t="s">
        <v>283</v>
      </c>
      <c r="I110" t="str">
        <f>IF(B110=IFERROR(VLOOKUP(B110,base!$L$1:$L$9,1,0),""),"Produtos",IF(B110=IFERROR(VLOOKUP(B110,base!$K$2:$K$8,1,0),""),"Serviços","Combos"))</f>
        <v>Serviços</v>
      </c>
      <c r="J110">
        <f t="shared" si="3"/>
        <v>15.75</v>
      </c>
    </row>
    <row r="111" spans="1:10">
      <c r="A111" t="s">
        <v>519</v>
      </c>
      <c r="B111" t="s">
        <v>159</v>
      </c>
      <c r="C111" t="s">
        <v>613</v>
      </c>
      <c r="D111" s="14">
        <v>40</v>
      </c>
      <c r="E111" s="14">
        <v>40</v>
      </c>
      <c r="F111" s="13">
        <v>45695.8125</v>
      </c>
      <c r="G111" t="s">
        <v>1</v>
      </c>
      <c r="H111" t="s">
        <v>393</v>
      </c>
      <c r="I111" t="str">
        <f>IF(B111=IFERROR(VLOOKUP(B111,base!$L$1:$L$9,1,0),""),"Produtos",IF(B111=IFERROR(VLOOKUP(B111,base!$K$2:$K$8,1,0),""),"Serviços","Combos"))</f>
        <v>Combos</v>
      </c>
      <c r="J111">
        <f t="shared" si="3"/>
        <v>18</v>
      </c>
    </row>
    <row r="112" spans="1:10">
      <c r="A112" t="s">
        <v>252</v>
      </c>
      <c r="B112" t="s">
        <v>163</v>
      </c>
      <c r="C112" t="s">
        <v>618</v>
      </c>
      <c r="D112" s="14">
        <v>35</v>
      </c>
      <c r="E112" s="14">
        <v>35</v>
      </c>
      <c r="F112" s="13">
        <v>45695.8125</v>
      </c>
      <c r="G112" t="s">
        <v>310</v>
      </c>
      <c r="H112" t="s">
        <v>396</v>
      </c>
      <c r="I112" t="str">
        <f>IF(B112=IFERROR(VLOOKUP(B112,base!$L$1:$L$9,1,0),""),"Produtos",IF(B112=IFERROR(VLOOKUP(B112,base!$K$2:$K$8,1,0),""),"Serviços","Combos"))</f>
        <v>Serviços</v>
      </c>
      <c r="J112">
        <f t="shared" si="3"/>
        <v>15.75</v>
      </c>
    </row>
    <row r="113" spans="1:10">
      <c r="A113" t="s">
        <v>536</v>
      </c>
      <c r="B113" t="s">
        <v>161</v>
      </c>
      <c r="C113" t="s">
        <v>619</v>
      </c>
      <c r="D113" s="14">
        <v>25</v>
      </c>
      <c r="E113" s="14">
        <v>25</v>
      </c>
      <c r="F113" s="13">
        <v>45695.822916666664</v>
      </c>
      <c r="G113" t="s">
        <v>1</v>
      </c>
      <c r="H113" t="s">
        <v>271</v>
      </c>
      <c r="I113" t="str">
        <f>IF(B113=IFERROR(VLOOKUP(B113,base!$L$1:$L$9,1,0),""),"Produtos",IF(B113=IFERROR(VLOOKUP(B113,base!$K$2:$K$8,1,0),""),"Serviços","Combos"))</f>
        <v>Serviços</v>
      </c>
      <c r="J113">
        <f t="shared" si="3"/>
        <v>11.25</v>
      </c>
    </row>
    <row r="114" spans="1:10">
      <c r="B114" t="s">
        <v>822</v>
      </c>
      <c r="C114" t="s">
        <v>810</v>
      </c>
      <c r="D114" s="14">
        <v>144.99</v>
      </c>
      <c r="E114" s="14">
        <v>144.99</v>
      </c>
      <c r="F114" s="13">
        <v>45695.834027777775</v>
      </c>
      <c r="G114" t="s">
        <v>1</v>
      </c>
    </row>
    <row r="115" spans="1:10">
      <c r="A115" t="s">
        <v>252</v>
      </c>
      <c r="B115" t="s">
        <v>163</v>
      </c>
      <c r="C115" t="s">
        <v>621</v>
      </c>
      <c r="D115" s="14">
        <v>35</v>
      </c>
      <c r="E115" s="14">
        <v>35</v>
      </c>
      <c r="F115" s="13">
        <v>45695.881944444445</v>
      </c>
      <c r="G115" t="s">
        <v>1</v>
      </c>
      <c r="H115" t="s">
        <v>397</v>
      </c>
      <c r="I115" t="str">
        <f>IF(B115=IFERROR(VLOOKUP(B115,base!$L$1:$L$9,1,0),""),"Produtos",IF(B115=IFERROR(VLOOKUP(B115,base!$K$2:$K$8,1,0),""),"Serviços","Combos"))</f>
        <v>Serviços</v>
      </c>
      <c r="J115">
        <f>IF(AND(I115="Serviços",E115&gt;0),ROUND(D115*45%,2),IF(I115="Produtos",ROUND(D115*40%,2),D115*45%))</f>
        <v>15.75</v>
      </c>
    </row>
    <row r="116" spans="1:10">
      <c r="B116" t="s">
        <v>822</v>
      </c>
      <c r="C116" t="s">
        <v>811</v>
      </c>
      <c r="D116" s="14">
        <v>90</v>
      </c>
      <c r="E116" s="14">
        <v>90</v>
      </c>
      <c r="F116" s="13">
        <v>45695.884722222225</v>
      </c>
      <c r="G116" t="s">
        <v>1</v>
      </c>
    </row>
    <row r="117" spans="1:10">
      <c r="A117" t="s">
        <v>252</v>
      </c>
      <c r="B117" t="s">
        <v>159</v>
      </c>
      <c r="C117" t="s">
        <v>622</v>
      </c>
      <c r="D117" s="14">
        <v>40</v>
      </c>
      <c r="E117" s="14">
        <v>40</v>
      </c>
      <c r="F117" s="13">
        <v>45696.375</v>
      </c>
      <c r="G117" t="s">
        <v>1</v>
      </c>
      <c r="H117" t="s">
        <v>24</v>
      </c>
      <c r="I117" t="str">
        <f>IF(B117=IFERROR(VLOOKUP(B117,base!$L$1:$L$9,1,0),""),"Produtos",IF(B117=IFERROR(VLOOKUP(B117,base!$K$2:$K$8,1,0),""),"Serviços","Combos"))</f>
        <v>Combos</v>
      </c>
      <c r="J117">
        <f t="shared" ref="J117:J159" si="4">IF(AND(I117="Serviços",E117&gt;0),ROUND(D117*45%,2),IF(I117="Produtos",ROUND(D117*40%,2),D117*45%))</f>
        <v>18</v>
      </c>
    </row>
    <row r="118" spans="1:10">
      <c r="A118" t="s">
        <v>519</v>
      </c>
      <c r="B118" t="s">
        <v>163</v>
      </c>
      <c r="C118" t="s">
        <v>659</v>
      </c>
      <c r="D118" s="14">
        <v>30</v>
      </c>
      <c r="E118" s="14">
        <v>0</v>
      </c>
      <c r="F118" s="13">
        <v>45696.375</v>
      </c>
      <c r="G118" t="s">
        <v>1</v>
      </c>
      <c r="H118" t="s">
        <v>414</v>
      </c>
      <c r="I118" t="str">
        <f>IF(B118=IFERROR(VLOOKUP(B118,base!$L$1:$L$9,1,0),""),"Produtos",IF(B118=IFERROR(VLOOKUP(B118,base!$K$2:$K$8,1,0),""),"Serviços","Combos"))</f>
        <v>Serviços</v>
      </c>
      <c r="J118">
        <f t="shared" si="4"/>
        <v>13.5</v>
      </c>
    </row>
    <row r="119" spans="1:10">
      <c r="A119" t="s">
        <v>519</v>
      </c>
      <c r="B119" t="s">
        <v>353</v>
      </c>
      <c r="C119" t="s">
        <v>595</v>
      </c>
      <c r="D119" s="14">
        <v>55</v>
      </c>
      <c r="E119" s="14">
        <v>55</v>
      </c>
      <c r="F119" s="13">
        <v>45696.395833333336</v>
      </c>
      <c r="G119" t="s">
        <v>1</v>
      </c>
      <c r="H119" t="s">
        <v>37</v>
      </c>
      <c r="I119" t="str">
        <f>IF(B119=IFERROR(VLOOKUP(B119,base!$L$1:$L$9,1,0),""),"Produtos",IF(B119=IFERROR(VLOOKUP(B119,base!$K$2:$K$8,1,0),""),"Serviços","Combos"))</f>
        <v>Combos</v>
      </c>
      <c r="J119">
        <f t="shared" si="4"/>
        <v>24.75</v>
      </c>
    </row>
    <row r="120" spans="1:10">
      <c r="A120" t="s">
        <v>536</v>
      </c>
      <c r="B120" t="s">
        <v>163</v>
      </c>
      <c r="C120" t="s">
        <v>631</v>
      </c>
      <c r="D120" s="14">
        <v>35</v>
      </c>
      <c r="E120" s="14">
        <v>35</v>
      </c>
      <c r="F120" s="13">
        <v>45696.40625</v>
      </c>
      <c r="G120" t="s">
        <v>1</v>
      </c>
      <c r="H120" t="s">
        <v>42</v>
      </c>
      <c r="I120" t="str">
        <f>IF(B120=IFERROR(VLOOKUP(B120,base!$L$1:$L$9,1,0),""),"Produtos",IF(B120=IFERROR(VLOOKUP(B120,base!$K$2:$K$8,1,0),""),"Serviços","Combos"))</f>
        <v>Serviços</v>
      </c>
      <c r="J120">
        <f t="shared" si="4"/>
        <v>15.75</v>
      </c>
    </row>
    <row r="121" spans="1:10">
      <c r="A121" t="s">
        <v>519</v>
      </c>
      <c r="B121" t="s">
        <v>163</v>
      </c>
      <c r="C121" t="s">
        <v>628</v>
      </c>
      <c r="D121" s="14">
        <v>35</v>
      </c>
      <c r="E121" s="14">
        <v>35</v>
      </c>
      <c r="F121" s="13">
        <v>45696.416666666664</v>
      </c>
      <c r="G121" t="s">
        <v>310</v>
      </c>
      <c r="H121" t="s">
        <v>115</v>
      </c>
      <c r="I121" t="str">
        <f>IF(B121=IFERROR(VLOOKUP(B121,base!$L$1:$L$9,1,0),""),"Produtos",IF(B121=IFERROR(VLOOKUP(B121,base!$K$2:$K$8,1,0),""),"Serviços","Combos"))</f>
        <v>Serviços</v>
      </c>
      <c r="J121">
        <f t="shared" si="4"/>
        <v>15.75</v>
      </c>
    </row>
    <row r="122" spans="1:10">
      <c r="A122" t="s">
        <v>252</v>
      </c>
      <c r="B122" t="s">
        <v>163</v>
      </c>
      <c r="C122" t="s">
        <v>632</v>
      </c>
      <c r="D122" s="14">
        <v>35</v>
      </c>
      <c r="E122" s="14">
        <v>35</v>
      </c>
      <c r="F122" s="13">
        <v>45696.416666666664</v>
      </c>
      <c r="G122" t="s">
        <v>1</v>
      </c>
      <c r="H122" t="s">
        <v>68</v>
      </c>
      <c r="I122" t="str">
        <f>IF(B122=IFERROR(VLOOKUP(B122,base!$L$1:$L$9,1,0),""),"Produtos",IF(B122=IFERROR(VLOOKUP(B122,base!$K$2:$K$8,1,0),""),"Serviços","Combos"))</f>
        <v>Serviços</v>
      </c>
      <c r="J122">
        <f t="shared" si="4"/>
        <v>15.75</v>
      </c>
    </row>
    <row r="123" spans="1:10">
      <c r="A123" t="s">
        <v>536</v>
      </c>
      <c r="B123" t="s">
        <v>161</v>
      </c>
      <c r="C123" t="s">
        <v>630</v>
      </c>
      <c r="D123" s="14">
        <v>20</v>
      </c>
      <c r="E123" s="14">
        <v>20</v>
      </c>
      <c r="F123" s="13">
        <v>45696.427083333336</v>
      </c>
      <c r="G123" t="s">
        <v>354</v>
      </c>
      <c r="H123" t="s">
        <v>401</v>
      </c>
      <c r="I123" t="str">
        <f>IF(B123=IFERROR(VLOOKUP(B123,base!$L$1:$L$9,1,0),""),"Produtos",IF(B123=IFERROR(VLOOKUP(B123,base!$K$2:$K$8,1,0),""),"Serviços","Combos"))</f>
        <v>Serviços</v>
      </c>
      <c r="J123">
        <f t="shared" si="4"/>
        <v>9</v>
      </c>
    </row>
    <row r="124" spans="1:10">
      <c r="A124" t="s">
        <v>252</v>
      </c>
      <c r="B124" t="s">
        <v>154</v>
      </c>
      <c r="C124" t="s">
        <v>625</v>
      </c>
      <c r="D124" s="14">
        <v>50</v>
      </c>
      <c r="E124" s="14">
        <v>50</v>
      </c>
      <c r="F124" s="13">
        <v>45696.4375</v>
      </c>
      <c r="G124" t="s">
        <v>1</v>
      </c>
      <c r="H124" t="s">
        <v>298</v>
      </c>
      <c r="I124" t="str">
        <f>IF(B124=IFERROR(VLOOKUP(B124,base!$L$1:$L$9,1,0),""),"Produtos",IF(B124=IFERROR(VLOOKUP(B124,base!$K$2:$K$8,1,0),""),"Serviços","Combos"))</f>
        <v>Combos</v>
      </c>
      <c r="J124">
        <f t="shared" si="4"/>
        <v>22.5</v>
      </c>
    </row>
    <row r="125" spans="1:10">
      <c r="A125" t="s">
        <v>519</v>
      </c>
      <c r="B125" t="s">
        <v>163</v>
      </c>
      <c r="C125" t="s">
        <v>626</v>
      </c>
      <c r="D125" s="14">
        <v>35</v>
      </c>
      <c r="E125" s="14">
        <v>35</v>
      </c>
      <c r="F125" s="13">
        <v>45696.458333333336</v>
      </c>
      <c r="G125" t="s">
        <v>1</v>
      </c>
      <c r="H125" t="s">
        <v>293</v>
      </c>
      <c r="I125" t="str">
        <f>IF(B125=IFERROR(VLOOKUP(B125,base!$L$1:$L$9,1,0),""),"Produtos",IF(B125=IFERROR(VLOOKUP(B125,base!$K$2:$K$8,1,0),""),"Serviços","Combos"))</f>
        <v>Serviços</v>
      </c>
      <c r="J125">
        <f t="shared" si="4"/>
        <v>15.75</v>
      </c>
    </row>
    <row r="126" spans="1:10">
      <c r="A126" t="s">
        <v>252</v>
      </c>
      <c r="B126" t="s">
        <v>163</v>
      </c>
      <c r="C126" t="s">
        <v>629</v>
      </c>
      <c r="D126" s="14">
        <v>30</v>
      </c>
      <c r="E126" s="14">
        <v>0</v>
      </c>
      <c r="F126" s="13">
        <v>45696.479166666664</v>
      </c>
      <c r="G126" t="s">
        <v>1</v>
      </c>
      <c r="H126" t="s">
        <v>400</v>
      </c>
      <c r="I126" t="str">
        <f>IF(B126=IFERROR(VLOOKUP(B126,base!$L$1:$L$9,1,0),""),"Produtos",IF(B126=IFERROR(VLOOKUP(B126,base!$K$2:$K$8,1,0),""),"Serviços","Combos"))</f>
        <v>Serviços</v>
      </c>
      <c r="J126">
        <f t="shared" si="4"/>
        <v>13.5</v>
      </c>
    </row>
    <row r="127" spans="1:10">
      <c r="A127" t="s">
        <v>536</v>
      </c>
      <c r="B127" t="s">
        <v>163</v>
      </c>
      <c r="C127" t="s">
        <v>634</v>
      </c>
      <c r="D127" s="14">
        <v>35</v>
      </c>
      <c r="E127" s="14">
        <v>35</v>
      </c>
      <c r="F127" s="13">
        <v>45696.486111111109</v>
      </c>
      <c r="G127" t="s">
        <v>310</v>
      </c>
      <c r="H127" t="s">
        <v>402</v>
      </c>
      <c r="I127" t="str">
        <f>IF(B127=IFERROR(VLOOKUP(B127,base!$L$1:$L$9,1,0),""),"Produtos",IF(B127=IFERROR(VLOOKUP(B127,base!$K$2:$K$8,1,0),""),"Serviços","Combos"))</f>
        <v>Serviços</v>
      </c>
      <c r="J127">
        <f t="shared" si="4"/>
        <v>15.75</v>
      </c>
    </row>
    <row r="128" spans="1:10">
      <c r="A128" t="s">
        <v>252</v>
      </c>
      <c r="B128" t="s">
        <v>163</v>
      </c>
      <c r="C128" t="s">
        <v>577</v>
      </c>
      <c r="D128" s="14">
        <v>35</v>
      </c>
      <c r="E128" s="14">
        <v>80</v>
      </c>
      <c r="F128" s="13">
        <v>45696.520833333336</v>
      </c>
      <c r="G128" t="s">
        <v>1</v>
      </c>
      <c r="H128" t="s">
        <v>107</v>
      </c>
      <c r="I128" t="str">
        <f>IF(B128=IFERROR(VLOOKUP(B128,base!$L$1:$L$9,1,0),""),"Produtos",IF(B128=IFERROR(VLOOKUP(B128,base!$K$2:$K$8,1,0),""),"Serviços","Combos"))</f>
        <v>Serviços</v>
      </c>
      <c r="J128">
        <f t="shared" si="4"/>
        <v>15.75</v>
      </c>
    </row>
    <row r="129" spans="1:10">
      <c r="A129" t="s">
        <v>519</v>
      </c>
      <c r="B129" t="s">
        <v>163</v>
      </c>
      <c r="C129" t="s">
        <v>577</v>
      </c>
      <c r="D129" s="14">
        <v>35</v>
      </c>
      <c r="F129" s="13">
        <v>45696.520833333336</v>
      </c>
      <c r="G129" t="s">
        <v>1</v>
      </c>
      <c r="H129" t="s">
        <v>107</v>
      </c>
      <c r="I129" t="str">
        <f>IF(B129=IFERROR(VLOOKUP(B129,base!$L$1:$L$9,1,0),""),"Produtos",IF(B129=IFERROR(VLOOKUP(B129,base!$K$2:$K$8,1,0),""),"Serviços","Combos"))</f>
        <v>Serviços</v>
      </c>
      <c r="J129">
        <f t="shared" si="4"/>
        <v>15.75</v>
      </c>
    </row>
    <row r="130" spans="1:10">
      <c r="A130" t="s">
        <v>519</v>
      </c>
      <c r="B130" t="s">
        <v>352</v>
      </c>
      <c r="C130" t="s">
        <v>577</v>
      </c>
      <c r="D130" s="14">
        <v>10</v>
      </c>
      <c r="F130" s="13">
        <v>45696.520833333336</v>
      </c>
      <c r="G130" t="s">
        <v>1</v>
      </c>
      <c r="H130" t="s">
        <v>107</v>
      </c>
      <c r="I130" t="str">
        <f>IF(B130=IFERROR(VLOOKUP(B130,base!$L$1:$L$9,1,0),""),"Produtos",IF(B130=IFERROR(VLOOKUP(B130,base!$K$2:$K$8,1,0),""),"Serviços","Combos"))</f>
        <v>Combos</v>
      </c>
      <c r="J130">
        <f t="shared" si="4"/>
        <v>4.5</v>
      </c>
    </row>
    <row r="131" spans="1:10">
      <c r="A131" t="s">
        <v>536</v>
      </c>
      <c r="B131" t="s">
        <v>163</v>
      </c>
      <c r="C131" t="s">
        <v>635</v>
      </c>
      <c r="D131" s="14">
        <v>35</v>
      </c>
      <c r="E131" s="14">
        <v>35</v>
      </c>
      <c r="F131" s="13">
        <v>45696.520833333336</v>
      </c>
      <c r="G131" t="s">
        <v>1</v>
      </c>
      <c r="H131" t="s">
        <v>289</v>
      </c>
      <c r="I131" t="str">
        <f>IF(B131=IFERROR(VLOOKUP(B131,base!$L$1:$L$9,1,0),""),"Produtos",IF(B131=IFERROR(VLOOKUP(B131,base!$K$2:$K$8,1,0),""),"Serviços","Combos"))</f>
        <v>Serviços</v>
      </c>
      <c r="J131">
        <f t="shared" si="4"/>
        <v>15.75</v>
      </c>
    </row>
    <row r="132" spans="1:10">
      <c r="A132" t="s">
        <v>536</v>
      </c>
      <c r="B132" t="s">
        <v>163</v>
      </c>
      <c r="C132" t="s">
        <v>639</v>
      </c>
      <c r="D132" s="14">
        <v>35</v>
      </c>
      <c r="E132" s="14">
        <v>35</v>
      </c>
      <c r="F132" s="13">
        <v>45696.541666666664</v>
      </c>
      <c r="G132" t="s">
        <v>1</v>
      </c>
      <c r="H132" t="s">
        <v>404</v>
      </c>
      <c r="I132" t="str">
        <f>IF(B132=IFERROR(VLOOKUP(B132,base!$L$1:$L$9,1,0),""),"Produtos",IF(B132=IFERROR(VLOOKUP(B132,base!$K$2:$K$8,1,0),""),"Serviços","Combos"))</f>
        <v>Serviços</v>
      </c>
      <c r="J132">
        <f t="shared" si="4"/>
        <v>15.75</v>
      </c>
    </row>
    <row r="133" spans="1:10">
      <c r="A133" t="s">
        <v>519</v>
      </c>
      <c r="B133" t="s">
        <v>353</v>
      </c>
      <c r="C133" t="s">
        <v>636</v>
      </c>
      <c r="D133" s="14">
        <v>50</v>
      </c>
      <c r="E133" s="14">
        <v>50</v>
      </c>
      <c r="F133" s="13">
        <v>45696.552083333336</v>
      </c>
      <c r="G133" t="s">
        <v>1</v>
      </c>
      <c r="H133" t="s">
        <v>278</v>
      </c>
      <c r="I133" t="str">
        <f>IF(B133=IFERROR(VLOOKUP(B133,base!$L$1:$L$9,1,0),""),"Produtos",IF(B133=IFERROR(VLOOKUP(B133,base!$K$2:$K$8,1,0),""),"Serviços","Combos"))</f>
        <v>Combos</v>
      </c>
      <c r="J133">
        <f t="shared" si="4"/>
        <v>22.5</v>
      </c>
    </row>
    <row r="134" spans="1:10">
      <c r="A134" t="s">
        <v>252</v>
      </c>
      <c r="B134" t="s">
        <v>163</v>
      </c>
      <c r="C134" t="s">
        <v>637</v>
      </c>
      <c r="D134" s="14">
        <v>35</v>
      </c>
      <c r="E134" s="14">
        <v>35</v>
      </c>
      <c r="F134" s="13">
        <v>45696.552083333336</v>
      </c>
      <c r="G134" t="s">
        <v>1</v>
      </c>
      <c r="H134" t="s">
        <v>403</v>
      </c>
      <c r="I134" t="str">
        <f>IF(B134=IFERROR(VLOOKUP(B134,base!$L$1:$L$9,1,0),""),"Produtos",IF(B134=IFERROR(VLOOKUP(B134,base!$K$2:$K$8,1,0),""),"Serviços","Combos"))</f>
        <v>Serviços</v>
      </c>
      <c r="J134">
        <f t="shared" si="4"/>
        <v>15.75</v>
      </c>
    </row>
    <row r="135" spans="1:10">
      <c r="A135" t="s">
        <v>519</v>
      </c>
      <c r="B135" t="s">
        <v>163</v>
      </c>
      <c r="C135" t="s">
        <v>638</v>
      </c>
      <c r="D135" s="14">
        <v>35</v>
      </c>
      <c r="E135" s="14">
        <v>35</v>
      </c>
      <c r="F135" s="13">
        <v>45696.572916666664</v>
      </c>
      <c r="G135" t="s">
        <v>1</v>
      </c>
      <c r="H135" t="s">
        <v>38</v>
      </c>
      <c r="I135" t="str">
        <f>IF(B135=IFERROR(VLOOKUP(B135,base!$L$1:$L$9,1,0),""),"Produtos",IF(B135=IFERROR(VLOOKUP(B135,base!$K$2:$K$8,1,0),""),"Serviços","Combos"))</f>
        <v>Serviços</v>
      </c>
      <c r="J135">
        <f t="shared" si="4"/>
        <v>15.75</v>
      </c>
    </row>
    <row r="136" spans="1:10">
      <c r="A136" t="s">
        <v>519</v>
      </c>
      <c r="B136" t="s">
        <v>163</v>
      </c>
      <c r="C136" t="s">
        <v>642</v>
      </c>
      <c r="D136" s="14">
        <v>30</v>
      </c>
      <c r="E136" s="14">
        <v>30</v>
      </c>
      <c r="F136" s="13">
        <v>45696.600694444445</v>
      </c>
      <c r="G136" t="s">
        <v>1</v>
      </c>
      <c r="H136" t="s">
        <v>405</v>
      </c>
      <c r="I136" t="str">
        <f>IF(B136=IFERROR(VLOOKUP(B136,base!$L$1:$L$9,1,0),""),"Produtos",IF(B136=IFERROR(VLOOKUP(B136,base!$K$2:$K$8,1,0),""),"Serviços","Combos"))</f>
        <v>Serviços</v>
      </c>
      <c r="J136">
        <f t="shared" si="4"/>
        <v>13.5</v>
      </c>
    </row>
    <row r="137" spans="1:10">
      <c r="A137" t="s">
        <v>252</v>
      </c>
      <c r="B137" t="s">
        <v>161</v>
      </c>
      <c r="C137" t="s">
        <v>623</v>
      </c>
      <c r="D137" s="14">
        <v>20</v>
      </c>
      <c r="E137" s="14">
        <v>25</v>
      </c>
      <c r="F137" s="13">
        <v>45696.614583333336</v>
      </c>
      <c r="G137" t="s">
        <v>1</v>
      </c>
      <c r="H137" t="s">
        <v>398</v>
      </c>
      <c r="I137" t="str">
        <f>IF(B137=IFERROR(VLOOKUP(B137,base!$L$1:$L$9,1,0),""),"Produtos",IF(B137=IFERROR(VLOOKUP(B137,base!$K$2:$K$8,1,0),""),"Serviços","Combos"))</f>
        <v>Serviços</v>
      </c>
      <c r="J137">
        <f t="shared" si="4"/>
        <v>9</v>
      </c>
    </row>
    <row r="138" spans="1:10">
      <c r="A138" t="s">
        <v>519</v>
      </c>
      <c r="B138" t="s">
        <v>163</v>
      </c>
      <c r="C138" t="s">
        <v>641</v>
      </c>
      <c r="D138" s="14">
        <v>35</v>
      </c>
      <c r="E138" s="14">
        <v>35</v>
      </c>
      <c r="F138" s="13">
        <v>45696.625</v>
      </c>
      <c r="G138" t="s">
        <v>1</v>
      </c>
      <c r="H138" t="s">
        <v>282</v>
      </c>
      <c r="I138" t="str">
        <f>IF(B138=IFERROR(VLOOKUP(B138,base!$L$1:$L$9,1,0),""),"Produtos",IF(B138=IFERROR(VLOOKUP(B138,base!$K$2:$K$8,1,0),""),"Serviços","Combos"))</f>
        <v>Serviços</v>
      </c>
      <c r="J138">
        <f t="shared" si="4"/>
        <v>15.75</v>
      </c>
    </row>
    <row r="139" spans="1:10">
      <c r="A139" t="s">
        <v>536</v>
      </c>
      <c r="B139" t="s">
        <v>159</v>
      </c>
      <c r="C139" t="s">
        <v>645</v>
      </c>
      <c r="D139" s="14">
        <v>40</v>
      </c>
      <c r="E139" s="14">
        <v>40</v>
      </c>
      <c r="F139" s="13">
        <v>45696.625</v>
      </c>
      <c r="G139" t="s">
        <v>1</v>
      </c>
      <c r="H139" t="s">
        <v>407</v>
      </c>
      <c r="I139" t="str">
        <f>IF(B139=IFERROR(VLOOKUP(B139,base!$L$1:$L$9,1,0),""),"Produtos",IF(B139=IFERROR(VLOOKUP(B139,base!$K$2:$K$8,1,0),""),"Serviços","Combos"))</f>
        <v>Combos</v>
      </c>
      <c r="J139">
        <f t="shared" si="4"/>
        <v>18</v>
      </c>
    </row>
    <row r="140" spans="1:10">
      <c r="A140" t="s">
        <v>519</v>
      </c>
      <c r="B140" t="s">
        <v>163</v>
      </c>
      <c r="C140" t="s">
        <v>646</v>
      </c>
      <c r="D140" s="14">
        <v>35</v>
      </c>
      <c r="E140" s="14">
        <v>35</v>
      </c>
      <c r="F140" s="13">
        <v>45696.638888888891</v>
      </c>
      <c r="G140" t="s">
        <v>310</v>
      </c>
      <c r="H140" t="s">
        <v>408</v>
      </c>
      <c r="I140" t="str">
        <f>IF(B140=IFERROR(VLOOKUP(B140,base!$L$1:$L$9,1,0),""),"Produtos",IF(B140=IFERROR(VLOOKUP(B140,base!$K$2:$K$8,1,0),""),"Serviços","Combos"))</f>
        <v>Serviços</v>
      </c>
      <c r="J140">
        <f t="shared" si="4"/>
        <v>15.75</v>
      </c>
    </row>
    <row r="141" spans="1:10">
      <c r="A141" t="s">
        <v>252</v>
      </c>
      <c r="B141" t="s">
        <v>163</v>
      </c>
      <c r="C141" t="s">
        <v>644</v>
      </c>
      <c r="D141" s="14">
        <v>35</v>
      </c>
      <c r="E141" s="14">
        <v>35</v>
      </c>
      <c r="F141" s="13">
        <v>45696.666666666664</v>
      </c>
      <c r="G141" t="s">
        <v>354</v>
      </c>
      <c r="H141" t="s">
        <v>406</v>
      </c>
      <c r="I141" t="str">
        <f>IF(B141=IFERROR(VLOOKUP(B141,base!$L$1:$L$9,1,0),""),"Produtos",IF(B141=IFERROR(VLOOKUP(B141,base!$K$2:$K$8,1,0),""),"Serviços","Combos"))</f>
        <v>Serviços</v>
      </c>
      <c r="J141">
        <f t="shared" si="4"/>
        <v>15.75</v>
      </c>
    </row>
    <row r="142" spans="1:10">
      <c r="A142" t="s">
        <v>536</v>
      </c>
      <c r="B142" t="s">
        <v>163</v>
      </c>
      <c r="C142" t="s">
        <v>647</v>
      </c>
      <c r="D142" s="14">
        <v>35</v>
      </c>
      <c r="E142" s="14">
        <v>35</v>
      </c>
      <c r="F142" s="13">
        <v>45696.666666666664</v>
      </c>
      <c r="G142" t="s">
        <v>1</v>
      </c>
      <c r="H142" t="s">
        <v>291</v>
      </c>
      <c r="I142" t="str">
        <f>IF(B142=IFERROR(VLOOKUP(B142,base!$L$1:$L$9,1,0),""),"Produtos",IF(B142=IFERROR(VLOOKUP(B142,base!$K$2:$K$8,1,0),""),"Serviços","Combos"))</f>
        <v>Serviços</v>
      </c>
      <c r="J142">
        <f t="shared" si="4"/>
        <v>15.75</v>
      </c>
    </row>
    <row r="143" spans="1:10">
      <c r="A143" t="s">
        <v>519</v>
      </c>
      <c r="B143" t="s">
        <v>163</v>
      </c>
      <c r="C143" t="s">
        <v>643</v>
      </c>
      <c r="D143" s="14">
        <v>35</v>
      </c>
      <c r="E143" s="14">
        <v>70</v>
      </c>
      <c r="F143" s="13">
        <v>45696.6875</v>
      </c>
      <c r="G143" t="s">
        <v>354</v>
      </c>
      <c r="H143" t="s">
        <v>112</v>
      </c>
      <c r="I143" t="str">
        <f>IF(B143=IFERROR(VLOOKUP(B143,base!$L$1:$L$9,1,0),""),"Produtos",IF(B143=IFERROR(VLOOKUP(B143,base!$K$2:$K$8,1,0),""),"Serviços","Combos"))</f>
        <v>Serviços</v>
      </c>
      <c r="J143">
        <f t="shared" si="4"/>
        <v>15.75</v>
      </c>
    </row>
    <row r="144" spans="1:10">
      <c r="A144" t="s">
        <v>536</v>
      </c>
      <c r="B144" t="s">
        <v>163</v>
      </c>
      <c r="C144" t="s">
        <v>643</v>
      </c>
      <c r="D144" s="14">
        <v>35</v>
      </c>
      <c r="F144" s="13">
        <v>45696.6875</v>
      </c>
      <c r="G144" t="s">
        <v>354</v>
      </c>
      <c r="H144" t="s">
        <v>112</v>
      </c>
      <c r="I144" t="str">
        <f>IF(B144=IFERROR(VLOOKUP(B144,base!$L$1:$L$9,1,0),""),"Produtos",IF(B144=IFERROR(VLOOKUP(B144,base!$K$2:$K$8,1,0),""),"Serviços","Combos"))</f>
        <v>Serviços</v>
      </c>
      <c r="J144">
        <f t="shared" si="4"/>
        <v>15.75</v>
      </c>
    </row>
    <row r="145" spans="1:10">
      <c r="A145" t="s">
        <v>252</v>
      </c>
      <c r="B145" t="s">
        <v>159</v>
      </c>
      <c r="C145" t="s">
        <v>649</v>
      </c>
      <c r="D145" s="14">
        <v>40</v>
      </c>
      <c r="E145" s="14">
        <v>40</v>
      </c>
      <c r="F145" s="13">
        <v>45696.708333333336</v>
      </c>
      <c r="G145" t="s">
        <v>1</v>
      </c>
      <c r="H145" t="s">
        <v>31</v>
      </c>
      <c r="I145" t="str">
        <f>IF(B145=IFERROR(VLOOKUP(B145,base!$L$1:$L$9,1,0),""),"Produtos",IF(B145=IFERROR(VLOOKUP(B145,base!$K$2:$K$8,1,0),""),"Serviços","Combos"))</f>
        <v>Combos</v>
      </c>
      <c r="J145">
        <f t="shared" si="4"/>
        <v>18</v>
      </c>
    </row>
    <row r="146" spans="1:10">
      <c r="A146" t="s">
        <v>519</v>
      </c>
      <c r="B146" t="s">
        <v>161</v>
      </c>
      <c r="C146" t="s">
        <v>650</v>
      </c>
      <c r="D146" s="14">
        <v>30</v>
      </c>
      <c r="E146" s="14">
        <v>30</v>
      </c>
      <c r="F146" s="13">
        <v>45696.725694444445</v>
      </c>
      <c r="G146" t="s">
        <v>1</v>
      </c>
      <c r="H146" t="s">
        <v>26</v>
      </c>
      <c r="I146" t="str">
        <f>IF(B146=IFERROR(VLOOKUP(B146,base!$L$1:$L$9,1,0),""),"Produtos",IF(B146=IFERROR(VLOOKUP(B146,base!$K$2:$K$8,1,0),""),"Serviços","Combos"))</f>
        <v>Serviços</v>
      </c>
      <c r="J146">
        <f t="shared" si="4"/>
        <v>13.5</v>
      </c>
    </row>
    <row r="147" spans="1:10">
      <c r="A147" t="s">
        <v>519</v>
      </c>
      <c r="B147" t="s">
        <v>353</v>
      </c>
      <c r="C147" t="s">
        <v>640</v>
      </c>
      <c r="D147" s="14">
        <v>48.33</v>
      </c>
      <c r="E147" s="14">
        <v>0</v>
      </c>
      <c r="F147" s="13">
        <v>45696.729166666664</v>
      </c>
      <c r="G147" t="s">
        <v>1</v>
      </c>
      <c r="H147" t="s">
        <v>182</v>
      </c>
      <c r="I147" t="str">
        <f>IF(B147=IFERROR(VLOOKUP(B147,base!$L$1:$L$9,1,0),""),"Produtos",IF(B147=IFERROR(VLOOKUP(B147,base!$K$2:$K$8,1,0),""),"Serviços","Combos"))</f>
        <v>Combos</v>
      </c>
      <c r="J147">
        <f t="shared" si="4"/>
        <v>21.7485</v>
      </c>
    </row>
    <row r="148" spans="1:10">
      <c r="A148" t="s">
        <v>252</v>
      </c>
      <c r="B148" t="s">
        <v>163</v>
      </c>
      <c r="C148" t="s">
        <v>648</v>
      </c>
      <c r="D148" s="14">
        <v>35</v>
      </c>
      <c r="E148" s="14">
        <v>35</v>
      </c>
      <c r="F148" s="13">
        <v>45696.729166666664</v>
      </c>
      <c r="G148" t="s">
        <v>1</v>
      </c>
      <c r="H148" t="s">
        <v>296</v>
      </c>
      <c r="I148" t="str">
        <f>IF(B148=IFERROR(VLOOKUP(B148,base!$L$1:$L$9,1,0),""),"Produtos",IF(B148=IFERROR(VLOOKUP(B148,base!$K$2:$K$8,1,0),""),"Serviços","Combos"))</f>
        <v>Serviços</v>
      </c>
      <c r="J148">
        <f t="shared" si="4"/>
        <v>15.75</v>
      </c>
    </row>
    <row r="149" spans="1:10">
      <c r="A149" t="s">
        <v>536</v>
      </c>
      <c r="B149" t="s">
        <v>161</v>
      </c>
      <c r="C149" t="s">
        <v>652</v>
      </c>
      <c r="D149" s="14">
        <v>20</v>
      </c>
      <c r="E149" s="14">
        <v>20</v>
      </c>
      <c r="F149" s="13">
        <v>45696.739583333336</v>
      </c>
      <c r="G149" t="s">
        <v>2</v>
      </c>
      <c r="H149" t="s">
        <v>409</v>
      </c>
      <c r="I149" t="str">
        <f>IF(B149=IFERROR(VLOOKUP(B149,base!$L$1:$L$9,1,0),""),"Produtos",IF(B149=IFERROR(VLOOKUP(B149,base!$K$2:$K$8,1,0),""),"Serviços","Combos"))</f>
        <v>Serviços</v>
      </c>
      <c r="J149">
        <f t="shared" si="4"/>
        <v>9</v>
      </c>
    </row>
    <row r="150" spans="1:10">
      <c r="A150" t="s">
        <v>519</v>
      </c>
      <c r="B150" t="s">
        <v>163</v>
      </c>
      <c r="C150" t="s">
        <v>627</v>
      </c>
      <c r="D150" s="14">
        <v>35</v>
      </c>
      <c r="E150" s="14">
        <v>70</v>
      </c>
      <c r="F150" s="13">
        <v>45696.75</v>
      </c>
      <c r="G150" t="s">
        <v>310</v>
      </c>
      <c r="H150" t="s">
        <v>399</v>
      </c>
      <c r="I150" t="str">
        <f>IF(B150=IFERROR(VLOOKUP(B150,base!$L$1:$L$9,1,0),""),"Produtos",IF(B150=IFERROR(VLOOKUP(B150,base!$K$2:$K$8,1,0),""),"Serviços","Combos"))</f>
        <v>Serviços</v>
      </c>
      <c r="J150">
        <f t="shared" si="4"/>
        <v>15.75</v>
      </c>
    </row>
    <row r="151" spans="1:10">
      <c r="A151" t="s">
        <v>519</v>
      </c>
      <c r="B151" t="s">
        <v>163</v>
      </c>
      <c r="C151" t="s">
        <v>627</v>
      </c>
      <c r="D151" s="14">
        <v>35</v>
      </c>
      <c r="F151" s="13">
        <v>45696.75</v>
      </c>
      <c r="G151" t="s">
        <v>310</v>
      </c>
      <c r="H151" t="s">
        <v>399</v>
      </c>
      <c r="I151" t="str">
        <f>IF(B151=IFERROR(VLOOKUP(B151,base!$L$1:$L$9,1,0),""),"Produtos",IF(B151=IFERROR(VLOOKUP(B151,base!$K$2:$K$8,1,0),""),"Serviços","Combos"))</f>
        <v>Serviços</v>
      </c>
      <c r="J151">
        <f t="shared" si="4"/>
        <v>15.75</v>
      </c>
    </row>
    <row r="152" spans="1:10">
      <c r="A152" t="s">
        <v>252</v>
      </c>
      <c r="B152" t="s">
        <v>159</v>
      </c>
      <c r="C152" t="s">
        <v>653</v>
      </c>
      <c r="D152" s="14">
        <v>40</v>
      </c>
      <c r="E152" s="14">
        <v>40</v>
      </c>
      <c r="F152" s="13">
        <v>45696.760416666664</v>
      </c>
      <c r="G152" t="s">
        <v>354</v>
      </c>
      <c r="H152" t="s">
        <v>44</v>
      </c>
      <c r="I152" t="str">
        <f>IF(B152=IFERROR(VLOOKUP(B152,base!$L$1:$L$9,1,0),""),"Produtos",IF(B152=IFERROR(VLOOKUP(B152,base!$K$2:$K$8,1,0),""),"Serviços","Combos"))</f>
        <v>Combos</v>
      </c>
      <c r="J152">
        <f t="shared" si="4"/>
        <v>18</v>
      </c>
    </row>
    <row r="153" spans="1:10">
      <c r="A153" t="s">
        <v>519</v>
      </c>
      <c r="B153" t="s">
        <v>163</v>
      </c>
      <c r="C153" t="s">
        <v>651</v>
      </c>
      <c r="D153" s="14">
        <v>35</v>
      </c>
      <c r="E153" s="14">
        <v>35</v>
      </c>
      <c r="F153" s="13">
        <v>45696.791666666664</v>
      </c>
      <c r="G153" t="s">
        <v>1</v>
      </c>
      <c r="H153" t="s">
        <v>53</v>
      </c>
      <c r="I153" t="str">
        <f>IF(B153=IFERROR(VLOOKUP(B153,base!$L$1:$L$9,1,0),""),"Produtos",IF(B153=IFERROR(VLOOKUP(B153,base!$K$2:$K$8,1,0),""),"Serviços","Combos"))</f>
        <v>Serviços</v>
      </c>
      <c r="J153">
        <f t="shared" si="4"/>
        <v>15.75</v>
      </c>
    </row>
    <row r="154" spans="1:10">
      <c r="A154" t="s">
        <v>252</v>
      </c>
      <c r="B154" t="s">
        <v>161</v>
      </c>
      <c r="C154" t="s">
        <v>655</v>
      </c>
      <c r="D154" s="14">
        <v>20</v>
      </c>
      <c r="E154" s="14">
        <v>30</v>
      </c>
      <c r="F154" s="13">
        <v>45696.791666666664</v>
      </c>
      <c r="G154" t="s">
        <v>2</v>
      </c>
      <c r="H154" t="s">
        <v>410</v>
      </c>
      <c r="I154" t="str">
        <f>IF(B154=IFERROR(VLOOKUP(B154,base!$L$1:$L$9,1,0),""),"Produtos",IF(B154=IFERROR(VLOOKUP(B154,base!$K$2:$K$8,1,0),""),"Serviços","Combos"))</f>
        <v>Serviços</v>
      </c>
      <c r="J154">
        <f t="shared" si="4"/>
        <v>9</v>
      </c>
    </row>
    <row r="155" spans="1:10">
      <c r="A155" t="s">
        <v>519</v>
      </c>
      <c r="B155" t="s">
        <v>353</v>
      </c>
      <c r="C155" t="s">
        <v>633</v>
      </c>
      <c r="D155" s="14">
        <v>40</v>
      </c>
      <c r="E155" s="14">
        <v>40</v>
      </c>
      <c r="F155" s="13">
        <v>45696.8125</v>
      </c>
      <c r="G155" t="s">
        <v>310</v>
      </c>
      <c r="H155" t="s">
        <v>297</v>
      </c>
      <c r="I155" t="str">
        <f>IF(B155=IFERROR(VLOOKUP(B155,base!$L$1:$L$9,1,0),""),"Produtos",IF(B155=IFERROR(VLOOKUP(B155,base!$K$2:$K$8,1,0),""),"Serviços","Combos"))</f>
        <v>Combos</v>
      </c>
      <c r="J155">
        <f t="shared" si="4"/>
        <v>18</v>
      </c>
    </row>
    <row r="156" spans="1:10">
      <c r="A156" t="s">
        <v>536</v>
      </c>
      <c r="B156" t="s">
        <v>161</v>
      </c>
      <c r="C156" t="s">
        <v>654</v>
      </c>
      <c r="D156" s="14">
        <v>20</v>
      </c>
      <c r="E156" s="14">
        <v>25</v>
      </c>
      <c r="F156" s="13">
        <v>45696.8125</v>
      </c>
      <c r="G156" t="s">
        <v>1</v>
      </c>
      <c r="H156" t="s">
        <v>290</v>
      </c>
      <c r="I156" t="str">
        <f>IF(B156=IFERROR(VLOOKUP(B156,base!$L$1:$L$9,1,0),""),"Produtos",IF(B156=IFERROR(VLOOKUP(B156,base!$K$2:$K$8,1,0),""),"Serviços","Combos"))</f>
        <v>Serviços</v>
      </c>
      <c r="J156">
        <f t="shared" si="4"/>
        <v>9</v>
      </c>
    </row>
    <row r="157" spans="1:10">
      <c r="A157" t="s">
        <v>536</v>
      </c>
      <c r="B157" t="s">
        <v>353</v>
      </c>
      <c r="C157" t="s">
        <v>656</v>
      </c>
      <c r="D157" s="14">
        <v>55</v>
      </c>
      <c r="E157" s="14">
        <v>55</v>
      </c>
      <c r="F157" s="13">
        <v>45696.875</v>
      </c>
      <c r="G157" t="s">
        <v>1</v>
      </c>
      <c r="H157" t="s">
        <v>411</v>
      </c>
      <c r="I157" t="str">
        <f>IF(B157=IFERROR(VLOOKUP(B157,base!$L$1:$L$9,1,0),""),"Produtos",IF(B157=IFERROR(VLOOKUP(B157,base!$K$2:$K$8,1,0),""),"Serviços","Combos"))</f>
        <v>Combos</v>
      </c>
      <c r="J157">
        <f t="shared" si="4"/>
        <v>24.75</v>
      </c>
    </row>
    <row r="158" spans="1:10">
      <c r="A158" t="s">
        <v>536</v>
      </c>
      <c r="B158" t="s">
        <v>161</v>
      </c>
      <c r="C158" t="s">
        <v>657</v>
      </c>
      <c r="D158" s="14">
        <v>20</v>
      </c>
      <c r="E158" s="14">
        <v>20</v>
      </c>
      <c r="F158" s="13">
        <v>45696.913194444445</v>
      </c>
      <c r="G158" t="s">
        <v>1</v>
      </c>
      <c r="H158" t="s">
        <v>412</v>
      </c>
      <c r="I158" t="str">
        <f>IF(B158=IFERROR(VLOOKUP(B158,base!$L$1:$L$9,1,0),""),"Produtos",IF(B158=IFERROR(VLOOKUP(B158,base!$K$2:$K$8,1,0),""),"Serviços","Combos"))</f>
        <v>Serviços</v>
      </c>
      <c r="J158">
        <f t="shared" si="4"/>
        <v>9</v>
      </c>
    </row>
    <row r="159" spans="1:10">
      <c r="A159" t="s">
        <v>252</v>
      </c>
      <c r="B159" t="s">
        <v>353</v>
      </c>
      <c r="C159" t="s">
        <v>658</v>
      </c>
      <c r="D159" s="14">
        <v>55</v>
      </c>
      <c r="E159" s="14">
        <v>55</v>
      </c>
      <c r="F159" s="13">
        <v>45696.913194444445</v>
      </c>
      <c r="G159" t="s">
        <v>354</v>
      </c>
      <c r="H159" t="s">
        <v>413</v>
      </c>
      <c r="I159" t="str">
        <f>IF(B159=IFERROR(VLOOKUP(B159,base!$L$1:$L$9,1,0),""),"Produtos",IF(B159=IFERROR(VLOOKUP(B159,base!$K$2:$K$8,1,0),""),"Serviços","Combos"))</f>
        <v>Combos</v>
      </c>
      <c r="J159">
        <f t="shared" si="4"/>
        <v>24.75</v>
      </c>
    </row>
    <row r="160" spans="1:10">
      <c r="B160" t="s">
        <v>822</v>
      </c>
      <c r="C160" t="s">
        <v>812</v>
      </c>
      <c r="D160" s="14">
        <v>120</v>
      </c>
      <c r="E160" s="14">
        <v>120</v>
      </c>
      <c r="F160" s="13">
        <v>45696.93472222222</v>
      </c>
      <c r="G160" t="s">
        <v>1</v>
      </c>
    </row>
    <row r="161" spans="1:10">
      <c r="B161" t="s">
        <v>822</v>
      </c>
      <c r="C161" t="s">
        <v>813</v>
      </c>
      <c r="D161" s="14">
        <v>90</v>
      </c>
      <c r="E161" s="14">
        <v>90</v>
      </c>
      <c r="F161" s="13">
        <v>45696.935416666667</v>
      </c>
      <c r="G161" t="s">
        <v>310</v>
      </c>
    </row>
    <row r="162" spans="1:10">
      <c r="B162" t="s">
        <v>822</v>
      </c>
      <c r="C162" t="s">
        <v>814</v>
      </c>
      <c r="D162" s="14">
        <v>144.99</v>
      </c>
      <c r="E162" s="14">
        <v>144.99</v>
      </c>
      <c r="F162" s="13">
        <v>45696.935416666667</v>
      </c>
      <c r="G162" t="s">
        <v>1</v>
      </c>
    </row>
    <row r="163" spans="1:10">
      <c r="A163" t="s">
        <v>519</v>
      </c>
      <c r="B163" t="s">
        <v>306</v>
      </c>
      <c r="C163" t="s">
        <v>660</v>
      </c>
      <c r="D163" s="14">
        <v>50</v>
      </c>
      <c r="E163" s="14">
        <v>50</v>
      </c>
      <c r="F163" s="13">
        <v>45696.944444444445</v>
      </c>
      <c r="G163" t="s">
        <v>1</v>
      </c>
      <c r="H163" t="s">
        <v>281</v>
      </c>
      <c r="I163" t="str">
        <f>IF(B163=IFERROR(VLOOKUP(B163,base!$L$1:$L$9,1,0),""),"Produtos",IF(B163=IFERROR(VLOOKUP(B163,base!$K$2:$K$8,1,0),""),"Serviços","Combos"))</f>
        <v>Combos</v>
      </c>
      <c r="J163">
        <f t="shared" ref="J163:J194" si="5">IF(AND(I163="Serviços",E163&gt;0),ROUND(D163*45%,2),IF(I163="Produtos",ROUND(D163*40%,2),D163*45%))</f>
        <v>22.5</v>
      </c>
    </row>
    <row r="164" spans="1:10">
      <c r="A164" t="s">
        <v>252</v>
      </c>
      <c r="B164" t="s">
        <v>163</v>
      </c>
      <c r="C164" t="s">
        <v>661</v>
      </c>
      <c r="D164" s="14">
        <v>35</v>
      </c>
      <c r="E164" s="14">
        <v>35</v>
      </c>
      <c r="F164" s="13">
        <v>45698.375</v>
      </c>
      <c r="G164" t="s">
        <v>1</v>
      </c>
      <c r="H164" t="s">
        <v>277</v>
      </c>
      <c r="I164" t="str">
        <f>IF(B164=IFERROR(VLOOKUP(B164,base!$L$1:$L$9,1,0),""),"Produtos",IF(B164=IFERROR(VLOOKUP(B164,base!$K$2:$K$8,1,0),""),"Serviços","Combos"))</f>
        <v>Serviços</v>
      </c>
      <c r="J164">
        <f t="shared" si="5"/>
        <v>15.75</v>
      </c>
    </row>
    <row r="165" spans="1:10">
      <c r="A165" t="s">
        <v>519</v>
      </c>
      <c r="B165" t="s">
        <v>161</v>
      </c>
      <c r="C165" t="s">
        <v>665</v>
      </c>
      <c r="D165" s="14">
        <v>20</v>
      </c>
      <c r="E165" s="14">
        <v>35</v>
      </c>
      <c r="F165" s="13">
        <v>45698.416666666664</v>
      </c>
      <c r="G165" t="s">
        <v>310</v>
      </c>
      <c r="H165" t="s">
        <v>416</v>
      </c>
      <c r="I165" t="str">
        <f>IF(B165=IFERROR(VLOOKUP(B165,base!$L$1:$L$9,1,0),""),"Produtos",IF(B165=IFERROR(VLOOKUP(B165,base!$K$2:$K$8,1,0),""),"Serviços","Combos"))</f>
        <v>Serviços</v>
      </c>
      <c r="J165">
        <f t="shared" si="5"/>
        <v>9</v>
      </c>
    </row>
    <row r="166" spans="1:10">
      <c r="A166" t="s">
        <v>519</v>
      </c>
      <c r="B166" t="s">
        <v>352</v>
      </c>
      <c r="C166" t="s">
        <v>665</v>
      </c>
      <c r="D166" s="14">
        <v>15</v>
      </c>
      <c r="F166" s="13">
        <v>45698.416666666664</v>
      </c>
      <c r="G166" t="s">
        <v>310</v>
      </c>
      <c r="H166" t="s">
        <v>416</v>
      </c>
      <c r="I166" t="str">
        <f>IF(B166=IFERROR(VLOOKUP(B166,base!$L$1:$L$9,1,0),""),"Produtos",IF(B166=IFERROR(VLOOKUP(B166,base!$K$2:$K$8,1,0),""),"Serviços","Combos"))</f>
        <v>Combos</v>
      </c>
      <c r="J166">
        <f t="shared" si="5"/>
        <v>6.75</v>
      </c>
    </row>
    <row r="167" spans="1:10">
      <c r="A167" t="s">
        <v>252</v>
      </c>
      <c r="B167" t="s">
        <v>163</v>
      </c>
      <c r="C167" t="s">
        <v>666</v>
      </c>
      <c r="D167" s="14">
        <v>35</v>
      </c>
      <c r="E167" s="14">
        <v>35</v>
      </c>
      <c r="F167" s="13">
        <v>45698.416666666664</v>
      </c>
      <c r="G167" t="s">
        <v>2</v>
      </c>
      <c r="H167" t="s">
        <v>417</v>
      </c>
      <c r="I167" t="str">
        <f>IF(B167=IFERROR(VLOOKUP(B167,base!$L$1:$L$9,1,0),""),"Produtos",IF(B167=IFERROR(VLOOKUP(B167,base!$K$2:$K$8,1,0),""),"Serviços","Combos"))</f>
        <v>Serviços</v>
      </c>
      <c r="J167">
        <f t="shared" si="5"/>
        <v>15.75</v>
      </c>
    </row>
    <row r="168" spans="1:10">
      <c r="A168" t="s">
        <v>252</v>
      </c>
      <c r="B168" t="s">
        <v>157</v>
      </c>
      <c r="C168" t="s">
        <v>676</v>
      </c>
      <c r="D168" s="14">
        <v>50</v>
      </c>
      <c r="E168" s="14">
        <v>50</v>
      </c>
      <c r="F168" s="13">
        <v>45698.416666666664</v>
      </c>
      <c r="G168" t="s">
        <v>2</v>
      </c>
      <c r="H168" t="s">
        <v>207</v>
      </c>
      <c r="I168" t="str">
        <f>IF(B168=IFERROR(VLOOKUP(B168,base!$L$1:$L$9,1,0),""),"Produtos",IF(B168=IFERROR(VLOOKUP(B168,base!$K$2:$K$8,1,0),""),"Serviços","Combos"))</f>
        <v>Combos</v>
      </c>
      <c r="J168">
        <f t="shared" si="5"/>
        <v>22.5</v>
      </c>
    </row>
    <row r="169" spans="1:10">
      <c r="A169" t="s">
        <v>519</v>
      </c>
      <c r="B169" t="s">
        <v>163</v>
      </c>
      <c r="C169" t="s">
        <v>664</v>
      </c>
      <c r="D169" s="14">
        <v>35</v>
      </c>
      <c r="E169" s="14">
        <v>35</v>
      </c>
      <c r="F169" s="13">
        <v>45698.4375</v>
      </c>
      <c r="G169" t="s">
        <v>310</v>
      </c>
      <c r="H169" t="s">
        <v>415</v>
      </c>
      <c r="I169" t="str">
        <f>IF(B169=IFERROR(VLOOKUP(B169,base!$L$1:$L$9,1,0),""),"Produtos",IF(B169=IFERROR(VLOOKUP(B169,base!$K$2:$K$8,1,0),""),"Serviços","Combos"))</f>
        <v>Serviços</v>
      </c>
      <c r="J169">
        <f t="shared" si="5"/>
        <v>15.75</v>
      </c>
    </row>
    <row r="170" spans="1:10">
      <c r="A170" t="s">
        <v>519</v>
      </c>
      <c r="B170" t="s">
        <v>353</v>
      </c>
      <c r="C170" t="s">
        <v>667</v>
      </c>
      <c r="D170" s="14">
        <v>55</v>
      </c>
      <c r="E170" s="14">
        <v>65</v>
      </c>
      <c r="F170" s="13">
        <v>45698.5625</v>
      </c>
      <c r="G170" t="s">
        <v>1</v>
      </c>
      <c r="H170" t="s">
        <v>418</v>
      </c>
      <c r="I170" t="str">
        <f>IF(B170=IFERROR(VLOOKUP(B170,base!$L$1:$L$9,1,0),""),"Produtos",IF(B170=IFERROR(VLOOKUP(B170,base!$K$2:$K$8,1,0),""),"Serviços","Combos"))</f>
        <v>Combos</v>
      </c>
      <c r="J170">
        <f t="shared" si="5"/>
        <v>24.75</v>
      </c>
    </row>
    <row r="171" spans="1:10">
      <c r="A171" t="s">
        <v>519</v>
      </c>
      <c r="B171" t="s">
        <v>352</v>
      </c>
      <c r="C171" t="s">
        <v>667</v>
      </c>
      <c r="D171" s="14">
        <v>10</v>
      </c>
      <c r="F171" s="13">
        <v>45698.5625</v>
      </c>
      <c r="G171" t="s">
        <v>1</v>
      </c>
      <c r="H171" t="s">
        <v>418</v>
      </c>
      <c r="I171" t="str">
        <f>IF(B171=IFERROR(VLOOKUP(B171,base!$L$1:$L$9,1,0),""),"Produtos",IF(B171=IFERROR(VLOOKUP(B171,base!$K$2:$K$8,1,0),""),"Serviços","Combos"))</f>
        <v>Combos</v>
      </c>
      <c r="J171">
        <f t="shared" si="5"/>
        <v>4.5</v>
      </c>
    </row>
    <row r="172" spans="1:10">
      <c r="A172" t="s">
        <v>519</v>
      </c>
      <c r="B172" t="s">
        <v>353</v>
      </c>
      <c r="C172" t="s">
        <v>669</v>
      </c>
      <c r="D172" s="14">
        <v>55</v>
      </c>
      <c r="E172" s="14">
        <v>55</v>
      </c>
      <c r="F172" s="13">
        <v>45698.59375</v>
      </c>
      <c r="G172" t="s">
        <v>1</v>
      </c>
      <c r="H172" t="s">
        <v>419</v>
      </c>
      <c r="I172" t="str">
        <f>IF(B172=IFERROR(VLOOKUP(B172,base!$L$1:$L$9,1,0),""),"Produtos",IF(B172=IFERROR(VLOOKUP(B172,base!$K$2:$K$8,1,0),""),"Serviços","Combos"))</f>
        <v>Combos</v>
      </c>
      <c r="J172">
        <f t="shared" si="5"/>
        <v>24.75</v>
      </c>
    </row>
    <row r="173" spans="1:10">
      <c r="A173" t="s">
        <v>252</v>
      </c>
      <c r="B173" t="s">
        <v>159</v>
      </c>
      <c r="C173" t="s">
        <v>668</v>
      </c>
      <c r="D173" s="14">
        <v>40</v>
      </c>
      <c r="E173" s="14">
        <v>40</v>
      </c>
      <c r="F173" s="13">
        <v>45698.604166666664</v>
      </c>
      <c r="G173" t="s">
        <v>1</v>
      </c>
      <c r="H173" t="s">
        <v>110</v>
      </c>
      <c r="I173" t="str">
        <f>IF(B173=IFERROR(VLOOKUP(B173,base!$L$1:$L$9,1,0),""),"Produtos",IF(B173=IFERROR(VLOOKUP(B173,base!$K$2:$K$8,1,0),""),"Serviços","Combos"))</f>
        <v>Combos</v>
      </c>
      <c r="J173">
        <f t="shared" si="5"/>
        <v>18</v>
      </c>
    </row>
    <row r="174" spans="1:10">
      <c r="A174" t="s">
        <v>252</v>
      </c>
      <c r="B174" t="s">
        <v>154</v>
      </c>
      <c r="C174" t="s">
        <v>670</v>
      </c>
      <c r="D174" s="14">
        <v>50</v>
      </c>
      <c r="E174" s="14">
        <v>45</v>
      </c>
      <c r="F174" s="13">
        <v>45698.625</v>
      </c>
      <c r="G174" t="s">
        <v>1</v>
      </c>
      <c r="H174" t="s">
        <v>272</v>
      </c>
      <c r="I174" t="str">
        <f>IF(B174=IFERROR(VLOOKUP(B174,base!$L$1:$L$9,1,0),""),"Produtos",IF(B174=IFERROR(VLOOKUP(B174,base!$K$2:$K$8,1,0),""),"Serviços","Combos"))</f>
        <v>Combos</v>
      </c>
      <c r="J174">
        <f t="shared" si="5"/>
        <v>22.5</v>
      </c>
    </row>
    <row r="175" spans="1:10">
      <c r="A175" t="s">
        <v>519</v>
      </c>
      <c r="B175" t="s">
        <v>163</v>
      </c>
      <c r="C175" t="s">
        <v>671</v>
      </c>
      <c r="D175" s="14">
        <v>35</v>
      </c>
      <c r="E175" s="14">
        <v>60</v>
      </c>
      <c r="F175" s="13">
        <v>45698.625</v>
      </c>
      <c r="G175" t="s">
        <v>354</v>
      </c>
      <c r="H175" t="s">
        <v>420</v>
      </c>
      <c r="I175" t="str">
        <f>IF(B175=IFERROR(VLOOKUP(B175,base!$L$1:$L$9,1,0),""),"Produtos",IF(B175=IFERROR(VLOOKUP(B175,base!$K$2:$K$8,1,0),""),"Serviços","Combos"))</f>
        <v>Serviços</v>
      </c>
      <c r="J175">
        <f t="shared" si="5"/>
        <v>15.75</v>
      </c>
    </row>
    <row r="176" spans="1:10">
      <c r="A176" t="s">
        <v>519</v>
      </c>
      <c r="B176" t="s">
        <v>509</v>
      </c>
      <c r="C176" t="s">
        <v>671</v>
      </c>
      <c r="D176" s="14">
        <v>25</v>
      </c>
      <c r="F176" s="13">
        <v>45698.625</v>
      </c>
      <c r="G176" t="s">
        <v>354</v>
      </c>
      <c r="H176" t="s">
        <v>420</v>
      </c>
      <c r="I176" t="str">
        <f>IF(B176=IFERROR(VLOOKUP(B176,base!$L$1:$L$9,1,0),""),"Produtos",IF(B176=IFERROR(VLOOKUP(B176,base!$K$2:$K$8,1,0),""),"Serviços","Combos"))</f>
        <v>Produtos</v>
      </c>
      <c r="J176">
        <f t="shared" si="5"/>
        <v>10</v>
      </c>
    </row>
    <row r="177" spans="1:10">
      <c r="A177" t="s">
        <v>519</v>
      </c>
      <c r="B177" t="s">
        <v>163</v>
      </c>
      <c r="C177" t="s">
        <v>672</v>
      </c>
      <c r="D177" s="14">
        <v>35</v>
      </c>
      <c r="E177" s="14">
        <v>35</v>
      </c>
      <c r="F177" s="13">
        <v>45698.677083333336</v>
      </c>
      <c r="G177" t="s">
        <v>1</v>
      </c>
      <c r="H177" t="s">
        <v>421</v>
      </c>
      <c r="I177" t="str">
        <f>IF(B177=IFERROR(VLOOKUP(B177,base!$L$1:$L$9,1,0),""),"Produtos",IF(B177=IFERROR(VLOOKUP(B177,base!$K$2:$K$8,1,0),""),"Serviços","Combos"))</f>
        <v>Serviços</v>
      </c>
      <c r="J177">
        <f t="shared" si="5"/>
        <v>15.75</v>
      </c>
    </row>
    <row r="178" spans="1:10">
      <c r="A178" t="s">
        <v>252</v>
      </c>
      <c r="B178" t="s">
        <v>163</v>
      </c>
      <c r="C178" t="s">
        <v>662</v>
      </c>
      <c r="D178" s="14">
        <v>30</v>
      </c>
      <c r="E178" s="14">
        <v>60</v>
      </c>
      <c r="F178" s="13">
        <v>45698.708333333336</v>
      </c>
      <c r="G178" t="s">
        <v>1</v>
      </c>
      <c r="H178" t="s">
        <v>16</v>
      </c>
      <c r="I178" t="str">
        <f>IF(B178=IFERROR(VLOOKUP(B178,base!$L$1:$L$9,1,0),""),"Produtos",IF(B178=IFERROR(VLOOKUP(B178,base!$K$2:$K$8,1,0),""),"Serviços","Combos"))</f>
        <v>Serviços</v>
      </c>
      <c r="J178">
        <f t="shared" si="5"/>
        <v>13.5</v>
      </c>
    </row>
    <row r="179" spans="1:10">
      <c r="A179" t="s">
        <v>519</v>
      </c>
      <c r="B179" t="s">
        <v>163</v>
      </c>
      <c r="C179" t="s">
        <v>662</v>
      </c>
      <c r="D179" s="14">
        <v>30</v>
      </c>
      <c r="F179" s="13">
        <v>45698.708333333336</v>
      </c>
      <c r="G179" t="s">
        <v>1</v>
      </c>
      <c r="H179" t="s">
        <v>16</v>
      </c>
      <c r="I179" t="str">
        <f>IF(B179=IFERROR(VLOOKUP(B179,base!$L$1:$L$9,1,0),""),"Produtos",IF(B179=IFERROR(VLOOKUP(B179,base!$K$2:$K$8,1,0),""),"Serviços","Combos"))</f>
        <v>Serviços</v>
      </c>
      <c r="J179">
        <f t="shared" si="5"/>
        <v>13.5</v>
      </c>
    </row>
    <row r="180" spans="1:10">
      <c r="A180" t="s">
        <v>252</v>
      </c>
      <c r="B180" t="s">
        <v>162</v>
      </c>
      <c r="C180" t="s">
        <v>674</v>
      </c>
      <c r="D180" s="14">
        <v>15</v>
      </c>
      <c r="E180" s="14">
        <v>15</v>
      </c>
      <c r="F180" s="13">
        <v>45698.739583333336</v>
      </c>
      <c r="G180" t="s">
        <v>1</v>
      </c>
      <c r="H180" t="s">
        <v>423</v>
      </c>
      <c r="I180" t="str">
        <f>IF(B180=IFERROR(VLOOKUP(B180,base!$L$1:$L$9,1,0),""),"Produtos",IF(B180=IFERROR(VLOOKUP(B180,base!$K$2:$K$8,1,0),""),"Serviços","Combos"))</f>
        <v>Serviços</v>
      </c>
      <c r="J180">
        <f t="shared" si="5"/>
        <v>6.75</v>
      </c>
    </row>
    <row r="181" spans="1:10">
      <c r="A181" t="s">
        <v>519</v>
      </c>
      <c r="B181" t="s">
        <v>163</v>
      </c>
      <c r="C181" t="s">
        <v>673</v>
      </c>
      <c r="D181" s="14">
        <v>35</v>
      </c>
      <c r="E181" s="14">
        <v>35</v>
      </c>
      <c r="F181" s="13">
        <v>45698.760416666664</v>
      </c>
      <c r="G181" t="s">
        <v>1</v>
      </c>
      <c r="H181" t="s">
        <v>422</v>
      </c>
      <c r="I181" t="str">
        <f>IF(B181=IFERROR(VLOOKUP(B181,base!$L$1:$L$9,1,0),""),"Produtos",IF(B181=IFERROR(VLOOKUP(B181,base!$K$2:$K$8,1,0),""),"Serviços","Combos"))</f>
        <v>Serviços</v>
      </c>
      <c r="J181">
        <f t="shared" si="5"/>
        <v>15.75</v>
      </c>
    </row>
    <row r="182" spans="1:10">
      <c r="A182" t="s">
        <v>252</v>
      </c>
      <c r="B182" t="s">
        <v>163</v>
      </c>
      <c r="C182" t="s">
        <v>675</v>
      </c>
      <c r="D182" s="14">
        <v>35</v>
      </c>
      <c r="E182" s="14">
        <v>35</v>
      </c>
      <c r="F182" s="13">
        <v>45698.8125</v>
      </c>
      <c r="G182" t="s">
        <v>1</v>
      </c>
      <c r="H182" t="s">
        <v>424</v>
      </c>
      <c r="I182" t="str">
        <f>IF(B182=IFERROR(VLOOKUP(B182,base!$L$1:$L$9,1,0),""),"Produtos",IF(B182=IFERROR(VLOOKUP(B182,base!$K$2:$K$8,1,0),""),"Serviços","Combos"))</f>
        <v>Serviços</v>
      </c>
      <c r="J182">
        <f t="shared" si="5"/>
        <v>15.75</v>
      </c>
    </row>
    <row r="183" spans="1:10">
      <c r="A183" t="s">
        <v>252</v>
      </c>
      <c r="B183" t="s">
        <v>163</v>
      </c>
      <c r="C183" t="s">
        <v>679</v>
      </c>
      <c r="D183" s="14">
        <v>35</v>
      </c>
      <c r="E183" s="14">
        <v>70</v>
      </c>
      <c r="F183" s="13">
        <v>45699.447916666664</v>
      </c>
      <c r="G183" t="s">
        <v>1</v>
      </c>
      <c r="H183" t="s">
        <v>425</v>
      </c>
      <c r="I183" t="str">
        <f>IF(B183=IFERROR(VLOOKUP(B183,base!$L$1:$L$9,1,0),""),"Produtos",IF(B183=IFERROR(VLOOKUP(B183,base!$K$2:$K$8,1,0),""),"Serviços","Combos"))</f>
        <v>Serviços</v>
      </c>
      <c r="J183">
        <f t="shared" si="5"/>
        <v>15.75</v>
      </c>
    </row>
    <row r="184" spans="1:10">
      <c r="A184" t="s">
        <v>519</v>
      </c>
      <c r="B184" t="s">
        <v>163</v>
      </c>
      <c r="C184" t="s">
        <v>679</v>
      </c>
      <c r="D184" s="14">
        <v>35</v>
      </c>
      <c r="F184" s="13">
        <v>45699.447916666664</v>
      </c>
      <c r="G184" t="s">
        <v>1</v>
      </c>
      <c r="H184" t="s">
        <v>425</v>
      </c>
      <c r="I184" t="str">
        <f>IF(B184=IFERROR(VLOOKUP(B184,base!$L$1:$L$9,1,0),""),"Produtos",IF(B184=IFERROR(VLOOKUP(B184,base!$K$2:$K$8,1,0),""),"Serviços","Combos"))</f>
        <v>Serviços</v>
      </c>
      <c r="J184">
        <f t="shared" si="5"/>
        <v>15.75</v>
      </c>
    </row>
    <row r="185" spans="1:10">
      <c r="A185" t="s">
        <v>252</v>
      </c>
      <c r="B185" t="s">
        <v>163</v>
      </c>
      <c r="C185" t="s">
        <v>680</v>
      </c>
      <c r="D185" s="14">
        <v>35</v>
      </c>
      <c r="E185" s="14">
        <v>35</v>
      </c>
      <c r="F185" s="13">
        <v>45699.5</v>
      </c>
      <c r="G185" t="s">
        <v>1</v>
      </c>
      <c r="H185" t="s">
        <v>372</v>
      </c>
      <c r="I185" t="str">
        <f>IF(B185=IFERROR(VLOOKUP(B185,base!$L$1:$L$9,1,0),""),"Produtos",IF(B185=IFERROR(VLOOKUP(B185,base!$K$2:$K$8,1,0),""),"Serviços","Combos"))</f>
        <v>Serviços</v>
      </c>
      <c r="J185">
        <f t="shared" si="5"/>
        <v>15.75</v>
      </c>
    </row>
    <row r="186" spans="1:10">
      <c r="A186" t="s">
        <v>519</v>
      </c>
      <c r="B186" t="s">
        <v>163</v>
      </c>
      <c r="C186" t="s">
        <v>678</v>
      </c>
      <c r="D186" s="14">
        <v>35</v>
      </c>
      <c r="E186" s="14">
        <v>35</v>
      </c>
      <c r="F186" s="13">
        <v>45699.5625</v>
      </c>
      <c r="G186" t="s">
        <v>354</v>
      </c>
      <c r="H186" t="s">
        <v>269</v>
      </c>
      <c r="I186" t="str">
        <f>IF(B186=IFERROR(VLOOKUP(B186,base!$L$1:$L$9,1,0),""),"Produtos",IF(B186=IFERROR(VLOOKUP(B186,base!$K$2:$K$8,1,0),""),"Serviços","Combos"))</f>
        <v>Serviços</v>
      </c>
      <c r="J186">
        <f t="shared" si="5"/>
        <v>15.75</v>
      </c>
    </row>
    <row r="187" spans="1:10">
      <c r="A187" t="s">
        <v>519</v>
      </c>
      <c r="B187" t="s">
        <v>163</v>
      </c>
      <c r="C187" t="s">
        <v>682</v>
      </c>
      <c r="D187" s="14">
        <v>35</v>
      </c>
      <c r="E187" s="14">
        <v>60</v>
      </c>
      <c r="F187" s="13">
        <v>45699.635416666664</v>
      </c>
      <c r="G187" t="s">
        <v>2</v>
      </c>
      <c r="H187" t="s">
        <v>75</v>
      </c>
      <c r="I187" t="str">
        <f>IF(B187=IFERROR(VLOOKUP(B187,base!$L$1:$L$9,1,0),""),"Produtos",IF(B187=IFERROR(VLOOKUP(B187,base!$K$2:$K$8,1,0),""),"Serviços","Combos"))</f>
        <v>Serviços</v>
      </c>
      <c r="J187">
        <f t="shared" si="5"/>
        <v>15.75</v>
      </c>
    </row>
    <row r="188" spans="1:10">
      <c r="A188" t="s">
        <v>519</v>
      </c>
      <c r="B188" t="s">
        <v>511</v>
      </c>
      <c r="C188" t="s">
        <v>682</v>
      </c>
      <c r="D188" s="14">
        <v>25</v>
      </c>
      <c r="F188" s="13">
        <v>45699.635416666664</v>
      </c>
      <c r="G188" t="s">
        <v>2</v>
      </c>
      <c r="H188" t="s">
        <v>75</v>
      </c>
      <c r="I188" t="str">
        <f>IF(B188=IFERROR(VLOOKUP(B188,base!$L$1:$L$9,1,0),""),"Produtos",IF(B188=IFERROR(VLOOKUP(B188,base!$K$2:$K$8,1,0),""),"Serviços","Combos"))</f>
        <v>Produtos</v>
      </c>
      <c r="J188">
        <f t="shared" si="5"/>
        <v>10</v>
      </c>
    </row>
    <row r="189" spans="1:10">
      <c r="A189" t="s">
        <v>536</v>
      </c>
      <c r="B189" t="s">
        <v>161</v>
      </c>
      <c r="C189" t="s">
        <v>683</v>
      </c>
      <c r="D189" s="14">
        <v>20</v>
      </c>
      <c r="E189" s="14">
        <v>20</v>
      </c>
      <c r="F189" s="13">
        <v>45699.760416666664</v>
      </c>
      <c r="G189" t="s">
        <v>1</v>
      </c>
      <c r="H189" t="s">
        <v>275</v>
      </c>
      <c r="I189" t="str">
        <f>IF(B189=IFERROR(VLOOKUP(B189,base!$L$1:$L$9,1,0),""),"Produtos",IF(B189=IFERROR(VLOOKUP(B189,base!$K$2:$K$8,1,0),""),"Serviços","Combos"))</f>
        <v>Serviços</v>
      </c>
      <c r="J189">
        <f t="shared" si="5"/>
        <v>9</v>
      </c>
    </row>
    <row r="190" spans="1:10">
      <c r="A190" t="s">
        <v>252</v>
      </c>
      <c r="B190" t="s">
        <v>161</v>
      </c>
      <c r="C190" t="s">
        <v>677</v>
      </c>
      <c r="D190" s="14">
        <v>20</v>
      </c>
      <c r="E190" s="14">
        <v>20</v>
      </c>
      <c r="F190" s="13">
        <v>45699.791666666664</v>
      </c>
      <c r="G190" t="s">
        <v>1</v>
      </c>
      <c r="H190" t="s">
        <v>285</v>
      </c>
      <c r="I190" t="str">
        <f>IF(B190=IFERROR(VLOOKUP(B190,base!$L$1:$L$9,1,0),""),"Produtos",IF(B190=IFERROR(VLOOKUP(B190,base!$K$2:$K$8,1,0),""),"Serviços","Combos"))</f>
        <v>Serviços</v>
      </c>
      <c r="J190">
        <f t="shared" si="5"/>
        <v>9</v>
      </c>
    </row>
    <row r="191" spans="1:10">
      <c r="A191" t="s">
        <v>536</v>
      </c>
      <c r="B191" t="s">
        <v>163</v>
      </c>
      <c r="C191" t="s">
        <v>684</v>
      </c>
      <c r="D191" s="14">
        <v>35</v>
      </c>
      <c r="E191" s="14">
        <v>35</v>
      </c>
      <c r="F191" s="13">
        <v>45699.802083333336</v>
      </c>
      <c r="G191" t="s">
        <v>1</v>
      </c>
      <c r="H191" t="s">
        <v>210</v>
      </c>
      <c r="I191" t="str">
        <f>IF(B191=IFERROR(VLOOKUP(B191,base!$L$1:$L$9,1,0),""),"Produtos",IF(B191=IFERROR(VLOOKUP(B191,base!$K$2:$K$8,1,0),""),"Serviços","Combos"))</f>
        <v>Serviços</v>
      </c>
      <c r="J191">
        <f t="shared" si="5"/>
        <v>15.75</v>
      </c>
    </row>
    <row r="192" spans="1:10">
      <c r="A192" t="s">
        <v>536</v>
      </c>
      <c r="B192" t="s">
        <v>353</v>
      </c>
      <c r="C192" t="s">
        <v>685</v>
      </c>
      <c r="D192" s="14">
        <v>55</v>
      </c>
      <c r="E192" s="14">
        <v>55</v>
      </c>
      <c r="F192" s="13">
        <v>45699.836805555555</v>
      </c>
      <c r="G192" t="s">
        <v>1</v>
      </c>
      <c r="H192" t="s">
        <v>382</v>
      </c>
      <c r="I192" t="str">
        <f>IF(B192=IFERROR(VLOOKUP(B192,base!$L$1:$L$9,1,0),""),"Produtos",IF(B192=IFERROR(VLOOKUP(B192,base!$K$2:$K$8,1,0),""),"Serviços","Combos"))</f>
        <v>Combos</v>
      </c>
      <c r="J192">
        <f t="shared" si="5"/>
        <v>24.75</v>
      </c>
    </row>
    <row r="193" spans="1:10">
      <c r="A193" t="s">
        <v>519</v>
      </c>
      <c r="B193" t="s">
        <v>163</v>
      </c>
      <c r="C193" t="s">
        <v>687</v>
      </c>
      <c r="D193" s="14">
        <v>35</v>
      </c>
      <c r="E193" s="14">
        <v>35</v>
      </c>
      <c r="F193" s="13">
        <v>45700.458333333336</v>
      </c>
      <c r="G193" t="s">
        <v>1</v>
      </c>
      <c r="H193" t="s">
        <v>119</v>
      </c>
      <c r="I193" t="str">
        <f>IF(B193=IFERROR(VLOOKUP(B193,base!$L$1:$L$9,1,0),""),"Produtos",IF(B193=IFERROR(VLOOKUP(B193,base!$K$2:$K$8,1,0),""),"Serviços","Combos"))</f>
        <v>Serviços</v>
      </c>
      <c r="J193">
        <f t="shared" si="5"/>
        <v>15.75</v>
      </c>
    </row>
    <row r="194" spans="1:10">
      <c r="A194" t="s">
        <v>519</v>
      </c>
      <c r="B194" t="s">
        <v>161</v>
      </c>
      <c r="C194" t="s">
        <v>688</v>
      </c>
      <c r="D194" s="14">
        <v>20</v>
      </c>
      <c r="E194" s="14">
        <v>20</v>
      </c>
      <c r="F194" s="13">
        <v>45700.479166666664</v>
      </c>
      <c r="G194" t="s">
        <v>310</v>
      </c>
      <c r="H194" t="s">
        <v>462</v>
      </c>
      <c r="I194" t="str">
        <f>IF(B194=IFERROR(VLOOKUP(B194,base!$L$1:$L$9,1,0),""),"Produtos",IF(B194=IFERROR(VLOOKUP(B194,base!$K$2:$K$8,1,0),""),"Serviços","Combos"))</f>
        <v>Serviços</v>
      </c>
      <c r="J194">
        <f t="shared" si="5"/>
        <v>9</v>
      </c>
    </row>
    <row r="195" spans="1:10">
      <c r="A195" t="s">
        <v>536</v>
      </c>
      <c r="B195" t="s">
        <v>163</v>
      </c>
      <c r="C195" t="s">
        <v>689</v>
      </c>
      <c r="D195" s="14">
        <v>35</v>
      </c>
      <c r="E195" s="14">
        <v>35</v>
      </c>
      <c r="F195" s="13">
        <v>45700.489583333336</v>
      </c>
      <c r="G195" t="s">
        <v>1</v>
      </c>
      <c r="H195" t="s">
        <v>468</v>
      </c>
      <c r="I195" t="str">
        <f>IF(B195=IFERROR(VLOOKUP(B195,base!$L$1:$L$9,1,0),""),"Produtos",IF(B195=IFERROR(VLOOKUP(B195,base!$K$2:$K$8,1,0),""),"Serviços","Combos"))</f>
        <v>Serviços</v>
      </c>
      <c r="J195">
        <f t="shared" ref="J195:J216" si="6">IF(AND(I195="Serviços",E195&gt;0),ROUND(D195*45%,2),IF(I195="Produtos",ROUND(D195*40%,2),D195*45%))</f>
        <v>15.75</v>
      </c>
    </row>
    <row r="196" spans="1:10">
      <c r="A196" t="s">
        <v>519</v>
      </c>
      <c r="B196" t="s">
        <v>163</v>
      </c>
      <c r="C196" t="s">
        <v>692</v>
      </c>
      <c r="D196" s="14">
        <v>35</v>
      </c>
      <c r="E196" s="14">
        <v>35</v>
      </c>
      <c r="F196" s="13">
        <v>45700.5625</v>
      </c>
      <c r="G196" t="s">
        <v>1</v>
      </c>
      <c r="H196" t="s">
        <v>469</v>
      </c>
      <c r="I196" t="str">
        <f>IF(B196=IFERROR(VLOOKUP(B196,base!$L$1:$L$9,1,0),""),"Produtos",IF(B196=IFERROR(VLOOKUP(B196,base!$K$2:$K$8,1,0),""),"Serviços","Combos"))</f>
        <v>Serviços</v>
      </c>
      <c r="J196">
        <f t="shared" si="6"/>
        <v>15.75</v>
      </c>
    </row>
    <row r="197" spans="1:10">
      <c r="A197" t="s">
        <v>536</v>
      </c>
      <c r="B197" t="s">
        <v>353</v>
      </c>
      <c r="C197" t="s">
        <v>690</v>
      </c>
      <c r="D197" s="14">
        <v>55</v>
      </c>
      <c r="E197" s="14">
        <v>55</v>
      </c>
      <c r="F197" s="13">
        <v>45700.625</v>
      </c>
      <c r="G197" t="s">
        <v>1</v>
      </c>
      <c r="H197" t="s">
        <v>465</v>
      </c>
      <c r="I197" t="str">
        <f>IF(B197=IFERROR(VLOOKUP(B197,base!$L$1:$L$9,1,0),""),"Produtos",IF(B197=IFERROR(VLOOKUP(B197,base!$K$2:$K$8,1,0),""),"Serviços","Combos"))</f>
        <v>Combos</v>
      </c>
      <c r="J197">
        <f t="shared" si="6"/>
        <v>24.75</v>
      </c>
    </row>
    <row r="198" spans="1:10">
      <c r="A198" t="s">
        <v>536</v>
      </c>
      <c r="B198" t="s">
        <v>163</v>
      </c>
      <c r="C198" t="s">
        <v>697</v>
      </c>
      <c r="D198" s="14">
        <v>35</v>
      </c>
      <c r="E198" s="14">
        <v>35</v>
      </c>
      <c r="F198" s="13">
        <v>45700.697916666664</v>
      </c>
      <c r="G198" t="s">
        <v>1</v>
      </c>
      <c r="H198" t="s">
        <v>470</v>
      </c>
      <c r="I198" t="str">
        <f>IF(B198=IFERROR(VLOOKUP(B198,base!$L$1:$L$9,1,0),""),"Produtos",IF(B198=IFERROR(VLOOKUP(B198,base!$K$2:$K$8,1,0),""),"Serviços","Combos"))</f>
        <v>Serviços</v>
      </c>
      <c r="J198">
        <f t="shared" si="6"/>
        <v>15.75</v>
      </c>
    </row>
    <row r="199" spans="1:10">
      <c r="A199" t="s">
        <v>519</v>
      </c>
      <c r="B199" t="s">
        <v>163</v>
      </c>
      <c r="C199" t="s">
        <v>694</v>
      </c>
      <c r="D199" s="14">
        <v>35</v>
      </c>
      <c r="E199" s="14">
        <v>35</v>
      </c>
      <c r="F199" s="13">
        <v>45700.729166666664</v>
      </c>
      <c r="G199" t="s">
        <v>2</v>
      </c>
      <c r="H199" t="s">
        <v>8</v>
      </c>
      <c r="I199" t="str">
        <f>IF(B199=IFERROR(VLOOKUP(B199,base!$L$1:$L$9,1,0),""),"Produtos",IF(B199=IFERROR(VLOOKUP(B199,base!$K$2:$K$8,1,0),""),"Serviços","Combos"))</f>
        <v>Serviços</v>
      </c>
      <c r="J199">
        <f t="shared" si="6"/>
        <v>15.75</v>
      </c>
    </row>
    <row r="200" spans="1:10">
      <c r="A200" t="s">
        <v>519</v>
      </c>
      <c r="B200" t="s">
        <v>161</v>
      </c>
      <c r="C200" t="s">
        <v>698</v>
      </c>
      <c r="D200" s="14">
        <v>20</v>
      </c>
      <c r="E200" s="14">
        <v>20</v>
      </c>
      <c r="F200" s="13">
        <v>45700.756944444445</v>
      </c>
      <c r="G200" t="s">
        <v>1</v>
      </c>
      <c r="H200" t="s">
        <v>26</v>
      </c>
      <c r="I200" t="str">
        <f>IF(B200=IFERROR(VLOOKUP(B200,base!$L$1:$L$9,1,0),""),"Produtos",IF(B200=IFERROR(VLOOKUP(B200,base!$K$2:$K$8,1,0),""),"Serviços","Combos"))</f>
        <v>Serviços</v>
      </c>
      <c r="J200">
        <f t="shared" si="6"/>
        <v>9</v>
      </c>
    </row>
    <row r="201" spans="1:10">
      <c r="A201" t="s">
        <v>519</v>
      </c>
      <c r="B201" t="s">
        <v>163</v>
      </c>
      <c r="C201" t="s">
        <v>691</v>
      </c>
      <c r="D201" s="14">
        <v>35</v>
      </c>
      <c r="E201" s="14">
        <v>35</v>
      </c>
      <c r="F201" s="13">
        <v>45700.760416666664</v>
      </c>
      <c r="G201" t="s">
        <v>310</v>
      </c>
      <c r="H201" t="s">
        <v>191</v>
      </c>
      <c r="I201" t="str">
        <f>IF(B201=IFERROR(VLOOKUP(B201,base!$L$1:$L$9,1,0),""),"Produtos",IF(B201=IFERROR(VLOOKUP(B201,base!$K$2:$K$8,1,0),""),"Serviços","Combos"))</f>
        <v>Serviços</v>
      </c>
      <c r="J201">
        <f t="shared" si="6"/>
        <v>15.75</v>
      </c>
    </row>
    <row r="202" spans="1:10">
      <c r="A202" t="s">
        <v>519</v>
      </c>
      <c r="B202" t="s">
        <v>161</v>
      </c>
      <c r="C202" t="s">
        <v>699</v>
      </c>
      <c r="D202" s="14">
        <v>20</v>
      </c>
      <c r="E202" s="14">
        <v>60</v>
      </c>
      <c r="F202" s="13">
        <v>45700.763888888891</v>
      </c>
      <c r="G202" t="s">
        <v>310</v>
      </c>
      <c r="H202" t="s">
        <v>463</v>
      </c>
      <c r="I202" t="str">
        <f>IF(B202=IFERROR(VLOOKUP(B202,base!$L$1:$L$9,1,0),""),"Produtos",IF(B202=IFERROR(VLOOKUP(B202,base!$K$2:$K$8,1,0),""),"Serviços","Combos"))</f>
        <v>Serviços</v>
      </c>
      <c r="J202">
        <f t="shared" si="6"/>
        <v>9</v>
      </c>
    </row>
    <row r="203" spans="1:10">
      <c r="A203" t="s">
        <v>519</v>
      </c>
      <c r="B203" t="s">
        <v>166</v>
      </c>
      <c r="C203" t="s">
        <v>699</v>
      </c>
      <c r="D203" s="14">
        <v>15</v>
      </c>
      <c r="F203" s="13">
        <v>45700.763888888891</v>
      </c>
      <c r="G203" t="s">
        <v>310</v>
      </c>
      <c r="H203" t="s">
        <v>463</v>
      </c>
      <c r="I203" t="str">
        <f>IF(B203=IFERROR(VLOOKUP(B203,base!$L$1:$L$9,1,0),""),"Produtos",IF(B203=IFERROR(VLOOKUP(B203,base!$K$2:$K$8,1,0),""),"Serviços","Combos"))</f>
        <v>Serviços</v>
      </c>
      <c r="J203">
        <f t="shared" si="6"/>
        <v>6.75</v>
      </c>
    </row>
    <row r="204" spans="1:10">
      <c r="A204" t="s">
        <v>519</v>
      </c>
      <c r="B204" t="s">
        <v>508</v>
      </c>
      <c r="C204" t="s">
        <v>699</v>
      </c>
      <c r="D204" s="14">
        <v>25</v>
      </c>
      <c r="F204" s="13">
        <v>45700.763888888891</v>
      </c>
      <c r="G204" t="s">
        <v>310</v>
      </c>
      <c r="H204" t="s">
        <v>463</v>
      </c>
      <c r="I204" t="str">
        <f>IF(B204=IFERROR(VLOOKUP(B204,base!$L$1:$L$9,1,0),""),"Produtos",IF(B204=IFERROR(VLOOKUP(B204,base!$K$2:$K$8,1,0),""),"Serviços","Combos"))</f>
        <v>Produtos</v>
      </c>
      <c r="J204">
        <f t="shared" si="6"/>
        <v>10</v>
      </c>
    </row>
    <row r="205" spans="1:10">
      <c r="A205" t="s">
        <v>536</v>
      </c>
      <c r="B205" t="s">
        <v>161</v>
      </c>
      <c r="C205" t="s">
        <v>700</v>
      </c>
      <c r="D205" s="14">
        <v>20</v>
      </c>
      <c r="E205" s="14">
        <v>20</v>
      </c>
      <c r="F205" s="13">
        <v>45700.78125</v>
      </c>
      <c r="G205" t="s">
        <v>310</v>
      </c>
      <c r="H205" t="s">
        <v>464</v>
      </c>
      <c r="I205" t="str">
        <f>IF(B205=IFERROR(VLOOKUP(B205,base!$L$1:$L$9,1,0),""),"Produtos",IF(B205=IFERROR(VLOOKUP(B205,base!$K$2:$K$8,1,0),""),"Serviços","Combos"))</f>
        <v>Serviços</v>
      </c>
      <c r="J205">
        <f t="shared" si="6"/>
        <v>9</v>
      </c>
    </row>
    <row r="206" spans="1:10">
      <c r="A206" t="s">
        <v>519</v>
      </c>
      <c r="B206" t="s">
        <v>159</v>
      </c>
      <c r="C206" t="s">
        <v>696</v>
      </c>
      <c r="D206" s="14">
        <v>40</v>
      </c>
      <c r="E206" s="14">
        <v>40</v>
      </c>
      <c r="F206" s="13">
        <v>45700.791666666664</v>
      </c>
      <c r="G206" t="s">
        <v>310</v>
      </c>
      <c r="H206" t="s">
        <v>466</v>
      </c>
      <c r="I206" t="str">
        <f>IF(B206=IFERROR(VLOOKUP(B206,base!$L$1:$L$9,1,0),""),"Produtos",IF(B206=IFERROR(VLOOKUP(B206,base!$K$2:$K$8,1,0),""),"Serviços","Combos"))</f>
        <v>Combos</v>
      </c>
      <c r="J206">
        <f t="shared" si="6"/>
        <v>18</v>
      </c>
    </row>
    <row r="207" spans="1:10">
      <c r="A207" t="s">
        <v>536</v>
      </c>
      <c r="B207" t="s">
        <v>163</v>
      </c>
      <c r="C207" t="s">
        <v>701</v>
      </c>
      <c r="D207" s="14">
        <v>35</v>
      </c>
      <c r="E207" s="14">
        <v>35</v>
      </c>
      <c r="F207" s="13">
        <v>45700.791666666664</v>
      </c>
      <c r="G207" t="s">
        <v>1</v>
      </c>
      <c r="H207" t="s">
        <v>471</v>
      </c>
      <c r="I207" t="str">
        <f>IF(B207=IFERROR(VLOOKUP(B207,base!$L$1:$L$9,1,0),""),"Produtos",IF(B207=IFERROR(VLOOKUP(B207,base!$K$2:$K$8,1,0),""),"Serviços","Combos"))</f>
        <v>Serviços</v>
      </c>
      <c r="J207">
        <f t="shared" si="6"/>
        <v>15.75</v>
      </c>
    </row>
    <row r="208" spans="1:10">
      <c r="A208" t="s">
        <v>519</v>
      </c>
      <c r="B208" t="s">
        <v>159</v>
      </c>
      <c r="C208" t="s">
        <v>703</v>
      </c>
      <c r="D208" s="14">
        <v>40</v>
      </c>
      <c r="E208" s="14">
        <v>40</v>
      </c>
      <c r="F208" s="13">
        <v>45700.8125</v>
      </c>
      <c r="G208" t="s">
        <v>1</v>
      </c>
      <c r="H208" t="s">
        <v>467</v>
      </c>
      <c r="I208" t="str">
        <f>IF(B208=IFERROR(VLOOKUP(B208,base!$L$1:$L$9,1,0),""),"Produtos",IF(B208=IFERROR(VLOOKUP(B208,base!$K$2:$K$8,1,0),""),"Serviços","Combos"))</f>
        <v>Combos</v>
      </c>
      <c r="J208">
        <f t="shared" si="6"/>
        <v>18</v>
      </c>
    </row>
    <row r="209" spans="1:10">
      <c r="A209" t="s">
        <v>536</v>
      </c>
      <c r="B209" t="s">
        <v>163</v>
      </c>
      <c r="C209" t="s">
        <v>702</v>
      </c>
      <c r="D209" s="14">
        <v>35</v>
      </c>
      <c r="E209" s="14">
        <v>35</v>
      </c>
      <c r="F209" s="13">
        <v>45700.84375</v>
      </c>
      <c r="G209" t="s">
        <v>310</v>
      </c>
      <c r="H209" t="s">
        <v>382</v>
      </c>
      <c r="I209" t="str">
        <f>IF(B209=IFERROR(VLOOKUP(B209,base!$L$1:$L$9,1,0),""),"Produtos",IF(B209=IFERROR(VLOOKUP(B209,base!$K$2:$K$8,1,0),""),"Serviços","Combos"))</f>
        <v>Serviços</v>
      </c>
      <c r="J209">
        <f t="shared" si="6"/>
        <v>15.75</v>
      </c>
    </row>
    <row r="210" spans="1:10">
      <c r="A210" t="s">
        <v>252</v>
      </c>
      <c r="B210" t="s">
        <v>163</v>
      </c>
      <c r="C210" t="s">
        <v>693</v>
      </c>
      <c r="D210" s="14">
        <v>35</v>
      </c>
      <c r="E210" s="14">
        <v>35</v>
      </c>
      <c r="F210" s="13">
        <v>45701.416666666664</v>
      </c>
      <c r="G210" t="s">
        <v>1</v>
      </c>
      <c r="H210" t="s">
        <v>473</v>
      </c>
      <c r="I210" t="str">
        <f>IF(B210=IFERROR(VLOOKUP(B210,base!$L$1:$L$9,1,0),""),"Produtos",IF(B210=IFERROR(VLOOKUP(B210,base!$K$2:$K$8,1,0),""),"Serviços","Combos"))</f>
        <v>Serviços</v>
      </c>
      <c r="J210">
        <f t="shared" si="6"/>
        <v>15.75</v>
      </c>
    </row>
    <row r="211" spans="1:10">
      <c r="A211" t="s">
        <v>519</v>
      </c>
      <c r="B211" t="s">
        <v>160</v>
      </c>
      <c r="C211" t="s">
        <v>706</v>
      </c>
      <c r="D211" s="14">
        <v>12</v>
      </c>
      <c r="E211" s="14">
        <v>12</v>
      </c>
      <c r="F211" s="13">
        <v>45701.416666666664</v>
      </c>
      <c r="G211" t="s">
        <v>2</v>
      </c>
      <c r="H211" t="s">
        <v>474</v>
      </c>
      <c r="I211" t="str">
        <f>IF(B211=IFERROR(VLOOKUP(B211,base!$L$1:$L$9,1,0),""),"Produtos",IF(B211=IFERROR(VLOOKUP(B211,base!$K$2:$K$8,1,0),""),"Serviços","Combos"))</f>
        <v>Serviços</v>
      </c>
      <c r="J211">
        <f t="shared" si="6"/>
        <v>5.4</v>
      </c>
    </row>
    <row r="212" spans="1:10">
      <c r="A212" t="s">
        <v>519</v>
      </c>
      <c r="B212" t="s">
        <v>353</v>
      </c>
      <c r="C212" t="s">
        <v>707</v>
      </c>
      <c r="D212" s="14">
        <v>45</v>
      </c>
      <c r="E212" s="14">
        <v>45</v>
      </c>
      <c r="F212" s="13">
        <v>45701.447916666664</v>
      </c>
      <c r="G212" t="s">
        <v>2</v>
      </c>
      <c r="H212" t="s">
        <v>475</v>
      </c>
      <c r="I212" t="str">
        <f>IF(B212=IFERROR(VLOOKUP(B212,base!$L$1:$L$9,1,0),""),"Produtos",IF(B212=IFERROR(VLOOKUP(B212,base!$K$2:$K$8,1,0),""),"Serviços","Combos"))</f>
        <v>Combos</v>
      </c>
      <c r="J212">
        <f t="shared" si="6"/>
        <v>20.25</v>
      </c>
    </row>
    <row r="213" spans="1:10">
      <c r="A213" t="s">
        <v>252</v>
      </c>
      <c r="B213" t="s">
        <v>159</v>
      </c>
      <c r="C213" t="s">
        <v>704</v>
      </c>
      <c r="D213" s="14">
        <v>40</v>
      </c>
      <c r="E213" s="14">
        <v>40</v>
      </c>
      <c r="F213" s="13">
        <v>45701.489583333336</v>
      </c>
      <c r="G213" t="s">
        <v>310</v>
      </c>
      <c r="H213" t="s">
        <v>372</v>
      </c>
      <c r="I213" t="str">
        <f>IF(B213=IFERROR(VLOOKUP(B213,base!$L$1:$L$9,1,0),""),"Produtos",IF(B213=IFERROR(VLOOKUP(B213,base!$K$2:$K$8,1,0),""),"Serviços","Combos"))</f>
        <v>Combos</v>
      </c>
      <c r="J213">
        <f t="shared" si="6"/>
        <v>18</v>
      </c>
    </row>
    <row r="214" spans="1:10">
      <c r="A214" t="s">
        <v>519</v>
      </c>
      <c r="B214" t="s">
        <v>163</v>
      </c>
      <c r="C214" t="s">
        <v>708</v>
      </c>
      <c r="D214" s="14">
        <v>35</v>
      </c>
      <c r="E214" s="14">
        <v>35</v>
      </c>
      <c r="F214" s="13">
        <v>45701.583333333336</v>
      </c>
      <c r="G214" t="s">
        <v>1</v>
      </c>
      <c r="H214" t="s">
        <v>476</v>
      </c>
      <c r="I214" t="str">
        <f>IF(B214=IFERROR(VLOOKUP(B214,base!$L$1:$L$9,1,0),""),"Produtos",IF(B214=IFERROR(VLOOKUP(B214,base!$K$2:$K$8,1,0),""),"Serviços","Combos"))</f>
        <v>Serviços</v>
      </c>
      <c r="J214">
        <f t="shared" si="6"/>
        <v>15.75</v>
      </c>
    </row>
    <row r="215" spans="1:10">
      <c r="A215" t="s">
        <v>252</v>
      </c>
      <c r="B215" t="s">
        <v>163</v>
      </c>
      <c r="C215" t="s">
        <v>705</v>
      </c>
      <c r="D215" s="14">
        <v>30</v>
      </c>
      <c r="E215" s="14">
        <v>0</v>
      </c>
      <c r="F215" s="13">
        <v>45701.604166666664</v>
      </c>
      <c r="G215" t="s">
        <v>1</v>
      </c>
      <c r="H215" t="s">
        <v>122</v>
      </c>
      <c r="I215" t="str">
        <f>IF(B215=IFERROR(VLOOKUP(B215,base!$L$1:$L$9,1,0),""),"Produtos",IF(B215=IFERROR(VLOOKUP(B215,base!$K$2:$K$8,1,0),""),"Serviços","Combos"))</f>
        <v>Serviços</v>
      </c>
      <c r="J215">
        <f t="shared" si="6"/>
        <v>13.5</v>
      </c>
    </row>
    <row r="216" spans="1:10">
      <c r="A216" t="s">
        <v>252</v>
      </c>
      <c r="B216" t="s">
        <v>163</v>
      </c>
      <c r="C216" t="s">
        <v>709</v>
      </c>
      <c r="D216" s="14">
        <v>35</v>
      </c>
      <c r="E216" s="14">
        <v>35</v>
      </c>
      <c r="F216" s="13">
        <v>45701.625</v>
      </c>
      <c r="G216" t="s">
        <v>310</v>
      </c>
      <c r="H216" t="s">
        <v>477</v>
      </c>
      <c r="I216" t="str">
        <f>IF(B216=IFERROR(VLOOKUP(B216,base!$L$1:$L$9,1,0),""),"Produtos",IF(B216=IFERROR(VLOOKUP(B216,base!$K$2:$K$8,1,0),""),"Serviços","Combos"))</f>
        <v>Serviços</v>
      </c>
      <c r="J216">
        <f t="shared" si="6"/>
        <v>15.75</v>
      </c>
    </row>
    <row r="217" spans="1:10">
      <c r="B217" t="s">
        <v>822</v>
      </c>
      <c r="C217" t="s">
        <v>815</v>
      </c>
      <c r="D217" s="14">
        <v>120</v>
      </c>
      <c r="E217" s="14">
        <v>120</v>
      </c>
      <c r="F217" s="13">
        <v>45701.692361111112</v>
      </c>
      <c r="G217" t="s">
        <v>354</v>
      </c>
    </row>
    <row r="218" spans="1:10">
      <c r="A218" t="s">
        <v>252</v>
      </c>
      <c r="B218" t="s">
        <v>353</v>
      </c>
      <c r="C218" t="s">
        <v>710</v>
      </c>
      <c r="D218" s="14">
        <v>55</v>
      </c>
      <c r="E218" s="14">
        <v>55</v>
      </c>
      <c r="F218" s="13">
        <v>45701.739583333336</v>
      </c>
      <c r="G218" t="s">
        <v>1</v>
      </c>
      <c r="H218" t="s">
        <v>478</v>
      </c>
      <c r="I218" t="str">
        <f>IF(B218=IFERROR(VLOOKUP(B218,base!$L$1:$L$9,1,0),""),"Produtos",IF(B218=IFERROR(VLOOKUP(B218,base!$K$2:$K$8,1,0),""),"Serviços","Combos"))</f>
        <v>Combos</v>
      </c>
      <c r="J218">
        <f>IF(AND(I218="Serviços",E218&gt;0),ROUND(D218*45%,2),IF(I218="Produtos",ROUND(D218*40%,2),D218*45%))</f>
        <v>24.75</v>
      </c>
    </row>
    <row r="219" spans="1:10">
      <c r="A219" t="s">
        <v>252</v>
      </c>
      <c r="B219" t="s">
        <v>163</v>
      </c>
      <c r="C219" t="s">
        <v>681</v>
      </c>
      <c r="D219" s="14">
        <v>30</v>
      </c>
      <c r="E219" s="14">
        <v>30</v>
      </c>
      <c r="F219" s="13">
        <v>45701.770833333336</v>
      </c>
      <c r="G219" t="s">
        <v>1</v>
      </c>
      <c r="H219" t="s">
        <v>364</v>
      </c>
      <c r="I219" t="str">
        <f>IF(B219=IFERROR(VLOOKUP(B219,base!$L$1:$L$9,1,0),""),"Produtos",IF(B219=IFERROR(VLOOKUP(B219,base!$K$2:$K$8,1,0),""),"Serviços","Combos"))</f>
        <v>Serviços</v>
      </c>
      <c r="J219">
        <f>IF(AND(I219="Serviços",E219&gt;0),ROUND(D219*45%,2),IF(I219="Produtos",ROUND(D219*40%,2),D219*45%))</f>
        <v>13.5</v>
      </c>
    </row>
    <row r="220" spans="1:10">
      <c r="A220" t="s">
        <v>252</v>
      </c>
      <c r="B220" t="s">
        <v>163</v>
      </c>
      <c r="C220" t="s">
        <v>711</v>
      </c>
      <c r="D220" s="14">
        <v>30</v>
      </c>
      <c r="E220" s="14">
        <v>0</v>
      </c>
      <c r="F220" s="13">
        <v>45701.791666666664</v>
      </c>
      <c r="G220" t="s">
        <v>1</v>
      </c>
      <c r="H220" t="s">
        <v>185</v>
      </c>
      <c r="I220" t="str">
        <f>IF(B220=IFERROR(VLOOKUP(B220,base!$L$1:$L$9,1,0),""),"Produtos",IF(B220=IFERROR(VLOOKUP(B220,base!$K$2:$K$8,1,0),""),"Serviços","Combos"))</f>
        <v>Serviços</v>
      </c>
      <c r="J220">
        <f>IF(AND(I220="Serviços",E220&gt;0),ROUND(D220*45%,2),IF(I220="Produtos",ROUND(D220*40%,2),D220*45%))</f>
        <v>13.5</v>
      </c>
    </row>
    <row r="221" spans="1:10">
      <c r="A221" t="s">
        <v>519</v>
      </c>
      <c r="B221" t="s">
        <v>353</v>
      </c>
      <c r="C221" t="s">
        <v>713</v>
      </c>
      <c r="D221" s="14">
        <v>55</v>
      </c>
      <c r="E221" s="14">
        <v>55</v>
      </c>
      <c r="F221" s="13">
        <v>45701.791666666664</v>
      </c>
      <c r="G221" t="s">
        <v>354</v>
      </c>
      <c r="H221" t="s">
        <v>479</v>
      </c>
      <c r="I221" t="str">
        <f>IF(B221=IFERROR(VLOOKUP(B221,base!$L$1:$L$9,1,0),""),"Produtos",IF(B221=IFERROR(VLOOKUP(B221,base!$K$2:$K$8,1,0),""),"Serviços","Combos"))</f>
        <v>Combos</v>
      </c>
      <c r="J221">
        <f>IF(AND(I221="Serviços",E221&gt;0),ROUND(D221*45%,2),IF(I221="Produtos",ROUND(D221*40%,2),D221*45%))</f>
        <v>24.75</v>
      </c>
    </row>
    <row r="222" spans="1:10">
      <c r="A222" t="s">
        <v>252</v>
      </c>
      <c r="B222" t="s">
        <v>161</v>
      </c>
      <c r="C222" t="s">
        <v>712</v>
      </c>
      <c r="D222" s="14">
        <v>35</v>
      </c>
      <c r="E222" s="14">
        <v>35</v>
      </c>
      <c r="F222" s="13">
        <v>45701.822916666664</v>
      </c>
      <c r="G222" t="s">
        <v>1</v>
      </c>
      <c r="H222" t="s">
        <v>376</v>
      </c>
      <c r="I222" t="str">
        <f>IF(B222=IFERROR(VLOOKUP(B222,base!$L$1:$L$9,1,0),""),"Produtos",IF(B222=IFERROR(VLOOKUP(B222,base!$K$2:$K$8,1,0),""),"Serviços","Combos"))</f>
        <v>Serviços</v>
      </c>
      <c r="J222">
        <f>IF(AND(I222="Serviços",E222&gt;0),ROUND(D222*45%,2),IF(I222="Produtos",ROUND(D222*40%,2),D222*45%))</f>
        <v>15.75</v>
      </c>
    </row>
    <row r="223" spans="1:10">
      <c r="B223" t="s">
        <v>822</v>
      </c>
      <c r="C223" t="s">
        <v>816</v>
      </c>
      <c r="D223" s="14">
        <v>120</v>
      </c>
      <c r="E223" s="14">
        <v>120</v>
      </c>
      <c r="F223" s="13">
        <v>45701.833333333336</v>
      </c>
      <c r="G223" t="s">
        <v>1</v>
      </c>
    </row>
    <row r="224" spans="1:10">
      <c r="A224" t="s">
        <v>252</v>
      </c>
      <c r="B224" t="s">
        <v>159</v>
      </c>
      <c r="C224" t="s">
        <v>716</v>
      </c>
      <c r="D224" s="14">
        <v>40</v>
      </c>
      <c r="E224" s="14">
        <v>40</v>
      </c>
      <c r="F224" s="13">
        <v>45702.381944444445</v>
      </c>
      <c r="G224" t="s">
        <v>1</v>
      </c>
      <c r="H224" t="s">
        <v>44</v>
      </c>
      <c r="I224" t="str">
        <f>IF(B224=IFERROR(VLOOKUP(B224,base!$L$1:$L$9,1,0),""),"Produtos",IF(B224=IFERROR(VLOOKUP(B224,base!$K$2:$K$8,1,0),""),"Serviços","Combos"))</f>
        <v>Combos</v>
      </c>
      <c r="J224">
        <f t="shared" ref="J224:J254" si="7">IF(AND(I224="Serviços",E224&gt;0),ROUND(D224*45%,2),IF(I224="Produtos",ROUND(D224*40%,2),D224*45%))</f>
        <v>18</v>
      </c>
    </row>
    <row r="225" spans="1:10">
      <c r="A225" t="s">
        <v>252</v>
      </c>
      <c r="B225" t="s">
        <v>159</v>
      </c>
      <c r="C225" t="s">
        <v>686</v>
      </c>
      <c r="D225" s="14">
        <v>40</v>
      </c>
      <c r="E225" s="14">
        <v>40</v>
      </c>
      <c r="F225" s="13">
        <v>45702.416666666664</v>
      </c>
      <c r="G225" t="s">
        <v>2</v>
      </c>
      <c r="H225" t="s">
        <v>480</v>
      </c>
      <c r="I225" t="str">
        <f>IF(B225=IFERROR(VLOOKUP(B225,base!$L$1:$L$9,1,0),""),"Produtos",IF(B225=IFERROR(VLOOKUP(B225,base!$K$2:$K$8,1,0),""),"Serviços","Combos"))</f>
        <v>Combos</v>
      </c>
      <c r="J225">
        <f t="shared" si="7"/>
        <v>18</v>
      </c>
    </row>
    <row r="226" spans="1:10">
      <c r="A226" t="s">
        <v>519</v>
      </c>
      <c r="B226" t="s">
        <v>163</v>
      </c>
      <c r="C226" t="s">
        <v>715</v>
      </c>
      <c r="D226" s="14">
        <v>35</v>
      </c>
      <c r="E226" s="14">
        <v>35</v>
      </c>
      <c r="F226" s="13">
        <v>45702.416666666664</v>
      </c>
      <c r="G226" t="s">
        <v>1</v>
      </c>
      <c r="H226" t="s">
        <v>481</v>
      </c>
      <c r="I226" t="str">
        <f>IF(B226=IFERROR(VLOOKUP(B226,base!$L$1:$L$9,1,0),""),"Produtos",IF(B226=IFERROR(VLOOKUP(B226,base!$K$2:$K$8,1,0),""),"Serviços","Combos"))</f>
        <v>Serviços</v>
      </c>
      <c r="J226">
        <f t="shared" si="7"/>
        <v>15.75</v>
      </c>
    </row>
    <row r="227" spans="1:10">
      <c r="A227" t="s">
        <v>252</v>
      </c>
      <c r="B227" t="s">
        <v>163</v>
      </c>
      <c r="C227" t="s">
        <v>695</v>
      </c>
      <c r="D227" s="14">
        <v>35</v>
      </c>
      <c r="E227" s="14">
        <v>35</v>
      </c>
      <c r="F227" s="13">
        <v>45702.4375</v>
      </c>
      <c r="G227" t="s">
        <v>1</v>
      </c>
      <c r="H227" t="s">
        <v>482</v>
      </c>
      <c r="I227" t="str">
        <f>IF(B227=IFERROR(VLOOKUP(B227,base!$L$1:$L$9,1,0),""),"Produtos",IF(B227=IFERROR(VLOOKUP(B227,base!$K$2:$K$8,1,0),""),"Serviços","Combos"))</f>
        <v>Serviços</v>
      </c>
      <c r="J227">
        <f t="shared" si="7"/>
        <v>15.75</v>
      </c>
    </row>
    <row r="228" spans="1:10">
      <c r="A228" t="s">
        <v>519</v>
      </c>
      <c r="B228" t="s">
        <v>163</v>
      </c>
      <c r="C228" t="s">
        <v>717</v>
      </c>
      <c r="D228" s="14">
        <v>35</v>
      </c>
      <c r="E228" s="14">
        <v>35</v>
      </c>
      <c r="F228" s="13">
        <v>45702.4375</v>
      </c>
      <c r="G228" t="s">
        <v>310</v>
      </c>
      <c r="H228" t="s">
        <v>71</v>
      </c>
      <c r="I228" t="str">
        <f>IF(B228=IFERROR(VLOOKUP(B228,base!$L$1:$L$9,1,0),""),"Produtos",IF(B228=IFERROR(VLOOKUP(B228,base!$K$2:$K$8,1,0),""),"Serviços","Combos"))</f>
        <v>Serviços</v>
      </c>
      <c r="J228">
        <f t="shared" si="7"/>
        <v>15.75</v>
      </c>
    </row>
    <row r="229" spans="1:10">
      <c r="A229" t="s">
        <v>252</v>
      </c>
      <c r="B229" t="s">
        <v>353</v>
      </c>
      <c r="C229" t="s">
        <v>714</v>
      </c>
      <c r="D229" s="14">
        <v>55</v>
      </c>
      <c r="E229" s="14">
        <v>55</v>
      </c>
      <c r="F229" s="13">
        <v>45702.458333333336</v>
      </c>
      <c r="G229" t="s">
        <v>354</v>
      </c>
      <c r="H229" t="s">
        <v>398</v>
      </c>
      <c r="I229" t="str">
        <f>IF(B229=IFERROR(VLOOKUP(B229,base!$L$1:$L$9,1,0),""),"Produtos",IF(B229=IFERROR(VLOOKUP(B229,base!$K$2:$K$8,1,0),""),"Serviços","Combos"))</f>
        <v>Combos</v>
      </c>
      <c r="J229">
        <f t="shared" si="7"/>
        <v>24.75</v>
      </c>
    </row>
    <row r="230" spans="1:10">
      <c r="A230" t="s">
        <v>536</v>
      </c>
      <c r="B230" t="s">
        <v>353</v>
      </c>
      <c r="C230" t="s">
        <v>720</v>
      </c>
      <c r="D230" s="14">
        <v>45</v>
      </c>
      <c r="E230" s="14">
        <v>45</v>
      </c>
      <c r="F230" s="13">
        <v>45702.46875</v>
      </c>
      <c r="G230" t="s">
        <v>2</v>
      </c>
      <c r="H230" t="s">
        <v>483</v>
      </c>
      <c r="I230" t="str">
        <f>IF(B230=IFERROR(VLOOKUP(B230,base!$L$1:$L$9,1,0),""),"Produtos",IF(B230=IFERROR(VLOOKUP(B230,base!$K$2:$K$8,1,0),""),"Serviços","Combos"))</f>
        <v>Combos</v>
      </c>
      <c r="J230">
        <f t="shared" si="7"/>
        <v>20.25</v>
      </c>
    </row>
    <row r="231" spans="1:10">
      <c r="A231" t="s">
        <v>519</v>
      </c>
      <c r="B231" t="s">
        <v>163</v>
      </c>
      <c r="C231" t="s">
        <v>719</v>
      </c>
      <c r="D231" s="14">
        <v>35</v>
      </c>
      <c r="E231" s="14">
        <v>35</v>
      </c>
      <c r="F231" s="13">
        <v>45702.479166666664</v>
      </c>
      <c r="G231" t="s">
        <v>1</v>
      </c>
      <c r="H231" t="s">
        <v>484</v>
      </c>
      <c r="I231" t="str">
        <f>IF(B231=IFERROR(VLOOKUP(B231,base!$L$1:$L$9,1,0),""),"Produtos",IF(B231=IFERROR(VLOOKUP(B231,base!$K$2:$K$8,1,0),""),"Serviços","Combos"))</f>
        <v>Serviços</v>
      </c>
      <c r="J231">
        <f t="shared" si="7"/>
        <v>15.75</v>
      </c>
    </row>
    <row r="232" spans="1:10">
      <c r="A232" t="s">
        <v>536</v>
      </c>
      <c r="B232" t="s">
        <v>163</v>
      </c>
      <c r="C232" t="s">
        <v>722</v>
      </c>
      <c r="D232" s="14">
        <v>35</v>
      </c>
      <c r="E232" s="14">
        <v>35</v>
      </c>
      <c r="F232" s="13">
        <v>45702.5</v>
      </c>
      <c r="G232" t="s">
        <v>310</v>
      </c>
      <c r="H232" t="s">
        <v>121</v>
      </c>
      <c r="I232" t="str">
        <f>IF(B232=IFERROR(VLOOKUP(B232,base!$L$1:$L$9,1,0),""),"Produtos",IF(B232=IFERROR(VLOOKUP(B232,base!$K$2:$K$8,1,0),""),"Serviços","Combos"))</f>
        <v>Serviços</v>
      </c>
      <c r="J232">
        <f t="shared" si="7"/>
        <v>15.75</v>
      </c>
    </row>
    <row r="233" spans="1:10">
      <c r="A233" t="s">
        <v>536</v>
      </c>
      <c r="B233" t="s">
        <v>352</v>
      </c>
      <c r="C233" t="s">
        <v>723</v>
      </c>
      <c r="D233" s="14">
        <v>20</v>
      </c>
      <c r="E233" s="14">
        <v>20</v>
      </c>
      <c r="F233" s="13">
        <v>45702.572916666664</v>
      </c>
      <c r="G233" t="s">
        <v>310</v>
      </c>
      <c r="H233" t="s">
        <v>382</v>
      </c>
      <c r="I233" t="str">
        <f>IF(B233=IFERROR(VLOOKUP(B233,base!$L$1:$L$9,1,0),""),"Produtos",IF(B233=IFERROR(VLOOKUP(B233,base!$K$2:$K$8,1,0),""),"Serviços","Combos"))</f>
        <v>Combos</v>
      </c>
      <c r="J233">
        <f t="shared" si="7"/>
        <v>9</v>
      </c>
    </row>
    <row r="234" spans="1:10">
      <c r="A234" t="s">
        <v>519</v>
      </c>
      <c r="B234" t="s">
        <v>163</v>
      </c>
      <c r="C234" t="s">
        <v>718</v>
      </c>
      <c r="D234" s="14">
        <v>35</v>
      </c>
      <c r="E234" s="14">
        <v>35</v>
      </c>
      <c r="F234" s="13">
        <v>45702.583333333336</v>
      </c>
      <c r="G234" t="s">
        <v>1</v>
      </c>
      <c r="H234" t="s">
        <v>485</v>
      </c>
      <c r="I234" t="str">
        <f>IF(B234=IFERROR(VLOOKUP(B234,base!$L$1:$L$9,1,0),""),"Produtos",IF(B234=IFERROR(VLOOKUP(B234,base!$K$2:$K$8,1,0),""),"Serviços","Combos"))</f>
        <v>Serviços</v>
      </c>
      <c r="J234">
        <f t="shared" si="7"/>
        <v>15.75</v>
      </c>
    </row>
    <row r="235" spans="1:10">
      <c r="A235" t="s">
        <v>536</v>
      </c>
      <c r="B235" t="s">
        <v>163</v>
      </c>
      <c r="C235" t="s">
        <v>663</v>
      </c>
      <c r="D235" s="14">
        <v>45</v>
      </c>
      <c r="E235" s="14">
        <v>45</v>
      </c>
      <c r="F235" s="13">
        <v>45702.625</v>
      </c>
      <c r="G235" t="s">
        <v>1</v>
      </c>
      <c r="H235" t="s">
        <v>486</v>
      </c>
      <c r="I235" t="str">
        <f>IF(B235=IFERROR(VLOOKUP(B235,base!$L$1:$L$9,1,0),""),"Produtos",IF(B235=IFERROR(VLOOKUP(B235,base!$K$2:$K$8,1,0),""),"Serviços","Combos"))</f>
        <v>Serviços</v>
      </c>
      <c r="J235">
        <f t="shared" si="7"/>
        <v>20.25</v>
      </c>
    </row>
    <row r="236" spans="1:10">
      <c r="A236" t="s">
        <v>519</v>
      </c>
      <c r="B236" t="s">
        <v>163</v>
      </c>
      <c r="C236" t="s">
        <v>724</v>
      </c>
      <c r="D236" s="14">
        <v>35</v>
      </c>
      <c r="E236" s="14">
        <v>35</v>
      </c>
      <c r="F236" s="13">
        <v>45702.625</v>
      </c>
      <c r="G236" t="s">
        <v>1</v>
      </c>
      <c r="H236" t="s">
        <v>282</v>
      </c>
      <c r="I236" t="str">
        <f>IF(B236=IFERROR(VLOOKUP(B236,base!$L$1:$L$9,1,0),""),"Produtos",IF(B236=IFERROR(VLOOKUP(B236,base!$K$2:$K$8,1,0),""),"Serviços","Combos"))</f>
        <v>Serviços</v>
      </c>
      <c r="J236">
        <f t="shared" si="7"/>
        <v>15.75</v>
      </c>
    </row>
    <row r="237" spans="1:10">
      <c r="A237" t="s">
        <v>252</v>
      </c>
      <c r="B237" t="s">
        <v>159</v>
      </c>
      <c r="C237" t="s">
        <v>727</v>
      </c>
      <c r="D237" s="14">
        <v>40</v>
      </c>
      <c r="E237" s="14">
        <v>40</v>
      </c>
      <c r="F237" s="13">
        <v>45702.635416666664</v>
      </c>
      <c r="G237" t="s">
        <v>1</v>
      </c>
      <c r="H237" t="s">
        <v>487</v>
      </c>
      <c r="I237" t="str">
        <f>IF(B237=IFERROR(VLOOKUP(B237,base!$L$1:$L$9,1,0),""),"Produtos",IF(B237=IFERROR(VLOOKUP(B237,base!$K$2:$K$8,1,0),""),"Serviços","Combos"))</f>
        <v>Combos</v>
      </c>
      <c r="J237">
        <f t="shared" si="7"/>
        <v>18</v>
      </c>
    </row>
    <row r="238" spans="1:10">
      <c r="A238" t="s">
        <v>519</v>
      </c>
      <c r="B238" t="s">
        <v>163</v>
      </c>
      <c r="C238" t="s">
        <v>728</v>
      </c>
      <c r="D238" s="14">
        <v>35</v>
      </c>
      <c r="E238" s="14">
        <v>35</v>
      </c>
      <c r="F238" s="13">
        <v>45702.645833333336</v>
      </c>
      <c r="G238" t="s">
        <v>1</v>
      </c>
      <c r="H238" t="s">
        <v>278</v>
      </c>
      <c r="I238" t="str">
        <f>IF(B238=IFERROR(VLOOKUP(B238,base!$L$1:$L$9,1,0),""),"Produtos",IF(B238=IFERROR(VLOOKUP(B238,base!$K$2:$K$8,1,0),""),"Serviços","Combos"))</f>
        <v>Serviços</v>
      </c>
      <c r="J238">
        <f t="shared" si="7"/>
        <v>15.75</v>
      </c>
    </row>
    <row r="239" spans="1:10">
      <c r="A239" t="s">
        <v>252</v>
      </c>
      <c r="B239" t="s">
        <v>163</v>
      </c>
      <c r="C239" t="s">
        <v>730</v>
      </c>
      <c r="D239" s="14">
        <v>35</v>
      </c>
      <c r="E239" s="14">
        <v>35</v>
      </c>
      <c r="F239" s="13">
        <v>45702.65625</v>
      </c>
      <c r="G239" t="s">
        <v>1</v>
      </c>
      <c r="H239" t="s">
        <v>488</v>
      </c>
      <c r="I239" t="str">
        <f>IF(B239=IFERROR(VLOOKUP(B239,base!$L$1:$L$9,1,0),""),"Produtos",IF(B239=IFERROR(VLOOKUP(B239,base!$K$2:$K$8,1,0),""),"Serviços","Combos"))</f>
        <v>Serviços</v>
      </c>
      <c r="J239">
        <f t="shared" si="7"/>
        <v>15.75</v>
      </c>
    </row>
    <row r="240" spans="1:10">
      <c r="A240" t="s">
        <v>252</v>
      </c>
      <c r="B240" t="s">
        <v>161</v>
      </c>
      <c r="C240" t="s">
        <v>731</v>
      </c>
      <c r="D240" s="14">
        <v>20</v>
      </c>
      <c r="E240" s="14">
        <v>25</v>
      </c>
      <c r="F240" s="13">
        <v>45702.6875</v>
      </c>
      <c r="G240" t="s">
        <v>310</v>
      </c>
      <c r="H240" t="s">
        <v>489</v>
      </c>
      <c r="I240" t="str">
        <f>IF(B240=IFERROR(VLOOKUP(B240,base!$L$1:$L$9,1,0),""),"Produtos",IF(B240=IFERROR(VLOOKUP(B240,base!$K$2:$K$8,1,0),""),"Serviços","Combos"))</f>
        <v>Serviços</v>
      </c>
      <c r="J240">
        <f t="shared" si="7"/>
        <v>9</v>
      </c>
    </row>
    <row r="241" spans="1:10">
      <c r="A241" t="s">
        <v>536</v>
      </c>
      <c r="B241" t="s">
        <v>353</v>
      </c>
      <c r="C241" t="s">
        <v>732</v>
      </c>
      <c r="D241" s="14">
        <v>55</v>
      </c>
      <c r="E241" s="14">
        <v>55</v>
      </c>
      <c r="F241" s="13">
        <v>45702.697916666664</v>
      </c>
      <c r="G241" t="s">
        <v>1</v>
      </c>
      <c r="H241" t="s">
        <v>290</v>
      </c>
      <c r="I241" t="str">
        <f>IF(B241=IFERROR(VLOOKUP(B241,base!$L$1:$L$9,1,0),""),"Produtos",IF(B241=IFERROR(VLOOKUP(B241,base!$K$2:$K$8,1,0),""),"Serviços","Combos"))</f>
        <v>Combos</v>
      </c>
      <c r="J241">
        <f t="shared" si="7"/>
        <v>24.75</v>
      </c>
    </row>
    <row r="242" spans="1:10">
      <c r="A242" t="s">
        <v>519</v>
      </c>
      <c r="B242" t="s">
        <v>353</v>
      </c>
      <c r="C242" t="s">
        <v>725</v>
      </c>
      <c r="D242" s="14">
        <v>50</v>
      </c>
      <c r="E242" s="14">
        <v>50</v>
      </c>
      <c r="F242" s="13">
        <v>45702.708333333336</v>
      </c>
      <c r="G242" t="s">
        <v>354</v>
      </c>
      <c r="H242" t="s">
        <v>490</v>
      </c>
      <c r="I242" t="str">
        <f>IF(B242=IFERROR(VLOOKUP(B242,base!$L$1:$L$9,1,0),""),"Produtos",IF(B242=IFERROR(VLOOKUP(B242,base!$K$2:$K$8,1,0),""),"Serviços","Combos"))</f>
        <v>Combos</v>
      </c>
      <c r="J242">
        <f t="shared" si="7"/>
        <v>22.5</v>
      </c>
    </row>
    <row r="243" spans="1:10">
      <c r="A243" t="s">
        <v>252</v>
      </c>
      <c r="B243" t="s">
        <v>160</v>
      </c>
      <c r="C243" t="s">
        <v>734</v>
      </c>
      <c r="D243" s="14">
        <v>12</v>
      </c>
      <c r="E243" s="14">
        <v>15</v>
      </c>
      <c r="F243" s="13">
        <v>45702.729166666664</v>
      </c>
      <c r="G243" t="s">
        <v>2</v>
      </c>
      <c r="H243" t="s">
        <v>491</v>
      </c>
      <c r="I243" t="str">
        <f>IF(B243=IFERROR(VLOOKUP(B243,base!$L$1:$L$9,1,0),""),"Produtos",IF(B243=IFERROR(VLOOKUP(B243,base!$K$2:$K$8,1,0),""),"Serviços","Combos"))</f>
        <v>Serviços</v>
      </c>
      <c r="J243">
        <f t="shared" si="7"/>
        <v>5.4</v>
      </c>
    </row>
    <row r="244" spans="1:10">
      <c r="A244" t="s">
        <v>536</v>
      </c>
      <c r="B244" t="s">
        <v>159</v>
      </c>
      <c r="C244" t="s">
        <v>735</v>
      </c>
      <c r="D244" s="14">
        <v>40</v>
      </c>
      <c r="E244" s="14">
        <v>40</v>
      </c>
      <c r="F244" s="13">
        <v>45702.770833333336</v>
      </c>
      <c r="G244" t="s">
        <v>1</v>
      </c>
      <c r="H244" t="s">
        <v>492</v>
      </c>
      <c r="I244" t="str">
        <f>IF(B244=IFERROR(VLOOKUP(B244,base!$L$1:$L$9,1,0),""),"Produtos",IF(B244=IFERROR(VLOOKUP(B244,base!$K$2:$K$8,1,0),""),"Serviços","Combos"))</f>
        <v>Combos</v>
      </c>
      <c r="J244">
        <f t="shared" si="7"/>
        <v>18</v>
      </c>
    </row>
    <row r="245" spans="1:10">
      <c r="A245" t="s">
        <v>252</v>
      </c>
      <c r="B245" t="s">
        <v>161</v>
      </c>
      <c r="C245" t="s">
        <v>736</v>
      </c>
      <c r="D245" s="14">
        <v>20</v>
      </c>
      <c r="E245" s="14">
        <v>25</v>
      </c>
      <c r="F245" s="13">
        <v>45702.774305555555</v>
      </c>
      <c r="G245" t="s">
        <v>1</v>
      </c>
      <c r="H245" t="s">
        <v>105</v>
      </c>
      <c r="I245" t="str">
        <f>IF(B245=IFERROR(VLOOKUP(B245,base!$L$1:$L$9,1,0),""),"Produtos",IF(B245=IFERROR(VLOOKUP(B245,base!$K$2:$K$8,1,0),""),"Serviços","Combos"))</f>
        <v>Serviços</v>
      </c>
      <c r="J245">
        <f t="shared" si="7"/>
        <v>9</v>
      </c>
    </row>
    <row r="246" spans="1:10">
      <c r="A246" t="s">
        <v>252</v>
      </c>
      <c r="B246" t="s">
        <v>163</v>
      </c>
      <c r="C246" t="s">
        <v>721</v>
      </c>
      <c r="D246" s="14">
        <v>35</v>
      </c>
      <c r="E246" s="14">
        <v>70</v>
      </c>
      <c r="F246" s="13">
        <v>45702.791666666664</v>
      </c>
      <c r="G246" t="s">
        <v>354</v>
      </c>
      <c r="H246" t="s">
        <v>493</v>
      </c>
      <c r="I246" t="str">
        <f>IF(B246=IFERROR(VLOOKUP(B246,base!$L$1:$L$9,1,0),""),"Produtos",IF(B246=IFERROR(VLOOKUP(B246,base!$K$2:$K$8,1,0),""),"Serviços","Combos"))</f>
        <v>Serviços</v>
      </c>
      <c r="J246">
        <f t="shared" si="7"/>
        <v>15.75</v>
      </c>
    </row>
    <row r="247" spans="1:10">
      <c r="A247" t="s">
        <v>252</v>
      </c>
      <c r="B247" t="s">
        <v>163</v>
      </c>
      <c r="C247" t="s">
        <v>721</v>
      </c>
      <c r="D247" s="14">
        <v>35</v>
      </c>
      <c r="F247" s="13">
        <v>45702.791666666664</v>
      </c>
      <c r="G247" t="s">
        <v>354</v>
      </c>
      <c r="H247" t="s">
        <v>493</v>
      </c>
      <c r="I247" t="str">
        <f>IF(B247=IFERROR(VLOOKUP(B247,base!$L$1:$L$9,1,0),""),"Produtos",IF(B247=IFERROR(VLOOKUP(B247,base!$K$2:$K$8,1,0),""),"Serviços","Combos"))</f>
        <v>Serviços</v>
      </c>
      <c r="J247">
        <f t="shared" si="7"/>
        <v>15.75</v>
      </c>
    </row>
    <row r="248" spans="1:10">
      <c r="A248" t="s">
        <v>519</v>
      </c>
      <c r="B248" t="s">
        <v>163</v>
      </c>
      <c r="C248" t="s">
        <v>729</v>
      </c>
      <c r="D248" s="14">
        <v>35</v>
      </c>
      <c r="E248" s="14">
        <v>35</v>
      </c>
      <c r="F248" s="13">
        <v>45702.791666666664</v>
      </c>
      <c r="G248" t="s">
        <v>2</v>
      </c>
      <c r="H248" t="s">
        <v>127</v>
      </c>
      <c r="I248" t="str">
        <f>IF(B248=IFERROR(VLOOKUP(B248,base!$L$1:$L$9,1,0),""),"Produtos",IF(B248=IFERROR(VLOOKUP(B248,base!$K$2:$K$8,1,0),""),"Serviços","Combos"))</f>
        <v>Serviços</v>
      </c>
      <c r="J248">
        <f t="shared" si="7"/>
        <v>15.75</v>
      </c>
    </row>
    <row r="249" spans="1:10">
      <c r="A249" t="s">
        <v>519</v>
      </c>
      <c r="B249" t="s">
        <v>159</v>
      </c>
      <c r="C249" t="s">
        <v>733</v>
      </c>
      <c r="D249" s="14">
        <v>40</v>
      </c>
      <c r="E249" s="14">
        <v>80</v>
      </c>
      <c r="F249" s="13">
        <v>45702.8125</v>
      </c>
      <c r="G249" t="s">
        <v>1</v>
      </c>
      <c r="H249" t="s">
        <v>28</v>
      </c>
      <c r="I249" t="str">
        <f>IF(B249=IFERROR(VLOOKUP(B249,base!$L$1:$L$9,1,0),""),"Produtos",IF(B249=IFERROR(VLOOKUP(B249,base!$K$2:$K$8,1,0),""),"Serviços","Combos"))</f>
        <v>Combos</v>
      </c>
      <c r="J249">
        <f t="shared" si="7"/>
        <v>18</v>
      </c>
    </row>
    <row r="250" spans="1:10">
      <c r="A250" t="s">
        <v>519</v>
      </c>
      <c r="B250" t="s">
        <v>472</v>
      </c>
      <c r="C250" t="s">
        <v>733</v>
      </c>
      <c r="D250" s="14">
        <v>40</v>
      </c>
      <c r="F250" s="13">
        <v>45702.8125</v>
      </c>
      <c r="G250" t="s">
        <v>1</v>
      </c>
      <c r="H250" t="s">
        <v>28</v>
      </c>
      <c r="I250" t="str">
        <f>IF(B250=IFERROR(VLOOKUP(B250,base!$L$1:$L$9,1,0),""),"Produtos",IF(B250=IFERROR(VLOOKUP(B250,base!$K$2:$K$8,1,0),""),"Serviços","Combos"))</f>
        <v>Produtos</v>
      </c>
      <c r="J250">
        <f t="shared" si="7"/>
        <v>16</v>
      </c>
    </row>
    <row r="251" spans="1:10">
      <c r="A251" t="s">
        <v>536</v>
      </c>
      <c r="B251" t="s">
        <v>163</v>
      </c>
      <c r="C251" t="s">
        <v>737</v>
      </c>
      <c r="D251" s="14">
        <v>35</v>
      </c>
      <c r="E251" s="14">
        <v>35</v>
      </c>
      <c r="F251" s="13">
        <v>45702.888888888891</v>
      </c>
      <c r="G251" t="s">
        <v>310</v>
      </c>
      <c r="H251" t="s">
        <v>494</v>
      </c>
      <c r="I251" t="str">
        <f>IF(B251=IFERROR(VLOOKUP(B251,base!$L$1:$L$9,1,0),""),"Produtos",IF(B251=IFERROR(VLOOKUP(B251,base!$K$2:$K$8,1,0),""),"Serviços","Combos"))</f>
        <v>Serviços</v>
      </c>
      <c r="J251">
        <f t="shared" si="7"/>
        <v>15.75</v>
      </c>
    </row>
    <row r="252" spans="1:10">
      <c r="A252" t="s">
        <v>536</v>
      </c>
      <c r="B252" t="s">
        <v>163</v>
      </c>
      <c r="C252" t="s">
        <v>738</v>
      </c>
      <c r="D252" s="14">
        <v>35</v>
      </c>
      <c r="E252" s="14">
        <v>35</v>
      </c>
      <c r="F252" s="13">
        <v>45702.888888888891</v>
      </c>
      <c r="G252" t="s">
        <v>1</v>
      </c>
      <c r="H252" t="s">
        <v>495</v>
      </c>
      <c r="I252" t="str">
        <f>IF(B252=IFERROR(VLOOKUP(B252,base!$L$1:$L$9,1,0),""),"Produtos",IF(B252=IFERROR(VLOOKUP(B252,base!$K$2:$K$8,1,0),""),"Serviços","Combos"))</f>
        <v>Serviços</v>
      </c>
      <c r="J252">
        <f t="shared" si="7"/>
        <v>15.75</v>
      </c>
    </row>
    <row r="253" spans="1:10">
      <c r="A253" t="s">
        <v>519</v>
      </c>
      <c r="B253" t="s">
        <v>163</v>
      </c>
      <c r="C253" t="s">
        <v>739</v>
      </c>
      <c r="D253" s="14">
        <v>30</v>
      </c>
      <c r="E253" s="14">
        <v>10</v>
      </c>
      <c r="F253" s="13">
        <v>45702.909722222219</v>
      </c>
      <c r="G253" t="s">
        <v>354</v>
      </c>
      <c r="H253" t="s">
        <v>95</v>
      </c>
      <c r="I253" t="str">
        <f>IF(B253=IFERROR(VLOOKUP(B253,base!$L$1:$L$9,1,0),""),"Produtos",IF(B253=IFERROR(VLOOKUP(B253,base!$K$2:$K$8,1,0),""),"Serviços","Combos"))</f>
        <v>Serviços</v>
      </c>
      <c r="J253">
        <f t="shared" si="7"/>
        <v>13.5</v>
      </c>
    </row>
    <row r="254" spans="1:10">
      <c r="A254" t="s">
        <v>519</v>
      </c>
      <c r="B254" t="s">
        <v>166</v>
      </c>
      <c r="C254" t="s">
        <v>739</v>
      </c>
      <c r="D254" s="14">
        <v>10</v>
      </c>
      <c r="F254" s="13">
        <v>45702.909722222219</v>
      </c>
      <c r="G254" t="s">
        <v>354</v>
      </c>
      <c r="H254" t="s">
        <v>95</v>
      </c>
      <c r="I254" t="str">
        <f>IF(B254=IFERROR(VLOOKUP(B254,base!$L$1:$L$9,1,0),""),"Produtos",IF(B254=IFERROR(VLOOKUP(B254,base!$K$2:$K$8,1,0),""),"Serviços","Combos"))</f>
        <v>Serviços</v>
      </c>
      <c r="J254">
        <f t="shared" si="7"/>
        <v>4.5</v>
      </c>
    </row>
    <row r="255" spans="1:10">
      <c r="B255" t="s">
        <v>822</v>
      </c>
      <c r="C255" t="s">
        <v>817</v>
      </c>
      <c r="D255" s="14">
        <v>120</v>
      </c>
      <c r="E255" s="14">
        <v>120</v>
      </c>
      <c r="F255" s="13">
        <v>45702.911111111112</v>
      </c>
      <c r="G255" t="s">
        <v>354</v>
      </c>
    </row>
    <row r="256" spans="1:10">
      <c r="A256" t="s">
        <v>536</v>
      </c>
      <c r="B256" t="s">
        <v>163</v>
      </c>
      <c r="C256" t="s">
        <v>740</v>
      </c>
      <c r="D256" s="14">
        <v>35</v>
      </c>
      <c r="E256" s="14">
        <v>35</v>
      </c>
      <c r="F256" s="13">
        <v>45702.916666666664</v>
      </c>
      <c r="G256" t="s">
        <v>1</v>
      </c>
      <c r="H256" t="s">
        <v>496</v>
      </c>
      <c r="I256" t="str">
        <f>IF(B256=IFERROR(VLOOKUP(B256,base!$L$1:$L$9,1,0),""),"Produtos",IF(B256=IFERROR(VLOOKUP(B256,base!$K$2:$K$8,1,0),""),"Serviços","Combos"))</f>
        <v>Serviços</v>
      </c>
      <c r="J256">
        <f t="shared" ref="J256:J278" si="8">IF(AND(I256="Serviços",E256&gt;0),ROUND(D256*45%,2),IF(I256="Produtos",ROUND(D256*40%,2),D256*45%))</f>
        <v>15.75</v>
      </c>
    </row>
    <row r="257" spans="1:10">
      <c r="A257" t="s">
        <v>252</v>
      </c>
      <c r="B257" t="s">
        <v>163</v>
      </c>
      <c r="C257" t="s">
        <v>726</v>
      </c>
      <c r="D257" s="14">
        <v>35</v>
      </c>
      <c r="E257" s="14">
        <v>35</v>
      </c>
      <c r="F257" s="13">
        <v>45703.416666666664</v>
      </c>
      <c r="G257" t="s">
        <v>1</v>
      </c>
      <c r="H257" t="s">
        <v>22</v>
      </c>
      <c r="I257" t="str">
        <f>IF(B257=IFERROR(VLOOKUP(B257,base!$L$1:$L$9,1,0),""),"Produtos",IF(B257=IFERROR(VLOOKUP(B257,base!$K$2:$K$8,1,0),""),"Serviços","Combos"))</f>
        <v>Serviços</v>
      </c>
      <c r="J257">
        <f t="shared" si="8"/>
        <v>15.75</v>
      </c>
    </row>
    <row r="258" spans="1:10">
      <c r="A258" t="s">
        <v>519</v>
      </c>
      <c r="B258" t="s">
        <v>163</v>
      </c>
      <c r="C258" t="s">
        <v>741</v>
      </c>
      <c r="D258" s="14">
        <v>35</v>
      </c>
      <c r="E258" s="14">
        <v>70</v>
      </c>
      <c r="F258" s="13">
        <v>45703.416666666664</v>
      </c>
      <c r="G258" t="s">
        <v>1</v>
      </c>
      <c r="H258" t="s">
        <v>13</v>
      </c>
      <c r="I258" t="str">
        <f>IF(B258=IFERROR(VLOOKUP(B258,base!$L$1:$L$9,1,0),""),"Produtos",IF(B258=IFERROR(VLOOKUP(B258,base!$K$2:$K$8,1,0),""),"Serviços","Combos"))</f>
        <v>Serviços</v>
      </c>
      <c r="J258">
        <f t="shared" si="8"/>
        <v>15.75</v>
      </c>
    </row>
    <row r="259" spans="1:10">
      <c r="A259" t="s">
        <v>519</v>
      </c>
      <c r="B259" t="s">
        <v>163</v>
      </c>
      <c r="C259" t="s">
        <v>741</v>
      </c>
      <c r="D259" s="14">
        <v>35</v>
      </c>
      <c r="F259" s="13">
        <v>45703.416666666664</v>
      </c>
      <c r="G259" t="s">
        <v>1</v>
      </c>
      <c r="H259" t="s">
        <v>13</v>
      </c>
      <c r="I259" t="str">
        <f>IF(B259=IFERROR(VLOOKUP(B259,base!$L$1:$L$9,1,0),""),"Produtos",IF(B259=IFERROR(VLOOKUP(B259,base!$K$2:$K$8,1,0),""),"Serviços","Combos"))</f>
        <v>Serviços</v>
      </c>
      <c r="J259">
        <f t="shared" si="8"/>
        <v>15.75</v>
      </c>
    </row>
    <row r="260" spans="1:10">
      <c r="A260" t="s">
        <v>252</v>
      </c>
      <c r="B260" t="s">
        <v>159</v>
      </c>
      <c r="C260" t="s">
        <v>744</v>
      </c>
      <c r="D260" s="14">
        <v>40</v>
      </c>
      <c r="E260" s="14">
        <v>40</v>
      </c>
      <c r="F260" s="13">
        <v>45703.447916666664</v>
      </c>
      <c r="G260" t="s">
        <v>2</v>
      </c>
      <c r="H260" t="s">
        <v>72</v>
      </c>
      <c r="I260" t="str">
        <f>IF(B260=IFERROR(VLOOKUP(B260,base!$L$1:$L$9,1,0),""),"Produtos",IF(B260=IFERROR(VLOOKUP(B260,base!$K$2:$K$8,1,0),""),"Serviços","Combos"))</f>
        <v>Combos</v>
      </c>
      <c r="J260">
        <f t="shared" si="8"/>
        <v>18</v>
      </c>
    </row>
    <row r="261" spans="1:10">
      <c r="A261" t="s">
        <v>536</v>
      </c>
      <c r="B261" t="s">
        <v>162</v>
      </c>
      <c r="C261" t="s">
        <v>766</v>
      </c>
      <c r="D261" s="14">
        <v>15</v>
      </c>
      <c r="E261" s="14">
        <v>15</v>
      </c>
      <c r="F261" s="13">
        <v>45703.447916666664</v>
      </c>
      <c r="G261" t="s">
        <v>2</v>
      </c>
      <c r="H261" t="s">
        <v>382</v>
      </c>
      <c r="I261" t="str">
        <f>IF(B261=IFERROR(VLOOKUP(B261,base!$L$1:$L$9,1,0),""),"Produtos",IF(B261=IFERROR(VLOOKUP(B261,base!$K$2:$K$8,1,0),""),"Serviços","Combos"))</f>
        <v>Serviços</v>
      </c>
      <c r="J261">
        <f t="shared" si="8"/>
        <v>6.75</v>
      </c>
    </row>
    <row r="262" spans="1:10">
      <c r="A262" t="s">
        <v>519</v>
      </c>
      <c r="B262" t="s">
        <v>353</v>
      </c>
      <c r="C262" t="s">
        <v>743</v>
      </c>
      <c r="D262" s="14">
        <v>55</v>
      </c>
      <c r="E262" s="14">
        <v>55</v>
      </c>
      <c r="F262" s="13">
        <v>45703.46875</v>
      </c>
      <c r="G262" t="s">
        <v>310</v>
      </c>
      <c r="H262" t="s">
        <v>387</v>
      </c>
      <c r="I262" t="str">
        <f>IF(B262=IFERROR(VLOOKUP(B262,base!$L$1:$L$9,1,0),""),"Produtos",IF(B262=IFERROR(VLOOKUP(B262,base!$K$2:$K$8,1,0),""),"Serviços","Combos"))</f>
        <v>Combos</v>
      </c>
      <c r="J262">
        <f t="shared" si="8"/>
        <v>24.75</v>
      </c>
    </row>
    <row r="263" spans="1:10">
      <c r="A263" t="s">
        <v>252</v>
      </c>
      <c r="B263" t="s">
        <v>163</v>
      </c>
      <c r="C263" t="s">
        <v>745</v>
      </c>
      <c r="D263" s="14">
        <v>35</v>
      </c>
      <c r="E263" s="14">
        <v>35</v>
      </c>
      <c r="F263" s="13">
        <v>45703.46875</v>
      </c>
      <c r="G263" t="s">
        <v>310</v>
      </c>
      <c r="H263" t="s">
        <v>107</v>
      </c>
      <c r="I263" t="str">
        <f>IF(B263=IFERROR(VLOOKUP(B263,base!$L$1:$L$9,1,0),""),"Produtos",IF(B263=IFERROR(VLOOKUP(B263,base!$K$2:$K$8,1,0),""),"Serviços","Combos"))</f>
        <v>Serviços</v>
      </c>
      <c r="J263">
        <f t="shared" si="8"/>
        <v>15.75</v>
      </c>
    </row>
    <row r="264" spans="1:10">
      <c r="A264" t="s">
        <v>536</v>
      </c>
      <c r="B264" t="s">
        <v>163</v>
      </c>
      <c r="C264" t="s">
        <v>746</v>
      </c>
      <c r="D264" s="14">
        <v>35</v>
      </c>
      <c r="E264" s="14">
        <v>35</v>
      </c>
      <c r="F264" s="13">
        <v>45703.46875</v>
      </c>
      <c r="G264" t="s">
        <v>1</v>
      </c>
      <c r="H264" t="s">
        <v>497</v>
      </c>
      <c r="I264" t="str">
        <f>IF(B264=IFERROR(VLOOKUP(B264,base!$L$1:$L$9,1,0),""),"Produtos",IF(B264=IFERROR(VLOOKUP(B264,base!$K$2:$K$8,1,0),""),"Serviços","Combos"))</f>
        <v>Serviços</v>
      </c>
      <c r="J264">
        <f t="shared" si="8"/>
        <v>15.75</v>
      </c>
    </row>
    <row r="265" spans="1:10">
      <c r="A265" t="s">
        <v>536</v>
      </c>
      <c r="B265" t="s">
        <v>161</v>
      </c>
      <c r="C265" t="s">
        <v>748</v>
      </c>
      <c r="D265" s="14">
        <v>20</v>
      </c>
      <c r="E265" s="14">
        <v>20</v>
      </c>
      <c r="F265" s="13">
        <v>45703.489583333336</v>
      </c>
      <c r="G265" t="s">
        <v>310</v>
      </c>
      <c r="H265" t="s">
        <v>498</v>
      </c>
      <c r="I265" t="str">
        <f>IF(B265=IFERROR(VLOOKUP(B265,base!$L$1:$L$9,1,0),""),"Produtos",IF(B265=IFERROR(VLOOKUP(B265,base!$K$2:$K$8,1,0),""),"Serviços","Combos"))</f>
        <v>Serviços</v>
      </c>
      <c r="J265">
        <f t="shared" si="8"/>
        <v>9</v>
      </c>
    </row>
    <row r="266" spans="1:10">
      <c r="A266" t="s">
        <v>252</v>
      </c>
      <c r="B266" t="s">
        <v>163</v>
      </c>
      <c r="C266" t="s">
        <v>742</v>
      </c>
      <c r="D266" s="14">
        <v>35</v>
      </c>
      <c r="E266" s="14">
        <v>35</v>
      </c>
      <c r="F266" s="13">
        <v>45703.520833333336</v>
      </c>
      <c r="G266" t="s">
        <v>1</v>
      </c>
      <c r="H266" t="s">
        <v>73</v>
      </c>
      <c r="I266" t="str">
        <f>IF(B266=IFERROR(VLOOKUP(B266,base!$L$1:$L$9,1,0),""),"Produtos",IF(B266=IFERROR(VLOOKUP(B266,base!$K$2:$K$8,1,0),""),"Serviços","Combos"))</f>
        <v>Serviços</v>
      </c>
      <c r="J266">
        <f t="shared" si="8"/>
        <v>15.75</v>
      </c>
    </row>
    <row r="267" spans="1:10">
      <c r="A267" t="s">
        <v>519</v>
      </c>
      <c r="B267" t="s">
        <v>163</v>
      </c>
      <c r="C267" t="s">
        <v>750</v>
      </c>
      <c r="D267" s="14">
        <v>30</v>
      </c>
      <c r="E267" s="14">
        <v>0</v>
      </c>
      <c r="F267" s="13">
        <v>45703.53125</v>
      </c>
      <c r="G267" t="s">
        <v>1</v>
      </c>
      <c r="H267" t="s">
        <v>83</v>
      </c>
      <c r="I267" t="str">
        <f>IF(B267=IFERROR(VLOOKUP(B267,base!$L$1:$L$9,1,0),""),"Produtos",IF(B267=IFERROR(VLOOKUP(B267,base!$K$2:$K$8,1,0),""),"Serviços","Combos"))</f>
        <v>Serviços</v>
      </c>
      <c r="J267">
        <f t="shared" si="8"/>
        <v>13.5</v>
      </c>
    </row>
    <row r="268" spans="1:10">
      <c r="A268" t="s">
        <v>519</v>
      </c>
      <c r="B268" t="s">
        <v>353</v>
      </c>
      <c r="C268" t="s">
        <v>747</v>
      </c>
      <c r="D268" s="14">
        <v>55</v>
      </c>
      <c r="E268" s="14">
        <v>55</v>
      </c>
      <c r="F268" s="13">
        <v>45703.5625</v>
      </c>
      <c r="G268" t="s">
        <v>1</v>
      </c>
      <c r="H268" t="s">
        <v>88</v>
      </c>
      <c r="I268" t="str">
        <f>IF(B268=IFERROR(VLOOKUP(B268,base!$L$1:$L$9,1,0),""),"Produtos",IF(B268=IFERROR(VLOOKUP(B268,base!$K$2:$K$8,1,0),""),"Serviços","Combos"))</f>
        <v>Combos</v>
      </c>
      <c r="J268">
        <f t="shared" si="8"/>
        <v>24.75</v>
      </c>
    </row>
    <row r="269" spans="1:10">
      <c r="A269" t="s">
        <v>252</v>
      </c>
      <c r="B269" t="s">
        <v>163</v>
      </c>
      <c r="C269" t="s">
        <v>752</v>
      </c>
      <c r="D269" s="14">
        <v>35</v>
      </c>
      <c r="E269" s="14">
        <v>20</v>
      </c>
      <c r="F269" s="13">
        <v>45703.604166666664</v>
      </c>
      <c r="G269" t="s">
        <v>354</v>
      </c>
      <c r="H269" t="s">
        <v>499</v>
      </c>
      <c r="I269" t="str">
        <f>IF(B269=IFERROR(VLOOKUP(B269,base!$L$1:$L$9,1,0),""),"Produtos",IF(B269=IFERROR(VLOOKUP(B269,base!$K$2:$K$8,1,0),""),"Serviços","Combos"))</f>
        <v>Serviços</v>
      </c>
      <c r="J269">
        <f t="shared" si="8"/>
        <v>15.75</v>
      </c>
    </row>
    <row r="270" spans="1:10">
      <c r="A270" t="s">
        <v>252</v>
      </c>
      <c r="B270" t="s">
        <v>163</v>
      </c>
      <c r="C270" t="s">
        <v>751</v>
      </c>
      <c r="D270" s="14">
        <v>30</v>
      </c>
      <c r="E270" s="14">
        <v>0</v>
      </c>
      <c r="F270" s="13">
        <v>45703.625</v>
      </c>
      <c r="G270" t="s">
        <v>1</v>
      </c>
      <c r="H270" t="s">
        <v>400</v>
      </c>
      <c r="I270" t="str">
        <f>IF(B270=IFERROR(VLOOKUP(B270,base!$L$1:$L$9,1,0),""),"Produtos",IF(B270=IFERROR(VLOOKUP(B270,base!$K$2:$K$8,1,0),""),"Serviços","Combos"))</f>
        <v>Serviços</v>
      </c>
      <c r="J270">
        <f t="shared" si="8"/>
        <v>13.5</v>
      </c>
    </row>
    <row r="271" spans="1:10">
      <c r="A271" t="s">
        <v>252</v>
      </c>
      <c r="B271" t="s">
        <v>163</v>
      </c>
      <c r="C271" t="s">
        <v>749</v>
      </c>
      <c r="D271" s="14">
        <v>35</v>
      </c>
      <c r="E271" s="14">
        <v>35</v>
      </c>
      <c r="F271" s="13">
        <v>45703.645833333336</v>
      </c>
      <c r="G271" t="s">
        <v>354</v>
      </c>
      <c r="H271" t="s">
        <v>296</v>
      </c>
      <c r="I271" t="str">
        <f>IF(B271=IFERROR(VLOOKUP(B271,base!$L$1:$L$9,1,0),""),"Produtos",IF(B271=IFERROR(VLOOKUP(B271,base!$K$2:$K$8,1,0),""),"Serviços","Combos"))</f>
        <v>Serviços</v>
      </c>
      <c r="J271">
        <f t="shared" si="8"/>
        <v>15.75</v>
      </c>
    </row>
    <row r="272" spans="1:10">
      <c r="A272" t="s">
        <v>519</v>
      </c>
      <c r="B272" t="s">
        <v>163</v>
      </c>
      <c r="C272" t="s">
        <v>753</v>
      </c>
      <c r="D272" s="14">
        <v>35</v>
      </c>
      <c r="E272" s="14">
        <v>35</v>
      </c>
      <c r="F272" s="13">
        <v>45703.645833333336</v>
      </c>
      <c r="G272" t="s">
        <v>1</v>
      </c>
      <c r="H272" t="s">
        <v>500</v>
      </c>
      <c r="I272" t="str">
        <f>IF(B272=IFERROR(VLOOKUP(B272,base!$L$1:$L$9,1,0),""),"Produtos",IF(B272=IFERROR(VLOOKUP(B272,base!$K$2:$K$8,1,0),""),"Serviços","Combos"))</f>
        <v>Serviços</v>
      </c>
      <c r="J272">
        <f t="shared" si="8"/>
        <v>15.75</v>
      </c>
    </row>
    <row r="273" spans="1:10">
      <c r="A273" t="s">
        <v>536</v>
      </c>
      <c r="B273" t="s">
        <v>163</v>
      </c>
      <c r="C273" t="s">
        <v>754</v>
      </c>
      <c r="D273" s="14">
        <v>35</v>
      </c>
      <c r="E273" s="14">
        <v>35</v>
      </c>
      <c r="F273" s="13">
        <v>45703.65625</v>
      </c>
      <c r="G273" t="s">
        <v>1</v>
      </c>
      <c r="H273" t="s">
        <v>501</v>
      </c>
      <c r="I273" t="str">
        <f>IF(B273=IFERROR(VLOOKUP(B273,base!$L$1:$L$9,1,0),""),"Produtos",IF(B273=IFERROR(VLOOKUP(B273,base!$K$2:$K$8,1,0),""),"Serviços","Combos"))</f>
        <v>Serviços</v>
      </c>
      <c r="J273">
        <f t="shared" si="8"/>
        <v>15.75</v>
      </c>
    </row>
    <row r="274" spans="1:10">
      <c r="A274" t="s">
        <v>519</v>
      </c>
      <c r="B274" t="s">
        <v>163</v>
      </c>
      <c r="C274" t="s">
        <v>756</v>
      </c>
      <c r="D274" s="14">
        <v>30</v>
      </c>
      <c r="E274" s="14">
        <v>0</v>
      </c>
      <c r="F274" s="13">
        <v>45703.677083333336</v>
      </c>
      <c r="G274" t="s">
        <v>1</v>
      </c>
      <c r="H274" t="s">
        <v>414</v>
      </c>
      <c r="I274" t="str">
        <f>IF(B274=IFERROR(VLOOKUP(B274,base!$L$1:$L$9,1,0),""),"Produtos",IF(B274=IFERROR(VLOOKUP(B274,base!$K$2:$K$8,1,0),""),"Serviços","Combos"))</f>
        <v>Serviços</v>
      </c>
      <c r="J274">
        <f t="shared" si="8"/>
        <v>13.5</v>
      </c>
    </row>
    <row r="275" spans="1:10">
      <c r="A275" t="s">
        <v>519</v>
      </c>
      <c r="B275" t="s">
        <v>163</v>
      </c>
      <c r="C275" t="s">
        <v>758</v>
      </c>
      <c r="D275" s="14">
        <v>30</v>
      </c>
      <c r="E275" s="14">
        <v>0</v>
      </c>
      <c r="F275" s="13">
        <v>45703.697916666664</v>
      </c>
      <c r="G275" t="s">
        <v>1</v>
      </c>
      <c r="H275" t="s">
        <v>405</v>
      </c>
      <c r="I275" t="str">
        <f>IF(B275=IFERROR(VLOOKUP(B275,base!$L$1:$L$9,1,0),""),"Produtos",IF(B275=IFERROR(VLOOKUP(B275,base!$K$2:$K$8,1,0),""),"Serviços","Combos"))</f>
        <v>Serviços</v>
      </c>
      <c r="J275">
        <f t="shared" si="8"/>
        <v>13.5</v>
      </c>
    </row>
    <row r="276" spans="1:10">
      <c r="A276" t="s">
        <v>536</v>
      </c>
      <c r="B276" t="s">
        <v>353</v>
      </c>
      <c r="C276" t="s">
        <v>757</v>
      </c>
      <c r="D276" s="14">
        <v>50</v>
      </c>
      <c r="E276" s="14">
        <v>50</v>
      </c>
      <c r="F276" s="13">
        <v>45703.708333333336</v>
      </c>
      <c r="G276" t="s">
        <v>1</v>
      </c>
      <c r="H276" t="s">
        <v>502</v>
      </c>
      <c r="I276" t="str">
        <f>IF(B276=IFERROR(VLOOKUP(B276,base!$L$1:$L$9,1,0),""),"Produtos",IF(B276=IFERROR(VLOOKUP(B276,base!$K$2:$K$8,1,0),""),"Serviços","Combos"))</f>
        <v>Combos</v>
      </c>
      <c r="J276">
        <f t="shared" si="8"/>
        <v>22.5</v>
      </c>
    </row>
    <row r="277" spans="1:10">
      <c r="A277" t="s">
        <v>519</v>
      </c>
      <c r="B277" t="s">
        <v>163</v>
      </c>
      <c r="C277" t="s">
        <v>759</v>
      </c>
      <c r="D277" s="14">
        <v>35</v>
      </c>
      <c r="E277" s="14">
        <v>35</v>
      </c>
      <c r="F277" s="13">
        <v>45703.71875</v>
      </c>
      <c r="G277" t="s">
        <v>1</v>
      </c>
      <c r="H277" t="s">
        <v>35</v>
      </c>
      <c r="I277" t="str">
        <f>IF(B277=IFERROR(VLOOKUP(B277,base!$L$1:$L$9,1,0),""),"Produtos",IF(B277=IFERROR(VLOOKUP(B277,base!$K$2:$K$8,1,0),""),"Serviços","Combos"))</f>
        <v>Serviços</v>
      </c>
      <c r="J277">
        <f t="shared" si="8"/>
        <v>15.75</v>
      </c>
    </row>
    <row r="278" spans="1:10">
      <c r="A278" t="s">
        <v>252</v>
      </c>
      <c r="B278" t="s">
        <v>163</v>
      </c>
      <c r="C278" t="s">
        <v>755</v>
      </c>
      <c r="D278" s="14">
        <v>35</v>
      </c>
      <c r="E278" s="14">
        <v>35</v>
      </c>
      <c r="F278" s="13">
        <v>45703.729166666664</v>
      </c>
      <c r="G278" t="s">
        <v>1</v>
      </c>
      <c r="H278" t="s">
        <v>503</v>
      </c>
      <c r="I278" t="str">
        <f>IF(B278=IFERROR(VLOOKUP(B278,base!$L$1:$L$9,1,0),""),"Produtos",IF(B278=IFERROR(VLOOKUP(B278,base!$K$2:$K$8,1,0),""),"Serviços","Combos"))</f>
        <v>Serviços</v>
      </c>
      <c r="J278">
        <f t="shared" si="8"/>
        <v>15.75</v>
      </c>
    </row>
    <row r="279" spans="1:10">
      <c r="B279" t="s">
        <v>822</v>
      </c>
      <c r="C279" t="s">
        <v>818</v>
      </c>
      <c r="D279" s="14">
        <v>120</v>
      </c>
      <c r="E279" s="14">
        <v>120</v>
      </c>
      <c r="F279" s="13">
        <v>45703.731249999997</v>
      </c>
      <c r="G279" t="s">
        <v>1</v>
      </c>
    </row>
    <row r="280" spans="1:10">
      <c r="A280" t="s">
        <v>536</v>
      </c>
      <c r="B280" t="s">
        <v>159</v>
      </c>
      <c r="C280" t="s">
        <v>760</v>
      </c>
      <c r="D280" s="14">
        <v>40</v>
      </c>
      <c r="E280" s="14">
        <v>40</v>
      </c>
      <c r="F280" s="13">
        <v>45703.739583333336</v>
      </c>
      <c r="G280" t="s">
        <v>310</v>
      </c>
      <c r="H280" t="s">
        <v>504</v>
      </c>
      <c r="I280" t="str">
        <f>IF(B280=IFERROR(VLOOKUP(B280,base!$L$1:$L$9,1,0),""),"Produtos",IF(B280=IFERROR(VLOOKUP(B280,base!$K$2:$K$8,1,0),""),"Serviços","Combos"))</f>
        <v>Combos</v>
      </c>
      <c r="J280">
        <f t="shared" ref="J280:J343" si="9">IF(AND(I280="Serviços",E280&gt;0),ROUND(D280*45%,2),IF(I280="Produtos",ROUND(D280*40%,2),D280*45%))</f>
        <v>18</v>
      </c>
    </row>
    <row r="281" spans="1:10">
      <c r="A281" t="s">
        <v>252</v>
      </c>
      <c r="B281" t="s">
        <v>163</v>
      </c>
      <c r="C281" t="s">
        <v>762</v>
      </c>
      <c r="D281" s="14">
        <v>35</v>
      </c>
      <c r="E281" s="14">
        <v>35</v>
      </c>
      <c r="F281" s="13">
        <v>45703.760416666664</v>
      </c>
      <c r="G281" t="s">
        <v>1</v>
      </c>
      <c r="H281" t="s">
        <v>273</v>
      </c>
      <c r="I281" t="str">
        <f>IF(B281=IFERROR(VLOOKUP(B281,base!$L$1:$L$9,1,0),""),"Produtos",IF(B281=IFERROR(VLOOKUP(B281,base!$K$2:$K$8,1,0),""),"Serviços","Combos"))</f>
        <v>Serviços</v>
      </c>
      <c r="J281">
        <f t="shared" si="9"/>
        <v>15.75</v>
      </c>
    </row>
    <row r="282" spans="1:10">
      <c r="A282" t="s">
        <v>536</v>
      </c>
      <c r="B282" t="s">
        <v>163</v>
      </c>
      <c r="C282" t="s">
        <v>761</v>
      </c>
      <c r="D282" s="14">
        <v>35</v>
      </c>
      <c r="E282" s="14">
        <v>35</v>
      </c>
      <c r="F282" s="13">
        <v>45703.78125</v>
      </c>
      <c r="G282" t="s">
        <v>310</v>
      </c>
      <c r="H282" t="s">
        <v>505</v>
      </c>
      <c r="I282" t="str">
        <f>IF(B282=IFERROR(VLOOKUP(B282,base!$L$1:$L$9,1,0),""),"Produtos",IF(B282=IFERROR(VLOOKUP(B282,base!$K$2:$K$8,1,0),""),"Serviços","Combos"))</f>
        <v>Serviços</v>
      </c>
      <c r="J282">
        <f t="shared" si="9"/>
        <v>15.75</v>
      </c>
    </row>
    <row r="283" spans="1:10">
      <c r="A283" t="s">
        <v>519</v>
      </c>
      <c r="B283" t="s">
        <v>353</v>
      </c>
      <c r="C283" t="s">
        <v>763</v>
      </c>
      <c r="D283" s="14">
        <v>50</v>
      </c>
      <c r="E283" s="14">
        <v>50</v>
      </c>
      <c r="F283" s="13">
        <v>45703.791666666664</v>
      </c>
      <c r="G283" t="s">
        <v>1</v>
      </c>
      <c r="H283" t="s">
        <v>506</v>
      </c>
      <c r="I283" t="str">
        <f>IF(B283=IFERROR(VLOOKUP(B283,base!$L$1:$L$9,1,0),""),"Produtos",IF(B283=IFERROR(VLOOKUP(B283,base!$K$2:$K$8,1,0),""),"Serviços","Combos"))</f>
        <v>Combos</v>
      </c>
      <c r="J283">
        <f t="shared" si="9"/>
        <v>22.5</v>
      </c>
    </row>
    <row r="284" spans="1:10">
      <c r="A284" t="s">
        <v>536</v>
      </c>
      <c r="B284" t="s">
        <v>163</v>
      </c>
      <c r="C284" t="s">
        <v>764</v>
      </c>
      <c r="D284" s="14">
        <v>35</v>
      </c>
      <c r="E284" s="14">
        <v>35</v>
      </c>
      <c r="F284" s="13">
        <v>45703.8125</v>
      </c>
      <c r="G284" t="s">
        <v>2</v>
      </c>
      <c r="H284" t="s">
        <v>42</v>
      </c>
      <c r="I284" t="str">
        <f>IF(B284=IFERROR(VLOOKUP(B284,base!$L$1:$L$9,1,0),""),"Produtos",IF(B284=IFERROR(VLOOKUP(B284,base!$K$2:$K$8,1,0),""),"Serviços","Combos"))</f>
        <v>Serviços</v>
      </c>
      <c r="J284">
        <f t="shared" si="9"/>
        <v>15.75</v>
      </c>
    </row>
    <row r="285" spans="1:10">
      <c r="A285" t="s">
        <v>519</v>
      </c>
      <c r="B285" t="s">
        <v>163</v>
      </c>
      <c r="C285" t="s">
        <v>765</v>
      </c>
      <c r="D285" s="14">
        <v>35</v>
      </c>
      <c r="E285" s="14">
        <v>35</v>
      </c>
      <c r="F285" s="13">
        <v>45703.822916666664</v>
      </c>
      <c r="G285" t="s">
        <v>1</v>
      </c>
      <c r="H285" t="s">
        <v>405</v>
      </c>
      <c r="I285" t="str">
        <f>IF(B285=IFERROR(VLOOKUP(B285,base!$L$1:$L$9,1,0),""),"Produtos",IF(B285=IFERROR(VLOOKUP(B285,base!$K$2:$K$8,1,0),""),"Serviços","Combos"))</f>
        <v>Serviços</v>
      </c>
      <c r="J285">
        <f t="shared" si="9"/>
        <v>15.75</v>
      </c>
    </row>
    <row r="286" spans="1:10">
      <c r="A286" t="s">
        <v>536</v>
      </c>
      <c r="B286" t="s">
        <v>161</v>
      </c>
      <c r="C286" t="s">
        <v>767</v>
      </c>
      <c r="D286" s="14">
        <v>25</v>
      </c>
      <c r="E286" s="14">
        <v>25</v>
      </c>
      <c r="F286" s="13">
        <v>45703.875</v>
      </c>
      <c r="G286" t="s">
        <v>1</v>
      </c>
      <c r="H286" t="s">
        <v>271</v>
      </c>
      <c r="I286" t="str">
        <f>IF(B286=IFERROR(VLOOKUP(B286,base!$L$1:$L$9,1,0),""),"Produtos",IF(B286=IFERROR(VLOOKUP(B286,base!$K$2:$K$8,1,0),""),"Serviços","Combos"))</f>
        <v>Serviços</v>
      </c>
      <c r="J286">
        <f t="shared" si="9"/>
        <v>11.25</v>
      </c>
    </row>
    <row r="287" spans="1:10">
      <c r="A287" t="s">
        <v>252</v>
      </c>
      <c r="B287" t="s">
        <v>159</v>
      </c>
      <c r="C287" t="s">
        <v>768</v>
      </c>
      <c r="D287" s="14">
        <v>40</v>
      </c>
      <c r="E287" s="14">
        <v>40</v>
      </c>
      <c r="F287" s="13">
        <v>45705.625</v>
      </c>
      <c r="G287" t="s">
        <v>1</v>
      </c>
      <c r="H287" t="s">
        <v>769</v>
      </c>
      <c r="I287" t="str">
        <f>IF(B287=IFERROR(VLOOKUP(B287,base!$L$1:$L$9,1,0),""),"Produtos",IF(B287=IFERROR(VLOOKUP(B287,base!$K$2:$K$8,1,0),""),"Serviços","Combos"))</f>
        <v>Combos</v>
      </c>
      <c r="J287">
        <f t="shared" si="9"/>
        <v>18</v>
      </c>
    </row>
    <row r="288" spans="1:10">
      <c r="A288" t="s">
        <v>536</v>
      </c>
      <c r="B288" t="s">
        <v>163</v>
      </c>
      <c r="C288" t="s">
        <v>770</v>
      </c>
      <c r="D288" s="14">
        <v>35</v>
      </c>
      <c r="E288" s="14">
        <v>35</v>
      </c>
      <c r="F288" s="13">
        <v>45705.645833333336</v>
      </c>
      <c r="G288" t="s">
        <v>1</v>
      </c>
      <c r="H288" t="s">
        <v>382</v>
      </c>
      <c r="I288" t="str">
        <f>IF(B288=IFERROR(VLOOKUP(B288,base!$L$1:$L$9,1,0),""),"Produtos",IF(B288=IFERROR(VLOOKUP(B288,base!$K$2:$K$8,1,0),""),"Serviços","Combos"))</f>
        <v>Serviços</v>
      </c>
      <c r="J288">
        <f t="shared" si="9"/>
        <v>15.75</v>
      </c>
    </row>
    <row r="289" spans="1:10">
      <c r="A289" t="s">
        <v>252</v>
      </c>
      <c r="B289" t="s">
        <v>159</v>
      </c>
      <c r="C289" t="s">
        <v>771</v>
      </c>
      <c r="D289" s="14">
        <v>40</v>
      </c>
      <c r="E289" s="14">
        <v>40</v>
      </c>
      <c r="F289" s="13">
        <v>45705.815972222219</v>
      </c>
      <c r="G289" t="s">
        <v>310</v>
      </c>
      <c r="H289" t="s">
        <v>772</v>
      </c>
      <c r="I289" t="str">
        <f>IF(B289=IFERROR(VLOOKUP(B289,base!$L$1:$L$9,1,0),""),"Produtos",IF(B289=IFERROR(VLOOKUP(B289,base!$K$2:$K$8,1,0),""),"Serviços","Combos"))</f>
        <v>Combos</v>
      </c>
      <c r="J289">
        <f t="shared" si="9"/>
        <v>18</v>
      </c>
    </row>
    <row r="290" spans="1:10">
      <c r="A290" t="s">
        <v>252</v>
      </c>
      <c r="B290" t="s">
        <v>163</v>
      </c>
      <c r="C290" t="s">
        <v>773</v>
      </c>
      <c r="D290" s="14">
        <v>35</v>
      </c>
      <c r="E290" s="14">
        <v>35</v>
      </c>
      <c r="F290" s="13">
        <v>45706.4375</v>
      </c>
      <c r="G290" t="s">
        <v>1</v>
      </c>
      <c r="H290" t="s">
        <v>80</v>
      </c>
      <c r="I290" t="str">
        <f>IF(B290=IFERROR(VLOOKUP(B290,base!$L$1:$L$9,1,0),""),"Produtos",IF(B290=IFERROR(VLOOKUP(B290,base!$K$2:$K$8,1,0),""),"Serviços","Combos"))</f>
        <v>Serviços</v>
      </c>
      <c r="J290">
        <f t="shared" si="9"/>
        <v>15.75</v>
      </c>
    </row>
    <row r="291" spans="1:10">
      <c r="A291" t="s">
        <v>536</v>
      </c>
      <c r="B291" t="s">
        <v>162</v>
      </c>
      <c r="C291" t="s">
        <v>774</v>
      </c>
      <c r="D291" s="14">
        <v>15</v>
      </c>
      <c r="E291" s="14">
        <v>15</v>
      </c>
      <c r="F291" s="13">
        <v>45706.46875</v>
      </c>
      <c r="G291" t="s">
        <v>310</v>
      </c>
      <c r="H291" t="s">
        <v>120</v>
      </c>
      <c r="I291" t="str">
        <f>IF(B291=IFERROR(VLOOKUP(B291,base!$L$1:$L$9,1,0),""),"Produtos",IF(B291=IFERROR(VLOOKUP(B291,base!$K$2:$K$8,1,0),""),"Serviços","Combos"))</f>
        <v>Serviços</v>
      </c>
      <c r="J291">
        <f t="shared" si="9"/>
        <v>6.75</v>
      </c>
    </row>
    <row r="292" spans="1:10">
      <c r="A292" t="s">
        <v>536</v>
      </c>
      <c r="B292" t="s">
        <v>508</v>
      </c>
      <c r="C292" t="s">
        <v>775</v>
      </c>
      <c r="D292" s="14">
        <v>25</v>
      </c>
      <c r="E292" s="14">
        <v>25</v>
      </c>
      <c r="F292" s="13">
        <v>45706.53125</v>
      </c>
      <c r="G292" t="s">
        <v>1</v>
      </c>
      <c r="H292" t="s">
        <v>776</v>
      </c>
      <c r="I292" t="str">
        <f>IF(B292=IFERROR(VLOOKUP(B292,base!$L$1:$L$9,1,0),""),"Produtos",IF(B292=IFERROR(VLOOKUP(B292,base!$K$2:$K$8,1,0),""),"Serviços","Combos"))</f>
        <v>Produtos</v>
      </c>
      <c r="J292">
        <f t="shared" si="9"/>
        <v>10</v>
      </c>
    </row>
    <row r="293" spans="1:10">
      <c r="A293" t="s">
        <v>252</v>
      </c>
      <c r="B293" t="s">
        <v>161</v>
      </c>
      <c r="C293" t="s">
        <v>779</v>
      </c>
      <c r="D293" s="14">
        <v>20</v>
      </c>
      <c r="E293" s="14">
        <v>25</v>
      </c>
      <c r="F293" s="13">
        <v>45706.583333333336</v>
      </c>
      <c r="G293" t="s">
        <v>310</v>
      </c>
      <c r="H293" t="s">
        <v>294</v>
      </c>
      <c r="I293" t="str">
        <f>IF(B293=IFERROR(VLOOKUP(B293,base!$L$1:$L$9,1,0),""),"Produtos",IF(B293=IFERROR(VLOOKUP(B293,base!$K$2:$K$8,1,0),""),"Serviços","Combos"))</f>
        <v>Serviços</v>
      </c>
      <c r="J293">
        <f t="shared" si="9"/>
        <v>9</v>
      </c>
    </row>
    <row r="294" spans="1:10">
      <c r="A294" t="s">
        <v>536</v>
      </c>
      <c r="B294" t="s">
        <v>163</v>
      </c>
      <c r="C294" t="s">
        <v>777</v>
      </c>
      <c r="D294" s="14">
        <v>35</v>
      </c>
      <c r="E294" s="14">
        <v>35</v>
      </c>
      <c r="F294" s="13">
        <v>45706.697916666664</v>
      </c>
      <c r="G294" t="s">
        <v>2</v>
      </c>
      <c r="H294" t="s">
        <v>778</v>
      </c>
      <c r="I294" t="str">
        <f>IF(B294=IFERROR(VLOOKUP(B294,base!$L$1:$L$9,1,0),""),"Produtos",IF(B294=IFERROR(VLOOKUP(B294,base!$K$2:$K$8,1,0),""),"Serviços","Combos"))</f>
        <v>Serviços</v>
      </c>
      <c r="J294">
        <f t="shared" si="9"/>
        <v>15.75</v>
      </c>
    </row>
    <row r="295" spans="1:10">
      <c r="A295" t="s">
        <v>536</v>
      </c>
      <c r="B295" t="s">
        <v>163</v>
      </c>
      <c r="C295" t="s">
        <v>780</v>
      </c>
      <c r="D295" s="14">
        <v>35</v>
      </c>
      <c r="E295" s="14">
        <v>35</v>
      </c>
      <c r="F295" s="13">
        <v>45706.760416666664</v>
      </c>
      <c r="G295" t="s">
        <v>354</v>
      </c>
      <c r="H295" t="s">
        <v>781</v>
      </c>
      <c r="I295" t="str">
        <f>IF(B295=IFERROR(VLOOKUP(B295,base!$L$1:$L$9,1,0),""),"Produtos",IF(B295=IFERROR(VLOOKUP(B295,base!$K$2:$K$8,1,0),""),"Serviços","Combos"))</f>
        <v>Serviços</v>
      </c>
      <c r="J295">
        <f t="shared" si="9"/>
        <v>15.75</v>
      </c>
    </row>
    <row r="296" spans="1:10">
      <c r="A296" t="s">
        <v>252</v>
      </c>
      <c r="B296" t="s">
        <v>163</v>
      </c>
      <c r="C296" t="s">
        <v>782</v>
      </c>
      <c r="D296" s="14">
        <v>35</v>
      </c>
      <c r="E296" s="14">
        <v>35</v>
      </c>
      <c r="F296" s="13">
        <v>45706.802083333336</v>
      </c>
      <c r="G296" t="s">
        <v>310</v>
      </c>
      <c r="H296" t="s">
        <v>783</v>
      </c>
      <c r="I296" t="str">
        <f>IF(B296=IFERROR(VLOOKUP(B296,base!$L$1:$L$9,1,0),""),"Produtos",IF(B296=IFERROR(VLOOKUP(B296,base!$K$2:$K$8,1,0),""),"Serviços","Combos"))</f>
        <v>Serviços</v>
      </c>
      <c r="J296">
        <f t="shared" si="9"/>
        <v>15.75</v>
      </c>
    </row>
    <row r="297" spans="1:10">
      <c r="A297" t="s">
        <v>536</v>
      </c>
      <c r="B297" t="s">
        <v>159</v>
      </c>
      <c r="C297" t="s">
        <v>784</v>
      </c>
      <c r="D297" s="14">
        <v>40</v>
      </c>
      <c r="E297" s="14">
        <v>40</v>
      </c>
      <c r="F297" s="13">
        <v>45706.861111111109</v>
      </c>
      <c r="G297" t="s">
        <v>354</v>
      </c>
      <c r="H297" t="s">
        <v>286</v>
      </c>
      <c r="I297" t="str">
        <f>IF(B297=IFERROR(VLOOKUP(B297,base!$L$1:$L$9,1,0),""),"Produtos",IF(B297=IFERROR(VLOOKUP(B297,base!$K$2:$K$8,1,0),""),"Serviços","Combos"))</f>
        <v>Combos</v>
      </c>
      <c r="J297">
        <f t="shared" si="9"/>
        <v>18</v>
      </c>
    </row>
    <row r="298" spans="1:10">
      <c r="A298" t="s">
        <v>252</v>
      </c>
      <c r="B298" t="s">
        <v>163</v>
      </c>
      <c r="C298" t="s">
        <v>786</v>
      </c>
      <c r="D298" s="14">
        <v>35</v>
      </c>
      <c r="E298" s="14">
        <v>35</v>
      </c>
      <c r="F298" s="13">
        <v>45707.416666666664</v>
      </c>
      <c r="G298" t="s">
        <v>1</v>
      </c>
      <c r="H298" t="s">
        <v>58</v>
      </c>
      <c r="I298" t="str">
        <f>IF(B298=IFERROR(VLOOKUP(B298,base!$L$1:$L$9,1,0),""),"Produtos",IF(B298=IFERROR(VLOOKUP(B298,base!$K$2:$K$8,1,0),""),"Serviços","Combos"))</f>
        <v>Serviços</v>
      </c>
      <c r="J298">
        <f t="shared" si="9"/>
        <v>15.75</v>
      </c>
    </row>
    <row r="299" spans="1:10">
      <c r="A299" t="s">
        <v>536</v>
      </c>
      <c r="B299" t="s">
        <v>163</v>
      </c>
      <c r="C299" t="s">
        <v>788</v>
      </c>
      <c r="D299" s="14">
        <v>35</v>
      </c>
      <c r="E299" s="14">
        <v>35</v>
      </c>
      <c r="F299" s="13">
        <v>45707.46875</v>
      </c>
      <c r="G299" t="s">
        <v>1</v>
      </c>
      <c r="H299" t="s">
        <v>789</v>
      </c>
      <c r="I299" t="str">
        <f>IF(B299=IFERROR(VLOOKUP(B299,base!$L$1:$L$9,1,0),""),"Produtos",IF(B299=IFERROR(VLOOKUP(B299,base!$K$2:$K$8,1,0),""),"Serviços","Combos"))</f>
        <v>Serviços</v>
      </c>
      <c r="J299">
        <f t="shared" si="9"/>
        <v>15.75</v>
      </c>
    </row>
    <row r="300" spans="1:10">
      <c r="A300" t="s">
        <v>252</v>
      </c>
      <c r="B300" t="s">
        <v>163</v>
      </c>
      <c r="C300" t="s">
        <v>790</v>
      </c>
      <c r="D300" s="14">
        <v>35</v>
      </c>
      <c r="E300" s="14">
        <v>35</v>
      </c>
      <c r="F300" s="13">
        <v>45707.479166666664</v>
      </c>
      <c r="G300" t="s">
        <v>1</v>
      </c>
      <c r="H300" t="s">
        <v>403</v>
      </c>
      <c r="I300" t="str">
        <f>IF(B300=IFERROR(VLOOKUP(B300,base!$L$1:$L$9,1,0),""),"Produtos",IF(B300=IFERROR(VLOOKUP(B300,base!$K$2:$K$8,1,0),""),"Serviços","Combos"))</f>
        <v>Serviços</v>
      </c>
      <c r="J300">
        <f t="shared" si="9"/>
        <v>15.75</v>
      </c>
    </row>
    <row r="301" spans="1:10">
      <c r="A301" t="s">
        <v>252</v>
      </c>
      <c r="B301" t="s">
        <v>163</v>
      </c>
      <c r="C301" t="s">
        <v>785</v>
      </c>
      <c r="D301" s="14">
        <v>30</v>
      </c>
      <c r="E301" s="14">
        <v>0</v>
      </c>
      <c r="F301" s="13">
        <v>45707.5</v>
      </c>
      <c r="G301" t="s">
        <v>354</v>
      </c>
      <c r="H301" t="s">
        <v>122</v>
      </c>
      <c r="I301" t="str">
        <f>IF(B301=IFERROR(VLOOKUP(B301,base!$L$1:$L$9,1,0),""),"Produtos",IF(B301=IFERROR(VLOOKUP(B301,base!$K$2:$K$8,1,0),""),"Serviços","Combos"))</f>
        <v>Serviços</v>
      </c>
      <c r="J301">
        <f t="shared" si="9"/>
        <v>13.5</v>
      </c>
    </row>
    <row r="302" spans="1:10">
      <c r="A302" t="s">
        <v>252</v>
      </c>
      <c r="B302" t="s">
        <v>353</v>
      </c>
      <c r="C302" t="s">
        <v>792</v>
      </c>
      <c r="D302" s="14">
        <v>55</v>
      </c>
      <c r="E302" s="14">
        <v>55</v>
      </c>
      <c r="F302" s="13">
        <v>45707.604166666664</v>
      </c>
      <c r="G302" t="s">
        <v>310</v>
      </c>
      <c r="H302" t="s">
        <v>192</v>
      </c>
      <c r="I302" t="str">
        <f>IF(B302=IFERROR(VLOOKUP(B302,base!$L$1:$L$9,1,0),""),"Produtos",IF(B302=IFERROR(VLOOKUP(B302,base!$K$2:$K$8,1,0),""),"Serviços","Combos"))</f>
        <v>Combos</v>
      </c>
      <c r="J302">
        <f t="shared" si="9"/>
        <v>24.75</v>
      </c>
    </row>
    <row r="303" spans="1:10">
      <c r="A303" t="s">
        <v>252</v>
      </c>
      <c r="B303" t="s">
        <v>163</v>
      </c>
      <c r="C303" t="s">
        <v>791</v>
      </c>
      <c r="D303" s="14">
        <v>35</v>
      </c>
      <c r="E303" s="14">
        <v>35</v>
      </c>
      <c r="F303" s="13">
        <v>45707.625</v>
      </c>
      <c r="G303" t="s">
        <v>354</v>
      </c>
      <c r="H303" t="s">
        <v>269</v>
      </c>
      <c r="I303" t="str">
        <f>IF(B303=IFERROR(VLOOKUP(B303,base!$L$1:$L$9,1,0),""),"Produtos",IF(B303=IFERROR(VLOOKUP(B303,base!$K$2:$K$8,1,0),""),"Serviços","Combos"))</f>
        <v>Serviços</v>
      </c>
      <c r="J303">
        <f t="shared" si="9"/>
        <v>15.75</v>
      </c>
    </row>
    <row r="304" spans="1:10">
      <c r="A304" t="s">
        <v>252</v>
      </c>
      <c r="B304" t="s">
        <v>163</v>
      </c>
      <c r="C304" t="s">
        <v>793</v>
      </c>
      <c r="D304" s="14">
        <v>35</v>
      </c>
      <c r="E304" s="14">
        <v>35</v>
      </c>
      <c r="F304" s="13">
        <v>45707.791666666664</v>
      </c>
      <c r="G304" t="s">
        <v>310</v>
      </c>
      <c r="H304" t="s">
        <v>794</v>
      </c>
      <c r="I304" t="str">
        <f>IF(B304=IFERROR(VLOOKUP(B304,base!$L$1:$L$9,1,0),""),"Produtos",IF(B304=IFERROR(VLOOKUP(B304,base!$K$2:$K$8,1,0),""),"Serviços","Combos"))</f>
        <v>Serviços</v>
      </c>
      <c r="J304">
        <f t="shared" si="9"/>
        <v>15.75</v>
      </c>
    </row>
    <row r="305" spans="1:14">
      <c r="A305" t="s">
        <v>536</v>
      </c>
      <c r="B305" t="s">
        <v>161</v>
      </c>
      <c r="C305" t="s">
        <v>795</v>
      </c>
      <c r="D305" s="14">
        <v>20</v>
      </c>
      <c r="E305" s="14">
        <v>20</v>
      </c>
      <c r="F305" s="13">
        <v>45707.802083333336</v>
      </c>
      <c r="G305" t="s">
        <v>1</v>
      </c>
      <c r="H305" t="s">
        <v>796</v>
      </c>
      <c r="I305" t="str">
        <f>IF(B305=IFERROR(VLOOKUP(B305,base!$L$1:$L$9,1,0),""),"Produtos",IF(B305=IFERROR(VLOOKUP(B305,base!$K$2:$K$8,1,0),""),"Serviços","Combos"))</f>
        <v>Serviços</v>
      </c>
      <c r="J305">
        <f t="shared" si="9"/>
        <v>9</v>
      </c>
      <c r="N305" t="s">
        <v>827</v>
      </c>
    </row>
    <row r="306" spans="1:14">
      <c r="A306" t="s">
        <v>536</v>
      </c>
      <c r="B306" t="s">
        <v>353</v>
      </c>
      <c r="C306" t="s">
        <v>799</v>
      </c>
      <c r="D306" s="14">
        <v>55</v>
      </c>
      <c r="E306" s="14">
        <v>55</v>
      </c>
      <c r="F306" s="13">
        <v>45708.46875</v>
      </c>
      <c r="G306" t="s">
        <v>354</v>
      </c>
      <c r="H306" t="s">
        <v>385</v>
      </c>
      <c r="I306" t="str">
        <f>IF(B306=IFERROR(VLOOKUP(B306,base!$L$1:$L$9,1,0),""),"Produtos",IF(B306=IFERROR(VLOOKUP(B306,base!$K$2:$K$8,1,0),""),"Serviços","Combos"))</f>
        <v>Combos</v>
      </c>
      <c r="J306">
        <f t="shared" si="9"/>
        <v>24.75</v>
      </c>
    </row>
    <row r="307" spans="1:14">
      <c r="A307" t="s">
        <v>536</v>
      </c>
      <c r="B307" t="s">
        <v>159</v>
      </c>
      <c r="C307" t="s">
        <v>800</v>
      </c>
      <c r="D307" s="14">
        <v>40</v>
      </c>
      <c r="E307" s="14">
        <v>40</v>
      </c>
      <c r="F307" s="13">
        <v>45708.5</v>
      </c>
      <c r="G307" t="s">
        <v>1</v>
      </c>
      <c r="H307" t="s">
        <v>274</v>
      </c>
      <c r="I307" t="str">
        <f>IF(B307=IFERROR(VLOOKUP(B307,base!$L$1:$L$9,1,0),""),"Produtos",IF(B307=IFERROR(VLOOKUP(B307,base!$K$2:$K$8,1,0),""),"Serviços","Combos"))</f>
        <v>Combos</v>
      </c>
      <c r="J307">
        <f t="shared" si="9"/>
        <v>18</v>
      </c>
    </row>
    <row r="308" spans="1:14">
      <c r="A308" t="s">
        <v>519</v>
      </c>
      <c r="B308" t="s">
        <v>163</v>
      </c>
      <c r="C308" t="s">
        <v>801</v>
      </c>
      <c r="D308" s="14">
        <v>35</v>
      </c>
      <c r="E308" s="14">
        <v>40</v>
      </c>
      <c r="F308" s="13">
        <v>45708.527777777781</v>
      </c>
      <c r="G308" t="s">
        <v>1</v>
      </c>
      <c r="H308" t="s">
        <v>802</v>
      </c>
      <c r="I308" t="str">
        <f>IF(B308=IFERROR(VLOOKUP(B308,base!$L$1:$L$9,1,0),""),"Produtos",IF(B308=IFERROR(VLOOKUP(B308,base!$K$2:$K$8,1,0),""),"Serviços","Combos"))</f>
        <v>Serviços</v>
      </c>
      <c r="J308">
        <f t="shared" si="9"/>
        <v>15.75</v>
      </c>
      <c r="K308" s="14">
        <f>D308/3</f>
        <v>11.666666666666666</v>
      </c>
      <c r="L308" t="s">
        <v>828</v>
      </c>
    </row>
    <row r="309" spans="1:14">
      <c r="A309" t="s">
        <v>252</v>
      </c>
      <c r="B309" t="s">
        <v>163</v>
      </c>
      <c r="C309" t="s">
        <v>803</v>
      </c>
      <c r="D309" s="14">
        <v>35</v>
      </c>
      <c r="E309" s="14">
        <v>35</v>
      </c>
      <c r="F309" s="13">
        <v>45708.604166666664</v>
      </c>
      <c r="G309" t="s">
        <v>1</v>
      </c>
      <c r="H309" t="s">
        <v>31</v>
      </c>
      <c r="I309" t="str">
        <f>IF(B309=IFERROR(VLOOKUP(B309,base!$L$1:$L$9,1,0),""),"Produtos",IF(B309=IFERROR(VLOOKUP(B309,base!$K$2:$K$8,1,0),""),"Serviços","Combos"))</f>
        <v>Serviços</v>
      </c>
      <c r="J309">
        <f t="shared" si="9"/>
        <v>15.75</v>
      </c>
      <c r="K309" s="14">
        <f>D309/3</f>
        <v>11.666666666666666</v>
      </c>
      <c r="L309" t="s">
        <v>426</v>
      </c>
    </row>
    <row r="310" spans="1:14">
      <c r="A310" t="s">
        <v>536</v>
      </c>
      <c r="B310" t="s">
        <v>163</v>
      </c>
      <c r="C310" t="s">
        <v>806</v>
      </c>
      <c r="D310" s="14">
        <v>35</v>
      </c>
      <c r="E310" s="14">
        <v>35</v>
      </c>
      <c r="F310" s="13">
        <v>45708.611111111109</v>
      </c>
      <c r="G310" t="s">
        <v>2</v>
      </c>
      <c r="H310" t="s">
        <v>280</v>
      </c>
      <c r="I310" t="str">
        <f>IF(B310=IFERROR(VLOOKUP(B310,base!$L$1:$L$9,1,0),""),"Produtos",IF(B310=IFERROR(VLOOKUP(B310,base!$K$2:$K$8,1,0),""),"Serviços","Combos"))</f>
        <v>Serviços</v>
      </c>
      <c r="J310">
        <f t="shared" si="9"/>
        <v>15.75</v>
      </c>
      <c r="K310" s="14">
        <f>D310/4</f>
        <v>8.75</v>
      </c>
      <c r="L310" t="s">
        <v>427</v>
      </c>
    </row>
    <row r="311" spans="1:14">
      <c r="A311" t="s">
        <v>252</v>
      </c>
      <c r="B311" t="s">
        <v>163</v>
      </c>
      <c r="C311" t="s">
        <v>804</v>
      </c>
      <c r="D311" s="14">
        <v>35</v>
      </c>
      <c r="E311" s="14">
        <v>35</v>
      </c>
      <c r="F311" s="13">
        <v>45708.625</v>
      </c>
      <c r="G311" t="s">
        <v>2</v>
      </c>
      <c r="H311" t="s">
        <v>805</v>
      </c>
      <c r="I311" t="str">
        <f>IF(B311=IFERROR(VLOOKUP(B311,base!$L$1:$L$9,1,0),""),"Produtos",IF(B311=IFERROR(VLOOKUP(B311,base!$K$2:$K$8,1,0),""),"Serviços","Combos"))</f>
        <v>Serviços</v>
      </c>
      <c r="J311">
        <f t="shared" si="9"/>
        <v>15.75</v>
      </c>
      <c r="K311" s="14">
        <f>D311/3</f>
        <v>11.666666666666666</v>
      </c>
      <c r="L311" t="s">
        <v>428</v>
      </c>
    </row>
    <row r="312" spans="1:14">
      <c r="A312" t="s">
        <v>252</v>
      </c>
      <c r="B312" t="s">
        <v>163</v>
      </c>
      <c r="C312" t="s">
        <v>807</v>
      </c>
      <c r="D312" s="14">
        <v>35</v>
      </c>
      <c r="E312" s="14">
        <v>25</v>
      </c>
      <c r="F312" s="13">
        <v>45708.645833333336</v>
      </c>
      <c r="G312" t="s">
        <v>2</v>
      </c>
      <c r="H312" t="s">
        <v>10</v>
      </c>
      <c r="I312" t="str">
        <f>IF(B312=IFERROR(VLOOKUP(B312,base!$L$1:$L$9,1,0),""),"Produtos",IF(B312=IFERROR(VLOOKUP(B312,base!$K$2:$K$8,1,0),""),"Serviços","Combos"))</f>
        <v>Serviços</v>
      </c>
      <c r="J312">
        <f t="shared" si="9"/>
        <v>15.75</v>
      </c>
      <c r="K312" s="14">
        <f>D312/3</f>
        <v>11.666666666666666</v>
      </c>
      <c r="L312" t="s">
        <v>429</v>
      </c>
    </row>
    <row r="313" spans="1:14">
      <c r="A313" t="s">
        <v>252</v>
      </c>
      <c r="B313" t="s">
        <v>163</v>
      </c>
      <c r="C313" t="s">
        <v>797</v>
      </c>
      <c r="D313" s="14">
        <v>35</v>
      </c>
      <c r="E313" s="14">
        <v>35</v>
      </c>
      <c r="F313" s="13">
        <v>45708.729166666664</v>
      </c>
      <c r="G313" t="s">
        <v>1</v>
      </c>
      <c r="H313" t="s">
        <v>798</v>
      </c>
      <c r="I313" t="str">
        <f>IF(B313=IFERROR(VLOOKUP(B313,base!$L$1:$L$9,1,0),""),"Produtos",IF(B313=IFERROR(VLOOKUP(B313,base!$K$2:$K$8,1,0),""),"Serviços","Combos"))</f>
        <v>Serviços</v>
      </c>
      <c r="J313">
        <f t="shared" si="9"/>
        <v>15.75</v>
      </c>
      <c r="K313" s="14">
        <f>D313/4</f>
        <v>8.75</v>
      </c>
      <c r="L313" t="s">
        <v>829</v>
      </c>
    </row>
    <row r="314" spans="1:14">
      <c r="A314" t="s">
        <v>519</v>
      </c>
      <c r="B314" t="s">
        <v>163</v>
      </c>
      <c r="C314" t="s">
        <v>787</v>
      </c>
      <c r="D314" s="14">
        <v>40</v>
      </c>
      <c r="E314" s="14">
        <v>40</v>
      </c>
      <c r="F314" s="13">
        <v>45708.75</v>
      </c>
      <c r="G314" t="s">
        <v>1</v>
      </c>
      <c r="H314" t="s">
        <v>15</v>
      </c>
      <c r="I314" t="str">
        <f>IF(B314=IFERROR(VLOOKUP(B314,base!$L$1:$L$9,1,0),""),"Produtos",IF(B314=IFERROR(VLOOKUP(B314,base!$K$2:$K$8,1,0),""),"Serviços","Combos"))</f>
        <v>Serviços</v>
      </c>
      <c r="J314">
        <f t="shared" si="9"/>
        <v>18</v>
      </c>
      <c r="K314" s="14">
        <f>D314/4</f>
        <v>10</v>
      </c>
      <c r="L314" t="s">
        <v>830</v>
      </c>
    </row>
    <row r="315" spans="1:14">
      <c r="A315" t="s">
        <v>519</v>
      </c>
      <c r="B315" t="s">
        <v>353</v>
      </c>
      <c r="C315" t="s">
        <v>808</v>
      </c>
      <c r="D315" s="14">
        <v>55</v>
      </c>
      <c r="E315" s="14">
        <v>55</v>
      </c>
      <c r="F315" s="13">
        <v>45708.770833333336</v>
      </c>
      <c r="G315" t="s">
        <v>1</v>
      </c>
      <c r="H315" t="s">
        <v>37</v>
      </c>
      <c r="I315" t="str">
        <f>IF(B315=IFERROR(VLOOKUP(B315,base!$L$1:$L$9,1,0),""),"Produtos",IF(B315=IFERROR(VLOOKUP(B315,base!$K$2:$K$8,1,0),""),"Serviços","Combos"))</f>
        <v>Combos</v>
      </c>
      <c r="J315">
        <f t="shared" si="9"/>
        <v>24.75</v>
      </c>
      <c r="K315" s="14">
        <f>D315/4</f>
        <v>13.75</v>
      </c>
      <c r="L315" t="s">
        <v>831</v>
      </c>
    </row>
    <row r="316" spans="1:14">
      <c r="A316" t="s">
        <v>252</v>
      </c>
      <c r="B316" t="s">
        <v>159</v>
      </c>
      <c r="C316" t="s">
        <v>809</v>
      </c>
      <c r="D316" s="14">
        <v>40</v>
      </c>
      <c r="E316" s="14">
        <v>40</v>
      </c>
      <c r="F316" s="13">
        <v>45708.770833333336</v>
      </c>
      <c r="G316" t="s">
        <v>1</v>
      </c>
      <c r="H316" t="s">
        <v>18</v>
      </c>
      <c r="I316" t="str">
        <f>IF(B316=IFERROR(VLOOKUP(B316,base!$L$1:$L$9,1,0),""),"Produtos",IF(B316=IFERROR(VLOOKUP(B316,base!$K$2:$K$8,1,0),""),"Serviços","Combos"))</f>
        <v>Combos</v>
      </c>
      <c r="J316">
        <f t="shared" si="9"/>
        <v>18</v>
      </c>
      <c r="K316" s="14">
        <f>D316/4</f>
        <v>10</v>
      </c>
      <c r="L316" t="s">
        <v>832</v>
      </c>
    </row>
    <row r="317" spans="1:14">
      <c r="A317" t="s">
        <v>252</v>
      </c>
      <c r="B317" t="s">
        <v>163</v>
      </c>
      <c r="C317" t="s">
        <v>843</v>
      </c>
      <c r="D317" s="14">
        <v>35</v>
      </c>
      <c r="E317" s="14">
        <v>35</v>
      </c>
      <c r="F317" s="13">
        <v>45709.416666666664</v>
      </c>
      <c r="G317" t="s">
        <v>1</v>
      </c>
      <c r="H317" t="s">
        <v>372</v>
      </c>
      <c r="I317" t="str">
        <f>IF(B317=IFERROR(VLOOKUP(B317,base!$L$1:$L$9,1,0),""),"Produtos",IF(B317=IFERROR(VLOOKUP(B317,base!$K$2:$K$8,1,0),""),"Serviços","Combos"))</f>
        <v>Serviços</v>
      </c>
      <c r="J317">
        <f t="shared" si="9"/>
        <v>15.75</v>
      </c>
    </row>
    <row r="318" spans="1:14">
      <c r="A318" t="s">
        <v>519</v>
      </c>
      <c r="B318" t="s">
        <v>159</v>
      </c>
      <c r="C318" t="s">
        <v>847</v>
      </c>
      <c r="D318" s="14">
        <v>40</v>
      </c>
      <c r="E318" s="14">
        <v>40</v>
      </c>
      <c r="F318" s="13">
        <v>45709.416666666664</v>
      </c>
      <c r="G318" t="s">
        <v>1</v>
      </c>
      <c r="H318" t="s">
        <v>12</v>
      </c>
      <c r="I318" t="str">
        <f>IF(B318=IFERROR(VLOOKUP(B318,base!$L$1:$L$9,1,0),""),"Produtos",IF(B318=IFERROR(VLOOKUP(B318,base!$K$2:$K$8,1,0),""),"Serviços","Combos"))</f>
        <v>Combos</v>
      </c>
      <c r="J318">
        <f t="shared" si="9"/>
        <v>18</v>
      </c>
    </row>
    <row r="319" spans="1:14">
      <c r="A319" t="s">
        <v>536</v>
      </c>
      <c r="B319" t="s">
        <v>163</v>
      </c>
      <c r="C319" t="s">
        <v>851</v>
      </c>
      <c r="D319" s="14">
        <v>20</v>
      </c>
      <c r="E319" s="14">
        <v>20</v>
      </c>
      <c r="F319" s="13">
        <v>45709.4375</v>
      </c>
      <c r="G319" t="s">
        <v>1</v>
      </c>
      <c r="H319" t="s">
        <v>852</v>
      </c>
      <c r="I319" t="str">
        <f>IF(B319=IFERROR(VLOOKUP(B319,base!$L$1:$L$9,1,0),""),"Produtos",IF(B319=IFERROR(VLOOKUP(B319,base!$K$2:$K$8,1,0),""),"Serviços","Combos"))</f>
        <v>Serviços</v>
      </c>
      <c r="J319">
        <f t="shared" si="9"/>
        <v>9</v>
      </c>
    </row>
    <row r="320" spans="1:14">
      <c r="A320" t="s">
        <v>519</v>
      </c>
      <c r="B320" t="s">
        <v>353</v>
      </c>
      <c r="C320" t="s">
        <v>853</v>
      </c>
      <c r="D320" s="14">
        <v>55</v>
      </c>
      <c r="E320" s="14">
        <v>55</v>
      </c>
      <c r="F320" s="13">
        <v>45709.4375</v>
      </c>
      <c r="G320" t="s">
        <v>2</v>
      </c>
      <c r="H320" t="s">
        <v>854</v>
      </c>
      <c r="I320" t="str">
        <f>IF(B320=IFERROR(VLOOKUP(B320,base!$L$1:$L$9,1,0),""),"Produtos",IF(B320=IFERROR(VLOOKUP(B320,base!$K$2:$K$8,1,0),""),"Serviços","Combos"))</f>
        <v>Combos</v>
      </c>
      <c r="J320">
        <f t="shared" si="9"/>
        <v>24.75</v>
      </c>
    </row>
    <row r="321" spans="1:10">
      <c r="A321" t="s">
        <v>519</v>
      </c>
      <c r="B321" t="s">
        <v>163</v>
      </c>
      <c r="C321" t="s">
        <v>849</v>
      </c>
      <c r="D321" s="14">
        <v>35</v>
      </c>
      <c r="E321" s="14">
        <v>35</v>
      </c>
      <c r="F321" s="13">
        <v>45709.479166666664</v>
      </c>
      <c r="G321" t="s">
        <v>2</v>
      </c>
      <c r="H321" t="s">
        <v>850</v>
      </c>
      <c r="I321" t="str">
        <f>IF(B321=IFERROR(VLOOKUP(B321,base!$L$1:$L$9,1,0),""),"Produtos",IF(B321=IFERROR(VLOOKUP(B321,base!$K$2:$K$8,1,0),""),"Serviços","Combos"))</f>
        <v>Serviços</v>
      </c>
      <c r="J321">
        <f t="shared" si="9"/>
        <v>15.75</v>
      </c>
    </row>
    <row r="322" spans="1:10">
      <c r="A322" t="s">
        <v>519</v>
      </c>
      <c r="B322" t="s">
        <v>163</v>
      </c>
      <c r="C322" t="s">
        <v>859</v>
      </c>
      <c r="D322" s="14">
        <v>30</v>
      </c>
      <c r="E322" s="14">
        <v>0</v>
      </c>
      <c r="F322" s="13">
        <v>45709.5625</v>
      </c>
      <c r="G322" t="s">
        <v>1</v>
      </c>
      <c r="H322" t="s">
        <v>405</v>
      </c>
      <c r="I322" t="str">
        <f>IF(B322=IFERROR(VLOOKUP(B322,base!$L$1:$L$9,1,0),""),"Produtos",IF(B322=IFERROR(VLOOKUP(B322,base!$K$2:$K$8,1,0),""),"Serviços","Combos"))</f>
        <v>Serviços</v>
      </c>
      <c r="J322">
        <f t="shared" si="9"/>
        <v>13.5</v>
      </c>
    </row>
    <row r="323" spans="1:10">
      <c r="A323" t="s">
        <v>536</v>
      </c>
      <c r="B323" t="s">
        <v>163</v>
      </c>
      <c r="C323" t="s">
        <v>857</v>
      </c>
      <c r="D323" s="14">
        <v>20</v>
      </c>
      <c r="E323" s="14">
        <v>20</v>
      </c>
      <c r="F323" s="13">
        <v>45709.576388888891</v>
      </c>
      <c r="G323" t="s">
        <v>310</v>
      </c>
      <c r="H323" t="s">
        <v>382</v>
      </c>
      <c r="I323" t="str">
        <f>IF(B323=IFERROR(VLOOKUP(B323,base!$L$1:$L$9,1,0),""),"Produtos",IF(B323=IFERROR(VLOOKUP(B323,base!$K$2:$K$8,1,0),""),"Serviços","Combos"))</f>
        <v>Serviços</v>
      </c>
      <c r="J323">
        <f t="shared" si="9"/>
        <v>9</v>
      </c>
    </row>
    <row r="324" spans="1:10">
      <c r="A324" t="s">
        <v>519</v>
      </c>
      <c r="B324" t="s">
        <v>160</v>
      </c>
      <c r="C324" t="s">
        <v>860</v>
      </c>
      <c r="D324" s="14">
        <v>12</v>
      </c>
      <c r="E324" s="14">
        <v>12</v>
      </c>
      <c r="F324" s="13">
        <v>45709.59375</v>
      </c>
      <c r="G324" t="s">
        <v>1</v>
      </c>
      <c r="H324" t="s">
        <v>491</v>
      </c>
      <c r="I324" t="str">
        <f>IF(B324=IFERROR(VLOOKUP(B324,base!$L$1:$L$9,1,0),""),"Produtos",IF(B324=IFERROR(VLOOKUP(B324,base!$K$2:$K$8,1,0),""),"Serviços","Combos"))</f>
        <v>Serviços</v>
      </c>
      <c r="J324">
        <f t="shared" si="9"/>
        <v>5.4</v>
      </c>
    </row>
    <row r="325" spans="1:10">
      <c r="A325" t="s">
        <v>519</v>
      </c>
      <c r="B325" t="s">
        <v>163</v>
      </c>
      <c r="C325" t="s">
        <v>876</v>
      </c>
      <c r="D325" s="14">
        <v>35</v>
      </c>
      <c r="E325" s="14">
        <v>35</v>
      </c>
      <c r="F325" s="13">
        <v>45709.604166666664</v>
      </c>
      <c r="G325" t="s">
        <v>1</v>
      </c>
      <c r="H325" t="s">
        <v>50</v>
      </c>
      <c r="I325" t="str">
        <f>IF(B325=IFERROR(VLOOKUP(B325,base!$L$1:$L$9,1,0),""),"Produtos",IF(B325=IFERROR(VLOOKUP(B325,base!$K$2:$K$8,1,0),""),"Serviços","Combos"))</f>
        <v>Serviços</v>
      </c>
      <c r="J325">
        <f t="shared" si="9"/>
        <v>15.75</v>
      </c>
    </row>
    <row r="326" spans="1:10">
      <c r="A326" t="s">
        <v>519</v>
      </c>
      <c r="B326" t="s">
        <v>159</v>
      </c>
      <c r="C326" t="s">
        <v>858</v>
      </c>
      <c r="D326" s="14">
        <v>40</v>
      </c>
      <c r="E326" s="14">
        <v>40</v>
      </c>
      <c r="F326" s="13">
        <v>45709.625</v>
      </c>
      <c r="G326" t="s">
        <v>354</v>
      </c>
      <c r="H326" t="s">
        <v>134</v>
      </c>
      <c r="I326" t="str">
        <f>IF(B326=IFERROR(VLOOKUP(B326,base!$L$1:$L$9,1,0),""),"Produtos",IF(B326=IFERROR(VLOOKUP(B326,base!$K$2:$K$8,1,0),""),"Serviços","Combos"))</f>
        <v>Combos</v>
      </c>
      <c r="J326">
        <f t="shared" si="9"/>
        <v>18</v>
      </c>
    </row>
    <row r="327" spans="1:10">
      <c r="A327" t="s">
        <v>536</v>
      </c>
      <c r="B327" t="s">
        <v>353</v>
      </c>
      <c r="C327" t="s">
        <v>861</v>
      </c>
      <c r="D327" s="14">
        <v>55</v>
      </c>
      <c r="E327" s="14">
        <v>55</v>
      </c>
      <c r="F327" s="13">
        <v>45709.625</v>
      </c>
      <c r="G327" t="s">
        <v>1</v>
      </c>
      <c r="H327" t="s">
        <v>67</v>
      </c>
      <c r="I327" t="str">
        <f>IF(B327=IFERROR(VLOOKUP(B327,base!$L$1:$L$9,1,0),""),"Produtos",IF(B327=IFERROR(VLOOKUP(B327,base!$K$2:$K$8,1,0),""),"Serviços","Combos"))</f>
        <v>Combos</v>
      </c>
      <c r="J327">
        <f t="shared" si="9"/>
        <v>24.75</v>
      </c>
    </row>
    <row r="328" spans="1:10">
      <c r="A328" t="s">
        <v>519</v>
      </c>
      <c r="B328" t="s">
        <v>159</v>
      </c>
      <c r="C328" t="s">
        <v>873</v>
      </c>
      <c r="D328" s="14">
        <v>40</v>
      </c>
      <c r="E328" s="14">
        <v>40</v>
      </c>
      <c r="F328" s="13">
        <v>45709.645833333336</v>
      </c>
      <c r="G328" t="s">
        <v>1</v>
      </c>
      <c r="H328" t="s">
        <v>382</v>
      </c>
      <c r="I328" t="str">
        <f>IF(B328=IFERROR(VLOOKUP(B328,base!$L$1:$L$9,1,0),""),"Produtos",IF(B328=IFERROR(VLOOKUP(B328,base!$K$2:$K$8,1,0),""),"Serviços","Combos"))</f>
        <v>Combos</v>
      </c>
      <c r="J328">
        <f t="shared" si="9"/>
        <v>18</v>
      </c>
    </row>
    <row r="329" spans="1:10">
      <c r="A329" t="s">
        <v>252</v>
      </c>
      <c r="B329" t="s">
        <v>163</v>
      </c>
      <c r="C329" t="s">
        <v>863</v>
      </c>
      <c r="D329" s="14">
        <v>35</v>
      </c>
      <c r="E329" s="14">
        <v>35</v>
      </c>
      <c r="F329" s="13">
        <v>45709.65625</v>
      </c>
      <c r="G329" t="s">
        <v>1</v>
      </c>
      <c r="H329" t="s">
        <v>864</v>
      </c>
      <c r="I329" t="str">
        <f>IF(B329=IFERROR(VLOOKUP(B329,base!$L$1:$L$9,1,0),""),"Produtos",IF(B329=IFERROR(VLOOKUP(B329,base!$K$2:$K$8,1,0),""),"Serviços","Combos"))</f>
        <v>Serviços</v>
      </c>
      <c r="J329">
        <f t="shared" si="9"/>
        <v>15.75</v>
      </c>
    </row>
    <row r="330" spans="1:10">
      <c r="A330" t="s">
        <v>536</v>
      </c>
      <c r="B330" t="s">
        <v>163</v>
      </c>
      <c r="C330" t="s">
        <v>865</v>
      </c>
      <c r="D330" s="14">
        <v>35</v>
      </c>
      <c r="E330" s="14">
        <v>35</v>
      </c>
      <c r="F330" s="13">
        <v>45709.65625</v>
      </c>
      <c r="G330" t="s">
        <v>354</v>
      </c>
      <c r="H330" t="s">
        <v>470</v>
      </c>
      <c r="I330" t="str">
        <f>IF(B330=IFERROR(VLOOKUP(B330,base!$L$1:$L$9,1,0),""),"Produtos",IF(B330=IFERROR(VLOOKUP(B330,base!$K$2:$K$8,1,0),""),"Serviços","Combos"))</f>
        <v>Serviços</v>
      </c>
      <c r="J330">
        <f t="shared" si="9"/>
        <v>15.75</v>
      </c>
    </row>
    <row r="331" spans="1:10">
      <c r="A331" t="s">
        <v>519</v>
      </c>
      <c r="B331" t="s">
        <v>167</v>
      </c>
      <c r="C331" t="s">
        <v>848</v>
      </c>
      <c r="D331" s="14">
        <v>10</v>
      </c>
      <c r="E331" s="14">
        <v>10</v>
      </c>
      <c r="F331" s="13">
        <v>45709.666666666664</v>
      </c>
      <c r="G331" t="s">
        <v>1</v>
      </c>
      <c r="H331" t="s">
        <v>14</v>
      </c>
      <c r="I331" t="str">
        <f>IF(B331=IFERROR(VLOOKUP(B331,base!$L$1:$L$9,1,0),""),"Produtos",IF(B331=IFERROR(VLOOKUP(B331,base!$K$2:$K$8,1,0),""),"Serviços","Combos"))</f>
        <v>Serviços</v>
      </c>
      <c r="J331">
        <f t="shared" si="9"/>
        <v>4.5</v>
      </c>
    </row>
    <row r="332" spans="1:10">
      <c r="A332" t="s">
        <v>252</v>
      </c>
      <c r="B332" t="s">
        <v>163</v>
      </c>
      <c r="C332" t="s">
        <v>868</v>
      </c>
      <c r="D332" s="14">
        <v>35</v>
      </c>
      <c r="E332" s="14">
        <v>35</v>
      </c>
      <c r="F332" s="13">
        <v>45709.666666666664</v>
      </c>
      <c r="G332" t="s">
        <v>1</v>
      </c>
      <c r="H332" t="s">
        <v>869</v>
      </c>
      <c r="I332" t="str">
        <f>IF(B332=IFERROR(VLOOKUP(B332,base!$L$1:$L$9,1,0),""),"Produtos",IF(B332=IFERROR(VLOOKUP(B332,base!$K$2:$K$8,1,0),""),"Serviços","Combos"))</f>
        <v>Serviços</v>
      </c>
      <c r="J332">
        <f t="shared" si="9"/>
        <v>15.75</v>
      </c>
    </row>
    <row r="333" spans="1:10">
      <c r="A333" t="s">
        <v>519</v>
      </c>
      <c r="B333" t="s">
        <v>163</v>
      </c>
      <c r="C333" t="s">
        <v>862</v>
      </c>
      <c r="D333" s="14">
        <v>35</v>
      </c>
      <c r="E333" s="14">
        <v>35</v>
      </c>
      <c r="F333" s="13">
        <v>45709.697916666664</v>
      </c>
      <c r="G333" t="s">
        <v>2</v>
      </c>
      <c r="H333" t="s">
        <v>89</v>
      </c>
      <c r="I333" t="str">
        <f>IF(B333=IFERROR(VLOOKUP(B333,base!$L$1:$L$9,1,0),""),"Produtos",IF(B333=IFERROR(VLOOKUP(B333,base!$K$2:$K$8,1,0),""),"Serviços","Combos"))</f>
        <v>Serviços</v>
      </c>
      <c r="J333">
        <f t="shared" si="9"/>
        <v>15.75</v>
      </c>
    </row>
    <row r="334" spans="1:10">
      <c r="A334" t="s">
        <v>519</v>
      </c>
      <c r="B334" t="s">
        <v>163</v>
      </c>
      <c r="C334" t="s">
        <v>841</v>
      </c>
      <c r="D334" s="14">
        <v>35</v>
      </c>
      <c r="E334" s="14">
        <v>35</v>
      </c>
      <c r="F334" s="13">
        <v>45709.71875</v>
      </c>
      <c r="G334" t="s">
        <v>310</v>
      </c>
      <c r="H334" t="s">
        <v>842</v>
      </c>
      <c r="I334" t="str">
        <f>IF(B334=IFERROR(VLOOKUP(B334,base!$L$1:$L$9,1,0),""),"Produtos",IF(B334=IFERROR(VLOOKUP(B334,base!$K$2:$K$8,1,0),""),"Serviços","Combos"))</f>
        <v>Serviços</v>
      </c>
      <c r="J334">
        <f t="shared" si="9"/>
        <v>15.75</v>
      </c>
    </row>
    <row r="335" spans="1:10">
      <c r="A335" t="s">
        <v>536</v>
      </c>
      <c r="B335" t="s">
        <v>163</v>
      </c>
      <c r="C335" t="s">
        <v>844</v>
      </c>
      <c r="D335" s="14">
        <v>35</v>
      </c>
      <c r="E335" s="14">
        <v>35</v>
      </c>
      <c r="F335" s="13">
        <v>45709.71875</v>
      </c>
      <c r="G335" t="s">
        <v>310</v>
      </c>
      <c r="H335" t="s">
        <v>845</v>
      </c>
      <c r="I335" t="str">
        <f>IF(B335=IFERROR(VLOOKUP(B335,base!$L$1:$L$9,1,0),""),"Produtos",IF(B335=IFERROR(VLOOKUP(B335,base!$K$2:$K$8,1,0),""),"Serviços","Combos"))</f>
        <v>Serviços</v>
      </c>
      <c r="J335">
        <f t="shared" si="9"/>
        <v>15.75</v>
      </c>
    </row>
    <row r="336" spans="1:10">
      <c r="A336" t="s">
        <v>519</v>
      </c>
      <c r="B336" t="s">
        <v>353</v>
      </c>
      <c r="C336" t="s">
        <v>867</v>
      </c>
      <c r="D336" s="14">
        <v>55</v>
      </c>
      <c r="E336" s="14">
        <v>55</v>
      </c>
      <c r="F336" s="13">
        <v>45709.739583333336</v>
      </c>
      <c r="G336" t="s">
        <v>310</v>
      </c>
      <c r="H336" t="s">
        <v>34</v>
      </c>
      <c r="I336" t="str">
        <f>IF(B336=IFERROR(VLOOKUP(B336,base!$L$1:$L$9,1,0),""),"Produtos",IF(B336=IFERROR(VLOOKUP(B336,base!$K$2:$K$8,1,0),""),"Serviços","Combos"))</f>
        <v>Combos</v>
      </c>
      <c r="J336">
        <f t="shared" si="9"/>
        <v>24.75</v>
      </c>
    </row>
    <row r="337" spans="1:10">
      <c r="A337" t="s">
        <v>252</v>
      </c>
      <c r="B337" t="s">
        <v>163</v>
      </c>
      <c r="C337" t="s">
        <v>866</v>
      </c>
      <c r="D337" s="14">
        <v>30</v>
      </c>
      <c r="E337" s="14">
        <v>0</v>
      </c>
      <c r="F337" s="13">
        <v>45709.75</v>
      </c>
      <c r="G337" t="s">
        <v>1</v>
      </c>
      <c r="H337" t="s">
        <v>83</v>
      </c>
      <c r="I337" t="str">
        <f>IF(B337=IFERROR(VLOOKUP(B337,base!$L$1:$L$9,1,0),""),"Produtos",IF(B337=IFERROR(VLOOKUP(B337,base!$K$2:$K$8,1,0),""),"Serviços","Combos"))</f>
        <v>Serviços</v>
      </c>
      <c r="J337">
        <f t="shared" si="9"/>
        <v>13.5</v>
      </c>
    </row>
    <row r="338" spans="1:10">
      <c r="A338" t="s">
        <v>536</v>
      </c>
      <c r="B338" t="s">
        <v>161</v>
      </c>
      <c r="C338" t="s">
        <v>870</v>
      </c>
      <c r="D338" s="14">
        <v>20</v>
      </c>
      <c r="E338" s="14">
        <v>20</v>
      </c>
      <c r="F338" s="13">
        <v>45709.75</v>
      </c>
      <c r="G338" t="s">
        <v>1</v>
      </c>
      <c r="H338" t="s">
        <v>423</v>
      </c>
      <c r="I338" t="str">
        <f>IF(B338=IFERROR(VLOOKUP(B338,base!$L$1:$L$9,1,0),""),"Produtos",IF(B338=IFERROR(VLOOKUP(B338,base!$K$2:$K$8,1,0),""),"Serviços","Combos"))</f>
        <v>Serviços</v>
      </c>
      <c r="J338">
        <f t="shared" si="9"/>
        <v>9</v>
      </c>
    </row>
    <row r="339" spans="1:10">
      <c r="A339" t="s">
        <v>536</v>
      </c>
      <c r="B339" t="s">
        <v>163</v>
      </c>
      <c r="C339" t="s">
        <v>871</v>
      </c>
      <c r="D339" s="14">
        <v>35</v>
      </c>
      <c r="E339" s="14">
        <v>35</v>
      </c>
      <c r="F339" s="13">
        <v>45709.770833333336</v>
      </c>
      <c r="G339" t="s">
        <v>1</v>
      </c>
      <c r="H339" t="s">
        <v>202</v>
      </c>
      <c r="I339" t="str">
        <f>IF(B339=IFERROR(VLOOKUP(B339,base!$L$1:$L$9,1,0),""),"Produtos",IF(B339=IFERROR(VLOOKUP(B339,base!$K$2:$K$8,1,0),""),"Serviços","Combos"))</f>
        <v>Serviços</v>
      </c>
      <c r="J339">
        <f t="shared" si="9"/>
        <v>15.75</v>
      </c>
    </row>
    <row r="340" spans="1:10">
      <c r="A340" t="s">
        <v>252</v>
      </c>
      <c r="B340" t="s">
        <v>163</v>
      </c>
      <c r="C340" t="s">
        <v>855</v>
      </c>
      <c r="D340" s="14">
        <v>35</v>
      </c>
      <c r="E340" s="14">
        <v>35</v>
      </c>
      <c r="F340" s="13">
        <v>45709.78125</v>
      </c>
      <c r="G340" t="s">
        <v>310</v>
      </c>
      <c r="H340" t="s">
        <v>856</v>
      </c>
      <c r="I340" t="str">
        <f>IF(B340=IFERROR(VLOOKUP(B340,base!$L$1:$L$9,1,0),""),"Produtos",IF(B340=IFERROR(VLOOKUP(B340,base!$K$2:$K$8,1,0),""),"Serviços","Combos"))</f>
        <v>Serviços</v>
      </c>
      <c r="J340">
        <f t="shared" si="9"/>
        <v>15.75</v>
      </c>
    </row>
    <row r="341" spans="1:10">
      <c r="A341" t="s">
        <v>519</v>
      </c>
      <c r="B341" t="s">
        <v>353</v>
      </c>
      <c r="C341" t="s">
        <v>846</v>
      </c>
      <c r="D341" s="14">
        <v>55</v>
      </c>
      <c r="E341" s="14">
        <v>90</v>
      </c>
      <c r="F341" s="13">
        <v>45709.802083333336</v>
      </c>
      <c r="G341" t="s">
        <v>1</v>
      </c>
      <c r="H341" t="s">
        <v>11</v>
      </c>
      <c r="I341" t="str">
        <f>IF(B341=IFERROR(VLOOKUP(B341,base!$L$1:$L$9,1,0),""),"Produtos",IF(B341=IFERROR(VLOOKUP(B341,base!$K$2:$K$8,1,0),""),"Serviços","Combos"))</f>
        <v>Combos</v>
      </c>
      <c r="J341">
        <f t="shared" si="9"/>
        <v>24.75</v>
      </c>
    </row>
    <row r="342" spans="1:10">
      <c r="A342" t="s">
        <v>519</v>
      </c>
      <c r="B342" t="s">
        <v>163</v>
      </c>
      <c r="C342" t="s">
        <v>846</v>
      </c>
      <c r="D342" s="14">
        <v>35</v>
      </c>
      <c r="F342" s="13">
        <v>45709.802083333336</v>
      </c>
      <c r="G342" t="s">
        <v>1</v>
      </c>
      <c r="H342" t="s">
        <v>11</v>
      </c>
      <c r="I342" t="str">
        <f>IF(B342=IFERROR(VLOOKUP(B342,base!$L$1:$L$9,1,0),""),"Produtos",IF(B342=IFERROR(VLOOKUP(B342,base!$K$2:$K$8,1,0),""),"Serviços","Combos"))</f>
        <v>Serviços</v>
      </c>
      <c r="J342">
        <f t="shared" si="9"/>
        <v>15.75</v>
      </c>
    </row>
    <row r="343" spans="1:10">
      <c r="A343" t="s">
        <v>536</v>
      </c>
      <c r="B343" t="s">
        <v>163</v>
      </c>
      <c r="C343" t="s">
        <v>874</v>
      </c>
      <c r="D343" s="14">
        <v>35</v>
      </c>
      <c r="E343" s="14">
        <v>35</v>
      </c>
      <c r="F343" s="13">
        <v>45709.802083333336</v>
      </c>
      <c r="G343" t="s">
        <v>2</v>
      </c>
      <c r="H343" t="s">
        <v>495</v>
      </c>
      <c r="I343" t="str">
        <f>IF(B343=IFERROR(VLOOKUP(B343,base!$L$1:$L$9,1,0),""),"Produtos",IF(B343=IFERROR(VLOOKUP(B343,base!$K$2:$K$8,1,0),""),"Serviços","Combos"))</f>
        <v>Serviços</v>
      </c>
      <c r="J343">
        <f t="shared" si="9"/>
        <v>15.75</v>
      </c>
    </row>
    <row r="344" spans="1:10">
      <c r="A344" t="s">
        <v>519</v>
      </c>
      <c r="B344" t="s">
        <v>159</v>
      </c>
      <c r="C344" t="s">
        <v>872</v>
      </c>
      <c r="D344" s="14">
        <v>40</v>
      </c>
      <c r="E344" s="14">
        <v>40</v>
      </c>
      <c r="F344" s="13">
        <v>45709.868055555555</v>
      </c>
      <c r="G344" t="s">
        <v>1</v>
      </c>
      <c r="H344" t="s">
        <v>52</v>
      </c>
      <c r="I344" t="str">
        <f>IF(B344=IFERROR(VLOOKUP(B344,base!$L$1:$L$9,1,0),""),"Produtos",IF(B344=IFERROR(VLOOKUP(B344,base!$K$2:$K$8,1,0),""),"Serviços","Combos"))</f>
        <v>Combos</v>
      </c>
      <c r="J344">
        <f t="shared" ref="J344:J407" si="10">IF(AND(I344="Serviços",E344&gt;0),ROUND(D344*45%,2),IF(I344="Produtos",ROUND(D344*40%,2),D344*45%))</f>
        <v>18</v>
      </c>
    </row>
    <row r="345" spans="1:10">
      <c r="A345" t="s">
        <v>252</v>
      </c>
      <c r="B345" t="s">
        <v>159</v>
      </c>
      <c r="C345" t="s">
        <v>881</v>
      </c>
      <c r="D345" s="14">
        <v>40</v>
      </c>
      <c r="E345" s="14">
        <v>40</v>
      </c>
      <c r="F345" s="13">
        <v>45710.375</v>
      </c>
      <c r="G345" t="s">
        <v>882</v>
      </c>
      <c r="H345" t="s">
        <v>44</v>
      </c>
      <c r="I345" t="str">
        <f>IF(B345=IFERROR(VLOOKUP(B345,base!$L$1:$L$9,1,0),""),"Produtos",IF(B345=IFERROR(VLOOKUP(B345,base!$K$2:$K$8,1,0),""),"Serviços","Combos"))</f>
        <v>Combos</v>
      </c>
      <c r="J345">
        <f t="shared" si="10"/>
        <v>18</v>
      </c>
    </row>
    <row r="346" spans="1:10">
      <c r="A346" t="s">
        <v>252</v>
      </c>
      <c r="B346" t="s">
        <v>160</v>
      </c>
      <c r="C346" t="s">
        <v>884</v>
      </c>
      <c r="D346" s="14">
        <v>12</v>
      </c>
      <c r="E346" s="14">
        <v>10</v>
      </c>
      <c r="F346" s="13">
        <v>45710.40625</v>
      </c>
      <c r="G346" t="s">
        <v>2</v>
      </c>
      <c r="H346" t="s">
        <v>885</v>
      </c>
      <c r="I346" t="str">
        <f>IF(B346=IFERROR(VLOOKUP(B346,base!$L$1:$L$9,1,0),""),"Produtos",IF(B346=IFERROR(VLOOKUP(B346,base!$K$2:$K$8,1,0),""),"Serviços","Combos"))</f>
        <v>Serviços</v>
      </c>
      <c r="J346">
        <f t="shared" si="10"/>
        <v>5.4</v>
      </c>
    </row>
    <row r="347" spans="1:10">
      <c r="A347" t="s">
        <v>519</v>
      </c>
      <c r="B347" t="s">
        <v>159</v>
      </c>
      <c r="C347" t="s">
        <v>883</v>
      </c>
      <c r="D347" s="14">
        <v>40</v>
      </c>
      <c r="E347" s="14">
        <v>40</v>
      </c>
      <c r="F347" s="13">
        <v>45710.427083333336</v>
      </c>
      <c r="G347" t="s">
        <v>2</v>
      </c>
      <c r="H347" t="s">
        <v>278</v>
      </c>
      <c r="I347" t="str">
        <f>IF(B347=IFERROR(VLOOKUP(B347,base!$L$1:$L$9,1,0),""),"Produtos",IF(B347=IFERROR(VLOOKUP(B347,base!$K$2:$K$8,1,0),""),"Serviços","Combos"))</f>
        <v>Combos</v>
      </c>
      <c r="J347">
        <f t="shared" si="10"/>
        <v>18</v>
      </c>
    </row>
    <row r="348" spans="1:10">
      <c r="A348" t="s">
        <v>519</v>
      </c>
      <c r="B348" t="s">
        <v>163</v>
      </c>
      <c r="C348" t="s">
        <v>877</v>
      </c>
      <c r="D348" s="14">
        <v>35</v>
      </c>
      <c r="E348" s="14">
        <v>35</v>
      </c>
      <c r="F348" s="13">
        <v>45710.447916666664</v>
      </c>
      <c r="G348" t="s">
        <v>2</v>
      </c>
      <c r="H348" t="s">
        <v>115</v>
      </c>
      <c r="I348" t="str">
        <f>IF(B348=IFERROR(VLOOKUP(B348,base!$L$1:$L$9,1,0),""),"Produtos",IF(B348=IFERROR(VLOOKUP(B348,base!$K$2:$K$8,1,0),""),"Serviços","Combos"))</f>
        <v>Serviços</v>
      </c>
      <c r="J348">
        <f t="shared" si="10"/>
        <v>15.75</v>
      </c>
    </row>
    <row r="349" spans="1:10">
      <c r="A349" t="s">
        <v>536</v>
      </c>
      <c r="B349" t="s">
        <v>163</v>
      </c>
      <c r="C349" t="s">
        <v>887</v>
      </c>
      <c r="D349" s="14">
        <v>35</v>
      </c>
      <c r="E349" s="14">
        <v>35</v>
      </c>
      <c r="F349" s="13">
        <v>45710.447916666664</v>
      </c>
      <c r="G349" t="s">
        <v>2</v>
      </c>
      <c r="H349" t="s">
        <v>888</v>
      </c>
      <c r="I349" t="str">
        <f>IF(B349=IFERROR(VLOOKUP(B349,base!$L$1:$L$9,1,0),""),"Produtos",IF(B349=IFERROR(VLOOKUP(B349,base!$K$2:$K$8,1,0),""),"Serviços","Combos"))</f>
        <v>Serviços</v>
      </c>
      <c r="J349">
        <f t="shared" si="10"/>
        <v>15.75</v>
      </c>
    </row>
    <row r="350" spans="1:10">
      <c r="A350" t="s">
        <v>252</v>
      </c>
      <c r="B350" t="s">
        <v>161</v>
      </c>
      <c r="C350" t="s">
        <v>878</v>
      </c>
      <c r="D350" s="14">
        <v>20</v>
      </c>
      <c r="E350" s="14">
        <v>20</v>
      </c>
      <c r="F350" s="13">
        <v>45710.46875</v>
      </c>
      <c r="G350" t="s">
        <v>2</v>
      </c>
      <c r="H350" t="s">
        <v>298</v>
      </c>
      <c r="I350" t="str">
        <f>IF(B350=IFERROR(VLOOKUP(B350,base!$L$1:$L$9,1,0),""),"Produtos",IF(B350=IFERROR(VLOOKUP(B350,base!$K$2:$K$8,1,0),""),"Serviços","Combos"))</f>
        <v>Serviços</v>
      </c>
      <c r="J350">
        <f t="shared" si="10"/>
        <v>9</v>
      </c>
    </row>
    <row r="351" spans="1:10">
      <c r="A351" t="s">
        <v>519</v>
      </c>
      <c r="B351" t="s">
        <v>163</v>
      </c>
      <c r="C351" t="s">
        <v>879</v>
      </c>
      <c r="D351" s="14">
        <v>45</v>
      </c>
      <c r="E351" s="14">
        <v>45</v>
      </c>
      <c r="F351" s="13">
        <v>45710.479166666664</v>
      </c>
      <c r="G351" t="s">
        <v>310</v>
      </c>
      <c r="H351" t="s">
        <v>880</v>
      </c>
      <c r="I351" t="str">
        <f>IF(B351=IFERROR(VLOOKUP(B351,base!$L$1:$L$9,1,0),""),"Produtos",IF(B351=IFERROR(VLOOKUP(B351,base!$K$2:$K$8,1,0),""),"Serviços","Combos"))</f>
        <v>Serviços</v>
      </c>
      <c r="J351">
        <f t="shared" si="10"/>
        <v>20.25</v>
      </c>
    </row>
    <row r="352" spans="1:10">
      <c r="A352" t="s">
        <v>252</v>
      </c>
      <c r="B352" t="s">
        <v>163</v>
      </c>
      <c r="C352" t="s">
        <v>891</v>
      </c>
      <c r="D352" s="14">
        <v>35</v>
      </c>
      <c r="E352" s="14">
        <v>35</v>
      </c>
      <c r="F352" s="13">
        <v>45710.510416666664</v>
      </c>
      <c r="G352" t="s">
        <v>2</v>
      </c>
      <c r="H352" t="s">
        <v>207</v>
      </c>
      <c r="I352" t="str">
        <f>IF(B352=IFERROR(VLOOKUP(B352,base!$L$1:$L$9,1,0),""),"Produtos",IF(B352=IFERROR(VLOOKUP(B352,base!$K$2:$K$8,1,0),""),"Serviços","Combos"))</f>
        <v>Serviços</v>
      </c>
      <c r="J352">
        <f t="shared" si="10"/>
        <v>15.75</v>
      </c>
    </row>
    <row r="353" spans="1:10">
      <c r="A353" t="s">
        <v>536</v>
      </c>
      <c r="B353" t="s">
        <v>163</v>
      </c>
      <c r="C353" t="s">
        <v>892</v>
      </c>
      <c r="D353" s="14">
        <v>35</v>
      </c>
      <c r="E353" s="14">
        <v>35</v>
      </c>
      <c r="F353" s="13">
        <v>45710.520833333336</v>
      </c>
      <c r="G353" t="s">
        <v>354</v>
      </c>
      <c r="H353" t="s">
        <v>117</v>
      </c>
      <c r="I353" t="str">
        <f>IF(B353=IFERROR(VLOOKUP(B353,base!$L$1:$L$9,1,0),""),"Produtos",IF(B353=IFERROR(VLOOKUP(B353,base!$K$2:$K$8,1,0),""),"Serviços","Combos"))</f>
        <v>Serviços</v>
      </c>
      <c r="J353">
        <f t="shared" si="10"/>
        <v>15.75</v>
      </c>
    </row>
    <row r="354" spans="1:10">
      <c r="A354" t="s">
        <v>519</v>
      </c>
      <c r="B354" t="s">
        <v>353</v>
      </c>
      <c r="C354" t="s">
        <v>893</v>
      </c>
      <c r="D354" s="14">
        <v>50</v>
      </c>
      <c r="E354" s="14">
        <v>50</v>
      </c>
      <c r="F354" s="13">
        <v>45710.545138888891</v>
      </c>
      <c r="G354" t="s">
        <v>2</v>
      </c>
      <c r="H354" t="s">
        <v>207</v>
      </c>
      <c r="I354" t="str">
        <f>IF(B354=IFERROR(VLOOKUP(B354,base!$L$1:$L$9,1,0),""),"Produtos",IF(B354=IFERROR(VLOOKUP(B354,base!$K$2:$K$8,1,0),""),"Serviços","Combos"))</f>
        <v>Combos</v>
      </c>
      <c r="J354">
        <f t="shared" si="10"/>
        <v>22.5</v>
      </c>
    </row>
    <row r="355" spans="1:10">
      <c r="A355" t="s">
        <v>519</v>
      </c>
      <c r="B355" t="s">
        <v>163</v>
      </c>
      <c r="C355" t="s">
        <v>889</v>
      </c>
      <c r="D355" s="14">
        <v>35</v>
      </c>
      <c r="E355" s="14">
        <v>35</v>
      </c>
      <c r="F355" s="13">
        <v>45710.5625</v>
      </c>
      <c r="G355" t="s">
        <v>1</v>
      </c>
      <c r="H355" t="s">
        <v>384</v>
      </c>
      <c r="I355" t="str">
        <f>IF(B355=IFERROR(VLOOKUP(B355,base!$L$1:$L$9,1,0),""),"Produtos",IF(B355=IFERROR(VLOOKUP(B355,base!$K$2:$K$8,1,0),""),"Serviços","Combos"))</f>
        <v>Serviços</v>
      </c>
      <c r="J355">
        <f t="shared" si="10"/>
        <v>15.75</v>
      </c>
    </row>
    <row r="356" spans="1:10">
      <c r="A356" t="s">
        <v>252</v>
      </c>
      <c r="B356" t="s">
        <v>163</v>
      </c>
      <c r="C356" t="s">
        <v>897</v>
      </c>
      <c r="D356" s="14">
        <v>35</v>
      </c>
      <c r="E356" s="14">
        <v>35</v>
      </c>
      <c r="F356" s="13">
        <v>45710.604166666664</v>
      </c>
      <c r="G356" t="s">
        <v>1</v>
      </c>
      <c r="H356" t="s">
        <v>403</v>
      </c>
      <c r="I356" t="str">
        <f>IF(B356=IFERROR(VLOOKUP(B356,base!$L$1:$L$9,1,0),""),"Produtos",IF(B356=IFERROR(VLOOKUP(B356,base!$K$2:$K$8,1,0),""),"Serviços","Combos"))</f>
        <v>Serviços</v>
      </c>
      <c r="J356">
        <f t="shared" si="10"/>
        <v>15.75</v>
      </c>
    </row>
    <row r="357" spans="1:10">
      <c r="A357" t="s">
        <v>252</v>
      </c>
      <c r="B357" t="s">
        <v>163</v>
      </c>
      <c r="C357" t="s">
        <v>875</v>
      </c>
      <c r="D357" s="14">
        <v>35</v>
      </c>
      <c r="E357" s="14">
        <v>35</v>
      </c>
      <c r="F357" s="13">
        <v>45710.625</v>
      </c>
      <c r="G357" t="s">
        <v>354</v>
      </c>
      <c r="H357" t="s">
        <v>96</v>
      </c>
      <c r="I357" t="str">
        <f>IF(B357=IFERROR(VLOOKUP(B357,base!$L$1:$L$9,1,0),""),"Produtos",IF(B357=IFERROR(VLOOKUP(B357,base!$K$2:$K$8,1,0),""),"Serviços","Combos"))</f>
        <v>Serviços</v>
      </c>
      <c r="J357">
        <f t="shared" si="10"/>
        <v>15.75</v>
      </c>
    </row>
    <row r="358" spans="1:10">
      <c r="A358" t="s">
        <v>536</v>
      </c>
      <c r="B358" t="s">
        <v>163</v>
      </c>
      <c r="C358" t="s">
        <v>894</v>
      </c>
      <c r="D358" s="14">
        <v>35</v>
      </c>
      <c r="E358" s="14">
        <v>60</v>
      </c>
      <c r="F358" s="13">
        <v>45710.625</v>
      </c>
      <c r="G358" t="s">
        <v>310</v>
      </c>
      <c r="H358" t="s">
        <v>895</v>
      </c>
      <c r="I358" t="str">
        <f>IF(B358=IFERROR(VLOOKUP(B358,base!$L$1:$L$9,1,0),""),"Produtos",IF(B358=IFERROR(VLOOKUP(B358,base!$K$2:$K$8,1,0),""),"Serviços","Combos"))</f>
        <v>Serviços</v>
      </c>
      <c r="J358">
        <f t="shared" si="10"/>
        <v>15.75</v>
      </c>
    </row>
    <row r="359" spans="1:10">
      <c r="A359" t="s">
        <v>536</v>
      </c>
      <c r="B359" t="s">
        <v>508</v>
      </c>
      <c r="C359" t="s">
        <v>894</v>
      </c>
      <c r="D359" s="14">
        <v>25</v>
      </c>
      <c r="F359" s="13">
        <v>45710.625</v>
      </c>
      <c r="G359" t="s">
        <v>310</v>
      </c>
      <c r="H359" t="s">
        <v>895</v>
      </c>
      <c r="I359" t="str">
        <f>IF(B359=IFERROR(VLOOKUP(B359,base!$L$1:$L$9,1,0),""),"Produtos",IF(B359=IFERROR(VLOOKUP(B359,base!$K$2:$K$8,1,0),""),"Serviços","Combos"))</f>
        <v>Produtos</v>
      </c>
      <c r="J359">
        <f t="shared" si="10"/>
        <v>10</v>
      </c>
    </row>
    <row r="360" spans="1:10">
      <c r="A360" t="s">
        <v>252</v>
      </c>
      <c r="B360" t="s">
        <v>163</v>
      </c>
      <c r="C360" t="s">
        <v>890</v>
      </c>
      <c r="D360" s="14">
        <v>35</v>
      </c>
      <c r="E360" s="14">
        <v>35</v>
      </c>
      <c r="F360" s="13">
        <v>45710.645833333336</v>
      </c>
      <c r="G360" t="s">
        <v>354</v>
      </c>
      <c r="H360" t="s">
        <v>296</v>
      </c>
      <c r="I360" t="str">
        <f>IF(B360=IFERROR(VLOOKUP(B360,base!$L$1:$L$9,1,0),""),"Produtos",IF(B360=IFERROR(VLOOKUP(B360,base!$K$2:$K$8,1,0),""),"Serviços","Combos"))</f>
        <v>Serviços</v>
      </c>
      <c r="J360">
        <f t="shared" si="10"/>
        <v>15.75</v>
      </c>
    </row>
    <row r="361" spans="1:10">
      <c r="A361" t="s">
        <v>519</v>
      </c>
      <c r="B361" t="s">
        <v>163</v>
      </c>
      <c r="C361" t="s">
        <v>886</v>
      </c>
      <c r="D361" s="14">
        <v>35</v>
      </c>
      <c r="E361" s="14">
        <v>35</v>
      </c>
      <c r="F361" s="13">
        <v>45710.666666666664</v>
      </c>
      <c r="G361" t="s">
        <v>1</v>
      </c>
      <c r="H361" t="s">
        <v>390</v>
      </c>
      <c r="I361" t="str">
        <f>IF(B361=IFERROR(VLOOKUP(B361,base!$L$1:$L$9,1,0),""),"Produtos",IF(B361=IFERROR(VLOOKUP(B361,base!$K$2:$K$8,1,0),""),"Serviços","Combos"))</f>
        <v>Serviços</v>
      </c>
      <c r="J361">
        <f t="shared" si="10"/>
        <v>15.75</v>
      </c>
    </row>
    <row r="362" spans="1:10">
      <c r="A362" t="s">
        <v>252</v>
      </c>
      <c r="B362" t="s">
        <v>163</v>
      </c>
      <c r="C362" t="s">
        <v>900</v>
      </c>
      <c r="D362" s="14">
        <v>35</v>
      </c>
      <c r="E362" s="14">
        <v>35</v>
      </c>
      <c r="F362" s="13">
        <v>45710.697916666664</v>
      </c>
      <c r="G362" t="s">
        <v>354</v>
      </c>
      <c r="H362" t="s">
        <v>901</v>
      </c>
      <c r="I362" t="str">
        <f>IF(B362=IFERROR(VLOOKUP(B362,base!$L$1:$L$9,1,0),""),"Produtos",IF(B362=IFERROR(VLOOKUP(B362,base!$K$2:$K$8,1,0),""),"Serviços","Combos"))</f>
        <v>Serviços</v>
      </c>
      <c r="J362">
        <f t="shared" si="10"/>
        <v>15.75</v>
      </c>
    </row>
    <row r="363" spans="1:10">
      <c r="A363" t="s">
        <v>519</v>
      </c>
      <c r="B363" t="s">
        <v>161</v>
      </c>
      <c r="C363" t="s">
        <v>902</v>
      </c>
      <c r="D363" s="14">
        <v>25</v>
      </c>
      <c r="E363" s="14">
        <v>40</v>
      </c>
      <c r="F363" s="13">
        <v>45710.697916666664</v>
      </c>
      <c r="G363" t="s">
        <v>310</v>
      </c>
      <c r="H363" t="s">
        <v>376</v>
      </c>
      <c r="I363" t="str">
        <f>IF(B363=IFERROR(VLOOKUP(B363,base!$L$1:$L$9,1,0),""),"Produtos",IF(B363=IFERROR(VLOOKUP(B363,base!$K$2:$K$8,1,0),""),"Serviços","Combos"))</f>
        <v>Serviços</v>
      </c>
      <c r="J363">
        <f t="shared" si="10"/>
        <v>11.25</v>
      </c>
    </row>
    <row r="364" spans="1:10">
      <c r="A364" t="s">
        <v>519</v>
      </c>
      <c r="B364" t="s">
        <v>352</v>
      </c>
      <c r="C364" t="s">
        <v>902</v>
      </c>
      <c r="D364" s="14">
        <v>15</v>
      </c>
      <c r="F364" s="13">
        <v>45710.697916666664</v>
      </c>
      <c r="G364" t="s">
        <v>310</v>
      </c>
      <c r="H364" t="s">
        <v>376</v>
      </c>
      <c r="I364" t="str">
        <f>IF(B364=IFERROR(VLOOKUP(B364,base!$L$1:$L$9,1,0),""),"Produtos",IF(B364=IFERROR(VLOOKUP(B364,base!$K$2:$K$8,1,0),""),"Serviços","Combos"))</f>
        <v>Combos</v>
      </c>
      <c r="J364">
        <f t="shared" si="10"/>
        <v>6.75</v>
      </c>
    </row>
    <row r="365" spans="1:10">
      <c r="A365" t="s">
        <v>519</v>
      </c>
      <c r="B365" t="s">
        <v>353</v>
      </c>
      <c r="C365" t="s">
        <v>896</v>
      </c>
      <c r="D365" s="14">
        <v>48.33</v>
      </c>
      <c r="E365" s="14">
        <v>62</v>
      </c>
      <c r="F365" s="13">
        <v>45710.708333333336</v>
      </c>
      <c r="G365" t="s">
        <v>1</v>
      </c>
      <c r="H365" t="s">
        <v>182</v>
      </c>
      <c r="I365" t="str">
        <f>IF(B365=IFERROR(VLOOKUP(B365,base!$L$1:$L$9,1,0),""),"Produtos",IF(B365=IFERROR(VLOOKUP(B365,base!$K$2:$K$8,1,0),""),"Serviços","Combos"))</f>
        <v>Combos</v>
      </c>
      <c r="J365">
        <f t="shared" si="10"/>
        <v>21.7485</v>
      </c>
    </row>
    <row r="366" spans="1:10">
      <c r="A366" t="s">
        <v>519</v>
      </c>
      <c r="B366" t="s">
        <v>512</v>
      </c>
      <c r="C366" t="s">
        <v>896</v>
      </c>
      <c r="D366" s="14">
        <v>40</v>
      </c>
      <c r="F366" s="13">
        <v>45710.708333333336</v>
      </c>
      <c r="G366" t="s">
        <v>1</v>
      </c>
      <c r="H366" t="s">
        <v>182</v>
      </c>
      <c r="I366" t="str">
        <f>IF(B366=IFERROR(VLOOKUP(B366,base!$L$1:$L$9,1,0),""),"Produtos",IF(B366=IFERROR(VLOOKUP(B366,base!$K$2:$K$8,1,0),""),"Serviços","Combos"))</f>
        <v>Produtos</v>
      </c>
      <c r="J366">
        <f t="shared" si="10"/>
        <v>16</v>
      </c>
    </row>
    <row r="367" spans="1:10">
      <c r="A367" t="s">
        <v>519</v>
      </c>
      <c r="B367" t="s">
        <v>507</v>
      </c>
      <c r="C367" t="s">
        <v>896</v>
      </c>
      <c r="D367" s="14">
        <v>22</v>
      </c>
      <c r="F367" s="13">
        <v>45710.708333333336</v>
      </c>
      <c r="G367" t="s">
        <v>1</v>
      </c>
      <c r="H367" t="s">
        <v>182</v>
      </c>
      <c r="I367" t="str">
        <f>IF(B367=IFERROR(VLOOKUP(B367,base!$L$1:$L$9,1,0),""),"Produtos",IF(B367=IFERROR(VLOOKUP(B367,base!$K$2:$K$8,1,0),""),"Serviços","Combos"))</f>
        <v>Produtos</v>
      </c>
      <c r="J367">
        <f t="shared" si="10"/>
        <v>8.8000000000000007</v>
      </c>
    </row>
    <row r="368" spans="1:10">
      <c r="A368" t="s">
        <v>519</v>
      </c>
      <c r="B368" t="s">
        <v>353</v>
      </c>
      <c r="C368" t="s">
        <v>905</v>
      </c>
      <c r="D368" s="14">
        <v>55</v>
      </c>
      <c r="E368" s="14">
        <v>55</v>
      </c>
      <c r="F368" s="13">
        <v>45710.729166666664</v>
      </c>
      <c r="G368" t="s">
        <v>1</v>
      </c>
      <c r="H368" t="s">
        <v>906</v>
      </c>
      <c r="I368" t="str">
        <f>IF(B368=IFERROR(VLOOKUP(B368,base!$L$1:$L$9,1,0),""),"Produtos",IF(B368=IFERROR(VLOOKUP(B368,base!$K$2:$K$8,1,0),""),"Serviços","Combos"))</f>
        <v>Combos</v>
      </c>
      <c r="J368">
        <f t="shared" si="10"/>
        <v>24.75</v>
      </c>
    </row>
    <row r="369" spans="1:10">
      <c r="A369" t="s">
        <v>519</v>
      </c>
      <c r="B369" t="s">
        <v>163</v>
      </c>
      <c r="C369" t="s">
        <v>898</v>
      </c>
      <c r="D369" s="14">
        <v>35</v>
      </c>
      <c r="E369" s="14">
        <v>35</v>
      </c>
      <c r="F369" s="13">
        <v>45710.739583333336</v>
      </c>
      <c r="G369" t="s">
        <v>1</v>
      </c>
      <c r="H369" t="s">
        <v>53</v>
      </c>
      <c r="I369" t="str">
        <f>IF(B369=IFERROR(VLOOKUP(B369,base!$L$1:$L$9,1,0),""),"Produtos",IF(B369=IFERROR(VLOOKUP(B369,base!$K$2:$K$8,1,0),""),"Serviços","Combos"))</f>
        <v>Serviços</v>
      </c>
      <c r="J369">
        <f t="shared" si="10"/>
        <v>15.75</v>
      </c>
    </row>
    <row r="370" spans="1:10">
      <c r="A370" t="s">
        <v>252</v>
      </c>
      <c r="B370" t="s">
        <v>353</v>
      </c>
      <c r="C370" t="s">
        <v>903</v>
      </c>
      <c r="D370" s="14">
        <v>55</v>
      </c>
      <c r="E370" s="14">
        <v>55</v>
      </c>
      <c r="F370" s="13">
        <v>45710.739583333336</v>
      </c>
      <c r="G370" t="s">
        <v>354</v>
      </c>
      <c r="H370" t="s">
        <v>904</v>
      </c>
      <c r="I370" t="str">
        <f>IF(B370=IFERROR(VLOOKUP(B370,base!$L$1:$L$9,1,0),""),"Produtos",IF(B370=IFERROR(VLOOKUP(B370,base!$K$2:$K$8,1,0),""),"Serviços","Combos"))</f>
        <v>Combos</v>
      </c>
      <c r="J370">
        <f t="shared" si="10"/>
        <v>24.75</v>
      </c>
    </row>
    <row r="371" spans="1:10">
      <c r="A371" t="s">
        <v>519</v>
      </c>
      <c r="B371" t="s">
        <v>159</v>
      </c>
      <c r="C371" t="s">
        <v>899</v>
      </c>
      <c r="D371" s="14">
        <v>40</v>
      </c>
      <c r="E371" s="14">
        <v>40</v>
      </c>
      <c r="F371" s="13">
        <v>45710.760416666664</v>
      </c>
      <c r="G371" t="s">
        <v>1</v>
      </c>
      <c r="H371" t="s">
        <v>28</v>
      </c>
      <c r="I371" t="str">
        <f>IF(B371=IFERROR(VLOOKUP(B371,base!$L$1:$L$9,1,0),""),"Produtos",IF(B371=IFERROR(VLOOKUP(B371,base!$K$2:$K$8,1,0),""),"Serviços","Combos"))</f>
        <v>Combos</v>
      </c>
      <c r="J371">
        <f t="shared" si="10"/>
        <v>18</v>
      </c>
    </row>
    <row r="372" spans="1:10">
      <c r="A372" t="s">
        <v>252</v>
      </c>
      <c r="B372" t="s">
        <v>353</v>
      </c>
      <c r="C372" t="s">
        <v>907</v>
      </c>
      <c r="D372" s="14">
        <v>55</v>
      </c>
      <c r="E372" s="14">
        <v>55</v>
      </c>
      <c r="F372" s="13">
        <v>45710.78125</v>
      </c>
      <c r="G372" t="s">
        <v>354</v>
      </c>
      <c r="H372" t="s">
        <v>908</v>
      </c>
      <c r="I372" t="str">
        <f>IF(B372=IFERROR(VLOOKUP(B372,base!$L$1:$L$9,1,0),""),"Produtos",IF(B372=IFERROR(VLOOKUP(B372,base!$K$2:$K$8,1,0),""),"Serviços","Combos"))</f>
        <v>Combos</v>
      </c>
      <c r="J372">
        <f t="shared" si="10"/>
        <v>24.75</v>
      </c>
    </row>
    <row r="373" spans="1:10">
      <c r="A373" t="s">
        <v>252</v>
      </c>
      <c r="B373" t="s">
        <v>161</v>
      </c>
      <c r="C373" t="s">
        <v>909</v>
      </c>
      <c r="D373" s="14">
        <v>20</v>
      </c>
      <c r="E373" s="14">
        <v>25</v>
      </c>
      <c r="F373" s="13">
        <v>45710.864583333336</v>
      </c>
      <c r="G373" t="s">
        <v>1</v>
      </c>
      <c r="H373" t="s">
        <v>489</v>
      </c>
      <c r="I373" t="str">
        <f>IF(B373=IFERROR(VLOOKUP(B373,base!$L$1:$L$9,1,0),""),"Produtos",IF(B373=IFERROR(VLOOKUP(B373,base!$K$2:$K$8,1,0),""),"Serviços","Combos"))</f>
        <v>Serviços</v>
      </c>
      <c r="J373">
        <f t="shared" si="10"/>
        <v>9</v>
      </c>
    </row>
    <row r="374" spans="1:10">
      <c r="A374" t="s">
        <v>252</v>
      </c>
      <c r="B374" t="s">
        <v>910</v>
      </c>
      <c r="C374" t="s">
        <v>909</v>
      </c>
      <c r="D374" s="14">
        <v>5</v>
      </c>
      <c r="F374" s="13">
        <v>45710.864583333336</v>
      </c>
      <c r="G374" t="s">
        <v>1</v>
      </c>
      <c r="H374" t="s">
        <v>489</v>
      </c>
      <c r="I374" t="str">
        <f>IF(B374=IFERROR(VLOOKUP(B374,base!$L$1:$L$9,1,0),""),"Produtos",IF(B374=IFERROR(VLOOKUP(B374,base!$K$2:$K$8,1,0),""),"Serviços","Combos"))</f>
        <v>Combos</v>
      </c>
      <c r="J374">
        <f t="shared" si="10"/>
        <v>2.25</v>
      </c>
    </row>
    <row r="375" spans="1:10">
      <c r="A375" t="s">
        <v>519</v>
      </c>
      <c r="B375" t="s">
        <v>159</v>
      </c>
      <c r="C375" t="s">
        <v>911</v>
      </c>
      <c r="D375" s="14">
        <v>40</v>
      </c>
      <c r="E375" s="14">
        <v>40</v>
      </c>
      <c r="F375" s="13">
        <v>45710.864583333336</v>
      </c>
      <c r="G375" t="s">
        <v>1</v>
      </c>
      <c r="H375" t="s">
        <v>912</v>
      </c>
      <c r="I375" t="str">
        <f>IF(B375=IFERROR(VLOOKUP(B375,base!$L$1:$L$9,1,0),""),"Produtos",IF(B375=IFERROR(VLOOKUP(B375,base!$K$2:$K$8,1,0),""),"Serviços","Combos"))</f>
        <v>Combos</v>
      </c>
      <c r="J375">
        <f t="shared" si="10"/>
        <v>18</v>
      </c>
    </row>
    <row r="376" spans="1:10">
      <c r="A376" t="s">
        <v>252</v>
      </c>
      <c r="B376" t="s">
        <v>163</v>
      </c>
      <c r="C376" t="s">
        <v>913</v>
      </c>
      <c r="D376" s="14">
        <v>35</v>
      </c>
      <c r="E376" s="14">
        <v>20</v>
      </c>
      <c r="F376" s="13">
        <v>45710.875</v>
      </c>
      <c r="G376" t="s">
        <v>2</v>
      </c>
      <c r="H376" t="s">
        <v>914</v>
      </c>
      <c r="I376" t="str">
        <f>IF(B376=IFERROR(VLOOKUP(B376,base!$L$1:$L$9,1,0),""),"Produtos",IF(B376=IFERROR(VLOOKUP(B376,base!$K$2:$K$8,1,0),""),"Serviços","Combos"))</f>
        <v>Serviços</v>
      </c>
      <c r="J376">
        <f t="shared" si="10"/>
        <v>15.75</v>
      </c>
    </row>
    <row r="377" spans="1:10">
      <c r="A377" t="s">
        <v>252</v>
      </c>
      <c r="B377" t="s">
        <v>161</v>
      </c>
      <c r="C377" t="s">
        <v>915</v>
      </c>
      <c r="D377" s="14">
        <v>20</v>
      </c>
      <c r="E377" s="14">
        <v>30</v>
      </c>
      <c r="F377" s="13">
        <v>45710.875</v>
      </c>
      <c r="G377" t="s">
        <v>1</v>
      </c>
      <c r="H377" t="s">
        <v>211</v>
      </c>
      <c r="I377" t="str">
        <f>IF(B377=IFERROR(VLOOKUP(B377,base!$L$1:$L$9,1,0),""),"Produtos",IF(B377=IFERROR(VLOOKUP(B377,base!$K$2:$K$8,1,0),""),"Serviços","Combos"))</f>
        <v>Serviços</v>
      </c>
      <c r="J377">
        <f t="shared" si="10"/>
        <v>9</v>
      </c>
    </row>
    <row r="378" spans="1:10">
      <c r="A378" t="s">
        <v>519</v>
      </c>
      <c r="B378" t="s">
        <v>163</v>
      </c>
      <c r="C378" t="s">
        <v>916</v>
      </c>
      <c r="D378" s="14">
        <v>30</v>
      </c>
      <c r="E378" s="14">
        <v>0</v>
      </c>
      <c r="F378" s="13">
        <v>45710.899305555555</v>
      </c>
      <c r="G378" t="s">
        <v>1</v>
      </c>
      <c r="H378" t="s">
        <v>95</v>
      </c>
      <c r="I378" t="str">
        <f>IF(B378=IFERROR(VLOOKUP(B378,base!$L$1:$L$9,1,0),""),"Produtos",IF(B378=IFERROR(VLOOKUP(B378,base!$K$2:$K$8,1,0),""),"Serviços","Combos"))</f>
        <v>Serviços</v>
      </c>
      <c r="J378">
        <f t="shared" si="10"/>
        <v>13.5</v>
      </c>
    </row>
    <row r="379" spans="1:10">
      <c r="A379" t="s">
        <v>519</v>
      </c>
      <c r="B379" t="s">
        <v>163</v>
      </c>
      <c r="C379" t="s">
        <v>917</v>
      </c>
      <c r="D379" s="14">
        <v>35</v>
      </c>
      <c r="E379" s="14">
        <v>35</v>
      </c>
      <c r="F379" s="13">
        <v>45710.913194444445</v>
      </c>
      <c r="G379" t="s">
        <v>1</v>
      </c>
      <c r="H379" t="s">
        <v>918</v>
      </c>
      <c r="I379" t="str">
        <f>IF(B379=IFERROR(VLOOKUP(B379,base!$L$1:$L$9,1,0),""),"Produtos",IF(B379=IFERROR(VLOOKUP(B379,base!$K$2:$K$8,1,0),""),"Serviços","Combos"))</f>
        <v>Serviços</v>
      </c>
      <c r="J379">
        <f t="shared" si="10"/>
        <v>15.75</v>
      </c>
    </row>
    <row r="380" spans="1:10">
      <c r="A380" t="s">
        <v>519</v>
      </c>
      <c r="B380" t="s">
        <v>159</v>
      </c>
      <c r="C380" t="s">
        <v>919</v>
      </c>
      <c r="D380" s="14">
        <v>40</v>
      </c>
      <c r="E380" s="14">
        <v>40</v>
      </c>
      <c r="F380" s="13">
        <v>45710.923611111109</v>
      </c>
      <c r="G380" t="s">
        <v>1</v>
      </c>
      <c r="H380" t="s">
        <v>920</v>
      </c>
      <c r="I380" t="str">
        <f>IF(B380=IFERROR(VLOOKUP(B380,base!$L$1:$L$9,1,0),""),"Produtos",IF(B380=IFERROR(VLOOKUP(B380,base!$K$2:$K$8,1,0),""),"Serviços","Combos"))</f>
        <v>Combos</v>
      </c>
      <c r="J380">
        <f t="shared" si="10"/>
        <v>18</v>
      </c>
    </row>
    <row r="381" spans="1:10">
      <c r="A381" t="s">
        <v>519</v>
      </c>
      <c r="B381" t="s">
        <v>163</v>
      </c>
      <c r="C381" t="s">
        <v>921</v>
      </c>
      <c r="D381" s="14">
        <v>35</v>
      </c>
      <c r="E381" s="14">
        <v>35</v>
      </c>
      <c r="F381" s="13">
        <v>45712.416666666664</v>
      </c>
      <c r="G381" t="s">
        <v>2</v>
      </c>
      <c r="H381" t="s">
        <v>288</v>
      </c>
      <c r="I381" t="str">
        <f>IF(B381=IFERROR(VLOOKUP(B381,base!$L$1:$L$9,1,0),""),"Produtos",IF(B381=IFERROR(VLOOKUP(B381,base!$K$2:$K$8,1,0),""),"Serviços","Combos"))</f>
        <v>Serviços</v>
      </c>
      <c r="J381">
        <f t="shared" si="10"/>
        <v>15.75</v>
      </c>
    </row>
    <row r="382" spans="1:10">
      <c r="A382" t="s">
        <v>252</v>
      </c>
      <c r="B382" t="s">
        <v>163</v>
      </c>
      <c r="C382" t="s">
        <v>923</v>
      </c>
      <c r="D382" s="14">
        <v>35</v>
      </c>
      <c r="E382" s="14">
        <v>35</v>
      </c>
      <c r="F382" s="13">
        <v>45712.416666666664</v>
      </c>
      <c r="G382" t="s">
        <v>1</v>
      </c>
      <c r="H382" t="s">
        <v>189</v>
      </c>
      <c r="I382" t="str">
        <f>IF(B382=IFERROR(VLOOKUP(B382,base!$L$1:$L$9,1,0),""),"Produtos",IF(B382=IFERROR(VLOOKUP(B382,base!$K$2:$K$8,1,0),""),"Serviços","Combos"))</f>
        <v>Serviços</v>
      </c>
      <c r="J382">
        <f t="shared" si="10"/>
        <v>15.75</v>
      </c>
    </row>
    <row r="383" spans="1:10">
      <c r="A383" t="s">
        <v>536</v>
      </c>
      <c r="B383" t="s">
        <v>163</v>
      </c>
      <c r="C383" t="s">
        <v>927</v>
      </c>
      <c r="D383" s="14">
        <v>35</v>
      </c>
      <c r="E383" s="14">
        <v>35</v>
      </c>
      <c r="F383" s="13">
        <v>45712.427083333336</v>
      </c>
      <c r="G383" t="s">
        <v>354</v>
      </c>
      <c r="H383" t="s">
        <v>928</v>
      </c>
      <c r="I383" t="str">
        <f>IF(B383=IFERROR(VLOOKUP(B383,base!$L$1:$L$9,1,0),""),"Produtos",IF(B383=IFERROR(VLOOKUP(B383,base!$K$2:$K$8,1,0),""),"Serviços","Combos"))</f>
        <v>Serviços</v>
      </c>
      <c r="J383">
        <f t="shared" si="10"/>
        <v>15.75</v>
      </c>
    </row>
    <row r="384" spans="1:10">
      <c r="A384" t="s">
        <v>519</v>
      </c>
      <c r="B384" t="s">
        <v>353</v>
      </c>
      <c r="C384" t="s">
        <v>924</v>
      </c>
      <c r="D384" s="14">
        <v>55</v>
      </c>
      <c r="E384" s="14">
        <v>70</v>
      </c>
      <c r="F384" s="13">
        <v>45712.4375</v>
      </c>
      <c r="G384" t="s">
        <v>1</v>
      </c>
      <c r="H384" t="s">
        <v>190</v>
      </c>
      <c r="I384" t="str">
        <f>IF(B384=IFERROR(VLOOKUP(B384,base!$L$1:$L$9,1,0),""),"Produtos",IF(B384=IFERROR(VLOOKUP(B384,base!$K$2:$K$8,1,0),""),"Serviços","Combos"))</f>
        <v>Combos</v>
      </c>
      <c r="J384">
        <f t="shared" si="10"/>
        <v>24.75</v>
      </c>
    </row>
    <row r="385" spans="1:16">
      <c r="A385" t="s">
        <v>519</v>
      </c>
      <c r="B385" t="s">
        <v>352</v>
      </c>
      <c r="C385" t="s">
        <v>924</v>
      </c>
      <c r="D385" s="14">
        <v>15</v>
      </c>
      <c r="F385" s="13">
        <v>45712.4375</v>
      </c>
      <c r="G385" t="s">
        <v>1</v>
      </c>
      <c r="H385" t="s">
        <v>190</v>
      </c>
      <c r="I385" t="str">
        <f>IF(B385=IFERROR(VLOOKUP(B385,base!$L$1:$L$9,1,0),""),"Produtos",IF(B385=IFERROR(VLOOKUP(B385,base!$K$2:$K$8,1,0),""),"Serviços","Combos"))</f>
        <v>Combos</v>
      </c>
      <c r="J385">
        <f t="shared" si="10"/>
        <v>6.75</v>
      </c>
    </row>
    <row r="386" spans="1:16">
      <c r="A386" t="s">
        <v>252</v>
      </c>
      <c r="B386" t="s">
        <v>163</v>
      </c>
      <c r="C386" t="s">
        <v>925</v>
      </c>
      <c r="D386" s="14">
        <v>35</v>
      </c>
      <c r="E386" s="14">
        <v>35</v>
      </c>
      <c r="F386" s="13">
        <v>45712.447916666664</v>
      </c>
      <c r="G386" t="s">
        <v>354</v>
      </c>
      <c r="H386" t="s">
        <v>926</v>
      </c>
      <c r="I386" t="str">
        <f>IF(B386=IFERROR(VLOOKUP(B386,base!$L$1:$L$9,1,0),""),"Produtos",IF(B386=IFERROR(VLOOKUP(B386,base!$K$2:$K$8,1,0),""),"Serviços","Combos"))</f>
        <v>Serviços</v>
      </c>
      <c r="J386">
        <f t="shared" si="10"/>
        <v>15.75</v>
      </c>
    </row>
    <row r="387" spans="1:16">
      <c r="A387" t="s">
        <v>252</v>
      </c>
      <c r="B387" t="s">
        <v>163</v>
      </c>
      <c r="C387" t="s">
        <v>931</v>
      </c>
      <c r="D387" s="14">
        <v>35</v>
      </c>
      <c r="E387" s="14">
        <v>35</v>
      </c>
      <c r="F387" s="13">
        <v>45712.479166666664</v>
      </c>
      <c r="G387" t="s">
        <v>932</v>
      </c>
      <c r="H387" t="s">
        <v>933</v>
      </c>
      <c r="I387" t="str">
        <f>IF(B387=IFERROR(VLOOKUP(B387,base!$L$1:$L$9,1,0),""),"Produtos",IF(B387=IFERROR(VLOOKUP(B387,base!$K$2:$K$8,1,0),""),"Serviços","Combos"))</f>
        <v>Serviços</v>
      </c>
      <c r="J387">
        <f t="shared" si="10"/>
        <v>15.75</v>
      </c>
    </row>
    <row r="388" spans="1:16">
      <c r="A388" t="s">
        <v>519</v>
      </c>
      <c r="B388" t="s">
        <v>353</v>
      </c>
      <c r="C388" t="s">
        <v>939</v>
      </c>
      <c r="D388" s="14">
        <v>45</v>
      </c>
      <c r="E388" s="14">
        <v>45</v>
      </c>
      <c r="F388" s="13">
        <v>45712.479166666664</v>
      </c>
      <c r="G388" t="s">
        <v>2</v>
      </c>
      <c r="H388" t="s">
        <v>940</v>
      </c>
      <c r="I388" t="str">
        <f>IF(B388=IFERROR(VLOOKUP(B388,base!$L$1:$L$9,1,0),""),"Produtos",IF(B388=IFERROR(VLOOKUP(B388,base!$K$2:$K$8,1,0),""),"Serviços","Combos"))</f>
        <v>Combos</v>
      </c>
      <c r="J388">
        <f t="shared" si="10"/>
        <v>20.25</v>
      </c>
    </row>
    <row r="389" spans="1:16">
      <c r="A389" t="s">
        <v>519</v>
      </c>
      <c r="B389" t="s">
        <v>353</v>
      </c>
      <c r="C389" t="s">
        <v>941</v>
      </c>
      <c r="D389" s="14">
        <v>45</v>
      </c>
      <c r="E389" s="14">
        <v>45</v>
      </c>
      <c r="F389" s="13">
        <v>45712.489583333336</v>
      </c>
      <c r="G389" t="s">
        <v>354</v>
      </c>
      <c r="H389" t="s">
        <v>272</v>
      </c>
      <c r="I389" t="str">
        <f>IF(B389=IFERROR(VLOOKUP(B389,base!$L$1:$L$9,1,0),""),"Produtos",IF(B389=IFERROR(VLOOKUP(B389,base!$K$2:$K$8,1,0),""),"Serviços","Combos"))</f>
        <v>Combos</v>
      </c>
      <c r="J389">
        <f t="shared" si="10"/>
        <v>20.25</v>
      </c>
    </row>
    <row r="390" spans="1:16">
      <c r="A390" t="s">
        <v>536</v>
      </c>
      <c r="B390" t="s">
        <v>163</v>
      </c>
      <c r="C390" t="s">
        <v>929</v>
      </c>
      <c r="D390" s="14">
        <v>35</v>
      </c>
      <c r="E390" s="14">
        <v>35</v>
      </c>
      <c r="F390" s="13">
        <v>45712.5</v>
      </c>
      <c r="G390" t="s">
        <v>2</v>
      </c>
      <c r="H390" t="s">
        <v>930</v>
      </c>
      <c r="I390" t="str">
        <f>IF(B390=IFERROR(VLOOKUP(B390,base!$L$1:$L$9,1,0),""),"Produtos",IF(B390=IFERROR(VLOOKUP(B390,base!$K$2:$K$8,1,0),""),"Serviços","Combos"))</f>
        <v>Serviços</v>
      </c>
      <c r="J390">
        <f t="shared" si="10"/>
        <v>15.75</v>
      </c>
    </row>
    <row r="391" spans="1:16">
      <c r="A391" t="s">
        <v>519</v>
      </c>
      <c r="B391" t="s">
        <v>163</v>
      </c>
      <c r="C391" t="s">
        <v>934</v>
      </c>
      <c r="D391" s="14">
        <v>35</v>
      </c>
      <c r="E391" s="14">
        <v>35</v>
      </c>
      <c r="F391" s="13">
        <v>45712.5625</v>
      </c>
      <c r="G391" t="s">
        <v>310</v>
      </c>
      <c r="H391" t="s">
        <v>107</v>
      </c>
      <c r="I391" t="str">
        <f>IF(B391=IFERROR(VLOOKUP(B391,base!$L$1:$L$9,1,0),""),"Produtos",IF(B391=IFERROR(VLOOKUP(B391,base!$K$2:$K$8,1,0),""),"Serviços","Combos"))</f>
        <v>Serviços</v>
      </c>
      <c r="J391">
        <f t="shared" si="10"/>
        <v>15.75</v>
      </c>
    </row>
    <row r="392" spans="1:16">
      <c r="A392" t="s">
        <v>536</v>
      </c>
      <c r="B392" t="s">
        <v>163</v>
      </c>
      <c r="C392" t="s">
        <v>937</v>
      </c>
      <c r="D392" s="14">
        <v>35</v>
      </c>
      <c r="E392" s="14">
        <v>35</v>
      </c>
      <c r="F392" s="13">
        <v>45712.590277777781</v>
      </c>
      <c r="G392" t="s">
        <v>310</v>
      </c>
      <c r="H392" t="s">
        <v>938</v>
      </c>
      <c r="I392" t="str">
        <f>IF(B392=IFERROR(VLOOKUP(B392,base!$L$1:$L$9,1,0),""),"Produtos",IF(B392=IFERROR(VLOOKUP(B392,base!$K$2:$K$8,1,0),""),"Serviços","Combos"))</f>
        <v>Serviços</v>
      </c>
      <c r="J392">
        <f t="shared" si="10"/>
        <v>15.75</v>
      </c>
    </row>
    <row r="393" spans="1:16">
      <c r="A393" t="s">
        <v>252</v>
      </c>
      <c r="B393" t="s">
        <v>163</v>
      </c>
      <c r="C393" t="s">
        <v>935</v>
      </c>
      <c r="D393" s="14">
        <v>35</v>
      </c>
      <c r="E393" s="14">
        <v>35</v>
      </c>
      <c r="F393" s="13">
        <v>45712.604166666664</v>
      </c>
      <c r="G393" t="s">
        <v>529</v>
      </c>
      <c r="H393" t="s">
        <v>936</v>
      </c>
      <c r="I393" t="str">
        <f>IF(B393=IFERROR(VLOOKUP(B393,base!$L$1:$L$9,1,0),""),"Produtos",IF(B393=IFERROR(VLOOKUP(B393,base!$K$2:$K$8,1,0),""),"Serviços","Combos"))</f>
        <v>Serviços</v>
      </c>
      <c r="J393">
        <f t="shared" si="10"/>
        <v>15.75</v>
      </c>
    </row>
    <row r="394" spans="1:16">
      <c r="A394" t="s">
        <v>252</v>
      </c>
      <c r="B394" t="s">
        <v>306</v>
      </c>
      <c r="C394" t="s">
        <v>942</v>
      </c>
      <c r="D394" s="14">
        <v>50</v>
      </c>
      <c r="E394" s="14">
        <v>50</v>
      </c>
      <c r="F394" s="13">
        <v>45712.71875</v>
      </c>
      <c r="G394" t="s">
        <v>1</v>
      </c>
      <c r="H394" t="s">
        <v>79</v>
      </c>
      <c r="I394" t="str">
        <f>IF(B394=IFERROR(VLOOKUP(B394,base!$L$1:$L$9,1,0),""),"Produtos",IF(B394=IFERROR(VLOOKUP(B394,base!$K$2:$K$8,1,0),""),"Serviços","Combos"))</f>
        <v>Combos</v>
      </c>
      <c r="J394">
        <f t="shared" si="10"/>
        <v>22.5</v>
      </c>
    </row>
    <row r="395" spans="1:16">
      <c r="A395" t="s">
        <v>519</v>
      </c>
      <c r="B395" t="s">
        <v>163</v>
      </c>
      <c r="C395" t="s">
        <v>922</v>
      </c>
      <c r="D395" s="14">
        <v>30</v>
      </c>
      <c r="E395" s="14">
        <v>60</v>
      </c>
      <c r="F395" s="13">
        <v>45712.729166666664</v>
      </c>
      <c r="G395" t="s">
        <v>1</v>
      </c>
      <c r="H395" t="s">
        <v>16</v>
      </c>
      <c r="I395" t="str">
        <f>IF(B395=IFERROR(VLOOKUP(B395,base!$L$1:$L$9,1,0),""),"Produtos",IF(B395=IFERROR(VLOOKUP(B395,base!$K$2:$K$8,1,0),""),"Serviços","Combos"))</f>
        <v>Serviços</v>
      </c>
      <c r="J395">
        <f t="shared" si="10"/>
        <v>13.5</v>
      </c>
    </row>
    <row r="396" spans="1:16">
      <c r="A396" t="s">
        <v>252</v>
      </c>
      <c r="B396" t="s">
        <v>163</v>
      </c>
      <c r="C396" t="s">
        <v>922</v>
      </c>
      <c r="D396" s="14">
        <v>30</v>
      </c>
      <c r="F396" s="13">
        <v>45712.729166666664</v>
      </c>
      <c r="G396" t="s">
        <v>1</v>
      </c>
      <c r="H396" t="s">
        <v>16</v>
      </c>
      <c r="I396" t="str">
        <f>IF(B396=IFERROR(VLOOKUP(B396,base!$L$1:$L$9,1,0),""),"Produtos",IF(B396=IFERROR(VLOOKUP(B396,base!$K$2:$K$8,1,0),""),"Serviços","Combos"))</f>
        <v>Serviços</v>
      </c>
      <c r="J396">
        <f t="shared" si="10"/>
        <v>13.5</v>
      </c>
    </row>
    <row r="397" spans="1:16" s="25" customFormat="1">
      <c r="A397" s="25" t="s">
        <v>519</v>
      </c>
      <c r="B397" s="25" t="s">
        <v>160</v>
      </c>
      <c r="C397" s="25" t="s">
        <v>943</v>
      </c>
      <c r="D397" s="26">
        <v>12</v>
      </c>
      <c r="E397" s="26">
        <v>12</v>
      </c>
      <c r="F397" s="27">
        <v>45712.784722222219</v>
      </c>
      <c r="G397" s="25" t="s">
        <v>1</v>
      </c>
      <c r="H397" s="25" t="s">
        <v>282</v>
      </c>
      <c r="I397" s="25" t="str">
        <f>IF(B397=IFERROR(VLOOKUP(B397,base!$L$1:$L$9,1,0),""),"Produtos",IF(B397=IFERROR(VLOOKUP(B397,base!$K$2:$K$8,1,0),""),"Serviços","Combos"))</f>
        <v>Serviços</v>
      </c>
      <c r="J397" s="25">
        <f t="shared" si="10"/>
        <v>5.4</v>
      </c>
      <c r="P397" s="50"/>
    </row>
    <row r="398" spans="1:16">
      <c r="A398" t="s">
        <v>252</v>
      </c>
      <c r="B398" t="s">
        <v>163</v>
      </c>
      <c r="C398" t="s">
        <v>989</v>
      </c>
      <c r="D398" s="14">
        <v>30</v>
      </c>
      <c r="E398" s="14">
        <v>0</v>
      </c>
      <c r="F398" s="13">
        <v>45713.479166666664</v>
      </c>
      <c r="G398" t="s">
        <v>1</v>
      </c>
      <c r="H398" t="s">
        <v>122</v>
      </c>
      <c r="I398" t="str">
        <f>IF(B398=IFERROR(VLOOKUP(B398,base!$L$1:$L$9,1,0),""),"Produtos",IF(B398=IFERROR(VLOOKUP(B398,base!$K$2:$K$8,1,0),""),"Serviços","Combos"))</f>
        <v>Serviços</v>
      </c>
      <c r="J398">
        <f t="shared" si="10"/>
        <v>13.5</v>
      </c>
    </row>
    <row r="399" spans="1:16">
      <c r="A399" t="s">
        <v>519</v>
      </c>
      <c r="B399" t="s">
        <v>163</v>
      </c>
      <c r="C399" t="s">
        <v>993</v>
      </c>
      <c r="D399" s="14">
        <v>35</v>
      </c>
      <c r="E399" s="14">
        <v>35</v>
      </c>
      <c r="F399" s="13">
        <v>45713.583333333336</v>
      </c>
      <c r="G399" t="s">
        <v>2</v>
      </c>
      <c r="H399" t="s">
        <v>994</v>
      </c>
      <c r="I399" t="str">
        <f>IF(B399=IFERROR(VLOOKUP(B399,base!$L$1:$L$9,1,0),""),"Produtos",IF(B399=IFERROR(VLOOKUP(B399,base!$K$2:$K$8,1,0),""),"Serviços","Combos"))</f>
        <v>Serviços</v>
      </c>
      <c r="J399">
        <f t="shared" si="10"/>
        <v>15.75</v>
      </c>
    </row>
    <row r="400" spans="1:16">
      <c r="A400" t="s">
        <v>536</v>
      </c>
      <c r="B400" t="s">
        <v>163</v>
      </c>
      <c r="C400" t="s">
        <v>995</v>
      </c>
      <c r="D400" s="14">
        <v>35</v>
      </c>
      <c r="E400" s="14">
        <v>35</v>
      </c>
      <c r="F400" s="13">
        <v>45713.590277777781</v>
      </c>
      <c r="G400" t="s">
        <v>1</v>
      </c>
      <c r="H400" t="s">
        <v>996</v>
      </c>
      <c r="I400" t="str">
        <f>IF(B400=IFERROR(VLOOKUP(B400,base!$L$1:$L$9,1,0),""),"Produtos",IF(B400=IFERROR(VLOOKUP(B400,base!$K$2:$K$8,1,0),""),"Serviços","Combos"))</f>
        <v>Serviços</v>
      </c>
      <c r="J400">
        <f t="shared" si="10"/>
        <v>15.75</v>
      </c>
    </row>
    <row r="401" spans="1:10">
      <c r="A401" t="s">
        <v>519</v>
      </c>
      <c r="B401" t="s">
        <v>163</v>
      </c>
      <c r="C401" t="s">
        <v>999</v>
      </c>
      <c r="D401" s="14">
        <v>35</v>
      </c>
      <c r="E401" s="14">
        <v>35</v>
      </c>
      <c r="F401" s="13">
        <v>45713.65625</v>
      </c>
      <c r="G401" t="s">
        <v>1</v>
      </c>
      <c r="H401" t="s">
        <v>474</v>
      </c>
      <c r="I401" t="str">
        <f>IF(B401=IFERROR(VLOOKUP(B401,base!$L$1:$L$9,1,0),""),"Produtos",IF(B401=IFERROR(VLOOKUP(B401,base!$K$2:$K$8,1,0),""),"Serviços","Combos"))</f>
        <v>Serviços</v>
      </c>
      <c r="J401">
        <f t="shared" si="10"/>
        <v>15.75</v>
      </c>
    </row>
    <row r="402" spans="1:10">
      <c r="A402" t="s">
        <v>519</v>
      </c>
      <c r="B402" t="s">
        <v>163</v>
      </c>
      <c r="C402" t="s">
        <v>1000</v>
      </c>
      <c r="D402" s="14">
        <v>35</v>
      </c>
      <c r="E402" s="14">
        <v>20</v>
      </c>
      <c r="F402" s="13">
        <v>45713.6875</v>
      </c>
      <c r="G402" t="s">
        <v>354</v>
      </c>
      <c r="H402" t="s">
        <v>1001</v>
      </c>
      <c r="I402" t="str">
        <f>IF(B402=IFERROR(VLOOKUP(B402,base!$L$1:$L$9,1,0),""),"Produtos",IF(B402=IFERROR(VLOOKUP(B402,base!$K$2:$K$8,1,0),""),"Serviços","Combos"))</f>
        <v>Serviços</v>
      </c>
      <c r="J402">
        <f t="shared" si="10"/>
        <v>15.75</v>
      </c>
    </row>
    <row r="403" spans="1:10">
      <c r="A403" t="s">
        <v>536</v>
      </c>
      <c r="B403" t="s">
        <v>163</v>
      </c>
      <c r="C403" t="s">
        <v>1002</v>
      </c>
      <c r="D403" s="14">
        <v>35</v>
      </c>
      <c r="E403" s="14">
        <v>35</v>
      </c>
      <c r="F403" s="13">
        <v>45713.6875</v>
      </c>
      <c r="G403" t="s">
        <v>310</v>
      </c>
      <c r="H403" t="s">
        <v>1003</v>
      </c>
      <c r="I403" t="str">
        <f>IF(B403=IFERROR(VLOOKUP(B403,base!$L$1:$L$9,1,0),""),"Produtos",IF(B403=IFERROR(VLOOKUP(B403,base!$K$2:$K$8,1,0),""),"Serviços","Combos"))</f>
        <v>Serviços</v>
      </c>
      <c r="J403">
        <f t="shared" si="10"/>
        <v>15.75</v>
      </c>
    </row>
    <row r="404" spans="1:10">
      <c r="A404" t="s">
        <v>519</v>
      </c>
      <c r="B404" t="s">
        <v>159</v>
      </c>
      <c r="C404" t="s">
        <v>998</v>
      </c>
      <c r="D404" s="14">
        <v>40</v>
      </c>
      <c r="E404" s="14">
        <v>40</v>
      </c>
      <c r="F404" s="13">
        <v>45713.708333333336</v>
      </c>
      <c r="G404" t="s">
        <v>310</v>
      </c>
      <c r="H404" t="s">
        <v>492</v>
      </c>
      <c r="I404" t="str">
        <f>IF(B404=IFERROR(VLOOKUP(B404,base!$L$1:$L$9,1,0),""),"Produtos",IF(B404=IFERROR(VLOOKUP(B404,base!$K$2:$K$8,1,0),""),"Serviços","Combos"))</f>
        <v>Combos</v>
      </c>
      <c r="J404">
        <f t="shared" si="10"/>
        <v>18</v>
      </c>
    </row>
    <row r="405" spans="1:10">
      <c r="A405" t="s">
        <v>536</v>
      </c>
      <c r="B405" t="s">
        <v>163</v>
      </c>
      <c r="C405" t="s">
        <v>1005</v>
      </c>
      <c r="D405" s="14">
        <v>20</v>
      </c>
      <c r="E405" s="14">
        <v>20</v>
      </c>
      <c r="F405" s="13">
        <v>45713.715277777781</v>
      </c>
      <c r="G405" t="s">
        <v>1</v>
      </c>
      <c r="H405" t="s">
        <v>1006</v>
      </c>
      <c r="I405" t="str">
        <f>IF(B405=IFERROR(VLOOKUP(B405,base!$L$1:$L$9,1,0),""),"Produtos",IF(B405=IFERROR(VLOOKUP(B405,base!$K$2:$K$8,1,0),""),"Serviços","Combos"))</f>
        <v>Serviços</v>
      </c>
      <c r="J405">
        <f t="shared" si="10"/>
        <v>9</v>
      </c>
    </row>
    <row r="406" spans="1:10">
      <c r="A406" t="s">
        <v>252</v>
      </c>
      <c r="B406" t="s">
        <v>163</v>
      </c>
      <c r="C406" t="s">
        <v>1007</v>
      </c>
      <c r="D406" s="14">
        <v>35</v>
      </c>
      <c r="E406" s="14">
        <v>35</v>
      </c>
      <c r="F406" s="13">
        <v>45713.71875</v>
      </c>
      <c r="G406" t="s">
        <v>354</v>
      </c>
      <c r="H406" t="s">
        <v>1008</v>
      </c>
      <c r="I406" t="str">
        <f>IF(B406=IFERROR(VLOOKUP(B406,base!$L$1:$L$9,1,0),""),"Produtos",IF(B406=IFERROR(VLOOKUP(B406,base!$K$2:$K$8,1,0),""),"Serviços","Combos"))</f>
        <v>Serviços</v>
      </c>
      <c r="J406">
        <f t="shared" si="10"/>
        <v>15.75</v>
      </c>
    </row>
    <row r="407" spans="1:10">
      <c r="A407" t="s">
        <v>519</v>
      </c>
      <c r="B407" t="s">
        <v>353</v>
      </c>
      <c r="C407" t="s">
        <v>1011</v>
      </c>
      <c r="D407" s="14">
        <v>55</v>
      </c>
      <c r="E407" s="14">
        <v>55</v>
      </c>
      <c r="F407" s="13">
        <v>45713.75</v>
      </c>
      <c r="G407" t="s">
        <v>1</v>
      </c>
      <c r="H407" t="s">
        <v>17</v>
      </c>
      <c r="I407" t="str">
        <f>IF(B407=IFERROR(VLOOKUP(B407,base!$L$1:$L$9,1,0),""),"Produtos",IF(B407=IFERROR(VLOOKUP(B407,base!$K$2:$K$8,1,0),""),"Serviços","Combos"))</f>
        <v>Combos</v>
      </c>
      <c r="J407">
        <f t="shared" si="10"/>
        <v>24.75</v>
      </c>
    </row>
    <row r="408" spans="1:10">
      <c r="A408" t="s">
        <v>519</v>
      </c>
      <c r="B408" t="s">
        <v>353</v>
      </c>
      <c r="C408" t="s">
        <v>1009</v>
      </c>
      <c r="D408" s="14">
        <v>55</v>
      </c>
      <c r="E408" s="14">
        <v>55</v>
      </c>
      <c r="F408" s="13">
        <v>45713.78125</v>
      </c>
      <c r="G408" t="s">
        <v>310</v>
      </c>
      <c r="H408" t="s">
        <v>126</v>
      </c>
      <c r="I408" t="str">
        <f>IF(B408=IFERROR(VLOOKUP(B408,base!$L$1:$L$9,1,0),""),"Produtos",IF(B408=IFERROR(VLOOKUP(B408,base!$K$2:$K$8,1,0),""),"Serviços","Combos"))</f>
        <v>Combos</v>
      </c>
      <c r="J408">
        <f t="shared" ref="J408:J471" si="11">IF(AND(I408="Serviços",E408&gt;0),ROUND(D408*45%,2),IF(I408="Produtos",ROUND(D408*40%,2),D408*45%))</f>
        <v>24.75</v>
      </c>
    </row>
    <row r="409" spans="1:10">
      <c r="A409" t="s">
        <v>252</v>
      </c>
      <c r="B409" t="s">
        <v>160</v>
      </c>
      <c r="C409" t="s">
        <v>1012</v>
      </c>
      <c r="D409" s="14">
        <v>12</v>
      </c>
      <c r="E409" s="14">
        <v>15</v>
      </c>
      <c r="F409" s="13">
        <v>45713.8125</v>
      </c>
      <c r="G409" t="s">
        <v>354</v>
      </c>
      <c r="H409" t="s">
        <v>1001</v>
      </c>
      <c r="I409" t="str">
        <f>IF(B409=IFERROR(VLOOKUP(B409,base!$L$1:$L$9,1,0),""),"Produtos",IF(B409=IFERROR(VLOOKUP(B409,base!$K$2:$K$8,1,0),""),"Serviços","Combos"))</f>
        <v>Serviços</v>
      </c>
      <c r="J409">
        <f t="shared" si="11"/>
        <v>5.4</v>
      </c>
    </row>
    <row r="410" spans="1:10">
      <c r="A410" t="s">
        <v>536</v>
      </c>
      <c r="B410" t="s">
        <v>163</v>
      </c>
      <c r="C410" t="s">
        <v>1013</v>
      </c>
      <c r="D410" s="14">
        <v>35</v>
      </c>
      <c r="E410" s="14">
        <v>35</v>
      </c>
      <c r="F410" s="13">
        <v>45713.8125</v>
      </c>
      <c r="G410" t="s">
        <v>354</v>
      </c>
      <c r="H410" t="s">
        <v>1003</v>
      </c>
      <c r="I410" t="str">
        <f>IF(B410=IFERROR(VLOOKUP(B410,base!$L$1:$L$9,1,0),""),"Produtos",IF(B410=IFERROR(VLOOKUP(B410,base!$K$2:$K$8,1,0),""),"Serviços","Combos"))</f>
        <v>Serviços</v>
      </c>
      <c r="J410">
        <f t="shared" si="11"/>
        <v>15.75</v>
      </c>
    </row>
    <row r="411" spans="1:10">
      <c r="A411" t="s">
        <v>536</v>
      </c>
      <c r="B411" t="s">
        <v>159</v>
      </c>
      <c r="C411" t="s">
        <v>1010</v>
      </c>
      <c r="D411" s="14">
        <v>40</v>
      </c>
      <c r="E411" s="14">
        <v>40</v>
      </c>
      <c r="F411" s="13">
        <v>45713.875</v>
      </c>
      <c r="G411" t="s">
        <v>310</v>
      </c>
      <c r="H411" t="s">
        <v>286</v>
      </c>
      <c r="I411" t="str">
        <f>IF(B411=IFERROR(VLOOKUP(B411,base!$L$1:$L$9,1,0),""),"Produtos",IF(B411=IFERROR(VLOOKUP(B411,base!$K$2:$K$8,1,0),""),"Serviços","Combos"))</f>
        <v>Combos</v>
      </c>
      <c r="J411">
        <f t="shared" si="11"/>
        <v>18</v>
      </c>
    </row>
    <row r="412" spans="1:10">
      <c r="A412" t="s">
        <v>519</v>
      </c>
      <c r="B412" t="s">
        <v>163</v>
      </c>
      <c r="C412" t="s">
        <v>1016</v>
      </c>
      <c r="D412" s="14">
        <v>35</v>
      </c>
      <c r="E412" s="14">
        <v>105</v>
      </c>
      <c r="F412" s="13">
        <v>45714.569444444445</v>
      </c>
      <c r="G412" t="s">
        <v>1</v>
      </c>
      <c r="H412" t="s">
        <v>268</v>
      </c>
      <c r="I412" t="str">
        <f>IF(B412=IFERROR(VLOOKUP(B412,base!$L$1:$L$9,1,0),""),"Produtos",IF(B412=IFERROR(VLOOKUP(B412,base!$K$2:$K$8,1,0),""),"Serviços","Combos"))</f>
        <v>Serviços</v>
      </c>
      <c r="J412">
        <f t="shared" si="11"/>
        <v>15.75</v>
      </c>
    </row>
    <row r="413" spans="1:10">
      <c r="A413" t="s">
        <v>519</v>
      </c>
      <c r="B413" t="s">
        <v>306</v>
      </c>
      <c r="C413" t="s">
        <v>1016</v>
      </c>
      <c r="D413" s="14">
        <v>50</v>
      </c>
      <c r="F413" s="13">
        <v>45714.569444444445</v>
      </c>
      <c r="G413" t="s">
        <v>1</v>
      </c>
      <c r="H413" t="s">
        <v>268</v>
      </c>
      <c r="I413" t="str">
        <f>IF(B413=IFERROR(VLOOKUP(B413,base!$L$1:$L$9,1,0),""),"Produtos",IF(B413=IFERROR(VLOOKUP(B413,base!$K$2:$K$8,1,0),""),"Serviços","Combos"))</f>
        <v>Combos</v>
      </c>
      <c r="J413">
        <f t="shared" si="11"/>
        <v>22.5</v>
      </c>
    </row>
    <row r="414" spans="1:10">
      <c r="A414" t="s">
        <v>519</v>
      </c>
      <c r="B414" t="s">
        <v>508</v>
      </c>
      <c r="C414" t="s">
        <v>1016</v>
      </c>
      <c r="D414" s="14">
        <v>20</v>
      </c>
      <c r="F414" s="13">
        <v>45714.569444444445</v>
      </c>
      <c r="G414" t="s">
        <v>1</v>
      </c>
      <c r="H414" t="s">
        <v>268</v>
      </c>
      <c r="I414" t="str">
        <f>IF(B414=IFERROR(VLOOKUP(B414,base!$L$1:$L$9,1,0),""),"Produtos",IF(B414=IFERROR(VLOOKUP(B414,base!$K$2:$K$8,1,0),""),"Serviços","Combos"))</f>
        <v>Produtos</v>
      </c>
      <c r="J414">
        <f t="shared" si="11"/>
        <v>8</v>
      </c>
    </row>
    <row r="415" spans="1:10">
      <c r="A415" t="s">
        <v>536</v>
      </c>
      <c r="B415" t="s">
        <v>353</v>
      </c>
      <c r="C415" t="s">
        <v>1025</v>
      </c>
      <c r="D415" s="14">
        <v>55</v>
      </c>
      <c r="E415" s="14">
        <v>55</v>
      </c>
      <c r="F415" s="13">
        <v>45714.604166666664</v>
      </c>
      <c r="G415" t="s">
        <v>1</v>
      </c>
      <c r="H415" t="s">
        <v>1026</v>
      </c>
      <c r="I415" t="str">
        <f>IF(B415=IFERROR(VLOOKUP(B415,base!$L$1:$L$9,1,0),""),"Produtos",IF(B415=IFERROR(VLOOKUP(B415,base!$K$2:$K$8,1,0),""),"Serviços","Combos"))</f>
        <v>Combos</v>
      </c>
      <c r="J415">
        <f t="shared" si="11"/>
        <v>24.75</v>
      </c>
    </row>
    <row r="416" spans="1:10">
      <c r="A416" t="s">
        <v>536</v>
      </c>
      <c r="B416" t="s">
        <v>159</v>
      </c>
      <c r="C416" t="s">
        <v>1022</v>
      </c>
      <c r="D416" s="14">
        <v>40</v>
      </c>
      <c r="E416" s="14">
        <v>40</v>
      </c>
      <c r="F416" s="13">
        <v>45714.666666666664</v>
      </c>
      <c r="G416" t="s">
        <v>2</v>
      </c>
      <c r="H416" t="s">
        <v>1023</v>
      </c>
      <c r="I416" t="str">
        <f>IF(B416=IFERROR(VLOOKUP(B416,base!$L$1:$L$9,1,0),""),"Produtos",IF(B416=IFERROR(VLOOKUP(B416,base!$K$2:$K$8,1,0),""),"Serviços","Combos"))</f>
        <v>Combos</v>
      </c>
      <c r="J416">
        <f t="shared" si="11"/>
        <v>18</v>
      </c>
    </row>
    <row r="417" spans="1:10">
      <c r="A417" t="s">
        <v>519</v>
      </c>
      <c r="B417" t="s">
        <v>163</v>
      </c>
      <c r="C417" t="s">
        <v>1020</v>
      </c>
      <c r="D417" s="14">
        <v>35</v>
      </c>
      <c r="E417" s="14">
        <v>35</v>
      </c>
      <c r="F417" s="13">
        <v>45714.677083333336</v>
      </c>
      <c r="G417" t="s">
        <v>1</v>
      </c>
      <c r="H417" t="s">
        <v>63</v>
      </c>
      <c r="I417" t="str">
        <f>IF(B417=IFERROR(VLOOKUP(B417,base!$L$1:$L$9,1,0),""),"Produtos",IF(B417=IFERROR(VLOOKUP(B417,base!$K$2:$K$8,1,0),""),"Serviços","Combos"))</f>
        <v>Serviços</v>
      </c>
      <c r="J417">
        <f t="shared" si="11"/>
        <v>15.75</v>
      </c>
    </row>
    <row r="418" spans="1:10">
      <c r="A418" t="s">
        <v>536</v>
      </c>
      <c r="B418" t="s">
        <v>160</v>
      </c>
      <c r="C418" t="s">
        <v>1027</v>
      </c>
      <c r="D418" s="14">
        <v>12</v>
      </c>
      <c r="E418" s="14">
        <v>15</v>
      </c>
      <c r="F418" s="13">
        <v>45714.6875</v>
      </c>
      <c r="G418" t="s">
        <v>1</v>
      </c>
      <c r="H418" t="s">
        <v>1028</v>
      </c>
      <c r="I418" t="str">
        <f>IF(B418=IFERROR(VLOOKUP(B418,base!$L$1:$L$9,1,0),""),"Produtos",IF(B418=IFERROR(VLOOKUP(B418,base!$K$2:$K$8,1,0),""),"Serviços","Combos"))</f>
        <v>Serviços</v>
      </c>
      <c r="J418">
        <f t="shared" si="11"/>
        <v>5.4</v>
      </c>
    </row>
    <row r="419" spans="1:10">
      <c r="A419" t="s">
        <v>536</v>
      </c>
      <c r="B419" t="s">
        <v>910</v>
      </c>
      <c r="C419" t="s">
        <v>1027</v>
      </c>
      <c r="D419" s="14">
        <v>3</v>
      </c>
      <c r="F419" s="13">
        <v>45714.6875</v>
      </c>
      <c r="G419" t="s">
        <v>1</v>
      </c>
      <c r="H419" t="s">
        <v>1028</v>
      </c>
      <c r="I419" t="str">
        <f>IF(B419=IFERROR(VLOOKUP(B419,base!$L$1:$L$9,1,0),""),"Produtos",IF(B419=IFERROR(VLOOKUP(B419,base!$K$2:$K$8,1,0),""),"Serviços","Combos"))</f>
        <v>Combos</v>
      </c>
      <c r="J419">
        <f t="shared" si="11"/>
        <v>1.35</v>
      </c>
    </row>
    <row r="420" spans="1:10">
      <c r="A420" t="s">
        <v>519</v>
      </c>
      <c r="B420" t="s">
        <v>163</v>
      </c>
      <c r="C420" t="s">
        <v>1024</v>
      </c>
      <c r="D420" s="14">
        <v>35</v>
      </c>
      <c r="E420" s="14">
        <v>35</v>
      </c>
      <c r="F420" s="13">
        <v>45714.708333333336</v>
      </c>
      <c r="G420" t="s">
        <v>1</v>
      </c>
      <c r="H420" t="s">
        <v>8</v>
      </c>
      <c r="I420" t="str">
        <f>IF(B420=IFERROR(VLOOKUP(B420,base!$L$1:$L$9,1,0),""),"Produtos",IF(B420=IFERROR(VLOOKUP(B420,base!$K$2:$K$8,1,0),""),"Serviços","Combos"))</f>
        <v>Serviços</v>
      </c>
      <c r="J420">
        <f t="shared" si="11"/>
        <v>15.75</v>
      </c>
    </row>
    <row r="421" spans="1:10">
      <c r="A421" t="s">
        <v>519</v>
      </c>
      <c r="B421" t="s">
        <v>163</v>
      </c>
      <c r="C421" t="s">
        <v>1004</v>
      </c>
      <c r="D421" s="14">
        <v>35</v>
      </c>
      <c r="E421" s="14">
        <v>70</v>
      </c>
      <c r="F421" s="13">
        <v>45714.71875</v>
      </c>
      <c r="G421" t="s">
        <v>2</v>
      </c>
      <c r="H421" t="s">
        <v>201</v>
      </c>
      <c r="I421" t="str">
        <f>IF(B421=IFERROR(VLOOKUP(B421,base!$L$1:$L$9,1,0),""),"Produtos",IF(B421=IFERROR(VLOOKUP(B421,base!$K$2:$K$8,1,0),""),"Serviços","Combos"))</f>
        <v>Serviços</v>
      </c>
      <c r="J421">
        <f t="shared" si="11"/>
        <v>15.75</v>
      </c>
    </row>
    <row r="422" spans="1:10">
      <c r="A422" t="s">
        <v>536</v>
      </c>
      <c r="B422" t="s">
        <v>163</v>
      </c>
      <c r="C422" t="s">
        <v>1004</v>
      </c>
      <c r="D422" s="14">
        <v>35</v>
      </c>
      <c r="F422" s="13">
        <v>45714.71875</v>
      </c>
      <c r="G422" t="s">
        <v>2</v>
      </c>
      <c r="H422" t="s">
        <v>201</v>
      </c>
      <c r="I422" t="str">
        <f>IF(B422=IFERROR(VLOOKUP(B422,base!$L$1:$L$9,1,0),""),"Produtos",IF(B422=IFERROR(VLOOKUP(B422,base!$K$2:$K$8,1,0),""),"Serviços","Combos"))</f>
        <v>Serviços</v>
      </c>
      <c r="J422">
        <f t="shared" si="11"/>
        <v>15.75</v>
      </c>
    </row>
    <row r="423" spans="1:10">
      <c r="A423" t="s">
        <v>536</v>
      </c>
      <c r="B423" t="s">
        <v>353</v>
      </c>
      <c r="C423" t="s">
        <v>1018</v>
      </c>
      <c r="D423" s="14">
        <v>55</v>
      </c>
      <c r="E423" s="14">
        <v>55</v>
      </c>
      <c r="F423" s="13">
        <v>45714.71875</v>
      </c>
      <c r="G423" t="s">
        <v>2</v>
      </c>
      <c r="H423" t="s">
        <v>1019</v>
      </c>
      <c r="I423" t="str">
        <f>IF(B423=IFERROR(VLOOKUP(B423,base!$L$1:$L$9,1,0),""),"Produtos",IF(B423=IFERROR(VLOOKUP(B423,base!$K$2:$K$8,1,0),""),"Serviços","Combos"))</f>
        <v>Combos</v>
      </c>
      <c r="J423">
        <f t="shared" si="11"/>
        <v>24.75</v>
      </c>
    </row>
    <row r="424" spans="1:10">
      <c r="A424" t="s">
        <v>519</v>
      </c>
      <c r="B424" t="s">
        <v>353</v>
      </c>
      <c r="C424" t="s">
        <v>1014</v>
      </c>
      <c r="D424" s="14">
        <v>48.33</v>
      </c>
      <c r="E424" s="14">
        <v>0</v>
      </c>
      <c r="F424" s="13">
        <v>45714.760416666664</v>
      </c>
      <c r="G424" t="s">
        <v>1</v>
      </c>
      <c r="H424" t="s">
        <v>183</v>
      </c>
      <c r="I424" t="str">
        <f>IF(B424=IFERROR(VLOOKUP(B424,base!$L$1:$L$9,1,0),""),"Produtos",IF(B424=IFERROR(VLOOKUP(B424,base!$K$2:$K$8,1,0),""),"Serviços","Combos"))</f>
        <v>Combos</v>
      </c>
      <c r="J424">
        <f t="shared" si="11"/>
        <v>21.7485</v>
      </c>
    </row>
    <row r="425" spans="1:10">
      <c r="A425" t="s">
        <v>519</v>
      </c>
      <c r="B425" t="s">
        <v>162</v>
      </c>
      <c r="C425" t="s">
        <v>1029</v>
      </c>
      <c r="D425" s="14">
        <v>15</v>
      </c>
      <c r="E425" s="14">
        <v>15</v>
      </c>
      <c r="F425" s="13">
        <v>45714.770833333336</v>
      </c>
      <c r="G425" t="s">
        <v>310</v>
      </c>
      <c r="H425" t="s">
        <v>120</v>
      </c>
      <c r="I425" t="str">
        <f>IF(B425=IFERROR(VLOOKUP(B425,base!$L$1:$L$9,1,0),""),"Produtos",IF(B425=IFERROR(VLOOKUP(B425,base!$K$2:$K$8,1,0),""),"Serviços","Combos"))</f>
        <v>Serviços</v>
      </c>
      <c r="J425">
        <f t="shared" si="11"/>
        <v>6.75</v>
      </c>
    </row>
    <row r="426" spans="1:10">
      <c r="A426" t="s">
        <v>519</v>
      </c>
      <c r="B426" t="s">
        <v>163</v>
      </c>
      <c r="C426" t="s">
        <v>1015</v>
      </c>
      <c r="D426" s="14">
        <v>35</v>
      </c>
      <c r="E426" s="14">
        <v>35</v>
      </c>
      <c r="F426" s="13">
        <v>45714.8125</v>
      </c>
      <c r="G426" t="s">
        <v>2</v>
      </c>
      <c r="H426" t="s">
        <v>485</v>
      </c>
      <c r="I426" t="str">
        <f>IF(B426=IFERROR(VLOOKUP(B426,base!$L$1:$L$9,1,0),""),"Produtos",IF(B426=IFERROR(VLOOKUP(B426,base!$K$2:$K$8,1,0),""),"Serviços","Combos"))</f>
        <v>Serviços</v>
      </c>
      <c r="J426">
        <f t="shared" si="11"/>
        <v>15.75</v>
      </c>
    </row>
    <row r="427" spans="1:10">
      <c r="A427" t="s">
        <v>519</v>
      </c>
      <c r="B427" t="s">
        <v>163</v>
      </c>
      <c r="C427" t="s">
        <v>1030</v>
      </c>
      <c r="D427" s="14">
        <v>35</v>
      </c>
      <c r="E427" s="14">
        <v>35</v>
      </c>
      <c r="F427" s="13">
        <v>45714.815972222219</v>
      </c>
      <c r="G427" t="s">
        <v>354</v>
      </c>
      <c r="H427" t="s">
        <v>1031</v>
      </c>
      <c r="I427" t="str">
        <f>IF(B427=IFERROR(VLOOKUP(B427,base!$L$1:$L$9,1,0),""),"Produtos",IF(B427=IFERROR(VLOOKUP(B427,base!$K$2:$K$8,1,0),""),"Serviços","Combos"))</f>
        <v>Serviços</v>
      </c>
      <c r="J427">
        <f t="shared" si="11"/>
        <v>15.75</v>
      </c>
    </row>
    <row r="428" spans="1:10">
      <c r="A428" t="s">
        <v>536</v>
      </c>
      <c r="B428" t="s">
        <v>353</v>
      </c>
      <c r="C428" t="s">
        <v>1032</v>
      </c>
      <c r="D428" s="14">
        <v>55</v>
      </c>
      <c r="E428" s="14">
        <v>55</v>
      </c>
      <c r="F428" s="13">
        <v>45714.84375</v>
      </c>
      <c r="G428" t="s">
        <v>1</v>
      </c>
      <c r="H428" t="s">
        <v>1033</v>
      </c>
      <c r="I428" t="str">
        <f>IF(B428=IFERROR(VLOOKUP(B428,base!$L$1:$L$9,1,0),""),"Produtos",IF(B428=IFERROR(VLOOKUP(B428,base!$K$2:$K$8,1,0),""),"Serviços","Combos"))</f>
        <v>Combos</v>
      </c>
      <c r="J428">
        <f t="shared" si="11"/>
        <v>24.75</v>
      </c>
    </row>
    <row r="429" spans="1:10">
      <c r="A429" t="s">
        <v>519</v>
      </c>
      <c r="B429" t="s">
        <v>159</v>
      </c>
      <c r="C429" t="s">
        <v>1035</v>
      </c>
      <c r="D429" s="14">
        <v>40</v>
      </c>
      <c r="E429" s="14">
        <v>40</v>
      </c>
      <c r="F429" s="13">
        <v>45714.864583333336</v>
      </c>
      <c r="G429" t="s">
        <v>1</v>
      </c>
      <c r="H429" t="s">
        <v>783</v>
      </c>
      <c r="I429" t="str">
        <f>IF(B429=IFERROR(VLOOKUP(B429,base!$L$1:$L$9,1,0),""),"Produtos",IF(B429=IFERROR(VLOOKUP(B429,base!$K$2:$K$8,1,0),""),"Serviços","Combos"))</f>
        <v>Combos</v>
      </c>
      <c r="J429">
        <f t="shared" si="11"/>
        <v>18</v>
      </c>
    </row>
    <row r="430" spans="1:10">
      <c r="A430" t="s">
        <v>536</v>
      </c>
      <c r="B430" t="s">
        <v>353</v>
      </c>
      <c r="C430" t="s">
        <v>1036</v>
      </c>
      <c r="D430" s="14">
        <v>55</v>
      </c>
      <c r="E430" s="14">
        <v>55</v>
      </c>
      <c r="F430" s="13">
        <v>45714.892361111109</v>
      </c>
      <c r="G430" t="s">
        <v>310</v>
      </c>
      <c r="H430" t="s">
        <v>1037</v>
      </c>
      <c r="I430" t="str">
        <f>IF(B430=IFERROR(VLOOKUP(B430,base!$L$1:$L$9,1,0),""),"Produtos",IF(B430=IFERROR(VLOOKUP(B430,base!$K$2:$K$8,1,0),""),"Serviços","Combos"))</f>
        <v>Combos</v>
      </c>
      <c r="J430">
        <f t="shared" si="11"/>
        <v>24.75</v>
      </c>
    </row>
    <row r="431" spans="1:10">
      <c r="A431" t="s">
        <v>519</v>
      </c>
      <c r="B431" t="s">
        <v>160</v>
      </c>
      <c r="C431" t="s">
        <v>1038</v>
      </c>
      <c r="D431" s="14">
        <v>12</v>
      </c>
      <c r="E431" s="14">
        <v>12</v>
      </c>
      <c r="F431" s="13">
        <v>45714.902777777781</v>
      </c>
      <c r="G431" t="s">
        <v>354</v>
      </c>
      <c r="H431" t="s">
        <v>490</v>
      </c>
      <c r="I431" t="str">
        <f>IF(B431=IFERROR(VLOOKUP(B431,base!$L$1:$L$9,1,0),""),"Produtos",IF(B431=IFERROR(VLOOKUP(B431,base!$K$2:$K$8,1,0),""),"Serviços","Combos"))</f>
        <v>Serviços</v>
      </c>
      <c r="J431">
        <f t="shared" si="11"/>
        <v>5.4</v>
      </c>
    </row>
    <row r="432" spans="1:10">
      <c r="A432" t="s">
        <v>252</v>
      </c>
      <c r="B432" t="s">
        <v>163</v>
      </c>
      <c r="C432" t="s">
        <v>991</v>
      </c>
      <c r="D432" s="14">
        <v>30</v>
      </c>
      <c r="E432" s="14">
        <v>30</v>
      </c>
      <c r="F432" s="13">
        <v>45715.416666666664</v>
      </c>
      <c r="G432" t="s">
        <v>1</v>
      </c>
      <c r="H432" t="s">
        <v>364</v>
      </c>
      <c r="I432" t="str">
        <f>IF(B432=IFERROR(VLOOKUP(B432,base!$L$1:$L$9,1,0),""),"Produtos",IF(B432=IFERROR(VLOOKUP(B432,base!$K$2:$K$8,1,0),""),"Serviços","Combos"))</f>
        <v>Serviços</v>
      </c>
      <c r="J432">
        <f t="shared" si="11"/>
        <v>13.5</v>
      </c>
    </row>
    <row r="433" spans="1:10">
      <c r="A433" t="s">
        <v>252</v>
      </c>
      <c r="B433" t="s">
        <v>163</v>
      </c>
      <c r="C433" t="s">
        <v>1034</v>
      </c>
      <c r="D433" s="14">
        <v>35</v>
      </c>
      <c r="E433" s="14">
        <v>35</v>
      </c>
      <c r="F433" s="13">
        <v>45715.4375</v>
      </c>
      <c r="G433" t="s">
        <v>1</v>
      </c>
      <c r="H433" t="s">
        <v>798</v>
      </c>
      <c r="I433" t="str">
        <f>IF(B433=IFERROR(VLOOKUP(B433,base!$L$1:$L$9,1,0),""),"Produtos",IF(B433=IFERROR(VLOOKUP(B433,base!$K$2:$K$8,1,0),""),"Serviços","Combos"))</f>
        <v>Serviços</v>
      </c>
      <c r="J433">
        <f t="shared" si="11"/>
        <v>15.75</v>
      </c>
    </row>
    <row r="434" spans="1:10">
      <c r="A434" t="s">
        <v>519</v>
      </c>
      <c r="B434" t="s">
        <v>353</v>
      </c>
      <c r="C434" t="s">
        <v>1042</v>
      </c>
      <c r="D434" s="14">
        <v>55</v>
      </c>
      <c r="E434" s="14">
        <v>55</v>
      </c>
      <c r="F434" s="13">
        <v>45715.4375</v>
      </c>
      <c r="G434" t="s">
        <v>1</v>
      </c>
      <c r="H434" t="s">
        <v>298</v>
      </c>
      <c r="I434" t="str">
        <f>IF(B434=IFERROR(VLOOKUP(B434,base!$L$1:$L$9,1,0),""),"Produtos",IF(B434=IFERROR(VLOOKUP(B434,base!$K$2:$K$8,1,0),""),"Serviços","Combos"))</f>
        <v>Combos</v>
      </c>
      <c r="J434">
        <f t="shared" si="11"/>
        <v>24.75</v>
      </c>
    </row>
    <row r="435" spans="1:10">
      <c r="A435" t="s">
        <v>252</v>
      </c>
      <c r="B435" t="s">
        <v>163</v>
      </c>
      <c r="C435" t="s">
        <v>1053</v>
      </c>
      <c r="D435" s="14">
        <v>35</v>
      </c>
      <c r="E435" s="14">
        <v>35</v>
      </c>
      <c r="F435" s="13">
        <v>45715.458333333336</v>
      </c>
      <c r="G435" t="s">
        <v>2</v>
      </c>
      <c r="H435" t="s">
        <v>1054</v>
      </c>
      <c r="I435" t="str">
        <f>IF(B435=IFERROR(VLOOKUP(B435,base!$L$1:$L$9,1,0),""),"Produtos",IF(B435=IFERROR(VLOOKUP(B435,base!$K$2:$K$8,1,0),""),"Serviços","Combos"))</f>
        <v>Serviços</v>
      </c>
      <c r="J435">
        <f t="shared" si="11"/>
        <v>15.75</v>
      </c>
    </row>
    <row r="436" spans="1:10">
      <c r="A436" t="s">
        <v>252</v>
      </c>
      <c r="B436" t="s">
        <v>1046</v>
      </c>
      <c r="C436" t="s">
        <v>1047</v>
      </c>
      <c r="D436" s="14">
        <v>20</v>
      </c>
      <c r="E436" s="14">
        <v>30</v>
      </c>
      <c r="F436" s="13">
        <v>45715.479166666664</v>
      </c>
      <c r="G436" t="s">
        <v>1</v>
      </c>
      <c r="H436" t="s">
        <v>398</v>
      </c>
      <c r="I436" t="str">
        <f>IF(B436=IFERROR(VLOOKUP(B436,base!$L$1:$L$9,1,0),""),"Produtos",IF(B436=IFERROR(VLOOKUP(B436,base!$K$2:$K$8,1,0),""),"Serviços","Combos"))</f>
        <v>Combos</v>
      </c>
      <c r="J436">
        <f t="shared" si="11"/>
        <v>9</v>
      </c>
    </row>
    <row r="437" spans="1:10">
      <c r="A437" t="s">
        <v>519</v>
      </c>
      <c r="B437" t="s">
        <v>353</v>
      </c>
      <c r="C437" t="s">
        <v>1051</v>
      </c>
      <c r="D437" s="14">
        <v>55</v>
      </c>
      <c r="E437" s="14">
        <v>55</v>
      </c>
      <c r="F437" s="13">
        <v>45715.482638888891</v>
      </c>
      <c r="G437" t="s">
        <v>1</v>
      </c>
      <c r="H437" t="s">
        <v>1052</v>
      </c>
      <c r="I437" t="str">
        <f>IF(B437=IFERROR(VLOOKUP(B437,base!$L$1:$L$9,1,0),""),"Produtos",IF(B437=IFERROR(VLOOKUP(B437,base!$K$2:$K$8,1,0),""),"Serviços","Combos"))</f>
        <v>Combos</v>
      </c>
      <c r="J437">
        <f t="shared" si="11"/>
        <v>24.75</v>
      </c>
    </row>
    <row r="438" spans="1:10">
      <c r="A438" t="s">
        <v>252</v>
      </c>
      <c r="B438" t="s">
        <v>163</v>
      </c>
      <c r="C438" t="s">
        <v>1045</v>
      </c>
      <c r="D438" s="14">
        <v>30</v>
      </c>
      <c r="E438" s="14">
        <v>0</v>
      </c>
      <c r="F438" s="13">
        <v>45715.5</v>
      </c>
      <c r="G438" t="s">
        <v>354</v>
      </c>
      <c r="H438" t="s">
        <v>400</v>
      </c>
      <c r="I438" t="str">
        <f>IF(B438=IFERROR(VLOOKUP(B438,base!$L$1:$L$9,1,0),""),"Produtos",IF(B438=IFERROR(VLOOKUP(B438,base!$K$2:$K$8,1,0),""),"Serviços","Combos"))</f>
        <v>Serviços</v>
      </c>
      <c r="J438">
        <f t="shared" si="11"/>
        <v>13.5</v>
      </c>
    </row>
    <row r="439" spans="1:10">
      <c r="A439" t="s">
        <v>519</v>
      </c>
      <c r="B439" t="s">
        <v>163</v>
      </c>
      <c r="C439" t="s">
        <v>1057</v>
      </c>
      <c r="D439" s="14">
        <v>35</v>
      </c>
      <c r="E439" s="14">
        <v>35</v>
      </c>
      <c r="F439" s="13">
        <v>45715.53125</v>
      </c>
      <c r="G439" t="s">
        <v>2</v>
      </c>
      <c r="H439" t="s">
        <v>1058</v>
      </c>
      <c r="I439" t="str">
        <f>IF(B439=IFERROR(VLOOKUP(B439,base!$L$1:$L$9,1,0),""),"Produtos",IF(B439=IFERROR(VLOOKUP(B439,base!$K$2:$K$8,1,0),""),"Serviços","Combos"))</f>
        <v>Serviços</v>
      </c>
      <c r="J439">
        <f t="shared" si="11"/>
        <v>15.75</v>
      </c>
    </row>
    <row r="440" spans="1:10">
      <c r="A440" t="s">
        <v>519</v>
      </c>
      <c r="B440" t="s">
        <v>159</v>
      </c>
      <c r="C440" t="s">
        <v>997</v>
      </c>
      <c r="D440" s="14">
        <v>40</v>
      </c>
      <c r="E440" s="14">
        <v>40</v>
      </c>
      <c r="F440" s="13">
        <v>45715.5625</v>
      </c>
      <c r="G440" t="s">
        <v>354</v>
      </c>
      <c r="H440" t="s">
        <v>466</v>
      </c>
      <c r="I440" t="str">
        <f>IF(B440=IFERROR(VLOOKUP(B440,base!$L$1:$L$9,1,0),""),"Produtos",IF(B440=IFERROR(VLOOKUP(B440,base!$K$2:$K$8,1,0),""),"Serviços","Combos"))</f>
        <v>Combos</v>
      </c>
      <c r="J440">
        <f t="shared" si="11"/>
        <v>18</v>
      </c>
    </row>
    <row r="441" spans="1:10">
      <c r="A441" t="s">
        <v>519</v>
      </c>
      <c r="B441" t="s">
        <v>353</v>
      </c>
      <c r="C441" t="s">
        <v>1059</v>
      </c>
      <c r="D441" s="14">
        <v>55</v>
      </c>
      <c r="E441" s="14">
        <v>70</v>
      </c>
      <c r="F441" s="13">
        <v>45715.569444444445</v>
      </c>
      <c r="G441" t="s">
        <v>1</v>
      </c>
      <c r="H441" t="s">
        <v>290</v>
      </c>
      <c r="I441" t="str">
        <f>IF(B441=IFERROR(VLOOKUP(B441,base!$L$1:$L$9,1,0),""),"Produtos",IF(B441=IFERROR(VLOOKUP(B441,base!$K$2:$K$8,1,0),""),"Serviços","Combos"))</f>
        <v>Combos</v>
      </c>
      <c r="J441">
        <f t="shared" si="11"/>
        <v>24.75</v>
      </c>
    </row>
    <row r="442" spans="1:10">
      <c r="A442" t="s">
        <v>519</v>
      </c>
      <c r="B442" t="s">
        <v>352</v>
      </c>
      <c r="C442" t="s">
        <v>1059</v>
      </c>
      <c r="D442" s="14">
        <v>15</v>
      </c>
      <c r="F442" s="13">
        <v>45715.569444444445</v>
      </c>
      <c r="G442" t="s">
        <v>1</v>
      </c>
      <c r="H442" t="s">
        <v>290</v>
      </c>
      <c r="I442" t="str">
        <f>IF(B442=IFERROR(VLOOKUP(B442,base!$L$1:$L$9,1,0),""),"Produtos",IF(B442=IFERROR(VLOOKUP(B442,base!$K$2:$K$8,1,0),""),"Serviços","Combos"))</f>
        <v>Combos</v>
      </c>
      <c r="J442">
        <f t="shared" si="11"/>
        <v>6.75</v>
      </c>
    </row>
    <row r="443" spans="1:10">
      <c r="A443" t="s">
        <v>519</v>
      </c>
      <c r="B443" t="s">
        <v>163</v>
      </c>
      <c r="C443" t="s">
        <v>1050</v>
      </c>
      <c r="D443" s="14">
        <v>35</v>
      </c>
      <c r="E443" s="14">
        <v>35</v>
      </c>
      <c r="F443" s="13">
        <v>45715.604166666664</v>
      </c>
      <c r="G443" t="s">
        <v>2</v>
      </c>
      <c r="H443" t="s">
        <v>71</v>
      </c>
      <c r="I443" t="str">
        <f>IF(B443=IFERROR(VLOOKUP(B443,base!$L$1:$L$9,1,0),""),"Produtos",IF(B443=IFERROR(VLOOKUP(B443,base!$K$2:$K$8,1,0),""),"Serviços","Combos"))</f>
        <v>Serviços</v>
      </c>
      <c r="J443">
        <f t="shared" si="11"/>
        <v>15.75</v>
      </c>
    </row>
    <row r="444" spans="1:10">
      <c r="A444" t="s">
        <v>519</v>
      </c>
      <c r="B444" t="s">
        <v>163</v>
      </c>
      <c r="C444" t="s">
        <v>1063</v>
      </c>
      <c r="D444" s="14">
        <v>35</v>
      </c>
      <c r="E444" s="14">
        <v>35</v>
      </c>
      <c r="F444" s="13">
        <v>45715.625</v>
      </c>
      <c r="G444" t="s">
        <v>310</v>
      </c>
      <c r="H444" t="s">
        <v>488</v>
      </c>
      <c r="I444" t="str">
        <f>IF(B444=IFERROR(VLOOKUP(B444,base!$L$1:$L$9,1,0),""),"Produtos",IF(B444=IFERROR(VLOOKUP(B444,base!$K$2:$K$8,1,0),""),"Serviços","Combos"))</f>
        <v>Serviços</v>
      </c>
      <c r="J444">
        <f t="shared" si="11"/>
        <v>15.75</v>
      </c>
    </row>
    <row r="445" spans="1:10">
      <c r="A445" t="s">
        <v>252</v>
      </c>
      <c r="B445" t="s">
        <v>154</v>
      </c>
      <c r="C445" t="s">
        <v>1064</v>
      </c>
      <c r="D445" s="14">
        <v>50</v>
      </c>
      <c r="E445" s="14">
        <v>45</v>
      </c>
      <c r="F445" s="13">
        <v>45715.625</v>
      </c>
      <c r="G445" t="s">
        <v>2</v>
      </c>
      <c r="H445" t="s">
        <v>383</v>
      </c>
      <c r="I445" t="str">
        <f>IF(B445=IFERROR(VLOOKUP(B445,base!$L$1:$L$9,1,0),""),"Produtos",IF(B445=IFERROR(VLOOKUP(B445,base!$K$2:$K$8,1,0),""),"Serviços","Combos"))</f>
        <v>Combos</v>
      </c>
      <c r="J445">
        <f t="shared" si="11"/>
        <v>22.5</v>
      </c>
    </row>
    <row r="446" spans="1:10">
      <c r="A446" t="s">
        <v>252</v>
      </c>
      <c r="B446" t="s">
        <v>163</v>
      </c>
      <c r="C446" t="s">
        <v>1043</v>
      </c>
      <c r="D446" s="14">
        <v>35</v>
      </c>
      <c r="E446" s="14">
        <v>35</v>
      </c>
      <c r="F446" s="13">
        <v>45715.666666666664</v>
      </c>
      <c r="G446" t="s">
        <v>1</v>
      </c>
      <c r="H446" t="s">
        <v>393</v>
      </c>
      <c r="I446" t="str">
        <f>IF(B446=IFERROR(VLOOKUP(B446,base!$L$1:$L$9,1,0),""),"Produtos",IF(B446=IFERROR(VLOOKUP(B446,base!$K$2:$K$8,1,0),""),"Serviços","Combos"))</f>
        <v>Serviços</v>
      </c>
      <c r="J446">
        <f t="shared" si="11"/>
        <v>15.75</v>
      </c>
    </row>
    <row r="447" spans="1:10">
      <c r="A447" t="s">
        <v>519</v>
      </c>
      <c r="B447" t="s">
        <v>353</v>
      </c>
      <c r="C447" t="s">
        <v>1070</v>
      </c>
      <c r="D447" s="14">
        <v>45</v>
      </c>
      <c r="E447" s="14">
        <v>45</v>
      </c>
      <c r="F447" s="13">
        <v>45715.677083333336</v>
      </c>
      <c r="G447" t="s">
        <v>1</v>
      </c>
      <c r="H447" t="s">
        <v>500</v>
      </c>
      <c r="I447" t="str">
        <f>IF(B447=IFERROR(VLOOKUP(B447,base!$L$1:$L$9,1,0),""),"Produtos",IF(B447=IFERROR(VLOOKUP(B447,base!$K$2:$K$8,1,0),""),"Serviços","Combos"))</f>
        <v>Combos</v>
      </c>
      <c r="J447">
        <f t="shared" si="11"/>
        <v>20.25</v>
      </c>
    </row>
    <row r="448" spans="1:10">
      <c r="A448" t="s">
        <v>252</v>
      </c>
      <c r="B448" t="s">
        <v>163</v>
      </c>
      <c r="C448" t="s">
        <v>1071</v>
      </c>
      <c r="D448" s="14">
        <v>35</v>
      </c>
      <c r="E448" s="14">
        <v>35</v>
      </c>
      <c r="F448" s="13">
        <v>45715.697916666664</v>
      </c>
      <c r="G448" t="s">
        <v>2</v>
      </c>
      <c r="H448" t="s">
        <v>495</v>
      </c>
      <c r="I448" t="str">
        <f>IF(B448=IFERROR(VLOOKUP(B448,base!$L$1:$L$9,1,0),""),"Produtos",IF(B448=IFERROR(VLOOKUP(B448,base!$K$2:$K$8,1,0),""),"Serviços","Combos"))</f>
        <v>Serviços</v>
      </c>
      <c r="J448">
        <f t="shared" si="11"/>
        <v>15.75</v>
      </c>
    </row>
    <row r="449" spans="1:10">
      <c r="A449" t="s">
        <v>519</v>
      </c>
      <c r="B449" t="s">
        <v>163</v>
      </c>
      <c r="C449" t="s">
        <v>1072</v>
      </c>
      <c r="D449" s="14">
        <v>35</v>
      </c>
      <c r="E449" s="14">
        <v>35</v>
      </c>
      <c r="F449" s="13">
        <v>45715.708333333336</v>
      </c>
      <c r="G449" t="s">
        <v>354</v>
      </c>
      <c r="H449" t="s">
        <v>490</v>
      </c>
      <c r="I449" t="str">
        <f>IF(B449=IFERROR(VLOOKUP(B449,base!$L$1:$L$9,1,0),""),"Produtos",IF(B449=IFERROR(VLOOKUP(B449,base!$K$2:$K$8,1,0),""),"Serviços","Combos"))</f>
        <v>Serviços</v>
      </c>
      <c r="J449">
        <f t="shared" si="11"/>
        <v>15.75</v>
      </c>
    </row>
    <row r="450" spans="1:10">
      <c r="A450" t="s">
        <v>252</v>
      </c>
      <c r="B450" t="s">
        <v>163</v>
      </c>
      <c r="C450" t="s">
        <v>1061</v>
      </c>
      <c r="D450" s="14">
        <v>35</v>
      </c>
      <c r="E450" s="14">
        <v>35</v>
      </c>
      <c r="F450" s="13">
        <v>45715.71875</v>
      </c>
      <c r="G450" t="s">
        <v>310</v>
      </c>
      <c r="H450" t="s">
        <v>1062</v>
      </c>
      <c r="I450" t="str">
        <f>IF(B450=IFERROR(VLOOKUP(B450,base!$L$1:$L$9,1,0),""),"Produtos",IF(B450=IFERROR(VLOOKUP(B450,base!$K$2:$K$8,1,0),""),"Serviços","Combos"))</f>
        <v>Serviços</v>
      </c>
      <c r="J450">
        <f t="shared" si="11"/>
        <v>15.75</v>
      </c>
    </row>
    <row r="451" spans="1:10">
      <c r="A451" t="s">
        <v>519</v>
      </c>
      <c r="B451" t="s">
        <v>163</v>
      </c>
      <c r="C451" t="s">
        <v>1066</v>
      </c>
      <c r="D451" s="14">
        <v>35</v>
      </c>
      <c r="E451" s="14">
        <v>35</v>
      </c>
      <c r="F451" s="13">
        <v>45715.729166666664</v>
      </c>
      <c r="G451" t="s">
        <v>1</v>
      </c>
      <c r="H451" t="s">
        <v>1067</v>
      </c>
      <c r="I451" t="str">
        <f>IF(B451=IFERROR(VLOOKUP(B451,base!$L$1:$L$9,1,0),""),"Produtos",IF(B451=IFERROR(VLOOKUP(B451,base!$K$2:$K$8,1,0),""),"Serviços","Combos"))</f>
        <v>Serviços</v>
      </c>
      <c r="J451">
        <f t="shared" si="11"/>
        <v>15.75</v>
      </c>
    </row>
    <row r="452" spans="1:10">
      <c r="A452" t="s">
        <v>536</v>
      </c>
      <c r="B452" t="s">
        <v>353</v>
      </c>
      <c r="C452" t="s">
        <v>1068</v>
      </c>
      <c r="D452" s="14">
        <v>55</v>
      </c>
      <c r="E452" s="14">
        <v>55</v>
      </c>
      <c r="F452" s="13">
        <v>45715.760416666664</v>
      </c>
      <c r="G452" t="s">
        <v>1</v>
      </c>
      <c r="H452" t="s">
        <v>1069</v>
      </c>
      <c r="I452" t="str">
        <f>IF(B452=IFERROR(VLOOKUP(B452,base!$L$1:$L$9,1,0),""),"Produtos",IF(B452=IFERROR(VLOOKUP(B452,base!$K$2:$K$8,1,0),""),"Serviços","Combos"))</f>
        <v>Combos</v>
      </c>
      <c r="J452">
        <f t="shared" si="11"/>
        <v>24.75</v>
      </c>
    </row>
    <row r="453" spans="1:10">
      <c r="A453" t="s">
        <v>519</v>
      </c>
      <c r="B453" t="s">
        <v>163</v>
      </c>
      <c r="C453" t="s">
        <v>1073</v>
      </c>
      <c r="D453" s="14">
        <v>35</v>
      </c>
      <c r="E453" s="14">
        <v>35</v>
      </c>
      <c r="F453" s="13">
        <v>45715.760416666664</v>
      </c>
      <c r="G453" t="s">
        <v>310</v>
      </c>
      <c r="H453" t="s">
        <v>1074</v>
      </c>
      <c r="I453" t="str">
        <f>IF(B453=IFERROR(VLOOKUP(B453,base!$L$1:$L$9,1,0),""),"Produtos",IF(B453=IFERROR(VLOOKUP(B453,base!$K$2:$K$8,1,0),""),"Serviços","Combos"))</f>
        <v>Serviços</v>
      </c>
      <c r="J453">
        <f t="shared" si="11"/>
        <v>15.75</v>
      </c>
    </row>
    <row r="454" spans="1:10">
      <c r="A454" t="s">
        <v>252</v>
      </c>
      <c r="B454" t="s">
        <v>157</v>
      </c>
      <c r="C454" t="s">
        <v>1017</v>
      </c>
      <c r="D454" s="14">
        <v>50</v>
      </c>
      <c r="E454" s="14">
        <v>50</v>
      </c>
      <c r="F454" s="13">
        <v>45715.770833333336</v>
      </c>
      <c r="G454" t="s">
        <v>1</v>
      </c>
      <c r="H454" t="s">
        <v>110</v>
      </c>
      <c r="I454" t="str">
        <f>IF(B454=IFERROR(VLOOKUP(B454,base!$L$1:$L$9,1,0),""),"Produtos",IF(B454=IFERROR(VLOOKUP(B454,base!$K$2:$K$8,1,0),""),"Serviços","Combos"))</f>
        <v>Combos</v>
      </c>
      <c r="J454">
        <f t="shared" si="11"/>
        <v>22.5</v>
      </c>
    </row>
    <row r="455" spans="1:10">
      <c r="A455" t="s">
        <v>519</v>
      </c>
      <c r="B455" t="s">
        <v>163</v>
      </c>
      <c r="C455" t="s">
        <v>1044</v>
      </c>
      <c r="D455" s="14">
        <v>35</v>
      </c>
      <c r="E455" s="14">
        <v>75</v>
      </c>
      <c r="F455" s="13">
        <v>45715.791666666664</v>
      </c>
      <c r="G455" t="s">
        <v>1</v>
      </c>
      <c r="H455" t="s">
        <v>85</v>
      </c>
      <c r="I455" t="str">
        <f>IF(B455=IFERROR(VLOOKUP(B455,base!$L$1:$L$9,1,0),""),"Produtos",IF(B455=IFERROR(VLOOKUP(B455,base!$K$2:$K$8,1,0),""),"Serviços","Combos"))</f>
        <v>Serviços</v>
      </c>
      <c r="J455">
        <f t="shared" si="11"/>
        <v>15.75</v>
      </c>
    </row>
    <row r="456" spans="1:10">
      <c r="A456" t="s">
        <v>519</v>
      </c>
      <c r="B456" t="s">
        <v>472</v>
      </c>
      <c r="C456" t="s">
        <v>1044</v>
      </c>
      <c r="D456" s="14">
        <v>40</v>
      </c>
      <c r="F456" s="13">
        <v>45715.791666666664</v>
      </c>
      <c r="G456" t="s">
        <v>1</v>
      </c>
      <c r="H456" t="s">
        <v>85</v>
      </c>
      <c r="I456" t="str">
        <f>IF(B456=IFERROR(VLOOKUP(B456,base!$L$1:$L$9,1,0),""),"Produtos",IF(B456=IFERROR(VLOOKUP(B456,base!$K$2:$K$8,1,0),""),"Serviços","Combos"))</f>
        <v>Produtos</v>
      </c>
      <c r="J456">
        <f t="shared" si="11"/>
        <v>16</v>
      </c>
    </row>
    <row r="457" spans="1:10">
      <c r="A457" t="s">
        <v>252</v>
      </c>
      <c r="B457" t="s">
        <v>163</v>
      </c>
      <c r="C457" t="s">
        <v>1076</v>
      </c>
      <c r="D457" s="14">
        <v>35</v>
      </c>
      <c r="E457" s="14">
        <v>20</v>
      </c>
      <c r="F457" s="13">
        <v>45715.798611111109</v>
      </c>
      <c r="G457" t="s">
        <v>1</v>
      </c>
      <c r="H457" t="s">
        <v>1077</v>
      </c>
      <c r="I457" t="str">
        <f>IF(B457=IFERROR(VLOOKUP(B457,base!$L$1:$L$9,1,0),""),"Produtos",IF(B457=IFERROR(VLOOKUP(B457,base!$K$2:$K$8,1,0),""),"Serviços","Combos"))</f>
        <v>Serviços</v>
      </c>
      <c r="J457">
        <f t="shared" si="11"/>
        <v>15.75</v>
      </c>
    </row>
    <row r="458" spans="1:10">
      <c r="A458" t="s">
        <v>252</v>
      </c>
      <c r="B458" t="s">
        <v>159</v>
      </c>
      <c r="C458" t="s">
        <v>1075</v>
      </c>
      <c r="D458" s="14">
        <v>40</v>
      </c>
      <c r="E458" s="14">
        <v>65</v>
      </c>
      <c r="F458" s="13">
        <v>45715.802083333336</v>
      </c>
      <c r="G458" t="s">
        <v>1</v>
      </c>
      <c r="H458" t="s">
        <v>24</v>
      </c>
      <c r="I458" t="str">
        <f>IF(B458=IFERROR(VLOOKUP(B458,base!$L$1:$L$9,1,0),""),"Produtos",IF(B458=IFERROR(VLOOKUP(B458,base!$K$2:$K$8,1,0),""),"Serviços","Combos"))</f>
        <v>Combos</v>
      </c>
      <c r="J458">
        <f t="shared" si="11"/>
        <v>18</v>
      </c>
    </row>
    <row r="459" spans="1:10">
      <c r="A459" t="s">
        <v>252</v>
      </c>
      <c r="B459" t="s">
        <v>510</v>
      </c>
      <c r="C459" t="s">
        <v>1075</v>
      </c>
      <c r="D459" s="14">
        <v>25</v>
      </c>
      <c r="F459" s="13">
        <v>45715.802083333336</v>
      </c>
      <c r="G459" t="s">
        <v>1</v>
      </c>
      <c r="H459" t="s">
        <v>24</v>
      </c>
      <c r="I459" t="str">
        <f>IF(B459=IFERROR(VLOOKUP(B459,base!$L$1:$L$9,1,0),""),"Produtos",IF(B459=IFERROR(VLOOKUP(B459,base!$K$2:$K$8,1,0),""),"Serviços","Combos"))</f>
        <v>Produtos</v>
      </c>
      <c r="J459">
        <f t="shared" si="11"/>
        <v>10</v>
      </c>
    </row>
    <row r="460" spans="1:10">
      <c r="A460" t="s">
        <v>536</v>
      </c>
      <c r="B460" t="s">
        <v>353</v>
      </c>
      <c r="C460" t="s">
        <v>1078</v>
      </c>
      <c r="D460" s="14">
        <v>55</v>
      </c>
      <c r="E460" s="14">
        <v>55</v>
      </c>
      <c r="F460" s="13">
        <v>45715.802083333336</v>
      </c>
      <c r="G460" t="s">
        <v>1</v>
      </c>
      <c r="H460" t="s">
        <v>1079</v>
      </c>
      <c r="I460" t="str">
        <f>IF(B460=IFERROR(VLOOKUP(B460,base!$L$1:$L$9,1,0),""),"Produtos",IF(B460=IFERROR(VLOOKUP(B460,base!$K$2:$K$8,1,0),""),"Serviços","Combos"))</f>
        <v>Combos</v>
      </c>
      <c r="J460">
        <f t="shared" si="11"/>
        <v>24.75</v>
      </c>
    </row>
    <row r="461" spans="1:10">
      <c r="A461" t="s">
        <v>519</v>
      </c>
      <c r="B461" t="s">
        <v>159</v>
      </c>
      <c r="C461" t="s">
        <v>1065</v>
      </c>
      <c r="D461" s="14">
        <v>40</v>
      </c>
      <c r="E461" s="14">
        <v>40</v>
      </c>
      <c r="F461" s="13">
        <v>45715.8125</v>
      </c>
      <c r="G461" t="s">
        <v>354</v>
      </c>
      <c r="H461" t="s">
        <v>467</v>
      </c>
      <c r="I461" t="str">
        <f>IF(B461=IFERROR(VLOOKUP(B461,base!$L$1:$L$9,1,0),""),"Produtos",IF(B461=IFERROR(VLOOKUP(B461,base!$K$2:$K$8,1,0),""),"Serviços","Combos"))</f>
        <v>Combos</v>
      </c>
      <c r="J461">
        <f t="shared" si="11"/>
        <v>18</v>
      </c>
    </row>
    <row r="462" spans="1:10">
      <c r="A462" t="s">
        <v>519</v>
      </c>
      <c r="B462" t="s">
        <v>163</v>
      </c>
      <c r="C462" t="s">
        <v>1080</v>
      </c>
      <c r="D462" s="14">
        <v>35</v>
      </c>
      <c r="E462" s="14">
        <v>35</v>
      </c>
      <c r="F462" s="13">
        <v>45715.864583333336</v>
      </c>
      <c r="G462" t="s">
        <v>354</v>
      </c>
      <c r="H462" t="s">
        <v>1081</v>
      </c>
      <c r="I462" t="str">
        <f>IF(B462=IFERROR(VLOOKUP(B462,base!$L$1:$L$9,1,0),""),"Produtos",IF(B462=IFERROR(VLOOKUP(B462,base!$K$2:$K$8,1,0),""),"Serviços","Combos"))</f>
        <v>Serviços</v>
      </c>
      <c r="J462">
        <f t="shared" si="11"/>
        <v>15.75</v>
      </c>
    </row>
    <row r="463" spans="1:10">
      <c r="A463" t="s">
        <v>536</v>
      </c>
      <c r="B463" t="s">
        <v>159</v>
      </c>
      <c r="C463" t="s">
        <v>1082</v>
      </c>
      <c r="D463" s="14">
        <v>40</v>
      </c>
      <c r="E463" s="14">
        <v>40</v>
      </c>
      <c r="F463" s="13">
        <v>45715.902777777781</v>
      </c>
      <c r="G463" t="s">
        <v>1</v>
      </c>
      <c r="H463" t="s">
        <v>1083</v>
      </c>
      <c r="I463" t="str">
        <f>IF(B463=IFERROR(VLOOKUP(B463,base!$L$1:$L$9,1,0),""),"Produtos",IF(B463=IFERROR(VLOOKUP(B463,base!$K$2:$K$8,1,0),""),"Serviços","Combos"))</f>
        <v>Combos</v>
      </c>
      <c r="J463">
        <f t="shared" si="11"/>
        <v>18</v>
      </c>
    </row>
    <row r="464" spans="1:10">
      <c r="A464" t="s">
        <v>536</v>
      </c>
      <c r="B464" t="s">
        <v>472</v>
      </c>
      <c r="C464" t="s">
        <v>1104</v>
      </c>
      <c r="D464" s="14">
        <v>40</v>
      </c>
      <c r="E464" s="14">
        <v>40</v>
      </c>
      <c r="F464" s="13">
        <v>45716</v>
      </c>
      <c r="G464" t="s">
        <v>1</v>
      </c>
      <c r="H464" t="s">
        <v>201</v>
      </c>
      <c r="I464" t="str">
        <f>IF(B464=IFERROR(VLOOKUP(B464,base!$L$1:$L$9,1,0),""),"Produtos",IF(B464=IFERROR(VLOOKUP(B464,base!$K$2:$K$8,1,0),""),"Serviços","Combos"))</f>
        <v>Produtos</v>
      </c>
      <c r="J464">
        <f t="shared" si="11"/>
        <v>16</v>
      </c>
    </row>
    <row r="465" spans="1:10">
      <c r="A465" t="s">
        <v>252</v>
      </c>
      <c r="B465" t="s">
        <v>163</v>
      </c>
      <c r="C465" t="s">
        <v>1084</v>
      </c>
      <c r="D465" s="14">
        <v>35</v>
      </c>
      <c r="E465" s="14">
        <v>35</v>
      </c>
      <c r="F465" s="13">
        <v>45716.416666666664</v>
      </c>
      <c r="G465" t="s">
        <v>1</v>
      </c>
      <c r="H465" t="s">
        <v>22</v>
      </c>
      <c r="I465" t="str">
        <f>IF(B465=IFERROR(VLOOKUP(B465,base!$L$1:$L$9,1,0),""),"Produtos",IF(B465=IFERROR(VLOOKUP(B465,base!$K$2:$K$8,1,0),""),"Serviços","Combos"))</f>
        <v>Serviços</v>
      </c>
      <c r="J465">
        <f t="shared" si="11"/>
        <v>15.75</v>
      </c>
    </row>
    <row r="466" spans="1:10">
      <c r="A466" t="s">
        <v>519</v>
      </c>
      <c r="B466" t="s">
        <v>163</v>
      </c>
      <c r="C466" t="s">
        <v>1088</v>
      </c>
      <c r="D466" s="14">
        <v>35</v>
      </c>
      <c r="E466" s="14">
        <v>35</v>
      </c>
      <c r="F466" s="13">
        <v>45716.416666666664</v>
      </c>
      <c r="G466" t="s">
        <v>1</v>
      </c>
      <c r="H466" t="s">
        <v>1089</v>
      </c>
      <c r="I466" t="str">
        <f>IF(B466=IFERROR(VLOOKUP(B466,base!$L$1:$L$9,1,0),""),"Produtos",IF(B466=IFERROR(VLOOKUP(B466,base!$K$2:$K$8,1,0),""),"Serviços","Combos"))</f>
        <v>Serviços</v>
      </c>
      <c r="J466">
        <f t="shared" si="11"/>
        <v>15.75</v>
      </c>
    </row>
    <row r="467" spans="1:10">
      <c r="A467" t="s">
        <v>519</v>
      </c>
      <c r="B467" t="s">
        <v>163</v>
      </c>
      <c r="C467" t="s">
        <v>1021</v>
      </c>
      <c r="D467" s="14">
        <v>35</v>
      </c>
      <c r="E467" s="14">
        <v>35</v>
      </c>
      <c r="F467" s="13">
        <v>45716.4375</v>
      </c>
      <c r="G467" t="s">
        <v>1</v>
      </c>
      <c r="H467" t="s">
        <v>403</v>
      </c>
      <c r="I467" t="str">
        <f>IF(B467=IFERROR(VLOOKUP(B467,base!$L$1:$L$9,1,0),""),"Produtos",IF(B467=IFERROR(VLOOKUP(B467,base!$K$2:$K$8,1,0),""),"Serviços","Combos"))</f>
        <v>Serviços</v>
      </c>
      <c r="J467">
        <f t="shared" si="11"/>
        <v>15.75</v>
      </c>
    </row>
    <row r="468" spans="1:10">
      <c r="A468" t="s">
        <v>252</v>
      </c>
      <c r="B468" t="s">
        <v>159</v>
      </c>
      <c r="C468" t="s">
        <v>1090</v>
      </c>
      <c r="D468" s="14">
        <v>40</v>
      </c>
      <c r="E468" s="14">
        <v>40</v>
      </c>
      <c r="F468" s="13">
        <v>45716.4375</v>
      </c>
      <c r="G468" t="s">
        <v>310</v>
      </c>
      <c r="H468" t="s">
        <v>123</v>
      </c>
      <c r="I468" t="str">
        <f>IF(B468=IFERROR(VLOOKUP(B468,base!$L$1:$L$9,1,0),""),"Produtos",IF(B468=IFERROR(VLOOKUP(B468,base!$K$2:$K$8,1,0),""),"Serviços","Combos"))</f>
        <v>Combos</v>
      </c>
      <c r="J468">
        <f t="shared" si="11"/>
        <v>18</v>
      </c>
    </row>
    <row r="469" spans="1:10">
      <c r="A469" t="s">
        <v>519</v>
      </c>
      <c r="B469" t="s">
        <v>159</v>
      </c>
      <c r="C469" t="s">
        <v>1040</v>
      </c>
      <c r="D469" s="14">
        <v>40</v>
      </c>
      <c r="E469" s="14">
        <v>40</v>
      </c>
      <c r="F469" s="13">
        <v>45716.458333333336</v>
      </c>
      <c r="G469" t="s">
        <v>1</v>
      </c>
      <c r="H469" t="s">
        <v>14</v>
      </c>
      <c r="I469" t="str">
        <f>IF(B469=IFERROR(VLOOKUP(B469,base!$L$1:$L$9,1,0),""),"Produtos",IF(B469=IFERROR(VLOOKUP(B469,base!$K$2:$K$8,1,0),""),"Serviços","Combos"))</f>
        <v>Combos</v>
      </c>
      <c r="J469">
        <f t="shared" si="11"/>
        <v>18</v>
      </c>
    </row>
    <row r="470" spans="1:10">
      <c r="A470" t="s">
        <v>252</v>
      </c>
      <c r="B470" t="s">
        <v>163</v>
      </c>
      <c r="C470" t="s">
        <v>1087</v>
      </c>
      <c r="D470" s="14">
        <v>35</v>
      </c>
      <c r="E470" s="14">
        <v>70</v>
      </c>
      <c r="F470" s="13">
        <v>45716.458333333336</v>
      </c>
      <c r="G470" t="s">
        <v>1</v>
      </c>
      <c r="H470" t="s">
        <v>76</v>
      </c>
      <c r="I470" t="str">
        <f>IF(B470=IFERROR(VLOOKUP(B470,base!$L$1:$L$9,1,0),""),"Produtos",IF(B470=IFERROR(VLOOKUP(B470,base!$K$2:$K$8,1,0),""),"Serviços","Combos"))</f>
        <v>Serviços</v>
      </c>
      <c r="J470">
        <f t="shared" si="11"/>
        <v>15.75</v>
      </c>
    </row>
    <row r="471" spans="1:10">
      <c r="A471" t="s">
        <v>519</v>
      </c>
      <c r="B471" t="s">
        <v>163</v>
      </c>
      <c r="C471" t="s">
        <v>1087</v>
      </c>
      <c r="D471" s="14">
        <v>35</v>
      </c>
      <c r="F471" s="13">
        <v>45716.458333333336</v>
      </c>
      <c r="G471" t="s">
        <v>1</v>
      </c>
      <c r="H471" t="s">
        <v>76</v>
      </c>
      <c r="I471" t="str">
        <f>IF(B471=IFERROR(VLOOKUP(B471,base!$L$1:$L$9,1,0),""),"Produtos",IF(B471=IFERROR(VLOOKUP(B471,base!$K$2:$K$8,1,0),""),"Serviços","Combos"))</f>
        <v>Serviços</v>
      </c>
      <c r="J471">
        <f t="shared" si="11"/>
        <v>15.75</v>
      </c>
    </row>
    <row r="472" spans="1:10">
      <c r="A472" t="s">
        <v>519</v>
      </c>
      <c r="B472" t="s">
        <v>156</v>
      </c>
      <c r="C472" t="s">
        <v>1055</v>
      </c>
      <c r="D472" s="14">
        <v>150</v>
      </c>
      <c r="E472" s="14">
        <v>150</v>
      </c>
      <c r="F472" s="13">
        <v>45716.479166666664</v>
      </c>
      <c r="G472" t="s">
        <v>2</v>
      </c>
      <c r="H472" t="s">
        <v>1056</v>
      </c>
      <c r="I472" t="str">
        <f>IF(B472=IFERROR(VLOOKUP(B472,base!$L$1:$L$9,1,0),""),"Produtos",IF(B472=IFERROR(VLOOKUP(B472,base!$K$2:$K$8,1,0),""),"Serviços","Combos"))</f>
        <v>Combos</v>
      </c>
      <c r="J472">
        <f t="shared" ref="J472:J535" si="12">IF(AND(I472="Serviços",E472&gt;0),ROUND(D472*45%,2),IF(I472="Produtos",ROUND(D472*40%,2),D472*45%))</f>
        <v>67.5</v>
      </c>
    </row>
    <row r="473" spans="1:10">
      <c r="A473" t="s">
        <v>536</v>
      </c>
      <c r="B473" t="s">
        <v>159</v>
      </c>
      <c r="C473" t="s">
        <v>1093</v>
      </c>
      <c r="D473" s="14">
        <v>45</v>
      </c>
      <c r="E473" s="14">
        <v>45</v>
      </c>
      <c r="F473" s="13">
        <v>45716.5</v>
      </c>
      <c r="G473" t="s">
        <v>1</v>
      </c>
      <c r="H473" t="s">
        <v>483</v>
      </c>
      <c r="I473" t="str">
        <f>IF(B473=IFERROR(VLOOKUP(B473,base!$L$1:$L$9,1,0),""),"Produtos",IF(B473=IFERROR(VLOOKUP(B473,base!$K$2:$K$8,1,0),""),"Serviços","Combos"))</f>
        <v>Combos</v>
      </c>
      <c r="J473">
        <f t="shared" si="12"/>
        <v>20.25</v>
      </c>
    </row>
    <row r="474" spans="1:10">
      <c r="A474" t="s">
        <v>252</v>
      </c>
      <c r="B474" t="s">
        <v>163</v>
      </c>
      <c r="C474" t="s">
        <v>1085</v>
      </c>
      <c r="D474" s="14">
        <v>35</v>
      </c>
      <c r="E474" s="14">
        <v>50</v>
      </c>
      <c r="F474" s="13">
        <v>45716.520833333336</v>
      </c>
      <c r="G474" t="s">
        <v>1</v>
      </c>
      <c r="H474" t="s">
        <v>83</v>
      </c>
      <c r="I474" t="str">
        <f>IF(B474=IFERROR(VLOOKUP(B474,base!$L$1:$L$9,1,0),""),"Produtos",IF(B474=IFERROR(VLOOKUP(B474,base!$K$2:$K$8,1,0),""),"Serviços","Combos"))</f>
        <v>Serviços</v>
      </c>
      <c r="J474">
        <f t="shared" si="12"/>
        <v>15.75</v>
      </c>
    </row>
    <row r="475" spans="1:10">
      <c r="A475" t="s">
        <v>252</v>
      </c>
      <c r="B475" t="s">
        <v>352</v>
      </c>
      <c r="C475" t="s">
        <v>1085</v>
      </c>
      <c r="D475" s="14">
        <v>15</v>
      </c>
      <c r="F475" s="13">
        <v>45716.520833333336</v>
      </c>
      <c r="G475" t="s">
        <v>1</v>
      </c>
      <c r="H475" t="s">
        <v>83</v>
      </c>
      <c r="I475" t="str">
        <f>IF(B475=IFERROR(VLOOKUP(B475,base!$L$1:$L$9,1,0),""),"Produtos",IF(B475=IFERROR(VLOOKUP(B475,base!$K$2:$K$8,1,0),""),"Serviços","Combos"))</f>
        <v>Combos</v>
      </c>
      <c r="J475">
        <f t="shared" si="12"/>
        <v>6.75</v>
      </c>
    </row>
    <row r="476" spans="1:10">
      <c r="A476" t="s">
        <v>536</v>
      </c>
      <c r="B476" t="s">
        <v>163</v>
      </c>
      <c r="C476" t="s">
        <v>1096</v>
      </c>
      <c r="D476" s="14">
        <v>35</v>
      </c>
      <c r="E476" s="14">
        <v>35</v>
      </c>
      <c r="F476" s="13">
        <v>45716.541666666664</v>
      </c>
      <c r="G476" t="s">
        <v>1</v>
      </c>
      <c r="H476" t="s">
        <v>1097</v>
      </c>
      <c r="I476" t="str">
        <f>IF(B476=IFERROR(VLOOKUP(B476,base!$L$1:$L$9,1,0),""),"Produtos",IF(B476=IFERROR(VLOOKUP(B476,base!$K$2:$K$8,1,0),""),"Serviços","Combos"))</f>
        <v>Serviços</v>
      </c>
      <c r="J476">
        <f t="shared" si="12"/>
        <v>15.75</v>
      </c>
    </row>
    <row r="477" spans="1:10">
      <c r="A477" t="s">
        <v>519</v>
      </c>
      <c r="B477" t="s">
        <v>163</v>
      </c>
      <c r="C477" t="s">
        <v>1094</v>
      </c>
      <c r="D477" s="14">
        <v>35</v>
      </c>
      <c r="E477" s="14">
        <v>35</v>
      </c>
      <c r="F477" s="13">
        <v>45716.552083333336</v>
      </c>
      <c r="G477" t="s">
        <v>310</v>
      </c>
      <c r="H477" t="s">
        <v>1095</v>
      </c>
      <c r="I477" t="str">
        <f>IF(B477=IFERROR(VLOOKUP(B477,base!$L$1:$L$9,1,0),""),"Produtos",IF(B477=IFERROR(VLOOKUP(B477,base!$K$2:$K$8,1,0),""),"Serviços","Combos"))</f>
        <v>Serviços</v>
      </c>
      <c r="J477">
        <f t="shared" si="12"/>
        <v>15.75</v>
      </c>
    </row>
    <row r="478" spans="1:10">
      <c r="A478" t="s">
        <v>536</v>
      </c>
      <c r="B478" t="s">
        <v>1046</v>
      </c>
      <c r="C478" t="s">
        <v>1100</v>
      </c>
      <c r="D478" s="14">
        <v>20</v>
      </c>
      <c r="E478" s="14">
        <v>35</v>
      </c>
      <c r="F478" s="13">
        <v>45716.59375</v>
      </c>
      <c r="G478" t="s">
        <v>1</v>
      </c>
      <c r="H478" t="s">
        <v>382</v>
      </c>
      <c r="I478" t="str">
        <f>IF(B478=IFERROR(VLOOKUP(B478,base!$L$1:$L$9,1,0),""),"Produtos",IF(B478=IFERROR(VLOOKUP(B478,base!$K$2:$K$8,1,0),""),"Serviços","Combos"))</f>
        <v>Combos</v>
      </c>
      <c r="J478">
        <f t="shared" si="12"/>
        <v>9</v>
      </c>
    </row>
    <row r="479" spans="1:10">
      <c r="A479" t="s">
        <v>536</v>
      </c>
      <c r="B479" t="s">
        <v>352</v>
      </c>
      <c r="C479" t="s">
        <v>1100</v>
      </c>
      <c r="D479" s="14">
        <v>15</v>
      </c>
      <c r="F479" s="13">
        <v>45716.59375</v>
      </c>
      <c r="G479" t="s">
        <v>1</v>
      </c>
      <c r="H479" t="s">
        <v>382</v>
      </c>
      <c r="I479" t="str">
        <f>IF(B479=IFERROR(VLOOKUP(B479,base!$L$1:$L$9,1,0),""),"Produtos",IF(B479=IFERROR(VLOOKUP(B479,base!$K$2:$K$8,1,0),""),"Serviços","Combos"))</f>
        <v>Combos</v>
      </c>
      <c r="J479">
        <f t="shared" si="12"/>
        <v>6.75</v>
      </c>
    </row>
    <row r="480" spans="1:10">
      <c r="A480" t="s">
        <v>519</v>
      </c>
      <c r="B480" t="s">
        <v>163</v>
      </c>
      <c r="C480" t="s">
        <v>1102</v>
      </c>
      <c r="D480" s="14">
        <v>35</v>
      </c>
      <c r="E480" s="14">
        <v>35</v>
      </c>
      <c r="F480" s="13">
        <v>45716.59375</v>
      </c>
      <c r="G480" t="s">
        <v>1</v>
      </c>
      <c r="H480" t="s">
        <v>278</v>
      </c>
      <c r="I480" t="str">
        <f>IF(B480=IFERROR(VLOOKUP(B480,base!$L$1:$L$9,1,0),""),"Produtos",IF(B480=IFERROR(VLOOKUP(B480,base!$K$2:$K$8,1,0),""),"Serviços","Combos"))</f>
        <v>Serviços</v>
      </c>
      <c r="J480">
        <f t="shared" si="12"/>
        <v>15.75</v>
      </c>
    </row>
    <row r="481" spans="1:10">
      <c r="A481" t="s">
        <v>252</v>
      </c>
      <c r="B481" t="s">
        <v>159</v>
      </c>
      <c r="C481" t="s">
        <v>1098</v>
      </c>
      <c r="D481" s="14">
        <v>40</v>
      </c>
      <c r="E481" s="14">
        <v>40</v>
      </c>
      <c r="F481" s="13">
        <v>45716.604166666664</v>
      </c>
      <c r="G481" t="s">
        <v>1</v>
      </c>
      <c r="H481" t="s">
        <v>1099</v>
      </c>
      <c r="I481" t="str">
        <f>IF(B481=IFERROR(VLOOKUP(B481,base!$L$1:$L$9,1,0),""),"Produtos",IF(B481=IFERROR(VLOOKUP(B481,base!$K$2:$K$8,1,0),""),"Serviços","Combos"))</f>
        <v>Combos</v>
      </c>
      <c r="J481">
        <f t="shared" si="12"/>
        <v>18</v>
      </c>
    </row>
    <row r="482" spans="1:10">
      <c r="A482" t="s">
        <v>252</v>
      </c>
      <c r="B482" t="s">
        <v>163</v>
      </c>
      <c r="C482" t="s">
        <v>1101</v>
      </c>
      <c r="D482" s="14">
        <v>20</v>
      </c>
      <c r="E482" s="14">
        <v>35</v>
      </c>
      <c r="F482" s="13">
        <v>45716.607638888891</v>
      </c>
      <c r="G482" t="s">
        <v>1</v>
      </c>
      <c r="H482" t="s">
        <v>852</v>
      </c>
      <c r="I482" t="str">
        <f>IF(B482=IFERROR(VLOOKUP(B482,base!$L$1:$L$9,1,0),""),"Produtos",IF(B482=IFERROR(VLOOKUP(B482,base!$K$2:$K$8,1,0),""),"Serviços","Combos"))</f>
        <v>Serviços</v>
      </c>
      <c r="J482">
        <f t="shared" si="12"/>
        <v>9</v>
      </c>
    </row>
    <row r="483" spans="1:10">
      <c r="A483" t="s">
        <v>252</v>
      </c>
      <c r="B483" t="s">
        <v>352</v>
      </c>
      <c r="C483" t="s">
        <v>1101</v>
      </c>
      <c r="D483" s="14">
        <v>15</v>
      </c>
      <c r="F483" s="13">
        <v>45716.607638888891</v>
      </c>
      <c r="G483" t="s">
        <v>1</v>
      </c>
      <c r="H483" t="s">
        <v>852</v>
      </c>
      <c r="I483" t="str">
        <f>IF(B483=IFERROR(VLOOKUP(B483,base!$L$1:$L$9,1,0),""),"Produtos",IF(B483=IFERROR(VLOOKUP(B483,base!$K$2:$K$8,1,0),""),"Serviços","Combos"))</f>
        <v>Combos</v>
      </c>
      <c r="J483">
        <f t="shared" si="12"/>
        <v>6.75</v>
      </c>
    </row>
    <row r="484" spans="1:10">
      <c r="A484" t="s">
        <v>252</v>
      </c>
      <c r="B484" t="s">
        <v>163</v>
      </c>
      <c r="C484" t="s">
        <v>1105</v>
      </c>
      <c r="D484" s="14">
        <v>35</v>
      </c>
      <c r="E484" s="14">
        <v>35</v>
      </c>
      <c r="F484" s="13">
        <v>45716.666666666664</v>
      </c>
      <c r="G484" t="s">
        <v>354</v>
      </c>
      <c r="H484" t="s">
        <v>482</v>
      </c>
      <c r="I484" t="str">
        <f>IF(B484=IFERROR(VLOOKUP(B484,base!$L$1:$L$9,1,0),""),"Produtos",IF(B484=IFERROR(VLOOKUP(B484,base!$K$2:$K$8,1,0),""),"Serviços","Combos"))</f>
        <v>Serviços</v>
      </c>
      <c r="J484">
        <f t="shared" si="12"/>
        <v>15.75</v>
      </c>
    </row>
    <row r="485" spans="1:10">
      <c r="A485" t="s">
        <v>519</v>
      </c>
      <c r="B485" t="s">
        <v>163</v>
      </c>
      <c r="C485" t="s">
        <v>1060</v>
      </c>
      <c r="D485" s="14">
        <v>35</v>
      </c>
      <c r="E485" s="14">
        <v>35</v>
      </c>
      <c r="F485" s="13">
        <v>45716.6875</v>
      </c>
      <c r="G485" t="s">
        <v>1</v>
      </c>
      <c r="H485" t="s">
        <v>12</v>
      </c>
      <c r="I485" t="str">
        <f>IF(B485=IFERROR(VLOOKUP(B485,base!$L$1:$L$9,1,0),""),"Produtos",IF(B485=IFERROR(VLOOKUP(B485,base!$K$2:$K$8,1,0),""),"Serviços","Combos"))</f>
        <v>Serviços</v>
      </c>
      <c r="J485">
        <f t="shared" si="12"/>
        <v>15.75</v>
      </c>
    </row>
    <row r="486" spans="1:10">
      <c r="A486" t="s">
        <v>519</v>
      </c>
      <c r="B486" t="s">
        <v>163</v>
      </c>
      <c r="C486" t="s">
        <v>1106</v>
      </c>
      <c r="D486" s="14">
        <v>30</v>
      </c>
      <c r="E486" s="14">
        <v>90</v>
      </c>
      <c r="F486" s="13">
        <v>45716.694444444445</v>
      </c>
      <c r="G486" t="s">
        <v>1</v>
      </c>
      <c r="H486" t="s">
        <v>405</v>
      </c>
      <c r="I486" t="str">
        <f>IF(B486=IFERROR(VLOOKUP(B486,base!$L$1:$L$9,1,0),""),"Produtos",IF(B486=IFERROR(VLOOKUP(B486,base!$K$2:$K$8,1,0),""),"Serviços","Combos"))</f>
        <v>Serviços</v>
      </c>
      <c r="J486">
        <f t="shared" si="12"/>
        <v>13.5</v>
      </c>
    </row>
    <row r="487" spans="1:10">
      <c r="A487" t="s">
        <v>519</v>
      </c>
      <c r="B487" t="s">
        <v>163</v>
      </c>
      <c r="C487" t="s">
        <v>1107</v>
      </c>
      <c r="D487" s="14">
        <v>30</v>
      </c>
      <c r="E487" s="14">
        <v>0</v>
      </c>
      <c r="F487" s="13">
        <v>45716.694444444445</v>
      </c>
      <c r="G487" t="s">
        <v>1</v>
      </c>
      <c r="H487" t="s">
        <v>414</v>
      </c>
      <c r="I487" t="str">
        <f>IF(B487=IFERROR(VLOOKUP(B487,base!$L$1:$L$9,1,0),""),"Produtos",IF(B487=IFERROR(VLOOKUP(B487,base!$K$2:$K$8,1,0),""),"Serviços","Combos"))</f>
        <v>Serviços</v>
      </c>
      <c r="J487">
        <f t="shared" si="12"/>
        <v>13.5</v>
      </c>
    </row>
    <row r="488" spans="1:10">
      <c r="A488" t="s">
        <v>252</v>
      </c>
      <c r="B488" t="s">
        <v>353</v>
      </c>
      <c r="C488" t="s">
        <v>988</v>
      </c>
      <c r="D488" s="14">
        <v>55</v>
      </c>
      <c r="E488" s="14">
        <v>55</v>
      </c>
      <c r="F488" s="13">
        <v>45716.708333333336</v>
      </c>
      <c r="G488" t="s">
        <v>1</v>
      </c>
      <c r="H488" t="s">
        <v>480</v>
      </c>
      <c r="I488" t="str">
        <f>IF(B488=IFERROR(VLOOKUP(B488,base!$L$1:$L$9,1,0),""),"Produtos",IF(B488=IFERROR(VLOOKUP(B488,base!$K$2:$K$8,1,0),""),"Serviços","Combos"))</f>
        <v>Combos</v>
      </c>
      <c r="J488">
        <f t="shared" si="12"/>
        <v>24.75</v>
      </c>
    </row>
    <row r="489" spans="1:10">
      <c r="A489" t="s">
        <v>252</v>
      </c>
      <c r="B489" t="s">
        <v>159</v>
      </c>
      <c r="C489" t="s">
        <v>1108</v>
      </c>
      <c r="D489" s="14">
        <v>40</v>
      </c>
      <c r="E489" s="14">
        <v>40</v>
      </c>
      <c r="F489" s="13">
        <v>45716.708333333336</v>
      </c>
      <c r="G489" t="s">
        <v>2</v>
      </c>
      <c r="H489" t="s">
        <v>1109</v>
      </c>
      <c r="I489" t="str">
        <f>IF(B489=IFERROR(VLOOKUP(B489,base!$L$1:$L$9,1,0),""),"Produtos",IF(B489=IFERROR(VLOOKUP(B489,base!$K$2:$K$8,1,0),""),"Serviços","Combos"))</f>
        <v>Combos</v>
      </c>
      <c r="J489">
        <f t="shared" si="12"/>
        <v>18</v>
      </c>
    </row>
    <row r="490" spans="1:10">
      <c r="A490" t="s">
        <v>519</v>
      </c>
      <c r="B490" t="s">
        <v>159</v>
      </c>
      <c r="C490" t="s">
        <v>1086</v>
      </c>
      <c r="D490" s="14">
        <v>40</v>
      </c>
      <c r="E490" s="14">
        <v>40</v>
      </c>
      <c r="F490" s="13">
        <v>45716.71875</v>
      </c>
      <c r="G490" t="s">
        <v>310</v>
      </c>
      <c r="H490" t="s">
        <v>284</v>
      </c>
      <c r="I490" t="str">
        <f>IF(B490=IFERROR(VLOOKUP(B490,base!$L$1:$L$9,1,0),""),"Produtos",IF(B490=IFERROR(VLOOKUP(B490,base!$K$2:$K$8,1,0),""),"Serviços","Combos"))</f>
        <v>Combos</v>
      </c>
      <c r="J490">
        <f t="shared" si="12"/>
        <v>18</v>
      </c>
    </row>
    <row r="491" spans="1:10">
      <c r="A491" t="s">
        <v>519</v>
      </c>
      <c r="B491" t="s">
        <v>163</v>
      </c>
      <c r="C491" t="s">
        <v>1111</v>
      </c>
      <c r="D491" s="14">
        <v>35</v>
      </c>
      <c r="E491" s="14">
        <v>35</v>
      </c>
      <c r="F491" s="13">
        <v>45716.722222222219</v>
      </c>
      <c r="G491" t="s">
        <v>1</v>
      </c>
      <c r="H491" t="s">
        <v>1112</v>
      </c>
      <c r="I491" t="str">
        <f>IF(B491=IFERROR(VLOOKUP(B491,base!$L$1:$L$9,1,0),""),"Produtos",IF(B491=IFERROR(VLOOKUP(B491,base!$K$2:$K$8,1,0),""),"Serviços","Combos"))</f>
        <v>Serviços</v>
      </c>
      <c r="J491">
        <f t="shared" si="12"/>
        <v>15.75</v>
      </c>
    </row>
    <row r="492" spans="1:10">
      <c r="A492" t="s">
        <v>519</v>
      </c>
      <c r="B492" t="s">
        <v>163</v>
      </c>
      <c r="C492" t="s">
        <v>990</v>
      </c>
      <c r="D492" s="14">
        <v>35</v>
      </c>
      <c r="E492" s="14">
        <v>35</v>
      </c>
      <c r="F492" s="13">
        <v>45716.739583333336</v>
      </c>
      <c r="G492" t="s">
        <v>354</v>
      </c>
      <c r="H492" t="s">
        <v>106</v>
      </c>
      <c r="I492" t="str">
        <f>IF(B492=IFERROR(VLOOKUP(B492,base!$L$1:$L$9,1,0),""),"Produtos",IF(B492=IFERROR(VLOOKUP(B492,base!$K$2:$K$8,1,0),""),"Serviços","Combos"))</f>
        <v>Serviços</v>
      </c>
      <c r="J492">
        <f t="shared" si="12"/>
        <v>15.75</v>
      </c>
    </row>
    <row r="493" spans="1:10">
      <c r="A493" t="s">
        <v>252</v>
      </c>
      <c r="B493" t="s">
        <v>353</v>
      </c>
      <c r="C493" t="s">
        <v>1110</v>
      </c>
      <c r="D493" s="14">
        <v>48.33</v>
      </c>
      <c r="E493" s="14">
        <v>0</v>
      </c>
      <c r="F493" s="13">
        <v>45716.75</v>
      </c>
      <c r="G493" t="s">
        <v>1</v>
      </c>
      <c r="H493" t="s">
        <v>182</v>
      </c>
      <c r="I493" t="str">
        <f>IF(B493=IFERROR(VLOOKUP(B493,base!$L$1:$L$9,1,0),""),"Produtos",IF(B493=IFERROR(VLOOKUP(B493,base!$K$2:$K$8,1,0),""),"Serviços","Combos"))</f>
        <v>Combos</v>
      </c>
      <c r="J493">
        <f t="shared" si="12"/>
        <v>21.7485</v>
      </c>
    </row>
    <row r="494" spans="1:10">
      <c r="A494" t="s">
        <v>536</v>
      </c>
      <c r="B494" t="s">
        <v>163</v>
      </c>
      <c r="C494" t="s">
        <v>1117</v>
      </c>
      <c r="D494" s="14">
        <v>35</v>
      </c>
      <c r="E494" s="14">
        <v>100</v>
      </c>
      <c r="F494" s="13">
        <v>45716.75</v>
      </c>
      <c r="G494" t="s">
        <v>354</v>
      </c>
      <c r="H494" t="s">
        <v>1118</v>
      </c>
      <c r="I494" t="str">
        <f>IF(B494=IFERROR(VLOOKUP(B494,base!$L$1:$L$9,1,0),""),"Produtos",IF(B494=IFERROR(VLOOKUP(B494,base!$K$2:$K$8,1,0),""),"Serviços","Combos"))</f>
        <v>Serviços</v>
      </c>
      <c r="J494">
        <f t="shared" si="12"/>
        <v>15.75</v>
      </c>
    </row>
    <row r="495" spans="1:10">
      <c r="A495" t="s">
        <v>536</v>
      </c>
      <c r="B495" t="s">
        <v>910</v>
      </c>
      <c r="C495" t="s">
        <v>1117</v>
      </c>
      <c r="D495" s="14">
        <v>5</v>
      </c>
      <c r="F495" s="13">
        <v>45716.75</v>
      </c>
      <c r="G495" t="s">
        <v>354</v>
      </c>
      <c r="H495" t="s">
        <v>1118</v>
      </c>
      <c r="I495" t="str">
        <f>IF(B495=IFERROR(VLOOKUP(B495,base!$L$1:$L$9,1,0),""),"Produtos",IF(B495=IFERROR(VLOOKUP(B495,base!$K$2:$K$8,1,0),""),"Serviços","Combos"))</f>
        <v>Combos</v>
      </c>
      <c r="J495">
        <f t="shared" si="12"/>
        <v>2.25</v>
      </c>
    </row>
    <row r="496" spans="1:10">
      <c r="A496" t="s">
        <v>536</v>
      </c>
      <c r="B496" t="s">
        <v>163</v>
      </c>
      <c r="C496" t="s">
        <v>1117</v>
      </c>
      <c r="D496" s="14">
        <v>35</v>
      </c>
      <c r="F496" s="13">
        <v>45716.75</v>
      </c>
      <c r="G496" t="s">
        <v>354</v>
      </c>
      <c r="H496" t="s">
        <v>1118</v>
      </c>
      <c r="I496" t="str">
        <f>IF(B496=IFERROR(VLOOKUP(B496,base!$L$1:$L$9,1,0),""),"Produtos",IF(B496=IFERROR(VLOOKUP(B496,base!$K$2:$K$8,1,0),""),"Serviços","Combos"))</f>
        <v>Serviços</v>
      </c>
      <c r="J496">
        <f t="shared" si="12"/>
        <v>15.75</v>
      </c>
    </row>
    <row r="497" spans="1:10">
      <c r="A497" t="s">
        <v>536</v>
      </c>
      <c r="B497" t="s">
        <v>508</v>
      </c>
      <c r="C497" t="s">
        <v>1117</v>
      </c>
      <c r="D497" s="14">
        <v>25</v>
      </c>
      <c r="F497" s="13">
        <v>45716.75</v>
      </c>
      <c r="G497" t="s">
        <v>354</v>
      </c>
      <c r="H497" t="s">
        <v>1118</v>
      </c>
      <c r="I497" t="str">
        <f>IF(B497=IFERROR(VLOOKUP(B497,base!$L$1:$L$9,1,0),""),"Produtos",IF(B497=IFERROR(VLOOKUP(B497,base!$K$2:$K$8,1,0),""),"Serviços","Combos"))</f>
        <v>Produtos</v>
      </c>
      <c r="J497">
        <f t="shared" si="12"/>
        <v>10</v>
      </c>
    </row>
    <row r="498" spans="1:10">
      <c r="A498" t="s">
        <v>519</v>
      </c>
      <c r="B498" t="s">
        <v>353</v>
      </c>
      <c r="C498" t="s">
        <v>992</v>
      </c>
      <c r="D498" s="14">
        <v>55</v>
      </c>
      <c r="E498" s="14">
        <v>55</v>
      </c>
      <c r="F498" s="13">
        <v>45716.760416666664</v>
      </c>
      <c r="G498" t="s">
        <v>1</v>
      </c>
      <c r="H498" t="s">
        <v>41</v>
      </c>
      <c r="I498" t="str">
        <f>IF(B498=IFERROR(VLOOKUP(B498,base!$L$1:$L$9,1,0),""),"Produtos",IF(B498=IFERROR(VLOOKUP(B498,base!$K$2:$K$8,1,0),""),"Serviços","Combos"))</f>
        <v>Combos</v>
      </c>
      <c r="J498">
        <f t="shared" si="12"/>
        <v>24.75</v>
      </c>
    </row>
    <row r="499" spans="1:10">
      <c r="A499" t="s">
        <v>252</v>
      </c>
      <c r="B499" t="s">
        <v>159</v>
      </c>
      <c r="C499" t="s">
        <v>1115</v>
      </c>
      <c r="D499" s="14">
        <v>40</v>
      </c>
      <c r="E499" s="14">
        <v>50</v>
      </c>
      <c r="F499" s="13">
        <v>45716.78125</v>
      </c>
      <c r="G499" t="s">
        <v>1</v>
      </c>
      <c r="H499" t="s">
        <v>1116</v>
      </c>
      <c r="I499" t="str">
        <f>IF(B499=IFERROR(VLOOKUP(B499,base!$L$1:$L$9,1,0),""),"Produtos",IF(B499=IFERROR(VLOOKUP(B499,base!$K$2:$K$8,1,0),""),"Serviços","Combos"))</f>
        <v>Combos</v>
      </c>
      <c r="J499">
        <f t="shared" si="12"/>
        <v>18</v>
      </c>
    </row>
    <row r="500" spans="1:10">
      <c r="A500" t="s">
        <v>252</v>
      </c>
      <c r="B500" t="s">
        <v>910</v>
      </c>
      <c r="C500" t="s">
        <v>1115</v>
      </c>
      <c r="D500" s="14">
        <v>10</v>
      </c>
      <c r="F500" s="13">
        <v>45716.78125</v>
      </c>
      <c r="G500" t="s">
        <v>1</v>
      </c>
      <c r="H500" t="s">
        <v>1116</v>
      </c>
      <c r="I500" t="str">
        <f>IF(B500=IFERROR(VLOOKUP(B500,base!$L$1:$L$9,1,0),""),"Produtos",IF(B500=IFERROR(VLOOKUP(B500,base!$K$2:$K$8,1,0),""),"Serviços","Combos"))</f>
        <v>Combos</v>
      </c>
      <c r="J500">
        <f t="shared" si="12"/>
        <v>4.5</v>
      </c>
    </row>
    <row r="501" spans="1:10">
      <c r="A501" t="s">
        <v>252</v>
      </c>
      <c r="B501" t="s">
        <v>513</v>
      </c>
      <c r="C501" t="s">
        <v>1123</v>
      </c>
      <c r="D501" s="14">
        <v>35</v>
      </c>
      <c r="E501" s="14">
        <v>35</v>
      </c>
      <c r="F501" s="13">
        <v>45716.791666666664</v>
      </c>
      <c r="G501" t="s">
        <v>1</v>
      </c>
      <c r="H501" t="s">
        <v>499</v>
      </c>
      <c r="I501" t="str">
        <f>IF(B501=IFERROR(VLOOKUP(B501,base!$L$1:$L$9,1,0),""),"Produtos",IF(B501=IFERROR(VLOOKUP(B501,base!$K$2:$K$8,1,0),""),"Serviços","Combos"))</f>
        <v>Produtos</v>
      </c>
      <c r="J501">
        <f t="shared" si="12"/>
        <v>14</v>
      </c>
    </row>
    <row r="502" spans="1:10">
      <c r="A502" t="s">
        <v>536</v>
      </c>
      <c r="B502" t="s">
        <v>163</v>
      </c>
      <c r="C502" t="s">
        <v>1125</v>
      </c>
      <c r="D502" s="14">
        <v>35</v>
      </c>
      <c r="E502" s="14">
        <v>35</v>
      </c>
      <c r="F502" s="13">
        <v>45716.805555555555</v>
      </c>
      <c r="G502" t="s">
        <v>1</v>
      </c>
      <c r="H502" t="s">
        <v>365</v>
      </c>
      <c r="I502" t="str">
        <f>IF(B502=IFERROR(VLOOKUP(B502,base!$L$1:$L$9,1,0),""),"Produtos",IF(B502=IFERROR(VLOOKUP(B502,base!$K$2:$K$8,1,0),""),"Serviços","Combos"))</f>
        <v>Serviços</v>
      </c>
      <c r="J502">
        <f t="shared" si="12"/>
        <v>15.75</v>
      </c>
    </row>
    <row r="503" spans="1:10">
      <c r="A503" t="s">
        <v>519</v>
      </c>
      <c r="B503" t="s">
        <v>159</v>
      </c>
      <c r="C503" t="s">
        <v>1041</v>
      </c>
      <c r="D503" s="14">
        <v>40</v>
      </c>
      <c r="E503" s="14">
        <v>40</v>
      </c>
      <c r="F503" s="13">
        <v>45716.8125</v>
      </c>
      <c r="G503" t="s">
        <v>1</v>
      </c>
      <c r="H503" t="s">
        <v>28</v>
      </c>
      <c r="I503" t="str">
        <f>IF(B503=IFERROR(VLOOKUP(B503,base!$L$1:$L$9,1,0),""),"Produtos",IF(B503=IFERROR(VLOOKUP(B503,base!$K$2:$K$8,1,0),""),"Serviços","Combos"))</f>
        <v>Combos</v>
      </c>
      <c r="J503">
        <f t="shared" si="12"/>
        <v>18</v>
      </c>
    </row>
    <row r="504" spans="1:10">
      <c r="A504" t="s">
        <v>252</v>
      </c>
      <c r="B504" t="s">
        <v>163</v>
      </c>
      <c r="C504" t="s">
        <v>1119</v>
      </c>
      <c r="D504" s="14">
        <v>35</v>
      </c>
      <c r="E504" s="14">
        <v>35</v>
      </c>
      <c r="F504" s="13">
        <v>45716.8125</v>
      </c>
      <c r="G504" t="s">
        <v>1120</v>
      </c>
      <c r="H504" t="s">
        <v>1121</v>
      </c>
      <c r="I504" t="str">
        <f>IF(B504=IFERROR(VLOOKUP(B504,base!$L$1:$L$9,1,0),""),"Produtos",IF(B504=IFERROR(VLOOKUP(B504,base!$K$2:$K$8,1,0),""),"Serviços","Combos"))</f>
        <v>Serviços</v>
      </c>
      <c r="J504">
        <f t="shared" si="12"/>
        <v>15.75</v>
      </c>
    </row>
    <row r="505" spans="1:10">
      <c r="A505" t="s">
        <v>252</v>
      </c>
      <c r="B505" t="s">
        <v>163</v>
      </c>
      <c r="C505" t="s">
        <v>1091</v>
      </c>
      <c r="D505" s="14">
        <v>35</v>
      </c>
      <c r="E505" s="14">
        <v>35</v>
      </c>
      <c r="F505" s="13">
        <v>45716.836805555555</v>
      </c>
      <c r="G505" t="s">
        <v>354</v>
      </c>
      <c r="H505" t="s">
        <v>1092</v>
      </c>
      <c r="I505" t="str">
        <f>IF(B505=IFERROR(VLOOKUP(B505,base!$L$1:$L$9,1,0),""),"Produtos",IF(B505=IFERROR(VLOOKUP(B505,base!$K$2:$K$8,1,0),""),"Serviços","Combos"))</f>
        <v>Serviços</v>
      </c>
      <c r="J505">
        <f t="shared" si="12"/>
        <v>15.75</v>
      </c>
    </row>
    <row r="506" spans="1:10">
      <c r="A506" t="s">
        <v>536</v>
      </c>
      <c r="B506" t="s">
        <v>163</v>
      </c>
      <c r="C506" t="s">
        <v>1126</v>
      </c>
      <c r="D506" s="14">
        <v>35</v>
      </c>
      <c r="E506" s="14">
        <v>35</v>
      </c>
      <c r="F506" s="13">
        <v>45716.836805555555</v>
      </c>
      <c r="G506" t="s">
        <v>1</v>
      </c>
      <c r="H506" t="s">
        <v>1127</v>
      </c>
      <c r="I506" t="str">
        <f>IF(B506=IFERROR(VLOOKUP(B506,base!$L$1:$L$9,1,0),""),"Produtos",IF(B506=IFERROR(VLOOKUP(B506,base!$K$2:$K$8,1,0),""),"Serviços","Combos"))</f>
        <v>Serviços</v>
      </c>
      <c r="J506">
        <f t="shared" si="12"/>
        <v>15.75</v>
      </c>
    </row>
    <row r="507" spans="1:10">
      <c r="A507" t="s">
        <v>252</v>
      </c>
      <c r="B507" t="s">
        <v>159</v>
      </c>
      <c r="C507" t="s">
        <v>1128</v>
      </c>
      <c r="D507" s="14">
        <v>40</v>
      </c>
      <c r="E507" s="14">
        <v>40</v>
      </c>
      <c r="F507" s="13">
        <v>45716.847222222219</v>
      </c>
      <c r="G507" t="s">
        <v>1</v>
      </c>
      <c r="H507" t="s">
        <v>197</v>
      </c>
      <c r="I507" t="str">
        <f>IF(B507=IFERROR(VLOOKUP(B507,base!$L$1:$L$9,1,0),""),"Produtos",IF(B507=IFERROR(VLOOKUP(B507,base!$K$2:$K$8,1,0),""),"Serviços","Combos"))</f>
        <v>Combos</v>
      </c>
      <c r="J507">
        <f t="shared" si="12"/>
        <v>18</v>
      </c>
    </row>
    <row r="508" spans="1:10">
      <c r="A508" t="s">
        <v>519</v>
      </c>
      <c r="B508" t="s">
        <v>163</v>
      </c>
      <c r="C508" t="s">
        <v>1129</v>
      </c>
      <c r="D508" s="14">
        <v>35</v>
      </c>
      <c r="E508" s="14">
        <v>60</v>
      </c>
      <c r="F508" s="13">
        <v>45716.850694444445</v>
      </c>
      <c r="G508" t="s">
        <v>1</v>
      </c>
      <c r="H508" t="s">
        <v>1130</v>
      </c>
      <c r="I508" t="str">
        <f>IF(B508=IFERROR(VLOOKUP(B508,base!$L$1:$L$9,1,0),""),"Produtos",IF(B508=IFERROR(VLOOKUP(B508,base!$K$2:$K$8,1,0),""),"Serviços","Combos"))</f>
        <v>Serviços</v>
      </c>
      <c r="J508">
        <f t="shared" si="12"/>
        <v>15.75</v>
      </c>
    </row>
    <row r="509" spans="1:10">
      <c r="A509" t="s">
        <v>519</v>
      </c>
      <c r="B509" t="s">
        <v>509</v>
      </c>
      <c r="C509" t="s">
        <v>1129</v>
      </c>
      <c r="D509" s="14">
        <v>25</v>
      </c>
      <c r="F509" s="13">
        <v>45716.850694444445</v>
      </c>
      <c r="G509" t="s">
        <v>1</v>
      </c>
      <c r="H509" t="s">
        <v>1130</v>
      </c>
      <c r="I509" t="str">
        <f>IF(B509=IFERROR(VLOOKUP(B509,base!$L$1:$L$9,1,0),""),"Produtos",IF(B509=IFERROR(VLOOKUP(B509,base!$K$2:$K$8,1,0),""),"Serviços","Combos"))</f>
        <v>Produtos</v>
      </c>
      <c r="J509">
        <f t="shared" si="12"/>
        <v>10</v>
      </c>
    </row>
    <row r="510" spans="1:10">
      <c r="A510" t="s">
        <v>252</v>
      </c>
      <c r="B510" t="s">
        <v>163</v>
      </c>
      <c r="C510" t="s">
        <v>1131</v>
      </c>
      <c r="D510" s="14">
        <v>35</v>
      </c>
      <c r="E510" s="14">
        <v>25</v>
      </c>
      <c r="F510" s="13">
        <v>45716.864583333336</v>
      </c>
      <c r="G510" t="s">
        <v>354</v>
      </c>
      <c r="H510" t="s">
        <v>401</v>
      </c>
      <c r="I510" t="str">
        <f>IF(B510=IFERROR(VLOOKUP(B510,base!$L$1:$L$9,1,0),""),"Produtos",IF(B510=IFERROR(VLOOKUP(B510,base!$K$2:$K$8,1,0),""),"Serviços","Combos"))</f>
        <v>Serviços</v>
      </c>
      <c r="J510">
        <f t="shared" si="12"/>
        <v>15.75</v>
      </c>
    </row>
    <row r="511" spans="1:10">
      <c r="A511" t="s">
        <v>519</v>
      </c>
      <c r="B511" t="s">
        <v>163</v>
      </c>
      <c r="C511" t="s">
        <v>1132</v>
      </c>
      <c r="D511" s="14">
        <v>35</v>
      </c>
      <c r="E511" s="14">
        <v>35</v>
      </c>
      <c r="F511" s="13">
        <v>45716.868055555555</v>
      </c>
      <c r="G511" t="s">
        <v>1</v>
      </c>
      <c r="H511" t="s">
        <v>1081</v>
      </c>
      <c r="I511" t="str">
        <f>IF(B511=IFERROR(VLOOKUP(B511,base!$L$1:$L$9,1,0),""),"Produtos",IF(B511=IFERROR(VLOOKUP(B511,base!$K$2:$K$8,1,0),""),"Serviços","Combos"))</f>
        <v>Serviços</v>
      </c>
      <c r="J511">
        <f t="shared" si="12"/>
        <v>15.75</v>
      </c>
    </row>
    <row r="512" spans="1:10">
      <c r="A512" t="s">
        <v>536</v>
      </c>
      <c r="B512" t="s">
        <v>163</v>
      </c>
      <c r="C512" t="s">
        <v>1133</v>
      </c>
      <c r="D512" s="14">
        <v>35</v>
      </c>
      <c r="E512" s="14">
        <v>35</v>
      </c>
      <c r="F512" s="13">
        <v>45716.871527777781</v>
      </c>
      <c r="G512" t="s">
        <v>1</v>
      </c>
      <c r="H512" t="s">
        <v>1134</v>
      </c>
      <c r="I512" t="str">
        <f>IF(B512=IFERROR(VLOOKUP(B512,base!$L$1:$L$9,1,0),""),"Produtos",IF(B512=IFERROR(VLOOKUP(B512,base!$K$2:$K$8,1,0),""),"Serviços","Combos"))</f>
        <v>Serviços</v>
      </c>
      <c r="J512">
        <f t="shared" si="12"/>
        <v>15.75</v>
      </c>
    </row>
    <row r="513" spans="1:10">
      <c r="A513" t="s">
        <v>536</v>
      </c>
      <c r="B513" t="s">
        <v>163</v>
      </c>
      <c r="C513" t="s">
        <v>1135</v>
      </c>
      <c r="D513" s="14">
        <v>35</v>
      </c>
      <c r="E513" s="14">
        <v>35</v>
      </c>
      <c r="F513" s="13">
        <v>45716.90625</v>
      </c>
      <c r="G513" t="s">
        <v>1</v>
      </c>
      <c r="H513" t="s">
        <v>42</v>
      </c>
      <c r="I513" t="str">
        <f>IF(B513=IFERROR(VLOOKUP(B513,base!$L$1:$L$9,1,0),""),"Produtos",IF(B513=IFERROR(VLOOKUP(B513,base!$K$2:$K$8,1,0),""),"Serviços","Combos"))</f>
        <v>Serviços</v>
      </c>
      <c r="J513">
        <f t="shared" si="12"/>
        <v>15.75</v>
      </c>
    </row>
    <row r="514" spans="1:10">
      <c r="A514" t="s">
        <v>252</v>
      </c>
      <c r="B514" t="s">
        <v>163</v>
      </c>
      <c r="C514" t="s">
        <v>1136</v>
      </c>
      <c r="D514" s="14">
        <v>30</v>
      </c>
      <c r="E514" s="14">
        <v>0</v>
      </c>
      <c r="F514" s="13">
        <v>45716.916666666664</v>
      </c>
      <c r="G514" t="s">
        <v>1</v>
      </c>
      <c r="H514" t="s">
        <v>122</v>
      </c>
      <c r="I514" t="str">
        <f>IF(B514=IFERROR(VLOOKUP(B514,base!$L$1:$L$9,1,0),""),"Produtos",IF(B514=IFERROR(VLOOKUP(B514,base!$K$2:$K$8,1,0),""),"Serviços","Combos"))</f>
        <v>Serviços</v>
      </c>
      <c r="J514">
        <f t="shared" si="12"/>
        <v>13.5</v>
      </c>
    </row>
    <row r="515" spans="1:10">
      <c r="A515" t="s">
        <v>519</v>
      </c>
      <c r="B515" t="s">
        <v>163</v>
      </c>
      <c r="C515" t="s">
        <v>1137</v>
      </c>
      <c r="D515" s="14">
        <v>35</v>
      </c>
      <c r="E515" s="14">
        <v>35</v>
      </c>
      <c r="F515" s="13">
        <v>45716.927083333336</v>
      </c>
      <c r="G515" t="s">
        <v>310</v>
      </c>
      <c r="H515" t="s">
        <v>1138</v>
      </c>
      <c r="I515" t="str">
        <f>IF(B515=IFERROR(VLOOKUP(B515,base!$L$1:$L$9,1,0),""),"Produtos",IF(B515=IFERROR(VLOOKUP(B515,base!$K$2:$K$8,1,0),""),"Serviços","Combos"))</f>
        <v>Serviços</v>
      </c>
      <c r="J515">
        <f t="shared" si="12"/>
        <v>15.75</v>
      </c>
    </row>
    <row r="516" spans="1:10">
      <c r="A516" t="s">
        <v>536</v>
      </c>
      <c r="B516" t="s">
        <v>163</v>
      </c>
      <c r="C516" t="s">
        <v>1139</v>
      </c>
      <c r="D516" s="14">
        <v>35</v>
      </c>
      <c r="E516" s="14">
        <v>45</v>
      </c>
      <c r="F516" s="13">
        <v>45716.930555555555</v>
      </c>
      <c r="G516" t="s">
        <v>354</v>
      </c>
      <c r="H516" t="s">
        <v>271</v>
      </c>
      <c r="I516" t="str">
        <f>IF(B516=IFERROR(VLOOKUP(B516,base!$L$1:$L$9,1,0),""),"Produtos",IF(B516=IFERROR(VLOOKUP(B516,base!$K$2:$K$8,1,0),""),"Serviços","Combos"))</f>
        <v>Serviços</v>
      </c>
      <c r="J516">
        <f t="shared" si="12"/>
        <v>15.75</v>
      </c>
    </row>
    <row r="517" spans="1:10">
      <c r="A517" t="s">
        <v>536</v>
      </c>
      <c r="B517" t="s">
        <v>162</v>
      </c>
      <c r="C517" t="s">
        <v>1139</v>
      </c>
      <c r="D517" s="14">
        <v>10</v>
      </c>
      <c r="F517" s="13">
        <v>45716.930555555555</v>
      </c>
      <c r="G517" t="s">
        <v>354</v>
      </c>
      <c r="H517" t="s">
        <v>271</v>
      </c>
      <c r="I517" t="str">
        <f>IF(B517=IFERROR(VLOOKUP(B517,base!$L$1:$L$9,1,0),""),"Produtos",IF(B517=IFERROR(VLOOKUP(B517,base!$K$2:$K$8,1,0),""),"Serviços","Combos"))</f>
        <v>Serviços</v>
      </c>
      <c r="J517">
        <f t="shared" si="12"/>
        <v>4.5</v>
      </c>
    </row>
    <row r="518" spans="1:10">
      <c r="A518" t="s">
        <v>519</v>
      </c>
      <c r="B518" t="s">
        <v>163</v>
      </c>
      <c r="C518" t="s">
        <v>1140</v>
      </c>
      <c r="D518" s="14">
        <v>35</v>
      </c>
      <c r="E518" s="14">
        <v>35</v>
      </c>
      <c r="F518" s="13">
        <v>45716.944444444445</v>
      </c>
      <c r="G518" t="s">
        <v>1</v>
      </c>
      <c r="H518" t="s">
        <v>194</v>
      </c>
      <c r="I518" t="str">
        <f>IF(B518=IFERROR(VLOOKUP(B518,base!$L$1:$L$9,1,0),""),"Produtos",IF(B518=IFERROR(VLOOKUP(B518,base!$K$2:$K$8,1,0),""),"Serviços","Combos"))</f>
        <v>Serviços</v>
      </c>
      <c r="J518">
        <f t="shared" si="12"/>
        <v>15.75</v>
      </c>
    </row>
    <row r="519" spans="1:10">
      <c r="A519" t="s">
        <v>252</v>
      </c>
      <c r="B519" t="s">
        <v>1046</v>
      </c>
      <c r="C519" t="s">
        <v>1141</v>
      </c>
      <c r="D519" s="14">
        <v>20</v>
      </c>
      <c r="E519" s="14">
        <v>35</v>
      </c>
      <c r="F519" s="13">
        <v>45716.951388888891</v>
      </c>
      <c r="G519" t="s">
        <v>1</v>
      </c>
      <c r="H519" t="s">
        <v>105</v>
      </c>
      <c r="I519" t="str">
        <f>IF(B519=IFERROR(VLOOKUP(B519,base!$L$1:$L$9,1,0),""),"Produtos",IF(B519=IFERROR(VLOOKUP(B519,base!$K$2:$K$8,1,0),""),"Serviços","Combos"))</f>
        <v>Combos</v>
      </c>
      <c r="J519">
        <f t="shared" si="12"/>
        <v>9</v>
      </c>
    </row>
    <row r="520" spans="1:10">
      <c r="A520" t="s">
        <v>252</v>
      </c>
      <c r="B520" t="s">
        <v>352</v>
      </c>
      <c r="C520" t="s">
        <v>1141</v>
      </c>
      <c r="D520" s="14">
        <v>15</v>
      </c>
      <c r="F520" s="13">
        <v>45716.951388888891</v>
      </c>
      <c r="G520" t="s">
        <v>1</v>
      </c>
      <c r="H520" t="s">
        <v>105</v>
      </c>
      <c r="I520" t="str">
        <f>IF(B520=IFERROR(VLOOKUP(B520,base!$L$1:$L$9,1,0),""),"Produtos",IF(B520=IFERROR(VLOOKUP(B520,base!$K$2:$K$8,1,0),""),"Serviços","Combos"))</f>
        <v>Combos</v>
      </c>
      <c r="J520">
        <f t="shared" si="12"/>
        <v>6.75</v>
      </c>
    </row>
    <row r="521" spans="1:10">
      <c r="A521" t="s">
        <v>519</v>
      </c>
      <c r="B521" t="s">
        <v>160</v>
      </c>
      <c r="C521" t="s">
        <v>1142</v>
      </c>
      <c r="D521" s="14">
        <v>15</v>
      </c>
      <c r="E521" s="14">
        <v>15</v>
      </c>
      <c r="F521" s="13">
        <v>45716.961805555555</v>
      </c>
      <c r="G521" t="s">
        <v>1</v>
      </c>
      <c r="H521" t="s">
        <v>491</v>
      </c>
      <c r="I521" t="str">
        <f>IF(B521=IFERROR(VLOOKUP(B521,base!$L$1:$L$9,1,0),""),"Produtos",IF(B521=IFERROR(VLOOKUP(B521,base!$K$2:$K$8,1,0),""),"Serviços","Combos"))</f>
        <v>Serviços</v>
      </c>
      <c r="J521">
        <f t="shared" si="12"/>
        <v>6.75</v>
      </c>
    </row>
    <row r="522" spans="1:10">
      <c r="A522" t="s">
        <v>252</v>
      </c>
      <c r="B522" t="s">
        <v>353</v>
      </c>
      <c r="C522" t="s">
        <v>1048</v>
      </c>
      <c r="D522" s="14">
        <v>55</v>
      </c>
      <c r="E522" s="14">
        <v>55</v>
      </c>
      <c r="F522" s="13">
        <v>45717.395833333336</v>
      </c>
      <c r="G522" t="s">
        <v>1</v>
      </c>
      <c r="H522" t="s">
        <v>1049</v>
      </c>
      <c r="I522" t="str">
        <f>IF(B522=IFERROR(VLOOKUP(B522,base!$L$1:$L$9,1,0),""),"Produtos",IF(B522=IFERROR(VLOOKUP(B522,base!$K$2:$K$8,1,0),""),"Serviços","Combos"))</f>
        <v>Combos</v>
      </c>
      <c r="J522">
        <f t="shared" si="12"/>
        <v>24.75</v>
      </c>
    </row>
    <row r="523" spans="1:10">
      <c r="A523" t="s">
        <v>519</v>
      </c>
      <c r="B523" t="s">
        <v>163</v>
      </c>
      <c r="C523" t="s">
        <v>1122</v>
      </c>
      <c r="D523" s="14">
        <v>30</v>
      </c>
      <c r="E523" s="14">
        <v>0</v>
      </c>
      <c r="F523" s="13">
        <v>45717.395833333336</v>
      </c>
      <c r="G523" t="s">
        <v>1</v>
      </c>
      <c r="H523" t="s">
        <v>185</v>
      </c>
      <c r="I523" t="str">
        <f>IF(B523=IFERROR(VLOOKUP(B523,base!$L$1:$L$9,1,0),""),"Produtos",IF(B523=IFERROR(VLOOKUP(B523,base!$K$2:$K$8,1,0),""),"Serviços","Combos"))</f>
        <v>Serviços</v>
      </c>
      <c r="J523">
        <f t="shared" si="12"/>
        <v>13.5</v>
      </c>
    </row>
    <row r="524" spans="1:10">
      <c r="A524" t="s">
        <v>519</v>
      </c>
      <c r="B524" t="s">
        <v>353</v>
      </c>
      <c r="C524" t="s">
        <v>1039</v>
      </c>
      <c r="D524" s="14">
        <v>55</v>
      </c>
      <c r="E524" s="14">
        <v>55</v>
      </c>
      <c r="F524" s="13">
        <v>45717.416666666664</v>
      </c>
      <c r="G524" t="s">
        <v>310</v>
      </c>
      <c r="H524" t="s">
        <v>184</v>
      </c>
      <c r="I524" t="str">
        <f>IF(B524=IFERROR(VLOOKUP(B524,base!$L$1:$L$9,1,0),""),"Produtos",IF(B524=IFERROR(VLOOKUP(B524,base!$K$2:$K$8,1,0),""),"Serviços","Combos"))</f>
        <v>Combos</v>
      </c>
      <c r="J524">
        <f t="shared" si="12"/>
        <v>24.75</v>
      </c>
    </row>
    <row r="525" spans="1:10">
      <c r="A525" t="s">
        <v>252</v>
      </c>
      <c r="B525" t="s">
        <v>163</v>
      </c>
      <c r="C525" t="s">
        <v>1124</v>
      </c>
      <c r="D525" s="14">
        <v>35</v>
      </c>
      <c r="E525" s="14">
        <v>25</v>
      </c>
      <c r="F525" s="13">
        <v>45717.427083333336</v>
      </c>
      <c r="G525" t="s">
        <v>1</v>
      </c>
      <c r="H525" t="s">
        <v>499</v>
      </c>
      <c r="I525" t="str">
        <f>IF(B525=IFERROR(VLOOKUP(B525,base!$L$1:$L$9,1,0),""),"Produtos",IF(B525=IFERROR(VLOOKUP(B525,base!$K$2:$K$8,1,0),""),"Serviços","Combos"))</f>
        <v>Serviços</v>
      </c>
      <c r="J525">
        <f t="shared" si="12"/>
        <v>15.75</v>
      </c>
    </row>
    <row r="526" spans="1:10">
      <c r="A526" t="s">
        <v>519</v>
      </c>
      <c r="B526" t="s">
        <v>163</v>
      </c>
      <c r="C526" t="s">
        <v>1148</v>
      </c>
      <c r="D526" s="14">
        <v>35</v>
      </c>
      <c r="E526" s="14">
        <v>35</v>
      </c>
      <c r="F526" s="13">
        <v>45717.440972222219</v>
      </c>
      <c r="G526" t="s">
        <v>2</v>
      </c>
      <c r="H526" t="s">
        <v>17</v>
      </c>
      <c r="I526" t="str">
        <f>IF(B526=IFERROR(VLOOKUP(B526,base!$L$1:$L$9,1,0),""),"Produtos",IF(B526=IFERROR(VLOOKUP(B526,base!$K$2:$K$8,1,0),""),"Serviços","Combos"))</f>
        <v>Serviços</v>
      </c>
      <c r="J526">
        <f t="shared" si="12"/>
        <v>15.75</v>
      </c>
    </row>
    <row r="527" spans="1:10">
      <c r="A527" t="s">
        <v>519</v>
      </c>
      <c r="B527" t="s">
        <v>163</v>
      </c>
      <c r="C527" t="s">
        <v>1113</v>
      </c>
      <c r="D527" s="14">
        <v>35</v>
      </c>
      <c r="E527" s="14">
        <v>35</v>
      </c>
      <c r="F527" s="13">
        <v>45717.447916666664</v>
      </c>
      <c r="G527" t="s">
        <v>310</v>
      </c>
      <c r="H527" t="s">
        <v>1114</v>
      </c>
      <c r="I527" t="str">
        <f>IF(B527=IFERROR(VLOOKUP(B527,base!$L$1:$L$9,1,0),""),"Produtos",IF(B527=IFERROR(VLOOKUP(B527,base!$K$2:$K$8,1,0),""),"Serviços","Combos"))</f>
        <v>Serviços</v>
      </c>
      <c r="J527">
        <f t="shared" si="12"/>
        <v>15.75</v>
      </c>
    </row>
    <row r="528" spans="1:10">
      <c r="A528" t="s">
        <v>252</v>
      </c>
      <c r="B528" t="s">
        <v>159</v>
      </c>
      <c r="C528" t="s">
        <v>1145</v>
      </c>
      <c r="D528" s="14">
        <v>40</v>
      </c>
      <c r="E528" s="14">
        <v>40</v>
      </c>
      <c r="F528" s="13">
        <v>45717.447916666664</v>
      </c>
      <c r="G528" t="s">
        <v>1</v>
      </c>
      <c r="H528" t="s">
        <v>62</v>
      </c>
      <c r="I528" t="str">
        <f>IF(B528=IFERROR(VLOOKUP(B528,base!$L$1:$L$9,1,0),""),"Produtos",IF(B528=IFERROR(VLOOKUP(B528,base!$K$2:$K$8,1,0),""),"Serviços","Combos"))</f>
        <v>Combos</v>
      </c>
      <c r="J528">
        <f t="shared" si="12"/>
        <v>18</v>
      </c>
    </row>
    <row r="529" spans="1:10">
      <c r="A529" t="s">
        <v>519</v>
      </c>
      <c r="B529" t="s">
        <v>163</v>
      </c>
      <c r="C529" t="s">
        <v>1149</v>
      </c>
      <c r="D529" s="14">
        <v>20</v>
      </c>
      <c r="E529" s="14">
        <v>20</v>
      </c>
      <c r="F529" s="13">
        <v>45717.451388888891</v>
      </c>
      <c r="G529" t="s">
        <v>310</v>
      </c>
      <c r="H529" t="s">
        <v>376</v>
      </c>
      <c r="I529" t="str">
        <f>IF(B529=IFERROR(VLOOKUP(B529,base!$L$1:$L$9,1,0),""),"Produtos",IF(B529=IFERROR(VLOOKUP(B529,base!$K$2:$K$8,1,0),""),"Serviços","Combos"))</f>
        <v>Serviços</v>
      </c>
      <c r="J529">
        <f t="shared" si="12"/>
        <v>9</v>
      </c>
    </row>
    <row r="530" spans="1:10">
      <c r="A530" t="s">
        <v>519</v>
      </c>
      <c r="B530" t="s">
        <v>163</v>
      </c>
      <c r="C530" t="s">
        <v>1103</v>
      </c>
      <c r="D530" s="14">
        <v>35</v>
      </c>
      <c r="E530" s="14">
        <v>70</v>
      </c>
      <c r="F530" s="13">
        <v>45717.479166666664</v>
      </c>
      <c r="G530" t="s">
        <v>2</v>
      </c>
      <c r="H530" t="s">
        <v>372</v>
      </c>
      <c r="I530" t="str">
        <f>IF(B530=IFERROR(VLOOKUP(B530,base!$L$1:$L$9,1,0),""),"Produtos",IF(B530=IFERROR(VLOOKUP(B530,base!$K$2:$K$8,1,0),""),"Serviços","Combos"))</f>
        <v>Serviços</v>
      </c>
      <c r="J530">
        <f t="shared" si="12"/>
        <v>15.75</v>
      </c>
    </row>
    <row r="531" spans="1:10">
      <c r="A531" t="s">
        <v>519</v>
      </c>
      <c r="B531" t="s">
        <v>163</v>
      </c>
      <c r="C531" t="s">
        <v>1103</v>
      </c>
      <c r="D531" s="14">
        <v>35</v>
      </c>
      <c r="F531" s="13">
        <v>45717.479166666664</v>
      </c>
      <c r="G531" t="s">
        <v>2</v>
      </c>
      <c r="H531" t="s">
        <v>372</v>
      </c>
      <c r="I531" t="str">
        <f>IF(B531=IFERROR(VLOOKUP(B531,base!$L$1:$L$9,1,0),""),"Produtos",IF(B531=IFERROR(VLOOKUP(B531,base!$K$2:$K$8,1,0),""),"Serviços","Combos"))</f>
        <v>Serviços</v>
      </c>
      <c r="J531">
        <f t="shared" si="12"/>
        <v>15.75</v>
      </c>
    </row>
    <row r="532" spans="1:10">
      <c r="A532" t="s">
        <v>519</v>
      </c>
      <c r="B532" t="s">
        <v>163</v>
      </c>
      <c r="C532" t="s">
        <v>1150</v>
      </c>
      <c r="D532" s="14">
        <v>35</v>
      </c>
      <c r="E532" s="14">
        <v>35</v>
      </c>
      <c r="F532" s="13">
        <v>45717.527777777781</v>
      </c>
      <c r="G532" t="s">
        <v>2</v>
      </c>
      <c r="H532" t="s">
        <v>13</v>
      </c>
      <c r="I532" t="str">
        <f>IF(B532=IFERROR(VLOOKUP(B532,base!$L$1:$L$9,1,0),""),"Produtos",IF(B532=IFERROR(VLOOKUP(B532,base!$K$2:$K$8,1,0),""),"Serviços","Combos"))</f>
        <v>Serviços</v>
      </c>
      <c r="J532">
        <f t="shared" si="12"/>
        <v>15.75</v>
      </c>
    </row>
    <row r="533" spans="1:10">
      <c r="A533" t="s">
        <v>519</v>
      </c>
      <c r="B533" t="s">
        <v>306</v>
      </c>
      <c r="C533" t="s">
        <v>1147</v>
      </c>
      <c r="D533" s="14">
        <v>50</v>
      </c>
      <c r="E533" s="14">
        <v>50</v>
      </c>
      <c r="F533" s="13">
        <v>45717.583333333336</v>
      </c>
      <c r="G533" t="s">
        <v>882</v>
      </c>
      <c r="H533" t="s">
        <v>115</v>
      </c>
      <c r="I533" t="str">
        <f>IF(B533=IFERROR(VLOOKUP(B533,base!$L$1:$L$9,1,0),""),"Produtos",IF(B533=IFERROR(VLOOKUP(B533,base!$K$2:$K$8,1,0),""),"Serviços","Combos"))</f>
        <v>Combos</v>
      </c>
      <c r="J533">
        <f t="shared" si="12"/>
        <v>22.5</v>
      </c>
    </row>
    <row r="534" spans="1:10">
      <c r="A534" t="s">
        <v>252</v>
      </c>
      <c r="B534" t="s">
        <v>353</v>
      </c>
      <c r="C534" t="s">
        <v>1153</v>
      </c>
      <c r="D534" s="14">
        <v>55</v>
      </c>
      <c r="E534" s="14">
        <v>100</v>
      </c>
      <c r="F534" s="13">
        <v>45717.600694444445</v>
      </c>
      <c r="G534" t="s">
        <v>1</v>
      </c>
      <c r="H534" t="s">
        <v>1154</v>
      </c>
      <c r="I534" t="str">
        <f>IF(B534=IFERROR(VLOOKUP(B534,base!$L$1:$L$9,1,0),""),"Produtos",IF(B534=IFERROR(VLOOKUP(B534,base!$K$2:$K$8,1,0),""),"Serviços","Combos"))</f>
        <v>Combos</v>
      </c>
      <c r="J534">
        <f t="shared" si="12"/>
        <v>24.75</v>
      </c>
    </row>
    <row r="535" spans="1:10">
      <c r="A535" t="s">
        <v>252</v>
      </c>
      <c r="B535" t="s">
        <v>352</v>
      </c>
      <c r="C535" t="s">
        <v>1153</v>
      </c>
      <c r="D535" s="14">
        <v>10</v>
      </c>
      <c r="F535" s="13">
        <v>45717.600694444445</v>
      </c>
      <c r="G535" t="s">
        <v>1</v>
      </c>
      <c r="H535" t="s">
        <v>1154</v>
      </c>
      <c r="I535" t="str">
        <f>IF(B535=IFERROR(VLOOKUP(B535,base!$L$1:$L$9,1,0),""),"Produtos",IF(B535=IFERROR(VLOOKUP(B535,base!$K$2:$K$8,1,0),""),"Serviços","Combos"))</f>
        <v>Combos</v>
      </c>
      <c r="J535">
        <f t="shared" si="12"/>
        <v>4.5</v>
      </c>
    </row>
    <row r="536" spans="1:10">
      <c r="A536" t="s">
        <v>252</v>
      </c>
      <c r="B536" t="s">
        <v>513</v>
      </c>
      <c r="C536" t="s">
        <v>1153</v>
      </c>
      <c r="D536" s="14">
        <v>35</v>
      </c>
      <c r="F536" s="13">
        <v>45717.600694444445</v>
      </c>
      <c r="G536" t="s">
        <v>1</v>
      </c>
      <c r="H536" t="s">
        <v>1154</v>
      </c>
      <c r="I536" t="str">
        <f>IF(B536=IFERROR(VLOOKUP(B536,base!$L$1:$L$9,1,0),""),"Produtos",IF(B536=IFERROR(VLOOKUP(B536,base!$K$2:$K$8,1,0),""),"Serviços","Combos"))</f>
        <v>Produtos</v>
      </c>
      <c r="J536">
        <f t="shared" ref="J536:J599" si="13">IF(AND(I536="Serviços",E536&gt;0),ROUND(D536*45%,2),IF(I536="Produtos",ROUND(D536*40%,2),D536*45%))</f>
        <v>14</v>
      </c>
    </row>
    <row r="537" spans="1:10">
      <c r="A537" t="s">
        <v>519</v>
      </c>
      <c r="B537" t="s">
        <v>163</v>
      </c>
      <c r="C537" t="s">
        <v>1143</v>
      </c>
      <c r="D537" s="14">
        <v>35</v>
      </c>
      <c r="E537" s="14">
        <v>35</v>
      </c>
      <c r="F537" s="13">
        <v>45717.614583333336</v>
      </c>
      <c r="G537" t="s">
        <v>2</v>
      </c>
      <c r="H537" t="s">
        <v>127</v>
      </c>
      <c r="I537" t="str">
        <f>IF(B537=IFERROR(VLOOKUP(B537,base!$L$1:$L$9,1,0),""),"Produtos",IF(B537=IFERROR(VLOOKUP(B537,base!$K$2:$K$8,1,0),""),"Serviços","Combos"))</f>
        <v>Serviços</v>
      </c>
      <c r="J537">
        <f t="shared" si="13"/>
        <v>15.75</v>
      </c>
    </row>
    <row r="538" spans="1:10">
      <c r="A538" t="s">
        <v>519</v>
      </c>
      <c r="B538" t="s">
        <v>353</v>
      </c>
      <c r="C538" t="s">
        <v>1151</v>
      </c>
      <c r="D538" s="14">
        <v>60</v>
      </c>
      <c r="E538" s="14">
        <v>60</v>
      </c>
      <c r="F538" s="13">
        <v>45717.635416666664</v>
      </c>
      <c r="G538" t="s">
        <v>1</v>
      </c>
      <c r="H538" t="s">
        <v>1152</v>
      </c>
      <c r="I538" t="str">
        <f>IF(B538=IFERROR(VLOOKUP(B538,base!$L$1:$L$9,1,0),""),"Produtos",IF(B538=IFERROR(VLOOKUP(B538,base!$K$2:$K$8,1,0),""),"Serviços","Combos"))</f>
        <v>Combos</v>
      </c>
      <c r="J538">
        <f t="shared" si="13"/>
        <v>27</v>
      </c>
    </row>
    <row r="539" spans="1:10">
      <c r="A539" t="s">
        <v>252</v>
      </c>
      <c r="B539" t="s">
        <v>1046</v>
      </c>
      <c r="C539" t="s">
        <v>1155</v>
      </c>
      <c r="D539" s="14">
        <v>35</v>
      </c>
      <c r="E539" s="14">
        <v>40</v>
      </c>
      <c r="F539" s="13">
        <v>45717.635416666664</v>
      </c>
      <c r="G539" t="s">
        <v>310</v>
      </c>
      <c r="H539" t="s">
        <v>908</v>
      </c>
      <c r="I539" t="str">
        <f>IF(B539=IFERROR(VLOOKUP(B539,base!$L$1:$L$9,1,0),""),"Produtos",IF(B539=IFERROR(VLOOKUP(B539,base!$K$2:$K$8,1,0),""),"Serviços","Combos"))</f>
        <v>Combos</v>
      </c>
      <c r="J539">
        <f t="shared" si="13"/>
        <v>15.75</v>
      </c>
    </row>
    <row r="540" spans="1:10">
      <c r="A540" t="s">
        <v>519</v>
      </c>
      <c r="B540" t="s">
        <v>163</v>
      </c>
      <c r="C540" t="s">
        <v>1144</v>
      </c>
      <c r="D540" s="14">
        <v>35</v>
      </c>
      <c r="E540" s="14">
        <v>35</v>
      </c>
      <c r="F540" s="13">
        <v>45717.666666666664</v>
      </c>
      <c r="G540" t="s">
        <v>1</v>
      </c>
      <c r="H540" t="s">
        <v>39</v>
      </c>
      <c r="I540" t="str">
        <f>IF(B540=IFERROR(VLOOKUP(B540,base!$L$1:$L$9,1,0),""),"Produtos",IF(B540=IFERROR(VLOOKUP(B540,base!$K$2:$K$8,1,0),""),"Serviços","Combos"))</f>
        <v>Serviços</v>
      </c>
      <c r="J540">
        <f t="shared" si="13"/>
        <v>15.75</v>
      </c>
    </row>
    <row r="541" spans="1:10">
      <c r="A541" t="s">
        <v>252</v>
      </c>
      <c r="B541" t="s">
        <v>159</v>
      </c>
      <c r="C541" t="s">
        <v>1156</v>
      </c>
      <c r="D541" s="14">
        <v>45</v>
      </c>
      <c r="E541" s="14">
        <v>45</v>
      </c>
      <c r="F541" s="13">
        <v>45717.6875</v>
      </c>
      <c r="G541" t="s">
        <v>1</v>
      </c>
      <c r="H541" t="s">
        <v>487</v>
      </c>
      <c r="I541" t="str">
        <f>IF(B541=IFERROR(VLOOKUP(B541,base!$L$1:$L$9,1,0),""),"Produtos",IF(B541=IFERROR(VLOOKUP(B541,base!$K$2:$K$8,1,0),""),"Serviços","Combos"))</f>
        <v>Combos</v>
      </c>
      <c r="J541">
        <f t="shared" si="13"/>
        <v>20.25</v>
      </c>
    </row>
    <row r="542" spans="1:10">
      <c r="A542" t="s">
        <v>252</v>
      </c>
      <c r="B542" t="s">
        <v>1046</v>
      </c>
      <c r="C542" t="s">
        <v>1157</v>
      </c>
      <c r="D542" s="14">
        <v>35</v>
      </c>
      <c r="E542" s="14">
        <v>45</v>
      </c>
      <c r="F542" s="13">
        <v>45717.71875</v>
      </c>
      <c r="G542" t="s">
        <v>310</v>
      </c>
      <c r="H542" t="s">
        <v>294</v>
      </c>
      <c r="I542" t="str">
        <f>IF(B542=IFERROR(VLOOKUP(B542,base!$L$1:$L$9,1,0),""),"Produtos",IF(B542=IFERROR(VLOOKUP(B542,base!$K$2:$K$8,1,0),""),"Serviços","Combos"))</f>
        <v>Combos</v>
      </c>
      <c r="J542">
        <f t="shared" si="13"/>
        <v>15.75</v>
      </c>
    </row>
    <row r="543" spans="1:10">
      <c r="A543" t="s">
        <v>252</v>
      </c>
      <c r="B543" t="s">
        <v>353</v>
      </c>
      <c r="C543" t="s">
        <v>1160</v>
      </c>
      <c r="D543" s="14">
        <v>60</v>
      </c>
      <c r="E543" s="14">
        <v>55</v>
      </c>
      <c r="F543" s="13">
        <v>45717.739583333336</v>
      </c>
      <c r="G543" t="s">
        <v>310</v>
      </c>
      <c r="H543" t="s">
        <v>1161</v>
      </c>
      <c r="I543" t="str">
        <f>IF(B543=IFERROR(VLOOKUP(B543,base!$L$1:$L$9,1,0),""),"Produtos",IF(B543=IFERROR(VLOOKUP(B543,base!$K$2:$K$8,1,0),""),"Serviços","Combos"))</f>
        <v>Combos</v>
      </c>
      <c r="J543">
        <f t="shared" si="13"/>
        <v>27</v>
      </c>
    </row>
    <row r="544" spans="1:10">
      <c r="A544" t="s">
        <v>519</v>
      </c>
      <c r="B544" t="s">
        <v>353</v>
      </c>
      <c r="C544" t="s">
        <v>1158</v>
      </c>
      <c r="D544" s="14">
        <v>60</v>
      </c>
      <c r="E544" s="14">
        <v>60</v>
      </c>
      <c r="F544" s="13">
        <v>45717.743055555555</v>
      </c>
      <c r="G544" t="s">
        <v>1</v>
      </c>
      <c r="H544" t="s">
        <v>1159</v>
      </c>
      <c r="I544" t="str">
        <f>IF(B544=IFERROR(VLOOKUP(B544,base!$L$1:$L$9,1,0),""),"Produtos",IF(B544=IFERROR(VLOOKUP(B544,base!$K$2:$K$8,1,0),""),"Serviços","Combos"))</f>
        <v>Combos</v>
      </c>
      <c r="J544">
        <f t="shared" si="13"/>
        <v>27</v>
      </c>
    </row>
    <row r="545" spans="1:10">
      <c r="A545" t="s">
        <v>519</v>
      </c>
      <c r="B545" t="s">
        <v>163</v>
      </c>
      <c r="C545" t="s">
        <v>1162</v>
      </c>
      <c r="D545" s="14">
        <v>20</v>
      </c>
      <c r="E545" s="14">
        <v>35</v>
      </c>
      <c r="F545" s="13">
        <v>45717.760416666664</v>
      </c>
      <c r="G545" t="s">
        <v>1</v>
      </c>
      <c r="H545" t="s">
        <v>1163</v>
      </c>
      <c r="I545" t="str">
        <f>IF(B545=IFERROR(VLOOKUP(B545,base!$L$1:$L$9,1,0),""),"Produtos",IF(B545=IFERROR(VLOOKUP(B545,base!$K$2:$K$8,1,0),""),"Serviços","Combos"))</f>
        <v>Serviços</v>
      </c>
      <c r="J545">
        <f t="shared" si="13"/>
        <v>9</v>
      </c>
    </row>
    <row r="546" spans="1:10">
      <c r="A546" t="s">
        <v>519</v>
      </c>
      <c r="B546" t="s">
        <v>352</v>
      </c>
      <c r="C546" t="s">
        <v>1162</v>
      </c>
      <c r="D546" s="14">
        <v>15</v>
      </c>
      <c r="F546" s="13">
        <v>45717.760416666664</v>
      </c>
      <c r="G546" t="s">
        <v>1</v>
      </c>
      <c r="H546" t="s">
        <v>1163</v>
      </c>
      <c r="I546" t="str">
        <f>IF(B546=IFERROR(VLOOKUP(B546,base!$L$1:$L$9,1,0),""),"Produtos",IF(B546=IFERROR(VLOOKUP(B546,base!$K$2:$K$8,1,0),""),"Serviços","Combos"))</f>
        <v>Combos</v>
      </c>
      <c r="J546">
        <f t="shared" si="13"/>
        <v>6.75</v>
      </c>
    </row>
    <row r="547" spans="1:10">
      <c r="A547" t="s">
        <v>252</v>
      </c>
      <c r="B547" t="s">
        <v>163</v>
      </c>
      <c r="C547" t="s">
        <v>1164</v>
      </c>
      <c r="D547" s="14">
        <v>35</v>
      </c>
      <c r="E547" s="14">
        <v>35</v>
      </c>
      <c r="F547" s="13">
        <v>45717.770833333336</v>
      </c>
      <c r="G547" t="s">
        <v>1</v>
      </c>
      <c r="H547" t="s">
        <v>1165</v>
      </c>
      <c r="I547" t="str">
        <f>IF(B547=IFERROR(VLOOKUP(B547,base!$L$1:$L$9,1,0),""),"Produtos",IF(B547=IFERROR(VLOOKUP(B547,base!$K$2:$K$8,1,0),""),"Serviços","Combos"))</f>
        <v>Serviços</v>
      </c>
      <c r="J547">
        <f t="shared" si="13"/>
        <v>15.75</v>
      </c>
    </row>
    <row r="548" spans="1:10">
      <c r="A548" t="s">
        <v>519</v>
      </c>
      <c r="B548" t="s">
        <v>163</v>
      </c>
      <c r="C548" t="s">
        <v>1146</v>
      </c>
      <c r="D548" s="14">
        <v>35</v>
      </c>
      <c r="E548" s="14">
        <v>35</v>
      </c>
      <c r="F548" s="13">
        <v>45717.791666666664</v>
      </c>
      <c r="G548" t="s">
        <v>310</v>
      </c>
      <c r="H548" t="s">
        <v>37</v>
      </c>
      <c r="I548" t="str">
        <f>IF(B548=IFERROR(VLOOKUP(B548,base!$L$1:$L$9,1,0),""),"Produtos",IF(B548=IFERROR(VLOOKUP(B548,base!$K$2:$K$8,1,0),""),"Serviços","Combos"))</f>
        <v>Serviços</v>
      </c>
      <c r="J548">
        <f t="shared" si="13"/>
        <v>15.75</v>
      </c>
    </row>
    <row r="549" spans="1:10">
      <c r="A549" t="s">
        <v>252</v>
      </c>
      <c r="B549" t="s">
        <v>353</v>
      </c>
      <c r="C549" t="s">
        <v>1166</v>
      </c>
      <c r="D549" s="14">
        <v>60</v>
      </c>
      <c r="E549" s="14">
        <v>60</v>
      </c>
      <c r="F549" s="13">
        <v>45717.802083333336</v>
      </c>
      <c r="G549" t="s">
        <v>2</v>
      </c>
      <c r="H549" t="s">
        <v>1167</v>
      </c>
      <c r="I549" t="str">
        <f>IF(B549=IFERROR(VLOOKUP(B549,base!$L$1:$L$9,1,0),""),"Produtos",IF(B549=IFERROR(VLOOKUP(B549,base!$K$2:$K$8,1,0),""),"Serviços","Combos"))</f>
        <v>Combos</v>
      </c>
      <c r="J549">
        <f t="shared" si="13"/>
        <v>27</v>
      </c>
    </row>
    <row r="550" spans="1:10">
      <c r="A550" t="s">
        <v>519</v>
      </c>
      <c r="B550" t="s">
        <v>163</v>
      </c>
      <c r="C550" t="s">
        <v>1168</v>
      </c>
      <c r="D550" s="14">
        <v>35</v>
      </c>
      <c r="E550" s="14">
        <v>35</v>
      </c>
      <c r="F550" s="13">
        <v>45717.916666666664</v>
      </c>
      <c r="G550" t="s">
        <v>1</v>
      </c>
      <c r="H550" t="s">
        <v>491</v>
      </c>
      <c r="I550" t="str">
        <f>IF(B550=IFERROR(VLOOKUP(B550,base!$L$1:$L$9,1,0),""),"Produtos",IF(B550=IFERROR(VLOOKUP(B550,base!$K$2:$K$8,1,0),""),"Serviços","Combos"))</f>
        <v>Serviços</v>
      </c>
      <c r="J550">
        <f t="shared" si="13"/>
        <v>15.75</v>
      </c>
    </row>
    <row r="551" spans="1:10">
      <c r="A551" t="s">
        <v>519</v>
      </c>
      <c r="B551" t="s">
        <v>163</v>
      </c>
      <c r="C551" t="s">
        <v>1170</v>
      </c>
      <c r="D551" s="14">
        <v>35</v>
      </c>
      <c r="E551" s="14">
        <v>35</v>
      </c>
      <c r="F551" s="13">
        <v>45721.416666666664</v>
      </c>
      <c r="G551" t="s">
        <v>1</v>
      </c>
      <c r="H551" t="s">
        <v>1171</v>
      </c>
      <c r="I551" t="str">
        <f>IF(B551=IFERROR(VLOOKUP(B551,base!$L$1:$L$9,1,0),""),"Produtos",IF(B551=IFERROR(VLOOKUP(B551,base!$K$2:$K$8,1,0),""),"Serviços","Combos"))</f>
        <v>Serviços</v>
      </c>
      <c r="J551">
        <f t="shared" si="13"/>
        <v>15.75</v>
      </c>
    </row>
    <row r="552" spans="1:10">
      <c r="A552" t="s">
        <v>519</v>
      </c>
      <c r="B552" t="s">
        <v>163</v>
      </c>
      <c r="C552" t="s">
        <v>1172</v>
      </c>
      <c r="D552" s="14">
        <v>35</v>
      </c>
      <c r="E552" s="14">
        <v>35</v>
      </c>
      <c r="F552" s="13">
        <v>45721.4375</v>
      </c>
      <c r="G552" t="s">
        <v>1</v>
      </c>
      <c r="H552" t="s">
        <v>274</v>
      </c>
      <c r="I552" t="str">
        <f>IF(B552=IFERROR(VLOOKUP(B552,base!$L$1:$L$9,1,0),""),"Produtos",IF(B552=IFERROR(VLOOKUP(B552,base!$K$2:$K$8,1,0),""),"Serviços","Combos"))</f>
        <v>Serviços</v>
      </c>
      <c r="J552">
        <f t="shared" si="13"/>
        <v>15.75</v>
      </c>
    </row>
    <row r="553" spans="1:10">
      <c r="A553" t="s">
        <v>519</v>
      </c>
      <c r="B553" t="s">
        <v>163</v>
      </c>
      <c r="C553" t="s">
        <v>1173</v>
      </c>
      <c r="D553" s="14">
        <v>30</v>
      </c>
      <c r="E553" s="14">
        <v>0</v>
      </c>
      <c r="F553" s="13">
        <v>45721.458333333336</v>
      </c>
      <c r="G553" t="s">
        <v>1</v>
      </c>
      <c r="H553" t="s">
        <v>414</v>
      </c>
      <c r="I553" t="str">
        <f>IF(B553=IFERROR(VLOOKUP(B553,base!$L$1:$L$9,1,0),""),"Produtos",IF(B553=IFERROR(VLOOKUP(B553,base!$K$2:$K$8,1,0),""),"Serviços","Combos"))</f>
        <v>Serviços</v>
      </c>
      <c r="J553">
        <f t="shared" si="13"/>
        <v>13.5</v>
      </c>
    </row>
    <row r="554" spans="1:10">
      <c r="A554" t="s">
        <v>519</v>
      </c>
      <c r="B554" t="s">
        <v>163</v>
      </c>
      <c r="C554" t="s">
        <v>1174</v>
      </c>
      <c r="D554" s="14">
        <v>35</v>
      </c>
      <c r="E554" s="14">
        <v>35</v>
      </c>
      <c r="F554" s="13">
        <v>45721.635416666664</v>
      </c>
      <c r="G554" t="s">
        <v>310</v>
      </c>
      <c r="H554" t="s">
        <v>1175</v>
      </c>
      <c r="I554" t="str">
        <f>IF(B554=IFERROR(VLOOKUP(B554,base!$L$1:$L$9,1,0),""),"Produtos",IF(B554=IFERROR(VLOOKUP(B554,base!$K$2:$K$8,1,0),""),"Serviços","Combos"))</f>
        <v>Serviços</v>
      </c>
      <c r="J554">
        <f t="shared" si="13"/>
        <v>15.75</v>
      </c>
    </row>
    <row r="555" spans="1:10">
      <c r="A555" t="s">
        <v>519</v>
      </c>
      <c r="B555" t="s">
        <v>163</v>
      </c>
      <c r="C555" t="s">
        <v>1176</v>
      </c>
      <c r="D555" s="14">
        <v>35</v>
      </c>
      <c r="E555" s="14">
        <v>35</v>
      </c>
      <c r="F555" s="13">
        <v>45721.666666666664</v>
      </c>
      <c r="G555" t="s">
        <v>1</v>
      </c>
      <c r="H555" t="s">
        <v>1177</v>
      </c>
      <c r="I555" t="str">
        <f>IF(B555=IFERROR(VLOOKUP(B555,base!$L$1:$L$9,1,0),""),"Produtos",IF(B555=IFERROR(VLOOKUP(B555,base!$K$2:$K$8,1,0),""),"Serviços","Combos"))</f>
        <v>Serviços</v>
      </c>
      <c r="J555">
        <f t="shared" si="13"/>
        <v>15.75</v>
      </c>
    </row>
    <row r="556" spans="1:10">
      <c r="A556" t="s">
        <v>519</v>
      </c>
      <c r="B556" t="s">
        <v>163</v>
      </c>
      <c r="C556" t="s">
        <v>1178</v>
      </c>
      <c r="D556" s="14">
        <v>20</v>
      </c>
      <c r="E556" s="14">
        <v>20</v>
      </c>
      <c r="F556" s="13">
        <v>45721.6875</v>
      </c>
      <c r="G556" t="s">
        <v>1</v>
      </c>
      <c r="H556" t="s">
        <v>1179</v>
      </c>
      <c r="I556" t="str">
        <f>IF(B556=IFERROR(VLOOKUP(B556,base!$L$1:$L$9,1,0),""),"Produtos",IF(B556=IFERROR(VLOOKUP(B556,base!$K$2:$K$8,1,0),""),"Serviços","Combos"))</f>
        <v>Serviços</v>
      </c>
      <c r="J556">
        <f t="shared" si="13"/>
        <v>9</v>
      </c>
    </row>
    <row r="557" spans="1:10">
      <c r="A557" t="s">
        <v>252</v>
      </c>
      <c r="B557" t="s">
        <v>163</v>
      </c>
      <c r="C557" t="s">
        <v>1180</v>
      </c>
      <c r="D557" s="14">
        <v>35</v>
      </c>
      <c r="E557" s="14">
        <v>35</v>
      </c>
      <c r="F557" s="13">
        <v>45722.427083333336</v>
      </c>
      <c r="G557" t="s">
        <v>1</v>
      </c>
      <c r="H557" t="s">
        <v>364</v>
      </c>
      <c r="I557" t="str">
        <f>IF(B557=IFERROR(VLOOKUP(B557,base!$L$1:$L$9,1,0),""),"Produtos",IF(B557=IFERROR(VLOOKUP(B557,base!$K$2:$K$8,1,0),""),"Serviços","Combos"))</f>
        <v>Serviços</v>
      </c>
      <c r="J557">
        <f t="shared" si="13"/>
        <v>15.75</v>
      </c>
    </row>
    <row r="558" spans="1:10">
      <c r="A558" t="s">
        <v>536</v>
      </c>
      <c r="B558" t="s">
        <v>353</v>
      </c>
      <c r="C558" t="s">
        <v>1183</v>
      </c>
      <c r="D558" s="14">
        <v>50</v>
      </c>
      <c r="E558" s="14">
        <v>50</v>
      </c>
      <c r="F558" s="13">
        <v>45722.4375</v>
      </c>
      <c r="G558" t="s">
        <v>1</v>
      </c>
      <c r="H558" t="s">
        <v>1184</v>
      </c>
      <c r="I558" t="str">
        <f>IF(B558=IFERROR(VLOOKUP(B558,base!$L$1:$L$9,1,0),""),"Produtos",IF(B558=IFERROR(VLOOKUP(B558,base!$K$2:$K$8,1,0),""),"Serviços","Combos"))</f>
        <v>Combos</v>
      </c>
      <c r="J558">
        <f t="shared" si="13"/>
        <v>22.5</v>
      </c>
    </row>
    <row r="559" spans="1:10">
      <c r="A559" t="s">
        <v>519</v>
      </c>
      <c r="B559" t="s">
        <v>163</v>
      </c>
      <c r="C559" t="s">
        <v>1188</v>
      </c>
      <c r="D559" s="14">
        <v>35</v>
      </c>
      <c r="E559" s="14">
        <v>35</v>
      </c>
      <c r="F559" s="13">
        <v>45722.4375</v>
      </c>
      <c r="G559" t="s">
        <v>1</v>
      </c>
      <c r="H559" t="s">
        <v>95</v>
      </c>
      <c r="I559" t="str">
        <f>IF(B559=IFERROR(VLOOKUP(B559,base!$L$1:$L$9,1,0),""),"Produtos",IF(B559=IFERROR(VLOOKUP(B559,base!$K$2:$K$8,1,0),""),"Serviços","Combos"))</f>
        <v>Serviços</v>
      </c>
      <c r="J559">
        <f t="shared" si="13"/>
        <v>15.75</v>
      </c>
    </row>
    <row r="560" spans="1:10">
      <c r="A560" t="s">
        <v>252</v>
      </c>
      <c r="B560" t="s">
        <v>163</v>
      </c>
      <c r="C560" t="s">
        <v>1188</v>
      </c>
      <c r="D560" s="14">
        <v>30</v>
      </c>
      <c r="F560" s="13">
        <v>45722.4375</v>
      </c>
      <c r="G560" t="s">
        <v>1</v>
      </c>
      <c r="H560" t="s">
        <v>95</v>
      </c>
      <c r="I560" t="str">
        <f>IF(B560=IFERROR(VLOOKUP(B560,base!$L$1:$L$9,1,0),""),"Produtos",IF(B560=IFERROR(VLOOKUP(B560,base!$K$2:$K$8,1,0),""),"Serviços","Combos"))</f>
        <v>Serviços</v>
      </c>
      <c r="J560">
        <f t="shared" si="13"/>
        <v>13.5</v>
      </c>
    </row>
    <row r="561" spans="1:10">
      <c r="A561" t="s">
        <v>252</v>
      </c>
      <c r="B561" t="s">
        <v>353</v>
      </c>
      <c r="C561" t="s">
        <v>1182</v>
      </c>
      <c r="D561" s="14">
        <v>60</v>
      </c>
      <c r="E561" s="14">
        <v>60</v>
      </c>
      <c r="F561" s="13">
        <v>45722.458333333336</v>
      </c>
      <c r="G561" t="s">
        <v>1</v>
      </c>
      <c r="H561" t="s">
        <v>34</v>
      </c>
      <c r="I561" t="str">
        <f>IF(B561=IFERROR(VLOOKUP(B561,base!$L$1:$L$9,1,0),""),"Produtos",IF(B561=IFERROR(VLOOKUP(B561,base!$K$2:$K$8,1,0),""),"Serviços","Combos"))</f>
        <v>Combos</v>
      </c>
      <c r="J561">
        <f t="shared" si="13"/>
        <v>27</v>
      </c>
    </row>
    <row r="562" spans="1:10">
      <c r="A562" t="s">
        <v>536</v>
      </c>
      <c r="B562" t="s">
        <v>163</v>
      </c>
      <c r="C562" t="s">
        <v>1185</v>
      </c>
      <c r="D562" s="14">
        <v>35</v>
      </c>
      <c r="E562" s="14">
        <v>35</v>
      </c>
      <c r="F562" s="13">
        <v>45722.475694444445</v>
      </c>
      <c r="G562" t="s">
        <v>1</v>
      </c>
      <c r="H562" t="s">
        <v>470</v>
      </c>
      <c r="I562" t="str">
        <f>IF(B562=IFERROR(VLOOKUP(B562,base!$L$1:$L$9,1,0),""),"Produtos",IF(B562=IFERROR(VLOOKUP(B562,base!$K$2:$K$8,1,0),""),"Serviços","Combos"))</f>
        <v>Serviços</v>
      </c>
      <c r="J562">
        <f t="shared" si="13"/>
        <v>15.75</v>
      </c>
    </row>
    <row r="563" spans="1:10">
      <c r="A563" t="s">
        <v>519</v>
      </c>
      <c r="B563" t="s">
        <v>163</v>
      </c>
      <c r="C563" t="s">
        <v>1186</v>
      </c>
      <c r="D563" s="14">
        <v>35</v>
      </c>
      <c r="E563" s="14">
        <v>60</v>
      </c>
      <c r="F563" s="13">
        <v>45722.486111111109</v>
      </c>
      <c r="G563" t="s">
        <v>1</v>
      </c>
      <c r="H563" t="s">
        <v>45</v>
      </c>
      <c r="I563" t="str">
        <f>IF(B563=IFERROR(VLOOKUP(B563,base!$L$1:$L$9,1,0),""),"Produtos",IF(B563=IFERROR(VLOOKUP(B563,base!$K$2:$K$8,1,0),""),"Serviços","Combos"))</f>
        <v>Serviços</v>
      </c>
      <c r="J563">
        <f t="shared" si="13"/>
        <v>15.75</v>
      </c>
    </row>
    <row r="564" spans="1:10">
      <c r="A564" t="s">
        <v>519</v>
      </c>
      <c r="B564" t="s">
        <v>167</v>
      </c>
      <c r="C564" t="s">
        <v>1186</v>
      </c>
      <c r="D564" s="14">
        <v>10</v>
      </c>
      <c r="F564" s="13">
        <v>45722.486111111109</v>
      </c>
      <c r="G564" t="s">
        <v>1</v>
      </c>
      <c r="H564" t="s">
        <v>45</v>
      </c>
      <c r="I564" t="str">
        <f>IF(B564=IFERROR(VLOOKUP(B564,base!$L$1:$L$9,1,0),""),"Produtos",IF(B564=IFERROR(VLOOKUP(B564,base!$K$2:$K$8,1,0),""),"Serviços","Combos"))</f>
        <v>Serviços</v>
      </c>
      <c r="J564">
        <f t="shared" si="13"/>
        <v>4.5</v>
      </c>
    </row>
    <row r="565" spans="1:10">
      <c r="A565" t="s">
        <v>519</v>
      </c>
      <c r="B565" t="s">
        <v>1187</v>
      </c>
      <c r="C565" t="s">
        <v>1186</v>
      </c>
      <c r="D565" s="14">
        <v>15</v>
      </c>
      <c r="F565" s="13">
        <v>45722.486111111109</v>
      </c>
      <c r="G565" t="s">
        <v>1</v>
      </c>
      <c r="H565" t="s">
        <v>45</v>
      </c>
      <c r="I565" t="str">
        <f>IF(B565=IFERROR(VLOOKUP(B565,base!$L$1:$L$9,1,0),""),"Produtos",IF(B565=IFERROR(VLOOKUP(B565,base!$K$2:$K$8,1,0),""),"Serviços","Combos"))</f>
        <v>Combos</v>
      </c>
      <c r="J565">
        <f t="shared" si="13"/>
        <v>6.75</v>
      </c>
    </row>
    <row r="566" spans="1:10">
      <c r="A566" t="s">
        <v>519</v>
      </c>
      <c r="B566" t="s">
        <v>353</v>
      </c>
      <c r="C566" t="s">
        <v>1190</v>
      </c>
      <c r="D566" s="14">
        <v>60</v>
      </c>
      <c r="E566" s="14">
        <v>95</v>
      </c>
      <c r="F566" s="13">
        <v>45722.545138888891</v>
      </c>
      <c r="G566" t="s">
        <v>354</v>
      </c>
      <c r="H566" t="s">
        <v>1191</v>
      </c>
      <c r="I566" t="str">
        <f>IF(B566=IFERROR(VLOOKUP(B566,base!$L$1:$L$9,1,0),""),"Produtos",IF(B566=IFERROR(VLOOKUP(B566,base!$K$2:$K$8,1,0),""),"Serviços","Combos"))</f>
        <v>Combos</v>
      </c>
      <c r="J566">
        <f t="shared" si="13"/>
        <v>27</v>
      </c>
    </row>
    <row r="567" spans="1:10">
      <c r="A567" t="s">
        <v>252</v>
      </c>
      <c r="B567" t="s">
        <v>163</v>
      </c>
      <c r="C567" t="s">
        <v>1190</v>
      </c>
      <c r="D567" s="14">
        <v>35</v>
      </c>
      <c r="F567" s="13">
        <v>45722.545138888891</v>
      </c>
      <c r="G567" t="s">
        <v>354</v>
      </c>
      <c r="H567" t="s">
        <v>1191</v>
      </c>
      <c r="I567" t="str">
        <f>IF(B567=IFERROR(VLOOKUP(B567,base!$L$1:$L$9,1,0),""),"Produtos",IF(B567=IFERROR(VLOOKUP(B567,base!$K$2:$K$8,1,0),""),"Serviços","Combos"))</f>
        <v>Serviços</v>
      </c>
      <c r="J567">
        <f t="shared" si="13"/>
        <v>15.75</v>
      </c>
    </row>
    <row r="568" spans="1:10">
      <c r="A568" t="s">
        <v>536</v>
      </c>
      <c r="B568" t="s">
        <v>306</v>
      </c>
      <c r="C568" t="s">
        <v>1193</v>
      </c>
      <c r="D568" s="14">
        <v>55</v>
      </c>
      <c r="E568" s="14">
        <v>75</v>
      </c>
      <c r="F568" s="13">
        <v>45722.555555555555</v>
      </c>
      <c r="G568" t="s">
        <v>1</v>
      </c>
      <c r="H568" t="s">
        <v>418</v>
      </c>
      <c r="I568" t="str">
        <f>IF(B568=IFERROR(VLOOKUP(B568,base!$L$1:$L$9,1,0),""),"Produtos",IF(B568=IFERROR(VLOOKUP(B568,base!$K$2:$K$8,1,0),""),"Serviços","Combos"))</f>
        <v>Combos</v>
      </c>
      <c r="J568">
        <f t="shared" si="13"/>
        <v>24.75</v>
      </c>
    </row>
    <row r="569" spans="1:10">
      <c r="A569" t="s">
        <v>536</v>
      </c>
      <c r="B569" t="s">
        <v>1046</v>
      </c>
      <c r="C569" t="s">
        <v>1193</v>
      </c>
      <c r="D569" s="14">
        <v>20</v>
      </c>
      <c r="F569" s="13">
        <v>45722.555555555555</v>
      </c>
      <c r="G569" t="s">
        <v>1</v>
      </c>
      <c r="H569" t="s">
        <v>418</v>
      </c>
      <c r="I569" t="str">
        <f>IF(B569=IFERROR(VLOOKUP(B569,base!$L$1:$L$9,1,0),""),"Produtos",IF(B569=IFERROR(VLOOKUP(B569,base!$K$2:$K$8,1,0),""),"Serviços","Combos"))</f>
        <v>Combos</v>
      </c>
      <c r="J569">
        <f t="shared" si="13"/>
        <v>9</v>
      </c>
    </row>
    <row r="570" spans="1:10">
      <c r="A570" t="s">
        <v>519</v>
      </c>
      <c r="B570" t="s">
        <v>163</v>
      </c>
      <c r="C570" t="s">
        <v>1189</v>
      </c>
      <c r="D570" s="14">
        <v>35</v>
      </c>
      <c r="E570" s="14">
        <v>35</v>
      </c>
      <c r="F570" s="13">
        <v>45722.5625</v>
      </c>
      <c r="G570" t="s">
        <v>354</v>
      </c>
      <c r="H570" t="s">
        <v>107</v>
      </c>
      <c r="I570" t="str">
        <f>IF(B570=IFERROR(VLOOKUP(B570,base!$L$1:$L$9,1,0),""),"Produtos",IF(B570=IFERROR(VLOOKUP(B570,base!$K$2:$K$8,1,0),""),"Serviços","Combos"))</f>
        <v>Serviços</v>
      </c>
      <c r="J570">
        <f t="shared" si="13"/>
        <v>15.75</v>
      </c>
    </row>
    <row r="571" spans="1:10">
      <c r="A571" t="s">
        <v>519</v>
      </c>
      <c r="B571" t="s">
        <v>163</v>
      </c>
      <c r="C571" t="s">
        <v>1194</v>
      </c>
      <c r="D571" s="14">
        <v>35</v>
      </c>
      <c r="E571" s="14">
        <v>35</v>
      </c>
      <c r="F571" s="13">
        <v>45722.583333333336</v>
      </c>
      <c r="G571" t="s">
        <v>882</v>
      </c>
      <c r="H571" t="s">
        <v>278</v>
      </c>
      <c r="I571" t="str">
        <f>IF(B571=IFERROR(VLOOKUP(B571,base!$L$1:$L$9,1,0),""),"Produtos",IF(B571=IFERROR(VLOOKUP(B571,base!$K$2:$K$8,1,0),""),"Serviços","Combos"))</f>
        <v>Serviços</v>
      </c>
      <c r="J571">
        <f t="shared" si="13"/>
        <v>15.75</v>
      </c>
    </row>
    <row r="572" spans="1:10">
      <c r="A572" t="s">
        <v>536</v>
      </c>
      <c r="B572" t="s">
        <v>163</v>
      </c>
      <c r="C572" t="s">
        <v>1196</v>
      </c>
      <c r="D572" s="14">
        <v>35</v>
      </c>
      <c r="E572" s="14">
        <v>35</v>
      </c>
      <c r="F572" s="13">
        <v>45722.697916666664</v>
      </c>
      <c r="G572" t="s">
        <v>2</v>
      </c>
      <c r="H572" t="s">
        <v>504</v>
      </c>
      <c r="I572" t="str">
        <f>IF(B572=IFERROR(VLOOKUP(B572,base!$L$1:$L$9,1,0),""),"Produtos",IF(B572=IFERROR(VLOOKUP(B572,base!$K$2:$K$8,1,0),""),"Serviços","Combos"))</f>
        <v>Serviços</v>
      </c>
      <c r="J572">
        <f t="shared" si="13"/>
        <v>15.75</v>
      </c>
    </row>
    <row r="573" spans="1:10">
      <c r="A573" t="s">
        <v>519</v>
      </c>
      <c r="B573" t="s">
        <v>353</v>
      </c>
      <c r="C573" t="s">
        <v>1197</v>
      </c>
      <c r="D573" s="14">
        <v>60</v>
      </c>
      <c r="E573" s="14">
        <v>60</v>
      </c>
      <c r="F573" s="13">
        <v>45722.697916666664</v>
      </c>
      <c r="G573" t="s">
        <v>1</v>
      </c>
      <c r="H573" t="s">
        <v>1198</v>
      </c>
      <c r="I573" t="str">
        <f>IF(B573=IFERROR(VLOOKUP(B573,base!$L$1:$L$9,1,0),""),"Produtos",IF(B573=IFERROR(VLOOKUP(B573,base!$K$2:$K$8,1,0),""),"Serviços","Combos"))</f>
        <v>Combos</v>
      </c>
      <c r="J573">
        <f t="shared" si="13"/>
        <v>27</v>
      </c>
    </row>
    <row r="574" spans="1:10">
      <c r="A574" t="s">
        <v>252</v>
      </c>
      <c r="B574" t="s">
        <v>163</v>
      </c>
      <c r="C574" t="s">
        <v>1199</v>
      </c>
      <c r="D574" s="14">
        <v>35</v>
      </c>
      <c r="E574" s="14">
        <v>35</v>
      </c>
      <c r="F574" s="13">
        <v>45722.708333333336</v>
      </c>
      <c r="G574" t="s">
        <v>1</v>
      </c>
      <c r="H574" t="s">
        <v>360</v>
      </c>
      <c r="I574" t="str">
        <f>IF(B574=IFERROR(VLOOKUP(B574,base!$L$1:$L$9,1,0),""),"Produtos",IF(B574=IFERROR(VLOOKUP(B574,base!$K$2:$K$8,1,0),""),"Serviços","Combos"))</f>
        <v>Serviços</v>
      </c>
      <c r="J574">
        <f t="shared" si="13"/>
        <v>15.75</v>
      </c>
    </row>
    <row r="575" spans="1:10">
      <c r="A575" t="s">
        <v>536</v>
      </c>
      <c r="B575" t="s">
        <v>163</v>
      </c>
      <c r="C575" t="s">
        <v>1202</v>
      </c>
      <c r="D575" s="14">
        <v>35</v>
      </c>
      <c r="E575" s="14">
        <v>50</v>
      </c>
      <c r="F575" s="13">
        <v>45722.729166666664</v>
      </c>
      <c r="G575" t="s">
        <v>1</v>
      </c>
      <c r="H575" t="s">
        <v>496</v>
      </c>
      <c r="I575" t="str">
        <f>IF(B575=IFERROR(VLOOKUP(B575,base!$L$1:$L$9,1,0),""),"Produtos",IF(B575=IFERROR(VLOOKUP(B575,base!$K$2:$K$8,1,0),""),"Serviços","Combos"))</f>
        <v>Serviços</v>
      </c>
      <c r="J575">
        <f t="shared" si="13"/>
        <v>15.75</v>
      </c>
    </row>
    <row r="576" spans="1:10">
      <c r="A576" t="s">
        <v>536</v>
      </c>
      <c r="B576" t="s">
        <v>1187</v>
      </c>
      <c r="C576" t="s">
        <v>1202</v>
      </c>
      <c r="D576" s="14">
        <v>15</v>
      </c>
      <c r="F576" s="13">
        <v>45722.729166666664</v>
      </c>
      <c r="G576" t="s">
        <v>1</v>
      </c>
      <c r="H576" t="s">
        <v>496</v>
      </c>
      <c r="I576" t="str">
        <f>IF(B576=IFERROR(VLOOKUP(B576,base!$L$1:$L$9,1,0),""),"Produtos",IF(B576=IFERROR(VLOOKUP(B576,base!$K$2:$K$8,1,0),""),"Serviços","Combos"))</f>
        <v>Combos</v>
      </c>
      <c r="J576">
        <f t="shared" si="13"/>
        <v>6.75</v>
      </c>
    </row>
    <row r="577" spans="1:10">
      <c r="A577" t="s">
        <v>252</v>
      </c>
      <c r="B577" t="s">
        <v>163</v>
      </c>
      <c r="C577" t="s">
        <v>1200</v>
      </c>
      <c r="D577" s="14">
        <v>35</v>
      </c>
      <c r="E577" s="14">
        <v>45</v>
      </c>
      <c r="F577" s="13">
        <v>45722.739583333336</v>
      </c>
      <c r="G577" t="s">
        <v>310</v>
      </c>
      <c r="H577" t="s">
        <v>1201</v>
      </c>
      <c r="I577" t="str">
        <f>IF(B577=IFERROR(VLOOKUP(B577,base!$L$1:$L$9,1,0),""),"Produtos",IF(B577=IFERROR(VLOOKUP(B577,base!$K$2:$K$8,1,0),""),"Serviços","Combos"))</f>
        <v>Serviços</v>
      </c>
      <c r="J577">
        <f t="shared" si="13"/>
        <v>15.75</v>
      </c>
    </row>
    <row r="578" spans="1:10">
      <c r="A578" t="s">
        <v>252</v>
      </c>
      <c r="B578" t="s">
        <v>167</v>
      </c>
      <c r="C578" t="s">
        <v>1200</v>
      </c>
      <c r="D578" s="14">
        <v>10</v>
      </c>
      <c r="F578" s="13">
        <v>45722.739583333336</v>
      </c>
      <c r="G578" t="s">
        <v>310</v>
      </c>
      <c r="H578" t="s">
        <v>1201</v>
      </c>
      <c r="I578" t="str">
        <f>IF(B578=IFERROR(VLOOKUP(B578,base!$L$1:$L$9,1,0),""),"Produtos",IF(B578=IFERROR(VLOOKUP(B578,base!$K$2:$K$8,1,0),""),"Serviços","Combos"))</f>
        <v>Serviços</v>
      </c>
      <c r="J578">
        <f t="shared" si="13"/>
        <v>4.5</v>
      </c>
    </row>
    <row r="579" spans="1:10">
      <c r="A579" t="s">
        <v>519</v>
      </c>
      <c r="B579" t="s">
        <v>163</v>
      </c>
      <c r="C579" t="s">
        <v>1181</v>
      </c>
      <c r="D579" s="14">
        <v>35</v>
      </c>
      <c r="E579" s="14">
        <v>55</v>
      </c>
      <c r="F579" s="13">
        <v>45722.75</v>
      </c>
      <c r="G579" t="s">
        <v>2</v>
      </c>
      <c r="H579" t="s">
        <v>379</v>
      </c>
      <c r="I579" t="str">
        <f>IF(B579=IFERROR(VLOOKUP(B579,base!$L$1:$L$9,1,0),""),"Produtos",IF(B579=IFERROR(VLOOKUP(B579,base!$K$2:$K$8,1,0),""),"Serviços","Combos"))</f>
        <v>Serviços</v>
      </c>
      <c r="J579">
        <f t="shared" si="13"/>
        <v>15.75</v>
      </c>
    </row>
    <row r="580" spans="1:10">
      <c r="A580" t="s">
        <v>519</v>
      </c>
      <c r="B580" t="s">
        <v>166</v>
      </c>
      <c r="C580" t="s">
        <v>1181</v>
      </c>
      <c r="D580" s="14">
        <v>20</v>
      </c>
      <c r="F580" s="13">
        <v>45722.75</v>
      </c>
      <c r="G580" t="s">
        <v>2</v>
      </c>
      <c r="H580" t="s">
        <v>379</v>
      </c>
      <c r="I580" t="str">
        <f>IF(B580=IFERROR(VLOOKUP(B580,base!$L$1:$L$9,1,0),""),"Produtos",IF(B580=IFERROR(VLOOKUP(B580,base!$K$2:$K$8,1,0),""),"Serviços","Combos"))</f>
        <v>Serviços</v>
      </c>
      <c r="J580">
        <f t="shared" si="13"/>
        <v>9</v>
      </c>
    </row>
    <row r="581" spans="1:10">
      <c r="A581" t="s">
        <v>252</v>
      </c>
      <c r="B581" t="s">
        <v>163</v>
      </c>
      <c r="C581" t="s">
        <v>1192</v>
      </c>
      <c r="D581" s="14">
        <v>45</v>
      </c>
      <c r="E581" s="14">
        <v>45</v>
      </c>
      <c r="F581" s="13">
        <v>45722.770833333336</v>
      </c>
      <c r="G581" t="s">
        <v>1</v>
      </c>
      <c r="H581" t="s">
        <v>18</v>
      </c>
      <c r="I581" t="str">
        <f>IF(B581=IFERROR(VLOOKUP(B581,base!$L$1:$L$9,1,0),""),"Produtos",IF(B581=IFERROR(VLOOKUP(B581,base!$K$2:$K$8,1,0),""),"Serviços","Combos"))</f>
        <v>Serviços</v>
      </c>
      <c r="J581">
        <f t="shared" si="13"/>
        <v>20.25</v>
      </c>
    </row>
    <row r="582" spans="1:10">
      <c r="A582" t="s">
        <v>519</v>
      </c>
      <c r="B582" t="s">
        <v>163</v>
      </c>
      <c r="C582" t="s">
        <v>1203</v>
      </c>
      <c r="D582" s="14">
        <v>35</v>
      </c>
      <c r="E582" s="14">
        <v>35</v>
      </c>
      <c r="F582" s="13">
        <v>45722.791666666664</v>
      </c>
      <c r="G582" t="s">
        <v>1</v>
      </c>
      <c r="H582" t="s">
        <v>500</v>
      </c>
      <c r="I582" t="str">
        <f>IF(B582=IFERROR(VLOOKUP(B582,base!$L$1:$L$9,1,0),""),"Produtos",IF(B582=IFERROR(VLOOKUP(B582,base!$K$2:$K$8,1,0),""),"Serviços","Combos"))</f>
        <v>Serviços</v>
      </c>
      <c r="J582">
        <f t="shared" si="13"/>
        <v>15.75</v>
      </c>
    </row>
    <row r="583" spans="1:10">
      <c r="A583" t="s">
        <v>252</v>
      </c>
      <c r="B583" t="s">
        <v>163</v>
      </c>
      <c r="C583" t="s">
        <v>1235</v>
      </c>
      <c r="D583" s="14">
        <v>35</v>
      </c>
      <c r="E583" s="14">
        <v>60</v>
      </c>
      <c r="F583" s="13">
        <v>45722.791666666664</v>
      </c>
      <c r="G583" t="s">
        <v>2</v>
      </c>
      <c r="H583" t="s">
        <v>1236</v>
      </c>
      <c r="I583" t="str">
        <f>IF(B583=IFERROR(VLOOKUP(B583,base!$L$1:$L$9,1,0),""),"Produtos",IF(B583=IFERROR(VLOOKUP(B583,base!$K$2:$K$8,1,0),""),"Serviços","Combos"))</f>
        <v>Serviços</v>
      </c>
      <c r="J583">
        <f t="shared" si="13"/>
        <v>15.75</v>
      </c>
    </row>
    <row r="584" spans="1:10">
      <c r="A584" t="s">
        <v>252</v>
      </c>
      <c r="B584" t="s">
        <v>166</v>
      </c>
      <c r="C584" t="s">
        <v>1235</v>
      </c>
      <c r="D584" s="14">
        <v>20</v>
      </c>
      <c r="F584" s="13">
        <v>45722.791666666664</v>
      </c>
      <c r="G584" t="s">
        <v>2</v>
      </c>
      <c r="H584" t="s">
        <v>1236</v>
      </c>
      <c r="I584" t="str">
        <f>IF(B584=IFERROR(VLOOKUP(B584,base!$L$1:$L$9,1,0),""),"Produtos",IF(B584=IFERROR(VLOOKUP(B584,base!$K$2:$K$8,1,0),""),"Serviços","Combos"))</f>
        <v>Serviços</v>
      </c>
      <c r="J584">
        <f t="shared" si="13"/>
        <v>9</v>
      </c>
    </row>
    <row r="585" spans="1:10">
      <c r="A585" t="s">
        <v>252</v>
      </c>
      <c r="B585" t="s">
        <v>163</v>
      </c>
      <c r="C585" t="s">
        <v>1204</v>
      </c>
      <c r="D585" s="14">
        <v>35</v>
      </c>
      <c r="E585" s="14">
        <v>35</v>
      </c>
      <c r="F585" s="13">
        <v>45723.416666666664</v>
      </c>
      <c r="G585" t="s">
        <v>1</v>
      </c>
      <c r="H585" t="s">
        <v>68</v>
      </c>
      <c r="I585" t="str">
        <f>IF(B585=IFERROR(VLOOKUP(B585,base!$L$1:$L$9,1,0),""),"Produtos",IF(B585=IFERROR(VLOOKUP(B585,base!$K$2:$K$8,1,0),""),"Serviços","Combos"))</f>
        <v>Serviços</v>
      </c>
      <c r="J585">
        <f t="shared" si="13"/>
        <v>15.75</v>
      </c>
    </row>
    <row r="586" spans="1:10">
      <c r="A586" t="s">
        <v>519</v>
      </c>
      <c r="B586" t="s">
        <v>163</v>
      </c>
      <c r="C586" t="s">
        <v>1208</v>
      </c>
      <c r="D586" s="14">
        <v>35</v>
      </c>
      <c r="E586" s="14">
        <v>35</v>
      </c>
      <c r="F586" s="13">
        <v>45723.416666666664</v>
      </c>
      <c r="G586" t="s">
        <v>1</v>
      </c>
      <c r="H586" t="s">
        <v>1209</v>
      </c>
      <c r="I586" t="str">
        <f>IF(B586=IFERROR(VLOOKUP(B586,base!$L$1:$L$9,1,0),""),"Produtos",IF(B586=IFERROR(VLOOKUP(B586,base!$K$2:$K$8,1,0),""),"Serviços","Combos"))</f>
        <v>Serviços</v>
      </c>
      <c r="J586">
        <f t="shared" si="13"/>
        <v>15.75</v>
      </c>
    </row>
    <row r="587" spans="1:10">
      <c r="A587" t="s">
        <v>536</v>
      </c>
      <c r="B587" t="s">
        <v>163</v>
      </c>
      <c r="C587" t="s">
        <v>1210</v>
      </c>
      <c r="D587" s="14">
        <v>35</v>
      </c>
      <c r="E587" s="14">
        <v>35</v>
      </c>
      <c r="F587" s="13">
        <v>45723.427083333336</v>
      </c>
      <c r="G587" t="s">
        <v>1</v>
      </c>
      <c r="H587" t="s">
        <v>470</v>
      </c>
      <c r="I587" t="str">
        <f>IF(B587=IFERROR(VLOOKUP(B587,base!$L$1:$L$9,1,0),""),"Produtos",IF(B587=IFERROR(VLOOKUP(B587,base!$K$2:$K$8,1,0),""),"Serviços","Combos"))</f>
        <v>Serviços</v>
      </c>
      <c r="J587">
        <f t="shared" si="13"/>
        <v>15.75</v>
      </c>
    </row>
    <row r="588" spans="1:10">
      <c r="A588" t="s">
        <v>519</v>
      </c>
      <c r="B588" t="s">
        <v>163</v>
      </c>
      <c r="C588" t="s">
        <v>1212</v>
      </c>
      <c r="D588" s="14">
        <v>35</v>
      </c>
      <c r="E588" s="14">
        <v>35</v>
      </c>
      <c r="F588" s="13">
        <v>45723.4375</v>
      </c>
      <c r="G588" t="s">
        <v>1</v>
      </c>
      <c r="H588" t="s">
        <v>469</v>
      </c>
      <c r="I588" t="str">
        <f>IF(B588=IFERROR(VLOOKUP(B588,base!$L$1:$L$9,1,0),""),"Produtos",IF(B588=IFERROR(VLOOKUP(B588,base!$K$2:$K$8,1,0),""),"Serviços","Combos"))</f>
        <v>Serviços</v>
      </c>
      <c r="J588">
        <f t="shared" si="13"/>
        <v>15.75</v>
      </c>
    </row>
    <row r="589" spans="1:10">
      <c r="A589" t="s">
        <v>536</v>
      </c>
      <c r="B589" t="s">
        <v>1046</v>
      </c>
      <c r="C589" t="s">
        <v>1211</v>
      </c>
      <c r="D589" s="14">
        <v>35</v>
      </c>
      <c r="E589" s="14">
        <v>35</v>
      </c>
      <c r="F589" s="13">
        <v>45723.447916666664</v>
      </c>
      <c r="G589" t="s">
        <v>2</v>
      </c>
      <c r="H589" t="s">
        <v>54</v>
      </c>
      <c r="I589" t="str">
        <f>IF(B589=IFERROR(VLOOKUP(B589,base!$L$1:$L$9,1,0),""),"Produtos",IF(B589=IFERROR(VLOOKUP(B589,base!$K$2:$K$8,1,0),""),"Serviços","Combos"))</f>
        <v>Combos</v>
      </c>
      <c r="J589">
        <f t="shared" si="13"/>
        <v>15.75</v>
      </c>
    </row>
    <row r="590" spans="1:10">
      <c r="A590" t="s">
        <v>252</v>
      </c>
      <c r="B590" t="s">
        <v>163</v>
      </c>
      <c r="C590" t="s">
        <v>1207</v>
      </c>
      <c r="D590" s="14">
        <v>35</v>
      </c>
      <c r="E590" s="14">
        <v>35</v>
      </c>
      <c r="F590" s="13">
        <v>45723.458333333336</v>
      </c>
      <c r="G590" t="s">
        <v>1</v>
      </c>
      <c r="H590" t="s">
        <v>122</v>
      </c>
      <c r="I590" t="str">
        <f>IF(B590=IFERROR(VLOOKUP(B590,base!$L$1:$L$9,1,0),""),"Produtos",IF(B590=IFERROR(VLOOKUP(B590,base!$K$2:$K$8,1,0),""),"Serviços","Combos"))</f>
        <v>Serviços</v>
      </c>
      <c r="J590">
        <f t="shared" si="13"/>
        <v>15.75</v>
      </c>
    </row>
    <row r="591" spans="1:10">
      <c r="A591" t="s">
        <v>519</v>
      </c>
      <c r="B591" t="s">
        <v>163</v>
      </c>
      <c r="C591" t="s">
        <v>1213</v>
      </c>
      <c r="D591" s="14">
        <v>35</v>
      </c>
      <c r="E591" s="14">
        <v>35</v>
      </c>
      <c r="F591" s="13">
        <v>45723.479166666664</v>
      </c>
      <c r="G591" t="s">
        <v>1</v>
      </c>
      <c r="H591" t="s">
        <v>1214</v>
      </c>
      <c r="I591" t="str">
        <f>IF(B591=IFERROR(VLOOKUP(B591,base!$L$1:$L$9,1,0),""),"Produtos",IF(B591=IFERROR(VLOOKUP(B591,base!$K$2:$K$8,1,0),""),"Serviços","Combos"))</f>
        <v>Serviços</v>
      </c>
      <c r="J591">
        <f t="shared" si="13"/>
        <v>15.75</v>
      </c>
    </row>
    <row r="592" spans="1:10">
      <c r="A592" t="s">
        <v>536</v>
      </c>
      <c r="B592" t="s">
        <v>1046</v>
      </c>
      <c r="C592" t="s">
        <v>1217</v>
      </c>
      <c r="D592" s="14">
        <v>35</v>
      </c>
      <c r="E592" s="14">
        <v>35</v>
      </c>
      <c r="F592" s="13">
        <v>45723.5</v>
      </c>
      <c r="G592" t="s">
        <v>2</v>
      </c>
      <c r="H592" t="s">
        <v>498</v>
      </c>
      <c r="I592" t="str">
        <f>IF(B592=IFERROR(VLOOKUP(B592,base!$L$1:$L$9,1,0),""),"Produtos",IF(B592=IFERROR(VLOOKUP(B592,base!$K$2:$K$8,1,0),""),"Serviços","Combos"))</f>
        <v>Combos</v>
      </c>
      <c r="J592">
        <f t="shared" si="13"/>
        <v>15.75</v>
      </c>
    </row>
    <row r="593" spans="1:10">
      <c r="A593" t="s">
        <v>519</v>
      </c>
      <c r="B593" t="s">
        <v>163</v>
      </c>
      <c r="C593" t="s">
        <v>1215</v>
      </c>
      <c r="D593" s="14">
        <v>35</v>
      </c>
      <c r="E593" s="14">
        <v>35</v>
      </c>
      <c r="F593" s="13">
        <v>45723.510416666664</v>
      </c>
      <c r="G593" t="s">
        <v>354</v>
      </c>
      <c r="H593" t="s">
        <v>1216</v>
      </c>
      <c r="I593" t="str">
        <f>IF(B593=IFERROR(VLOOKUP(B593,base!$L$1:$L$9,1,0),""),"Produtos",IF(B593=IFERROR(VLOOKUP(B593,base!$K$2:$K$8,1,0),""),"Serviços","Combos"))</f>
        <v>Serviços</v>
      </c>
      <c r="J593">
        <f t="shared" si="13"/>
        <v>15.75</v>
      </c>
    </row>
    <row r="594" spans="1:10">
      <c r="A594" t="s">
        <v>252</v>
      </c>
      <c r="B594" t="s">
        <v>163</v>
      </c>
      <c r="C594" t="s">
        <v>1218</v>
      </c>
      <c r="D594" s="14">
        <v>35</v>
      </c>
      <c r="E594" s="14">
        <v>35</v>
      </c>
      <c r="F594" s="13">
        <v>45723.510416666664</v>
      </c>
      <c r="G594" t="s">
        <v>2</v>
      </c>
      <c r="H594" t="s">
        <v>207</v>
      </c>
      <c r="I594" t="str">
        <f>IF(B594=IFERROR(VLOOKUP(B594,base!$L$1:$L$9,1,0),""),"Produtos",IF(B594=IFERROR(VLOOKUP(B594,base!$K$2:$K$8,1,0),""),"Serviços","Combos"))</f>
        <v>Serviços</v>
      </c>
      <c r="J594">
        <f t="shared" si="13"/>
        <v>15.75</v>
      </c>
    </row>
    <row r="595" spans="1:10">
      <c r="A595" t="s">
        <v>519</v>
      </c>
      <c r="B595" t="s">
        <v>163</v>
      </c>
      <c r="C595" t="s">
        <v>1169</v>
      </c>
      <c r="D595" s="14">
        <v>35</v>
      </c>
      <c r="E595" s="14">
        <v>50</v>
      </c>
      <c r="F595" s="13">
        <v>45723.604166666664</v>
      </c>
      <c r="G595" t="s">
        <v>1</v>
      </c>
      <c r="H595" t="s">
        <v>486</v>
      </c>
      <c r="I595" t="str">
        <f>IF(B595=IFERROR(VLOOKUP(B595,base!$L$1:$L$9,1,0),""),"Produtos",IF(B595=IFERROR(VLOOKUP(B595,base!$K$2:$K$8,1,0),""),"Serviços","Combos"))</f>
        <v>Serviços</v>
      </c>
      <c r="J595">
        <f t="shared" si="13"/>
        <v>15.75</v>
      </c>
    </row>
    <row r="596" spans="1:10">
      <c r="A596" t="s">
        <v>519</v>
      </c>
      <c r="B596" t="s">
        <v>1046</v>
      </c>
      <c r="C596" t="s">
        <v>1169</v>
      </c>
      <c r="D596" s="14">
        <v>15</v>
      </c>
      <c r="F596" s="13">
        <v>45723.604166666664</v>
      </c>
      <c r="G596" t="s">
        <v>1</v>
      </c>
      <c r="H596" t="s">
        <v>486</v>
      </c>
      <c r="I596" t="str">
        <f>IF(B596=IFERROR(VLOOKUP(B596,base!$L$1:$L$9,1,0),""),"Produtos",IF(B596=IFERROR(VLOOKUP(B596,base!$K$2:$K$8,1,0),""),"Serviços","Combos"))</f>
        <v>Combos</v>
      </c>
      <c r="J596">
        <f t="shared" si="13"/>
        <v>6.75</v>
      </c>
    </row>
    <row r="597" spans="1:10">
      <c r="A597" t="s">
        <v>519</v>
      </c>
      <c r="B597" t="s">
        <v>167</v>
      </c>
      <c r="C597" t="s">
        <v>1205</v>
      </c>
      <c r="D597" s="14">
        <v>15</v>
      </c>
      <c r="E597" s="14">
        <v>15</v>
      </c>
      <c r="F597" s="13">
        <v>45723.645833333336</v>
      </c>
      <c r="G597" t="s">
        <v>2</v>
      </c>
      <c r="H597" t="s">
        <v>14</v>
      </c>
      <c r="I597" t="str">
        <f>IF(B597=IFERROR(VLOOKUP(B597,base!$L$1:$L$9,1,0),""),"Produtos",IF(B597=IFERROR(VLOOKUP(B597,base!$K$2:$K$8,1,0),""),"Serviços","Combos"))</f>
        <v>Serviços</v>
      </c>
      <c r="J597">
        <f t="shared" si="13"/>
        <v>6.75</v>
      </c>
    </row>
    <row r="598" spans="1:10">
      <c r="A598" t="s">
        <v>252</v>
      </c>
      <c r="B598" t="s">
        <v>163</v>
      </c>
      <c r="C598" t="s">
        <v>1221</v>
      </c>
      <c r="D598" s="14">
        <v>35</v>
      </c>
      <c r="E598" s="14">
        <v>35</v>
      </c>
      <c r="F598" s="13">
        <v>45723.645833333336</v>
      </c>
      <c r="G598" t="s">
        <v>1</v>
      </c>
      <c r="H598" t="s">
        <v>63</v>
      </c>
      <c r="I598" t="str">
        <f>IF(B598=IFERROR(VLOOKUP(B598,base!$L$1:$L$9,1,0),""),"Produtos",IF(B598=IFERROR(VLOOKUP(B598,base!$K$2:$K$8,1,0),""),"Serviços","Combos"))</f>
        <v>Serviços</v>
      </c>
      <c r="J598">
        <f t="shared" si="13"/>
        <v>15.75</v>
      </c>
    </row>
    <row r="599" spans="1:10">
      <c r="A599" t="s">
        <v>519</v>
      </c>
      <c r="B599" t="s">
        <v>163</v>
      </c>
      <c r="C599" t="s">
        <v>1195</v>
      </c>
      <c r="D599" s="14">
        <v>35</v>
      </c>
      <c r="E599" s="14">
        <v>35</v>
      </c>
      <c r="F599" s="13">
        <v>45723.666666666664</v>
      </c>
      <c r="G599" t="s">
        <v>1</v>
      </c>
      <c r="H599" t="s">
        <v>66</v>
      </c>
      <c r="I599" t="str">
        <f>IF(B599=IFERROR(VLOOKUP(B599,base!$L$1:$L$9,1,0),""),"Produtos",IF(B599=IFERROR(VLOOKUP(B599,base!$K$2:$K$8,1,0),""),"Serviços","Combos"))</f>
        <v>Serviços</v>
      </c>
      <c r="J599">
        <f t="shared" si="13"/>
        <v>15.75</v>
      </c>
    </row>
    <row r="600" spans="1:10">
      <c r="A600" t="s">
        <v>252</v>
      </c>
      <c r="B600" t="s">
        <v>163</v>
      </c>
      <c r="C600" t="s">
        <v>1222</v>
      </c>
      <c r="D600" s="14">
        <v>35</v>
      </c>
      <c r="E600" s="14">
        <v>35</v>
      </c>
      <c r="F600" s="13">
        <v>45723.6875</v>
      </c>
      <c r="G600" t="s">
        <v>1</v>
      </c>
      <c r="H600" t="s">
        <v>1223</v>
      </c>
      <c r="I600" t="str">
        <f>IF(B600=IFERROR(VLOOKUP(B600,base!$L$1:$L$9,1,0),""),"Produtos",IF(B600=IFERROR(VLOOKUP(B600,base!$K$2:$K$8,1,0),""),"Serviços","Combos"))</f>
        <v>Serviços</v>
      </c>
      <c r="J600">
        <f t="shared" ref="J600:J616" si="14">IF(AND(I600="Serviços",E600&gt;0),ROUND(D600*45%,2),IF(I600="Produtos",ROUND(D600*40%,2),D600*45%))</f>
        <v>15.75</v>
      </c>
    </row>
    <row r="601" spans="1:10">
      <c r="A601" t="s">
        <v>536</v>
      </c>
      <c r="B601" t="s">
        <v>163</v>
      </c>
      <c r="C601" t="s">
        <v>1225</v>
      </c>
      <c r="D601" s="14">
        <v>35</v>
      </c>
      <c r="E601" s="14">
        <v>40</v>
      </c>
      <c r="F601" s="13">
        <v>45723.697916666664</v>
      </c>
      <c r="G601" t="s">
        <v>1</v>
      </c>
      <c r="H601" t="s">
        <v>1226</v>
      </c>
      <c r="I601" t="str">
        <f>IF(B601=IFERROR(VLOOKUP(B601,base!$L$1:$L$9,1,0),""),"Produtos",IF(B601=IFERROR(VLOOKUP(B601,base!$K$2:$K$8,1,0),""),"Serviços","Combos"))</f>
        <v>Serviços</v>
      </c>
      <c r="J601">
        <f t="shared" si="14"/>
        <v>15.75</v>
      </c>
    </row>
    <row r="602" spans="1:10">
      <c r="A602" t="s">
        <v>536</v>
      </c>
      <c r="B602" t="s">
        <v>167</v>
      </c>
      <c r="C602" t="s">
        <v>1225</v>
      </c>
      <c r="D602" s="14">
        <v>5</v>
      </c>
      <c r="F602" s="13">
        <v>45723.697916666664</v>
      </c>
      <c r="G602" t="s">
        <v>1</v>
      </c>
      <c r="H602" t="s">
        <v>1226</v>
      </c>
      <c r="I602" t="str">
        <f>IF(B602=IFERROR(VLOOKUP(B602,base!$L$1:$L$9,1,0),""),"Produtos",IF(B602=IFERROR(VLOOKUP(B602,base!$K$2:$K$8,1,0),""),"Serviços","Combos"))</f>
        <v>Serviços</v>
      </c>
      <c r="J602">
        <f t="shared" si="14"/>
        <v>2.25</v>
      </c>
    </row>
    <row r="603" spans="1:10">
      <c r="A603" t="s">
        <v>252</v>
      </c>
      <c r="B603" t="s">
        <v>163</v>
      </c>
      <c r="C603" t="s">
        <v>1227</v>
      </c>
      <c r="D603" s="14">
        <v>35</v>
      </c>
      <c r="E603" s="14">
        <v>35</v>
      </c>
      <c r="F603" s="13">
        <v>45723.708333333336</v>
      </c>
      <c r="G603" t="s">
        <v>2</v>
      </c>
      <c r="H603" t="s">
        <v>280</v>
      </c>
      <c r="I603" t="str">
        <f>IF(B603=IFERROR(VLOOKUP(B603,base!$L$1:$L$9,1,0),""),"Produtos",IF(B603=IFERROR(VLOOKUP(B603,base!$K$2:$K$8,1,0),""),"Serviços","Combos"))</f>
        <v>Serviços</v>
      </c>
      <c r="J603">
        <f t="shared" si="14"/>
        <v>15.75</v>
      </c>
    </row>
    <row r="604" spans="1:10">
      <c r="A604" t="s">
        <v>536</v>
      </c>
      <c r="B604" t="s">
        <v>1046</v>
      </c>
      <c r="C604" t="s">
        <v>1230</v>
      </c>
      <c r="D604" s="14">
        <v>35</v>
      </c>
      <c r="E604" s="14">
        <v>105</v>
      </c>
      <c r="F604" s="13">
        <v>45723.729166666664</v>
      </c>
      <c r="G604" t="s">
        <v>310</v>
      </c>
      <c r="H604" t="s">
        <v>300</v>
      </c>
      <c r="I604" t="str">
        <f>IF(B604=IFERROR(VLOOKUP(B604,base!$L$1:$L$9,1,0),""),"Produtos",IF(B604=IFERROR(VLOOKUP(B604,base!$K$2:$K$8,1,0),""),"Serviços","Combos"))</f>
        <v>Combos</v>
      </c>
      <c r="J604">
        <f t="shared" si="14"/>
        <v>15.75</v>
      </c>
    </row>
    <row r="605" spans="1:10">
      <c r="A605" t="s">
        <v>536</v>
      </c>
      <c r="B605" t="s">
        <v>513</v>
      </c>
      <c r="C605" t="s">
        <v>1230</v>
      </c>
      <c r="D605" s="14">
        <v>70</v>
      </c>
      <c r="F605" s="13">
        <v>45723.729166666664</v>
      </c>
      <c r="G605" t="s">
        <v>310</v>
      </c>
      <c r="H605" t="s">
        <v>300</v>
      </c>
      <c r="I605" t="str">
        <f>IF(B605=IFERROR(VLOOKUP(B605,base!$L$1:$L$9,1,0),""),"Produtos",IF(B605=IFERROR(VLOOKUP(B605,base!$K$2:$K$8,1,0),""),"Serviços","Combos"))</f>
        <v>Produtos</v>
      </c>
      <c r="J605">
        <f t="shared" si="14"/>
        <v>28</v>
      </c>
    </row>
    <row r="606" spans="1:10">
      <c r="A606" t="s">
        <v>519</v>
      </c>
      <c r="B606" t="s">
        <v>163</v>
      </c>
      <c r="C606" t="s">
        <v>1228</v>
      </c>
      <c r="D606" s="14">
        <v>35</v>
      </c>
      <c r="E606" s="14">
        <v>35</v>
      </c>
      <c r="F606" s="13">
        <v>45723.743055555555</v>
      </c>
      <c r="G606" t="s">
        <v>310</v>
      </c>
      <c r="H606" t="s">
        <v>1229</v>
      </c>
      <c r="I606" t="str">
        <f>IF(B606=IFERROR(VLOOKUP(B606,base!$L$1:$L$9,1,0),""),"Produtos",IF(B606=IFERROR(VLOOKUP(B606,base!$K$2:$K$8,1,0),""),"Serviços","Combos"))</f>
        <v>Serviços</v>
      </c>
      <c r="J606">
        <f t="shared" si="14"/>
        <v>15.75</v>
      </c>
    </row>
    <row r="607" spans="1:10">
      <c r="A607" t="s">
        <v>252</v>
      </c>
      <c r="B607" t="s">
        <v>163</v>
      </c>
      <c r="C607" t="s">
        <v>1224</v>
      </c>
      <c r="D607" s="14">
        <v>35</v>
      </c>
      <c r="E607" s="14">
        <v>35</v>
      </c>
      <c r="F607" s="13">
        <v>45723.75</v>
      </c>
      <c r="G607" t="s">
        <v>310</v>
      </c>
      <c r="H607" t="s">
        <v>73</v>
      </c>
      <c r="I607" t="str">
        <f>IF(B607=IFERROR(VLOOKUP(B607,base!$L$1:$L$9,1,0),""),"Produtos",IF(B607=IFERROR(VLOOKUP(B607,base!$K$2:$K$8,1,0),""),"Serviços","Combos"))</f>
        <v>Serviços</v>
      </c>
      <c r="J607">
        <f t="shared" si="14"/>
        <v>15.75</v>
      </c>
    </row>
    <row r="608" spans="1:10">
      <c r="A608" t="s">
        <v>519</v>
      </c>
      <c r="B608" t="s">
        <v>163</v>
      </c>
      <c r="C608" t="s">
        <v>1219</v>
      </c>
      <c r="D608" s="14">
        <v>35</v>
      </c>
      <c r="E608" s="14">
        <v>45</v>
      </c>
      <c r="F608" s="13">
        <v>45723.770833333336</v>
      </c>
      <c r="G608" t="s">
        <v>2</v>
      </c>
      <c r="H608" t="s">
        <v>1220</v>
      </c>
      <c r="I608" t="str">
        <f>IF(B608=IFERROR(VLOOKUP(B608,base!$L$1:$L$9,1,0),""),"Produtos",IF(B608=IFERROR(VLOOKUP(B608,base!$K$2:$K$8,1,0),""),"Serviços","Combos"))</f>
        <v>Serviços</v>
      </c>
      <c r="J608">
        <f t="shared" si="14"/>
        <v>15.75</v>
      </c>
    </row>
    <row r="609" spans="1:16">
      <c r="A609" t="s">
        <v>519</v>
      </c>
      <c r="B609" t="s">
        <v>167</v>
      </c>
      <c r="C609" t="s">
        <v>1219</v>
      </c>
      <c r="D609" s="14">
        <v>10</v>
      </c>
      <c r="F609" s="13">
        <v>45723.770833333336</v>
      </c>
      <c r="G609" t="s">
        <v>2</v>
      </c>
      <c r="H609" t="s">
        <v>1220</v>
      </c>
      <c r="I609" t="str">
        <f>IF(B609=IFERROR(VLOOKUP(B609,base!$L$1:$L$9,1,0),""),"Produtos",IF(B609=IFERROR(VLOOKUP(B609,base!$K$2:$K$8,1,0),""),"Serviços","Combos"))</f>
        <v>Serviços</v>
      </c>
      <c r="J609">
        <f t="shared" si="14"/>
        <v>4.5</v>
      </c>
    </row>
    <row r="610" spans="1:16">
      <c r="A610" t="s">
        <v>536</v>
      </c>
      <c r="B610" t="s">
        <v>163</v>
      </c>
      <c r="C610" t="s">
        <v>1232</v>
      </c>
      <c r="D610" s="14">
        <v>35</v>
      </c>
      <c r="E610" s="14">
        <v>35</v>
      </c>
      <c r="F610" s="13">
        <v>45723.770833333336</v>
      </c>
      <c r="G610" t="s">
        <v>1</v>
      </c>
      <c r="H610" t="s">
        <v>1233</v>
      </c>
      <c r="I610" t="str">
        <f>IF(B610=IFERROR(VLOOKUP(B610,base!$L$1:$L$9,1,0),""),"Produtos",IF(B610=IFERROR(VLOOKUP(B610,base!$K$2:$K$8,1,0),""),"Serviços","Combos"))</f>
        <v>Serviços</v>
      </c>
      <c r="J610">
        <f t="shared" si="14"/>
        <v>15.75</v>
      </c>
    </row>
    <row r="611" spans="1:16">
      <c r="A611" t="s">
        <v>519</v>
      </c>
      <c r="B611" t="s">
        <v>163</v>
      </c>
      <c r="C611" t="s">
        <v>1234</v>
      </c>
      <c r="D611" s="14">
        <v>35</v>
      </c>
      <c r="E611" s="14">
        <v>70</v>
      </c>
      <c r="F611" s="13">
        <v>45723.78125</v>
      </c>
      <c r="G611" t="s">
        <v>354</v>
      </c>
      <c r="H611" t="s">
        <v>479</v>
      </c>
      <c r="I611" t="str">
        <f>IF(B611=IFERROR(VLOOKUP(B611,base!$L$1:$L$9,1,0),""),"Produtos",IF(B611=IFERROR(VLOOKUP(B611,base!$K$2:$K$8,1,0),""),"Serviços","Combos"))</f>
        <v>Serviços</v>
      </c>
      <c r="J611">
        <f t="shared" si="14"/>
        <v>15.75</v>
      </c>
    </row>
    <row r="612" spans="1:16">
      <c r="A612" t="s">
        <v>252</v>
      </c>
      <c r="B612" t="s">
        <v>163</v>
      </c>
      <c r="C612" t="s">
        <v>1234</v>
      </c>
      <c r="D612" s="14">
        <v>35</v>
      </c>
      <c r="F612" s="13">
        <v>45723.78125</v>
      </c>
      <c r="G612" t="s">
        <v>354</v>
      </c>
      <c r="H612" t="s">
        <v>479</v>
      </c>
      <c r="I612" t="str">
        <f>IF(B612=IFERROR(VLOOKUP(B612,base!$L$1:$L$9,1,0),""),"Produtos",IF(B612=IFERROR(VLOOKUP(B612,base!$K$2:$K$8,1,0),""),"Serviços","Combos"))</f>
        <v>Serviços</v>
      </c>
      <c r="J612">
        <f t="shared" si="14"/>
        <v>15.75</v>
      </c>
    </row>
    <row r="613" spans="1:16">
      <c r="A613" t="s">
        <v>519</v>
      </c>
      <c r="B613" t="s">
        <v>163</v>
      </c>
      <c r="C613" t="s">
        <v>1206</v>
      </c>
      <c r="D613" s="14">
        <v>35</v>
      </c>
      <c r="E613" s="14">
        <v>70</v>
      </c>
      <c r="F613" s="13">
        <v>45723.791666666664</v>
      </c>
      <c r="G613" t="s">
        <v>1</v>
      </c>
      <c r="H613" t="s">
        <v>16</v>
      </c>
      <c r="I613" t="str">
        <f>IF(B613=IFERROR(VLOOKUP(B613,base!$L$1:$L$9,1,0),""),"Produtos",IF(B613=IFERROR(VLOOKUP(B613,base!$K$2:$K$8,1,0),""),"Serviços","Combos"))</f>
        <v>Serviços</v>
      </c>
      <c r="J613">
        <f t="shared" si="14"/>
        <v>15.75</v>
      </c>
    </row>
    <row r="614" spans="1:16">
      <c r="A614" t="s">
        <v>252</v>
      </c>
      <c r="B614" t="s">
        <v>163</v>
      </c>
      <c r="C614" t="s">
        <v>1206</v>
      </c>
      <c r="D614" s="14">
        <v>35</v>
      </c>
      <c r="F614" s="13">
        <v>45723.791666666664</v>
      </c>
      <c r="G614" t="s">
        <v>1</v>
      </c>
      <c r="H614" t="s">
        <v>16</v>
      </c>
      <c r="I614" t="str">
        <f>IF(B614=IFERROR(VLOOKUP(B614,base!$L$1:$L$9,1,0),""),"Produtos",IF(B614=IFERROR(VLOOKUP(B614,base!$K$2:$K$8,1,0),""),"Serviços","Combos"))</f>
        <v>Serviços</v>
      </c>
      <c r="J614">
        <f t="shared" si="14"/>
        <v>15.75</v>
      </c>
    </row>
    <row r="615" spans="1:16">
      <c r="A615" t="s">
        <v>536</v>
      </c>
      <c r="B615" t="s">
        <v>163</v>
      </c>
      <c r="C615" t="s">
        <v>1231</v>
      </c>
      <c r="D615" s="14">
        <v>35</v>
      </c>
      <c r="E615" s="14">
        <v>35</v>
      </c>
      <c r="F615" s="13">
        <v>45723.791666666664</v>
      </c>
      <c r="G615" t="s">
        <v>1</v>
      </c>
      <c r="H615" t="s">
        <v>289</v>
      </c>
      <c r="I615" t="str">
        <f>IF(B615=IFERROR(VLOOKUP(B615,base!$L$1:$L$9,1,0),""),"Produtos",IF(B615=IFERROR(VLOOKUP(B615,base!$K$2:$K$8,1,0),""),"Serviços","Combos"))</f>
        <v>Serviços</v>
      </c>
      <c r="J615">
        <f t="shared" si="14"/>
        <v>15.75</v>
      </c>
    </row>
    <row r="616" spans="1:16">
      <c r="A616" t="s">
        <v>252</v>
      </c>
      <c r="B616" t="s">
        <v>353</v>
      </c>
      <c r="C616" t="s">
        <v>1237</v>
      </c>
      <c r="D616" s="14">
        <v>60</v>
      </c>
      <c r="E616" s="14">
        <v>55</v>
      </c>
      <c r="F616" s="13">
        <v>45723.822916666664</v>
      </c>
      <c r="G616" t="s">
        <v>354</v>
      </c>
      <c r="H616" t="s">
        <v>1238</v>
      </c>
      <c r="I616" t="str">
        <f>IF(B616=IFERROR(VLOOKUP(B616,base!$L$1:$L$9,1,0),""),"Produtos",IF(B616=IFERROR(VLOOKUP(B616,base!$K$2:$K$8,1,0),""),"Serviços","Combos"))</f>
        <v>Combos</v>
      </c>
      <c r="J616">
        <f t="shared" si="14"/>
        <v>27</v>
      </c>
    </row>
    <row r="617" spans="1:16">
      <c r="A617" t="s">
        <v>519</v>
      </c>
      <c r="B617" t="s">
        <v>165</v>
      </c>
      <c r="C617" t="s">
        <v>1239</v>
      </c>
      <c r="D617" s="14">
        <v>65</v>
      </c>
      <c r="E617" s="14">
        <v>65</v>
      </c>
      <c r="F617" s="13">
        <v>45723.833333333336</v>
      </c>
      <c r="G617" t="s">
        <v>1</v>
      </c>
      <c r="H617" t="s">
        <v>500</v>
      </c>
      <c r="I617" t="s">
        <v>147</v>
      </c>
      <c r="J617">
        <v>29.25</v>
      </c>
    </row>
    <row r="618" spans="1:16">
      <c r="A618" s="25" t="s">
        <v>536</v>
      </c>
      <c r="B618" s="25" t="s">
        <v>163</v>
      </c>
      <c r="C618" s="25" t="s">
        <v>1541</v>
      </c>
      <c r="D618" s="26">
        <v>45</v>
      </c>
      <c r="E618" s="26">
        <v>45</v>
      </c>
      <c r="F618" s="25" t="s">
        <v>1542</v>
      </c>
      <c r="G618" s="25" t="s">
        <v>1</v>
      </c>
      <c r="H618" s="25" t="s">
        <v>286</v>
      </c>
      <c r="I618" s="25" t="str">
        <f>IF(B618=IFERROR(VLOOKUP(B618,base!$L$1:$L$9,1,0),""),"Produtos",IF(B618=IFERROR(VLOOKUP(B618,base!$K$2:$K$8,1,0),""),"Serviços","Combos"))</f>
        <v>Serviços</v>
      </c>
      <c r="J618" s="25">
        <f>IF(AND(I618="Serviços",E618&gt;0),ROUND(D618*45%,2),IF(I618="Produtos",ROUND(D618*40%,2),D618*45%))</f>
        <v>20.25</v>
      </c>
    </row>
    <row r="619" spans="1:16">
      <c r="A619" s="25" t="s">
        <v>252</v>
      </c>
      <c r="B619" s="25" t="s">
        <v>163</v>
      </c>
      <c r="C619" s="25" t="s">
        <v>1537</v>
      </c>
      <c r="D619" s="26">
        <v>35</v>
      </c>
      <c r="E619" s="26">
        <v>20</v>
      </c>
      <c r="F619" s="25" t="s">
        <v>1538</v>
      </c>
      <c r="G619" s="25" t="s">
        <v>2</v>
      </c>
      <c r="H619" s="25" t="s">
        <v>796</v>
      </c>
      <c r="I619" s="25" t="str">
        <f>IF(B619=IFERROR(VLOOKUP(B619,base!$L$1:$L$9,1,0),""),"Produtos",IF(B619=IFERROR(VLOOKUP(B619,base!$K$2:$K$8,1,0),""),"Serviços","Combos"))</f>
        <v>Serviços</v>
      </c>
      <c r="J619" s="25">
        <f>IF(AND(I619="Serviços",E619&gt;0),ROUND(D619*45%,2),IF(I619="Produtos",ROUND(D619*40%,2),D619*45%))</f>
        <v>15.75</v>
      </c>
    </row>
    <row r="620" spans="1:16">
      <c r="A620" t="s">
        <v>536</v>
      </c>
      <c r="B620" t="s">
        <v>163</v>
      </c>
      <c r="C620" t="s">
        <v>1539</v>
      </c>
      <c r="D620" s="14">
        <v>35</v>
      </c>
      <c r="E620" s="14">
        <v>35</v>
      </c>
      <c r="F620" t="s">
        <v>1540</v>
      </c>
      <c r="G620" t="s">
        <v>1</v>
      </c>
      <c r="H620" t="s">
        <v>202</v>
      </c>
      <c r="I620" t="str">
        <f>IF(B620=IFERROR(VLOOKUP(B620,base!$L$1:$L$9,1,0),""),"Produtos",IF(B620=IFERROR(VLOOKUP(B620,base!$K$2:$K$8,1,0),""),"Serviços","Combos"))</f>
        <v>Serviços</v>
      </c>
      <c r="J620">
        <f>IF(AND(I620="Serviços",E620&gt;0),ROUND(D620*45%,2),IF(I620="Produtos",ROUND(D620*40%,2),D620*45%))</f>
        <v>15.75</v>
      </c>
    </row>
    <row r="621" spans="1:16" s="25" customFormat="1">
      <c r="A621" t="s">
        <v>519</v>
      </c>
      <c r="B621" t="s">
        <v>163</v>
      </c>
      <c r="C621" t="s">
        <v>1307</v>
      </c>
      <c r="D621" s="14">
        <v>35</v>
      </c>
      <c r="E621" s="14">
        <v>35</v>
      </c>
      <c r="F621" s="13">
        <v>45724.375</v>
      </c>
      <c r="G621" t="s">
        <v>1</v>
      </c>
      <c r="H621" t="s">
        <v>384</v>
      </c>
      <c r="I621" t="str">
        <f>IF(B621=IFERROR(VLOOKUP(B621,base!$L$1:$L$9,1,0),""),"Produtos",IF(B621=IFERROR(VLOOKUP(B621,base!$K$2:$K$8,1,0),""),"Serviços","Combos"))</f>
        <v>Serviços</v>
      </c>
      <c r="J621">
        <f t="shared" ref="J621:J684" si="15">IF(AND(I621="Serviços",E621&gt;0),ROUND(D621*45%,2),IF(I621="Produtos",ROUND(D621*40%,2),D621*45%))</f>
        <v>15.75</v>
      </c>
      <c r="P621" s="50"/>
    </row>
    <row r="622" spans="1:16">
      <c r="A622" t="s">
        <v>536</v>
      </c>
      <c r="B622" t="s">
        <v>163</v>
      </c>
      <c r="C622" t="s">
        <v>1316</v>
      </c>
      <c r="D622" s="14">
        <v>20</v>
      </c>
      <c r="E622" s="14">
        <v>25</v>
      </c>
      <c r="F622" s="13">
        <v>45724.375</v>
      </c>
      <c r="G622" t="s">
        <v>310</v>
      </c>
      <c r="H622" t="s">
        <v>1317</v>
      </c>
      <c r="I622" t="str">
        <f>IF(B622=IFERROR(VLOOKUP(B622,base!$L$1:$L$9,1,0),""),"Produtos",IF(B622=IFERROR(VLOOKUP(B622,base!$K$2:$K$8,1,0),""),"Serviços","Combos"))</f>
        <v>Serviços</v>
      </c>
      <c r="J622">
        <f t="shared" si="15"/>
        <v>9</v>
      </c>
    </row>
    <row r="623" spans="1:16">
      <c r="A623" t="s">
        <v>536</v>
      </c>
      <c r="B623" t="s">
        <v>910</v>
      </c>
      <c r="C623" t="s">
        <v>1316</v>
      </c>
      <c r="D623" s="14">
        <v>5</v>
      </c>
      <c r="F623" s="13">
        <v>45724.375</v>
      </c>
      <c r="G623" t="s">
        <v>310</v>
      </c>
      <c r="H623" t="s">
        <v>1317</v>
      </c>
      <c r="I623" t="str">
        <f>IF(B623=IFERROR(VLOOKUP(B623,base!$L$1:$L$9,1,0),""),"Produtos",IF(B623=IFERROR(VLOOKUP(B623,base!$K$2:$K$8,1,0),""),"Serviços","Combos"))</f>
        <v>Combos</v>
      </c>
      <c r="J623">
        <f t="shared" si="15"/>
        <v>2.25</v>
      </c>
    </row>
    <row r="624" spans="1:16">
      <c r="A624" t="s">
        <v>252</v>
      </c>
      <c r="B624" t="s">
        <v>163</v>
      </c>
      <c r="C624" t="s">
        <v>1309</v>
      </c>
      <c r="D624" s="14">
        <v>35</v>
      </c>
      <c r="E624" s="14">
        <v>60</v>
      </c>
      <c r="F624" s="13">
        <v>45724.40625</v>
      </c>
      <c r="G624" t="s">
        <v>310</v>
      </c>
      <c r="H624" t="s">
        <v>1310</v>
      </c>
      <c r="I624" t="str">
        <f>IF(B624=IFERROR(VLOOKUP(B624,base!$L$1:$L$9,1,0),""),"Produtos",IF(B624=IFERROR(VLOOKUP(B624,base!$K$2:$K$8,1,0),""),"Serviços","Combos"))</f>
        <v>Serviços</v>
      </c>
      <c r="J624">
        <f t="shared" si="15"/>
        <v>15.75</v>
      </c>
    </row>
    <row r="625" spans="1:10">
      <c r="A625" t="s">
        <v>252</v>
      </c>
      <c r="B625" t="s">
        <v>508</v>
      </c>
      <c r="C625" t="s">
        <v>1309</v>
      </c>
      <c r="D625" s="14">
        <v>25</v>
      </c>
      <c r="F625" s="13">
        <v>45724.40625</v>
      </c>
      <c r="G625" t="s">
        <v>310</v>
      </c>
      <c r="H625" t="s">
        <v>1310</v>
      </c>
      <c r="I625" t="str">
        <f>IF(B625=IFERROR(VLOOKUP(B625,base!$L$1:$L$9,1,0),""),"Produtos",IF(B625=IFERROR(VLOOKUP(B625,base!$K$2:$K$8,1,0),""),"Serviços","Combos"))</f>
        <v>Produtos</v>
      </c>
      <c r="J625">
        <f t="shared" si="15"/>
        <v>10</v>
      </c>
    </row>
    <row r="626" spans="1:10">
      <c r="A626" t="s">
        <v>519</v>
      </c>
      <c r="B626" t="s">
        <v>163</v>
      </c>
      <c r="C626" t="s">
        <v>1305</v>
      </c>
      <c r="D626" s="14">
        <v>35</v>
      </c>
      <c r="E626" s="14">
        <v>35</v>
      </c>
      <c r="F626" s="13">
        <v>45724.416666666664</v>
      </c>
      <c r="G626" t="s">
        <v>310</v>
      </c>
      <c r="H626" t="s">
        <v>1306</v>
      </c>
      <c r="I626" t="str">
        <f>IF(B626=IFERROR(VLOOKUP(B626,base!$L$1:$L$9,1,0),""),"Produtos",IF(B626=IFERROR(VLOOKUP(B626,base!$K$2:$K$8,1,0),""),"Serviços","Combos"))</f>
        <v>Serviços</v>
      </c>
      <c r="J626">
        <f t="shared" si="15"/>
        <v>15.75</v>
      </c>
    </row>
    <row r="627" spans="1:10">
      <c r="A627" t="s">
        <v>252</v>
      </c>
      <c r="B627" t="s">
        <v>353</v>
      </c>
      <c r="C627" t="s">
        <v>1318</v>
      </c>
      <c r="D627" s="14">
        <v>60</v>
      </c>
      <c r="E627" s="14">
        <v>55</v>
      </c>
      <c r="F627" s="13">
        <v>45724.427083333336</v>
      </c>
      <c r="G627" t="s">
        <v>1</v>
      </c>
      <c r="H627" t="s">
        <v>1319</v>
      </c>
      <c r="I627" t="str">
        <f>IF(B627=IFERROR(VLOOKUP(B627,base!$L$1:$L$9,1,0),""),"Produtos",IF(B627=IFERROR(VLOOKUP(B627,base!$K$2:$K$8,1,0),""),"Serviços","Combos"))</f>
        <v>Combos</v>
      </c>
      <c r="J627">
        <f t="shared" si="15"/>
        <v>27</v>
      </c>
    </row>
    <row r="628" spans="1:10">
      <c r="A628" s="25" t="s">
        <v>519</v>
      </c>
      <c r="B628" s="25" t="s">
        <v>163</v>
      </c>
      <c r="C628" s="25" t="s">
        <v>1302</v>
      </c>
      <c r="D628" s="26">
        <v>35</v>
      </c>
      <c r="E628" s="26">
        <v>35</v>
      </c>
      <c r="F628" s="27">
        <v>45724.4375</v>
      </c>
      <c r="G628" s="25" t="s">
        <v>310</v>
      </c>
      <c r="H628" s="25" t="s">
        <v>87</v>
      </c>
      <c r="I628" t="str">
        <f>IF(B628=IFERROR(VLOOKUP(B628,base!$L$1:$L$9,1,0),""),"Produtos",IF(B628=IFERROR(VLOOKUP(B628,base!$K$2:$K$8,1,0),""),"Serviços","Combos"))</f>
        <v>Serviços</v>
      </c>
      <c r="J628">
        <f t="shared" si="15"/>
        <v>15.75</v>
      </c>
    </row>
    <row r="629" spans="1:10">
      <c r="A629" t="s">
        <v>519</v>
      </c>
      <c r="B629" t="s">
        <v>163</v>
      </c>
      <c r="C629" t="s">
        <v>1308</v>
      </c>
      <c r="D629" s="14">
        <v>35</v>
      </c>
      <c r="E629" s="14">
        <v>55</v>
      </c>
      <c r="F629" s="13">
        <v>45724.458333333336</v>
      </c>
      <c r="G629" t="s">
        <v>1</v>
      </c>
      <c r="H629" t="s">
        <v>88</v>
      </c>
      <c r="I629" t="str">
        <f>IF(B629=IFERROR(VLOOKUP(B629,base!$L$1:$L$9,1,0),""),"Produtos",IF(B629=IFERROR(VLOOKUP(B629,base!$K$2:$K$8,1,0),""),"Serviços","Combos"))</f>
        <v>Serviços</v>
      </c>
      <c r="J629">
        <f t="shared" si="15"/>
        <v>15.75</v>
      </c>
    </row>
    <row r="630" spans="1:10">
      <c r="A630" t="s">
        <v>519</v>
      </c>
      <c r="B630" t="s">
        <v>1046</v>
      </c>
      <c r="C630" t="s">
        <v>1308</v>
      </c>
      <c r="D630" s="14">
        <v>20</v>
      </c>
      <c r="F630" s="13">
        <v>45724.458333333336</v>
      </c>
      <c r="G630" t="s">
        <v>1</v>
      </c>
      <c r="H630" t="s">
        <v>88</v>
      </c>
      <c r="I630" t="str">
        <f>IF(B630=IFERROR(VLOOKUP(B630,base!$L$1:$L$9,1,0),""),"Produtos",IF(B630=IFERROR(VLOOKUP(B630,base!$K$2:$K$8,1,0),""),"Serviços","Combos"))</f>
        <v>Combos</v>
      </c>
      <c r="J630">
        <f t="shared" si="15"/>
        <v>9</v>
      </c>
    </row>
    <row r="631" spans="1:10">
      <c r="A631" t="s">
        <v>536</v>
      </c>
      <c r="B631" t="s">
        <v>163</v>
      </c>
      <c r="C631" t="s">
        <v>1324</v>
      </c>
      <c r="D631" s="14">
        <v>35</v>
      </c>
      <c r="E631" s="14">
        <v>45</v>
      </c>
      <c r="F631" s="13">
        <v>45724.458333333336</v>
      </c>
      <c r="G631" t="s">
        <v>1</v>
      </c>
      <c r="H631" t="s">
        <v>1325</v>
      </c>
      <c r="I631" t="str">
        <f>IF(B631=IFERROR(VLOOKUP(B631,base!$L$1:$L$9,1,0),""),"Produtos",IF(B631=IFERROR(VLOOKUP(B631,base!$K$2:$K$8,1,0),""),"Serviços","Combos"))</f>
        <v>Serviços</v>
      </c>
      <c r="J631">
        <f t="shared" si="15"/>
        <v>15.75</v>
      </c>
    </row>
    <row r="632" spans="1:10">
      <c r="A632" t="s">
        <v>536</v>
      </c>
      <c r="B632" t="s">
        <v>167</v>
      </c>
      <c r="C632" t="s">
        <v>1324</v>
      </c>
      <c r="D632" s="14">
        <v>10</v>
      </c>
      <c r="F632" s="13">
        <v>45724.458333333336</v>
      </c>
      <c r="G632" t="s">
        <v>1</v>
      </c>
      <c r="H632" t="s">
        <v>1325</v>
      </c>
      <c r="I632" t="str">
        <f>IF(B632=IFERROR(VLOOKUP(B632,base!$L$1:$L$9,1,0),""),"Produtos",IF(B632=IFERROR(VLOOKUP(B632,base!$K$2:$K$8,1,0),""),"Serviços","Combos"))</f>
        <v>Serviços</v>
      </c>
      <c r="J632">
        <f t="shared" si="15"/>
        <v>4.5</v>
      </c>
    </row>
    <row r="633" spans="1:10">
      <c r="A633" t="s">
        <v>519</v>
      </c>
      <c r="B633" t="s">
        <v>163</v>
      </c>
      <c r="C633" t="s">
        <v>1321</v>
      </c>
      <c r="D633" s="14">
        <v>35</v>
      </c>
      <c r="E633" s="14">
        <v>60</v>
      </c>
      <c r="F633" s="13">
        <v>45724.465277777781</v>
      </c>
      <c r="G633" t="s">
        <v>1322</v>
      </c>
      <c r="H633" t="s">
        <v>1323</v>
      </c>
      <c r="I633" t="str">
        <f>IF(B633=IFERROR(VLOOKUP(B633,base!$L$1:$L$9,1,0),""),"Produtos",IF(B633=IFERROR(VLOOKUP(B633,base!$K$2:$K$8,1,0),""),"Serviços","Combos"))</f>
        <v>Serviços</v>
      </c>
      <c r="J633">
        <f t="shared" si="15"/>
        <v>15.75</v>
      </c>
    </row>
    <row r="634" spans="1:10">
      <c r="A634" t="s">
        <v>519</v>
      </c>
      <c r="B634" t="s">
        <v>508</v>
      </c>
      <c r="C634" t="s">
        <v>1321</v>
      </c>
      <c r="D634" s="14">
        <v>25</v>
      </c>
      <c r="F634" s="13">
        <v>45724.465277777781</v>
      </c>
      <c r="G634" t="s">
        <v>1322</v>
      </c>
      <c r="H634" t="s">
        <v>1323</v>
      </c>
      <c r="I634" t="str">
        <f>IF(B634=IFERROR(VLOOKUP(B634,base!$L$1:$L$9,1,0),""),"Produtos",IF(B634=IFERROR(VLOOKUP(B634,base!$K$2:$K$8,1,0),""),"Serviços","Combos"))</f>
        <v>Produtos</v>
      </c>
      <c r="J634">
        <f t="shared" si="15"/>
        <v>10</v>
      </c>
    </row>
    <row r="635" spans="1:10">
      <c r="A635" t="s">
        <v>252</v>
      </c>
      <c r="B635" t="s">
        <v>163</v>
      </c>
      <c r="C635" t="s">
        <v>1304</v>
      </c>
      <c r="D635" s="14">
        <v>35</v>
      </c>
      <c r="E635" s="14">
        <v>35</v>
      </c>
      <c r="F635" s="13">
        <v>45724.46875</v>
      </c>
      <c r="G635" t="s">
        <v>1</v>
      </c>
      <c r="H635" t="s">
        <v>302</v>
      </c>
      <c r="I635" t="str">
        <f>IF(B635=IFERROR(VLOOKUP(B635,base!$L$1:$L$9,1,0),""),"Produtos",IF(B635=IFERROR(VLOOKUP(B635,base!$K$2:$K$8,1,0),""),"Serviços","Combos"))</f>
        <v>Serviços</v>
      </c>
      <c r="J635">
        <f t="shared" si="15"/>
        <v>15.75</v>
      </c>
    </row>
    <row r="636" spans="1:10">
      <c r="A636" t="s">
        <v>519</v>
      </c>
      <c r="B636" t="s">
        <v>163</v>
      </c>
      <c r="C636" t="s">
        <v>1326</v>
      </c>
      <c r="D636" s="14">
        <v>35</v>
      </c>
      <c r="E636" s="14">
        <v>35</v>
      </c>
      <c r="F636" s="13">
        <v>45724.472222222219</v>
      </c>
      <c r="G636" t="s">
        <v>1</v>
      </c>
      <c r="H636" t="s">
        <v>1325</v>
      </c>
      <c r="I636" t="str">
        <f>IF(B636=IFERROR(VLOOKUP(B636,base!$L$1:$L$9,1,0),""),"Produtos",IF(B636=IFERROR(VLOOKUP(B636,base!$K$2:$K$8,1,0),""),"Serviços","Combos"))</f>
        <v>Serviços</v>
      </c>
      <c r="J636">
        <f t="shared" si="15"/>
        <v>15.75</v>
      </c>
    </row>
    <row r="637" spans="1:10">
      <c r="A637" t="s">
        <v>519</v>
      </c>
      <c r="B637" t="s">
        <v>163</v>
      </c>
      <c r="C637" t="s">
        <v>1311</v>
      </c>
      <c r="D637" s="14">
        <v>20</v>
      </c>
      <c r="E637" s="14">
        <v>20</v>
      </c>
      <c r="F637" s="13">
        <v>45724.479166666664</v>
      </c>
      <c r="G637" t="s">
        <v>1</v>
      </c>
      <c r="H637" t="s">
        <v>114</v>
      </c>
      <c r="I637" t="str">
        <f>IF(B637=IFERROR(VLOOKUP(B637,base!$L$1:$L$9,1,0),""),"Produtos",IF(B637=IFERROR(VLOOKUP(B637,base!$K$2:$K$8,1,0),""),"Serviços","Combos"))</f>
        <v>Serviços</v>
      </c>
      <c r="J637">
        <f t="shared" si="15"/>
        <v>9</v>
      </c>
    </row>
    <row r="638" spans="1:10">
      <c r="A638" t="s">
        <v>252</v>
      </c>
      <c r="B638" t="s">
        <v>353</v>
      </c>
      <c r="C638" t="s">
        <v>1327</v>
      </c>
      <c r="D638" s="14">
        <v>60</v>
      </c>
      <c r="E638" s="14">
        <v>60</v>
      </c>
      <c r="F638" s="13">
        <v>45724.489583333336</v>
      </c>
      <c r="G638" t="s">
        <v>354</v>
      </c>
      <c r="H638" t="s">
        <v>1328</v>
      </c>
      <c r="I638" t="str">
        <f>IF(B638=IFERROR(VLOOKUP(B638,base!$L$1:$L$9,1,0),""),"Produtos",IF(B638=IFERROR(VLOOKUP(B638,base!$K$2:$K$8,1,0),""),"Serviços","Combos"))</f>
        <v>Combos</v>
      </c>
      <c r="J638">
        <f t="shared" si="15"/>
        <v>27</v>
      </c>
    </row>
    <row r="639" spans="1:10">
      <c r="A639" t="s">
        <v>536</v>
      </c>
      <c r="B639" t="s">
        <v>163</v>
      </c>
      <c r="C639" t="s">
        <v>1332</v>
      </c>
      <c r="D639" s="14">
        <v>35</v>
      </c>
      <c r="E639" s="14">
        <v>70</v>
      </c>
      <c r="F639" s="13">
        <v>45724.53125</v>
      </c>
      <c r="G639" t="s">
        <v>1</v>
      </c>
      <c r="H639" t="s">
        <v>497</v>
      </c>
      <c r="I639" t="str">
        <f>IF(B639=IFERROR(VLOOKUP(B639,base!$L$1:$L$9,1,0),""),"Produtos",IF(B639=IFERROR(VLOOKUP(B639,base!$K$2:$K$8,1,0),""),"Serviços","Combos"))</f>
        <v>Serviços</v>
      </c>
      <c r="J639">
        <f t="shared" si="15"/>
        <v>15.75</v>
      </c>
    </row>
    <row r="640" spans="1:10">
      <c r="A640" t="s">
        <v>536</v>
      </c>
      <c r="B640" t="s">
        <v>163</v>
      </c>
      <c r="C640" t="s">
        <v>1332</v>
      </c>
      <c r="D640" s="14">
        <v>35</v>
      </c>
      <c r="F640" s="13">
        <v>45724.53125</v>
      </c>
      <c r="G640" t="s">
        <v>1</v>
      </c>
      <c r="H640" t="s">
        <v>497</v>
      </c>
      <c r="I640" t="str">
        <f>IF(B640=IFERROR(VLOOKUP(B640,base!$L$1:$L$9,1,0),""),"Produtos",IF(B640=IFERROR(VLOOKUP(B640,base!$K$2:$K$8,1,0),""),"Serviços","Combos"))</f>
        <v>Serviços</v>
      </c>
      <c r="J640">
        <f t="shared" si="15"/>
        <v>15.75</v>
      </c>
    </row>
    <row r="641" spans="1:10">
      <c r="A641" t="s">
        <v>252</v>
      </c>
      <c r="B641" t="s">
        <v>163</v>
      </c>
      <c r="C641" t="s">
        <v>1330</v>
      </c>
      <c r="D641" s="14">
        <v>35</v>
      </c>
      <c r="E641" s="14">
        <v>45</v>
      </c>
      <c r="F641" s="13">
        <v>45724.541666666664</v>
      </c>
      <c r="G641" t="s">
        <v>354</v>
      </c>
      <c r="H641" t="s">
        <v>1331</v>
      </c>
      <c r="I641" t="str">
        <f>IF(B641=IFERROR(VLOOKUP(B641,base!$L$1:$L$9,1,0),""),"Produtos",IF(B641=IFERROR(VLOOKUP(B641,base!$K$2:$K$8,1,0),""),"Serviços","Combos"))</f>
        <v>Serviços</v>
      </c>
      <c r="J641">
        <f t="shared" si="15"/>
        <v>15.75</v>
      </c>
    </row>
    <row r="642" spans="1:10">
      <c r="A642" t="s">
        <v>252</v>
      </c>
      <c r="B642" t="s">
        <v>167</v>
      </c>
      <c r="C642" t="s">
        <v>1330</v>
      </c>
      <c r="D642" s="14">
        <v>10</v>
      </c>
      <c r="F642" s="13">
        <v>45724.541666666664</v>
      </c>
      <c r="G642" t="s">
        <v>354</v>
      </c>
      <c r="H642" t="s">
        <v>1331</v>
      </c>
      <c r="I642" t="str">
        <f>IF(B642=IFERROR(VLOOKUP(B642,base!$L$1:$L$9,1,0),""),"Produtos",IF(B642=IFERROR(VLOOKUP(B642,base!$K$2:$K$8,1,0),""),"Serviços","Combos"))</f>
        <v>Serviços</v>
      </c>
      <c r="J642">
        <f t="shared" si="15"/>
        <v>4.5</v>
      </c>
    </row>
    <row r="643" spans="1:10">
      <c r="A643" t="s">
        <v>519</v>
      </c>
      <c r="B643" t="s">
        <v>163</v>
      </c>
      <c r="C643" t="s">
        <v>1320</v>
      </c>
      <c r="D643" s="14">
        <v>40</v>
      </c>
      <c r="E643" s="14">
        <v>50</v>
      </c>
      <c r="F643" s="13">
        <v>45724.5625</v>
      </c>
      <c r="G643" t="s">
        <v>1</v>
      </c>
      <c r="H643" t="s">
        <v>12</v>
      </c>
      <c r="I643" t="str">
        <f>IF(B643=IFERROR(VLOOKUP(B643,base!$L$1:$L$9,1,0),""),"Produtos",IF(B643=IFERROR(VLOOKUP(B643,base!$K$2:$K$8,1,0),""),"Serviços","Combos"))</f>
        <v>Serviços</v>
      </c>
      <c r="J643">
        <f t="shared" si="15"/>
        <v>18</v>
      </c>
    </row>
    <row r="644" spans="1:10">
      <c r="A644" t="s">
        <v>519</v>
      </c>
      <c r="B644" t="s">
        <v>167</v>
      </c>
      <c r="C644" t="s">
        <v>1320</v>
      </c>
      <c r="D644" s="14">
        <v>10</v>
      </c>
      <c r="F644" s="13">
        <v>45724.5625</v>
      </c>
      <c r="G644" t="s">
        <v>1</v>
      </c>
      <c r="H644" t="s">
        <v>12</v>
      </c>
      <c r="I644" t="str">
        <f>IF(B644=IFERROR(VLOOKUP(B644,base!$L$1:$L$9,1,0),""),"Produtos",IF(B644=IFERROR(VLOOKUP(B644,base!$K$2:$K$8,1,0),""),"Serviços","Combos"))</f>
        <v>Serviços</v>
      </c>
      <c r="J644">
        <f t="shared" si="15"/>
        <v>4.5</v>
      </c>
    </row>
    <row r="645" spans="1:10">
      <c r="A645" t="s">
        <v>252</v>
      </c>
      <c r="B645" t="s">
        <v>163</v>
      </c>
      <c r="C645" t="s">
        <v>1303</v>
      </c>
      <c r="D645" s="14">
        <v>35</v>
      </c>
      <c r="E645" s="14">
        <v>45</v>
      </c>
      <c r="F645" s="13">
        <v>45724.604166666664</v>
      </c>
      <c r="G645" t="s">
        <v>1</v>
      </c>
      <c r="H645" t="s">
        <v>31</v>
      </c>
      <c r="I645" t="str">
        <f>IF(B645=IFERROR(VLOOKUP(B645,base!$L$1:$L$9,1,0),""),"Produtos",IF(B645=IFERROR(VLOOKUP(B645,base!$K$2:$K$8,1,0),""),"Serviços","Combos"))</f>
        <v>Serviços</v>
      </c>
      <c r="J645">
        <f t="shared" si="15"/>
        <v>15.75</v>
      </c>
    </row>
    <row r="646" spans="1:10">
      <c r="A646" t="s">
        <v>252</v>
      </c>
      <c r="B646" t="s">
        <v>167</v>
      </c>
      <c r="C646" t="s">
        <v>1303</v>
      </c>
      <c r="D646" s="14">
        <v>10</v>
      </c>
      <c r="F646" s="13">
        <v>45724.604166666664</v>
      </c>
      <c r="G646" t="s">
        <v>1</v>
      </c>
      <c r="H646" t="s">
        <v>31</v>
      </c>
      <c r="I646" t="str">
        <f>IF(B646=IFERROR(VLOOKUP(B646,base!$L$1:$L$9,1,0),""),"Produtos",IF(B646=IFERROR(VLOOKUP(B646,base!$K$2:$K$8,1,0),""),"Serviços","Combos"))</f>
        <v>Serviços</v>
      </c>
      <c r="J646">
        <f t="shared" si="15"/>
        <v>4.5</v>
      </c>
    </row>
    <row r="647" spans="1:10">
      <c r="A647" t="s">
        <v>519</v>
      </c>
      <c r="B647" t="s">
        <v>163</v>
      </c>
      <c r="C647" t="s">
        <v>1329</v>
      </c>
      <c r="D647" s="14">
        <v>35</v>
      </c>
      <c r="E647" s="14">
        <v>35</v>
      </c>
      <c r="F647" s="13">
        <v>45724.614583333336</v>
      </c>
      <c r="G647" t="s">
        <v>1</v>
      </c>
      <c r="H647" t="s">
        <v>38</v>
      </c>
      <c r="I647" t="str">
        <f>IF(B647=IFERROR(VLOOKUP(B647,base!$L$1:$L$9,1,0),""),"Produtos",IF(B647=IFERROR(VLOOKUP(B647,base!$K$2:$K$8,1,0),""),"Serviços","Combos"))</f>
        <v>Serviços</v>
      </c>
      <c r="J647">
        <f t="shared" si="15"/>
        <v>15.75</v>
      </c>
    </row>
    <row r="648" spans="1:10">
      <c r="A648" t="s">
        <v>252</v>
      </c>
      <c r="B648" t="s">
        <v>353</v>
      </c>
      <c r="C648" t="s">
        <v>1333</v>
      </c>
      <c r="D648" s="14">
        <v>60</v>
      </c>
      <c r="E648" s="14">
        <v>60</v>
      </c>
      <c r="F648" s="13">
        <v>45724.625</v>
      </c>
      <c r="G648" t="s">
        <v>310</v>
      </c>
      <c r="H648" t="s">
        <v>192</v>
      </c>
      <c r="I648" t="str">
        <f>IF(B648=IFERROR(VLOOKUP(B648,base!$L$1:$L$9,1,0),""),"Produtos",IF(B648=IFERROR(VLOOKUP(B648,base!$K$2:$K$8,1,0),""),"Serviços","Combos"))</f>
        <v>Combos</v>
      </c>
      <c r="J648">
        <f t="shared" si="15"/>
        <v>27</v>
      </c>
    </row>
    <row r="649" spans="1:10">
      <c r="A649" t="s">
        <v>536</v>
      </c>
      <c r="B649" t="s">
        <v>163</v>
      </c>
      <c r="C649" t="s">
        <v>1334</v>
      </c>
      <c r="D649" s="14">
        <v>35</v>
      </c>
      <c r="E649" s="14">
        <v>35</v>
      </c>
      <c r="F649" s="13">
        <v>45724.625</v>
      </c>
      <c r="G649" t="s">
        <v>1</v>
      </c>
      <c r="H649" t="s">
        <v>407</v>
      </c>
      <c r="I649" t="str">
        <f>IF(B649=IFERROR(VLOOKUP(B649,base!$L$1:$L$9,1,0),""),"Produtos",IF(B649=IFERROR(VLOOKUP(B649,base!$K$2:$K$8,1,0),""),"Serviços","Combos"))</f>
        <v>Serviços</v>
      </c>
      <c r="J649">
        <f t="shared" si="15"/>
        <v>15.75</v>
      </c>
    </row>
    <row r="650" spans="1:10">
      <c r="A650" t="s">
        <v>519</v>
      </c>
      <c r="B650" t="s">
        <v>163</v>
      </c>
      <c r="C650" t="s">
        <v>1338</v>
      </c>
      <c r="D650" s="14">
        <v>35</v>
      </c>
      <c r="E650" s="14">
        <v>55</v>
      </c>
      <c r="F650" s="13">
        <v>45724.625</v>
      </c>
      <c r="G650" t="s">
        <v>1</v>
      </c>
      <c r="H650" t="s">
        <v>281</v>
      </c>
      <c r="I650" t="str">
        <f>IF(B650=IFERROR(VLOOKUP(B650,base!$L$1:$L$9,1,0),""),"Produtos",IF(B650=IFERROR(VLOOKUP(B650,base!$K$2:$K$8,1,0),""),"Serviços","Combos"))</f>
        <v>Serviços</v>
      </c>
      <c r="J650">
        <f t="shared" si="15"/>
        <v>15.75</v>
      </c>
    </row>
    <row r="651" spans="1:10">
      <c r="A651" t="s">
        <v>519</v>
      </c>
      <c r="B651" t="s">
        <v>166</v>
      </c>
      <c r="C651" t="s">
        <v>1338</v>
      </c>
      <c r="D651" s="14">
        <v>20</v>
      </c>
      <c r="F651" s="13">
        <v>45724.625</v>
      </c>
      <c r="G651" t="s">
        <v>1</v>
      </c>
      <c r="H651" t="s">
        <v>281</v>
      </c>
      <c r="I651" t="str">
        <f>IF(B651=IFERROR(VLOOKUP(B651,base!$L$1:$L$9,1,0),""),"Produtos",IF(B651=IFERROR(VLOOKUP(B651,base!$K$2:$K$8,1,0),""),"Serviços","Combos"))</f>
        <v>Serviços</v>
      </c>
      <c r="J651">
        <f t="shared" si="15"/>
        <v>9</v>
      </c>
    </row>
    <row r="652" spans="1:10">
      <c r="A652" t="s">
        <v>536</v>
      </c>
      <c r="B652" t="s">
        <v>353</v>
      </c>
      <c r="C652" t="s">
        <v>1342</v>
      </c>
      <c r="D652" s="14">
        <v>60</v>
      </c>
      <c r="E652" s="14">
        <v>60</v>
      </c>
      <c r="F652" s="13">
        <v>45724.645833333336</v>
      </c>
      <c r="G652" t="s">
        <v>354</v>
      </c>
      <c r="H652" t="s">
        <v>1343</v>
      </c>
      <c r="I652" t="str">
        <f>IF(B652=IFERROR(VLOOKUP(B652,base!$L$1:$L$9,1,0),""),"Produtos",IF(B652=IFERROR(VLOOKUP(B652,base!$K$2:$K$8,1,0),""),"Serviços","Combos"))</f>
        <v>Combos</v>
      </c>
      <c r="J652">
        <f t="shared" si="15"/>
        <v>27</v>
      </c>
    </row>
    <row r="653" spans="1:10">
      <c r="A653" t="s">
        <v>519</v>
      </c>
      <c r="B653" t="s">
        <v>163</v>
      </c>
      <c r="C653" t="s">
        <v>1344</v>
      </c>
      <c r="D653" s="14">
        <v>35</v>
      </c>
      <c r="E653" s="14">
        <v>35</v>
      </c>
      <c r="F653" s="13">
        <v>45724.659722222219</v>
      </c>
      <c r="G653" t="s">
        <v>1</v>
      </c>
      <c r="H653" t="s">
        <v>1345</v>
      </c>
      <c r="I653" t="str">
        <f>IF(B653=IFERROR(VLOOKUP(B653,base!$L$1:$L$9,1,0),""),"Produtos",IF(B653=IFERROR(VLOOKUP(B653,base!$K$2:$K$8,1,0),""),"Serviços","Combos"))</f>
        <v>Serviços</v>
      </c>
      <c r="J653">
        <f t="shared" si="15"/>
        <v>15.75</v>
      </c>
    </row>
    <row r="654" spans="1:10">
      <c r="A654" t="s">
        <v>519</v>
      </c>
      <c r="B654" t="s">
        <v>163</v>
      </c>
      <c r="C654" t="s">
        <v>1335</v>
      </c>
      <c r="D654" s="14">
        <v>35</v>
      </c>
      <c r="E654" s="14">
        <v>35</v>
      </c>
      <c r="F654" s="13">
        <v>45724.666666666664</v>
      </c>
      <c r="G654" t="s">
        <v>2</v>
      </c>
      <c r="H654" t="s">
        <v>200</v>
      </c>
      <c r="I654" t="str">
        <f>IF(B654=IFERROR(VLOOKUP(B654,base!$L$1:$L$9,1,0),""),"Produtos",IF(B654=IFERROR(VLOOKUP(B654,base!$K$2:$K$8,1,0),""),"Serviços","Combos"))</f>
        <v>Serviços</v>
      </c>
      <c r="J654">
        <f t="shared" si="15"/>
        <v>15.75</v>
      </c>
    </row>
    <row r="655" spans="1:10">
      <c r="A655" t="s">
        <v>252</v>
      </c>
      <c r="B655" t="s">
        <v>163</v>
      </c>
      <c r="C655" t="s">
        <v>1336</v>
      </c>
      <c r="D655" s="14">
        <v>35</v>
      </c>
      <c r="E655" s="14">
        <v>45</v>
      </c>
      <c r="F655" s="13">
        <v>45724.666666666664</v>
      </c>
      <c r="G655" t="s">
        <v>354</v>
      </c>
      <c r="H655" t="s">
        <v>1337</v>
      </c>
      <c r="I655" t="str">
        <f>IF(B655=IFERROR(VLOOKUP(B655,base!$L$1:$L$9,1,0),""),"Produtos",IF(B655=IFERROR(VLOOKUP(B655,base!$K$2:$K$8,1,0),""),"Serviços","Combos"))</f>
        <v>Serviços</v>
      </c>
      <c r="J655">
        <f t="shared" si="15"/>
        <v>15.75</v>
      </c>
    </row>
    <row r="656" spans="1:10">
      <c r="A656" t="s">
        <v>252</v>
      </c>
      <c r="B656" t="s">
        <v>160</v>
      </c>
      <c r="C656" t="s">
        <v>1336</v>
      </c>
      <c r="D656" s="14">
        <v>10</v>
      </c>
      <c r="F656" s="13">
        <v>45724.666666666664</v>
      </c>
      <c r="G656" t="s">
        <v>354</v>
      </c>
      <c r="H656" t="s">
        <v>1337</v>
      </c>
      <c r="I656" t="str">
        <f>IF(B656=IFERROR(VLOOKUP(B656,base!$L$1:$L$9,1,0),""),"Produtos",IF(B656=IFERROR(VLOOKUP(B656,base!$K$2:$K$8,1,0),""),"Serviços","Combos"))</f>
        <v>Serviços</v>
      </c>
      <c r="J656">
        <f t="shared" si="15"/>
        <v>4.5</v>
      </c>
    </row>
    <row r="657" spans="1:10">
      <c r="A657" t="s">
        <v>252</v>
      </c>
      <c r="B657" t="s">
        <v>163</v>
      </c>
      <c r="C657" t="s">
        <v>1339</v>
      </c>
      <c r="D657" s="14">
        <v>35</v>
      </c>
      <c r="E657" s="14">
        <v>35</v>
      </c>
      <c r="F657" s="13">
        <v>45724.6875</v>
      </c>
      <c r="G657" t="s">
        <v>1</v>
      </c>
      <c r="H657" t="s">
        <v>270</v>
      </c>
      <c r="I657" t="str">
        <f>IF(B657=IFERROR(VLOOKUP(B657,base!$L$1:$L$9,1,0),""),"Produtos",IF(B657=IFERROR(VLOOKUP(B657,base!$K$2:$K$8,1,0),""),"Serviços","Combos"))</f>
        <v>Serviços</v>
      </c>
      <c r="J657">
        <f t="shared" si="15"/>
        <v>15.75</v>
      </c>
    </row>
    <row r="658" spans="1:10">
      <c r="A658" t="s">
        <v>519</v>
      </c>
      <c r="B658" t="s">
        <v>163</v>
      </c>
      <c r="C658" t="s">
        <v>1341</v>
      </c>
      <c r="D658" s="14">
        <v>35</v>
      </c>
      <c r="E658" s="14">
        <v>35</v>
      </c>
      <c r="F658" s="13">
        <v>45724.6875</v>
      </c>
      <c r="G658" t="s">
        <v>1</v>
      </c>
      <c r="H658" t="s">
        <v>83</v>
      </c>
      <c r="I658" t="str">
        <f>IF(B658=IFERROR(VLOOKUP(B658,base!$L$1:$L$9,1,0),""),"Produtos",IF(B658=IFERROR(VLOOKUP(B658,base!$K$2:$K$8,1,0),""),"Serviços","Combos"))</f>
        <v>Serviços</v>
      </c>
      <c r="J658">
        <f t="shared" si="15"/>
        <v>15.75</v>
      </c>
    </row>
    <row r="659" spans="1:10">
      <c r="A659" t="s">
        <v>536</v>
      </c>
      <c r="B659" t="s">
        <v>163</v>
      </c>
      <c r="C659" t="s">
        <v>1347</v>
      </c>
      <c r="D659" s="14">
        <v>35</v>
      </c>
      <c r="E659" s="14">
        <v>35</v>
      </c>
      <c r="F659" s="13">
        <v>45724.6875</v>
      </c>
      <c r="G659" t="s">
        <v>1</v>
      </c>
      <c r="H659" t="s">
        <v>1348</v>
      </c>
      <c r="I659" t="str">
        <f>IF(B659=IFERROR(VLOOKUP(B659,base!$L$1:$L$9,1,0),""),"Produtos",IF(B659=IFERROR(VLOOKUP(B659,base!$K$2:$K$8,1,0),""),"Serviços","Combos"))</f>
        <v>Serviços</v>
      </c>
      <c r="J659">
        <f t="shared" si="15"/>
        <v>15.75</v>
      </c>
    </row>
    <row r="660" spans="1:10">
      <c r="A660" t="s">
        <v>519</v>
      </c>
      <c r="B660" t="s">
        <v>163</v>
      </c>
      <c r="C660" t="s">
        <v>1313</v>
      </c>
      <c r="D660" s="14">
        <v>30</v>
      </c>
      <c r="E660" s="14">
        <v>0</v>
      </c>
      <c r="F660" s="13">
        <v>45724.708333333336</v>
      </c>
      <c r="G660" t="s">
        <v>1</v>
      </c>
      <c r="H660" t="s">
        <v>185</v>
      </c>
      <c r="I660" t="str">
        <f>IF(B660=IFERROR(VLOOKUP(B660,base!$L$1:$L$9,1,0),""),"Produtos",IF(B660=IFERROR(VLOOKUP(B660,base!$K$2:$K$8,1,0),""),"Serviços","Combos"))</f>
        <v>Serviços</v>
      </c>
      <c r="J660">
        <f t="shared" si="15"/>
        <v>13.5</v>
      </c>
    </row>
    <row r="661" spans="1:10">
      <c r="A661" t="s">
        <v>252</v>
      </c>
      <c r="B661" t="s">
        <v>163</v>
      </c>
      <c r="C661" t="s">
        <v>1340</v>
      </c>
      <c r="D661" s="14">
        <v>40</v>
      </c>
      <c r="E661" s="14">
        <v>40</v>
      </c>
      <c r="F661" s="13">
        <v>45724.708333333336</v>
      </c>
      <c r="G661" t="s">
        <v>1</v>
      </c>
      <c r="H661" t="s">
        <v>110</v>
      </c>
      <c r="I661" t="str">
        <f>IF(B661=IFERROR(VLOOKUP(B661,base!$L$1:$L$9,1,0),""),"Produtos",IF(B661=IFERROR(VLOOKUP(B661,base!$K$2:$K$8,1,0),""),"Serviços","Combos"))</f>
        <v>Serviços</v>
      </c>
      <c r="J661">
        <f t="shared" si="15"/>
        <v>18</v>
      </c>
    </row>
    <row r="662" spans="1:10">
      <c r="A662" t="s">
        <v>519</v>
      </c>
      <c r="B662" t="s">
        <v>163</v>
      </c>
      <c r="C662" t="s">
        <v>1346</v>
      </c>
      <c r="D662" s="14">
        <v>35</v>
      </c>
      <c r="E662" s="14">
        <v>60</v>
      </c>
      <c r="F662" s="13">
        <v>45724.739583333336</v>
      </c>
      <c r="G662" t="s">
        <v>1</v>
      </c>
      <c r="H662" t="s">
        <v>28</v>
      </c>
      <c r="I662" t="str">
        <f>IF(B662=IFERROR(VLOOKUP(B662,base!$L$1:$L$9,1,0),""),"Produtos",IF(B662=IFERROR(VLOOKUP(B662,base!$K$2:$K$8,1,0),""),"Serviços","Combos"))</f>
        <v>Serviços</v>
      </c>
      <c r="J662">
        <f t="shared" si="15"/>
        <v>15.75</v>
      </c>
    </row>
    <row r="663" spans="1:10">
      <c r="A663" t="s">
        <v>519</v>
      </c>
      <c r="B663" t="s">
        <v>1046</v>
      </c>
      <c r="C663" t="s">
        <v>1346</v>
      </c>
      <c r="D663" s="14">
        <v>15</v>
      </c>
      <c r="F663" s="13">
        <v>45724.739583333336</v>
      </c>
      <c r="G663" t="s">
        <v>1</v>
      </c>
      <c r="H663" t="s">
        <v>28</v>
      </c>
      <c r="I663" t="str">
        <f>IF(B663=IFERROR(VLOOKUP(B663,base!$L$1:$L$9,1,0),""),"Produtos",IF(B663=IFERROR(VLOOKUP(B663,base!$K$2:$K$8,1,0),""),"Serviços","Combos"))</f>
        <v>Combos</v>
      </c>
      <c r="J663">
        <f t="shared" si="15"/>
        <v>6.75</v>
      </c>
    </row>
    <row r="664" spans="1:10">
      <c r="A664" t="s">
        <v>519</v>
      </c>
      <c r="B664" t="s">
        <v>1187</v>
      </c>
      <c r="C664" t="s">
        <v>1346</v>
      </c>
      <c r="D664" s="14">
        <v>10</v>
      </c>
      <c r="F664" s="13">
        <v>45724.739583333336</v>
      </c>
      <c r="G664" t="s">
        <v>1</v>
      </c>
      <c r="H664" t="s">
        <v>28</v>
      </c>
      <c r="I664" t="str">
        <f>IF(B664=IFERROR(VLOOKUP(B664,base!$L$1:$L$9,1,0),""),"Produtos",IF(B664=IFERROR(VLOOKUP(B664,base!$K$2:$K$8,1,0),""),"Serviços","Combos"))</f>
        <v>Combos</v>
      </c>
      <c r="J664">
        <f t="shared" si="15"/>
        <v>4.5</v>
      </c>
    </row>
    <row r="665" spans="1:10">
      <c r="A665" t="s">
        <v>536</v>
      </c>
      <c r="B665" t="s">
        <v>163</v>
      </c>
      <c r="C665" t="s">
        <v>1351</v>
      </c>
      <c r="D665" s="14">
        <v>35</v>
      </c>
      <c r="E665" s="14">
        <v>35</v>
      </c>
      <c r="F665" s="13">
        <v>45724.75</v>
      </c>
      <c r="G665" t="s">
        <v>1</v>
      </c>
      <c r="H665" t="s">
        <v>370</v>
      </c>
      <c r="I665" t="str">
        <f>IF(B665=IFERROR(VLOOKUP(B665,base!$L$1:$L$9,1,0),""),"Produtos",IF(B665=IFERROR(VLOOKUP(B665,base!$K$2:$K$8,1,0),""),"Serviços","Combos"))</f>
        <v>Serviços</v>
      </c>
      <c r="J665">
        <f t="shared" si="15"/>
        <v>15.75</v>
      </c>
    </row>
    <row r="666" spans="1:10">
      <c r="A666" t="s">
        <v>252</v>
      </c>
      <c r="B666" t="s">
        <v>163</v>
      </c>
      <c r="C666" t="s">
        <v>1353</v>
      </c>
      <c r="D666" s="14">
        <v>35</v>
      </c>
      <c r="E666" s="14">
        <v>35</v>
      </c>
      <c r="F666" s="13">
        <v>45724.75</v>
      </c>
      <c r="G666" t="s">
        <v>1</v>
      </c>
      <c r="H666" t="s">
        <v>370</v>
      </c>
      <c r="I666" t="str">
        <f>IF(B666=IFERROR(VLOOKUP(B666,base!$L$1:$L$9,1,0),""),"Produtos",IF(B666=IFERROR(VLOOKUP(B666,base!$K$2:$K$8,1,0),""),"Serviços","Combos"))</f>
        <v>Serviços</v>
      </c>
      <c r="J666">
        <f t="shared" si="15"/>
        <v>15.75</v>
      </c>
    </row>
    <row r="667" spans="1:10">
      <c r="A667" t="s">
        <v>519</v>
      </c>
      <c r="B667" t="s">
        <v>163</v>
      </c>
      <c r="C667" t="s">
        <v>1350</v>
      </c>
      <c r="D667" s="14">
        <v>35</v>
      </c>
      <c r="E667" s="14">
        <v>55</v>
      </c>
      <c r="F667" s="13">
        <v>45724.78125</v>
      </c>
      <c r="G667" t="s">
        <v>356</v>
      </c>
      <c r="H667" t="s">
        <v>97</v>
      </c>
      <c r="I667" t="str">
        <f>IF(B667=IFERROR(VLOOKUP(B667,base!$L$1:$L$9,1,0),""),"Produtos",IF(B667=IFERROR(VLOOKUP(B667,base!$K$2:$K$8,1,0),""),"Serviços","Combos"))</f>
        <v>Serviços</v>
      </c>
      <c r="J667">
        <f t="shared" si="15"/>
        <v>15.75</v>
      </c>
    </row>
    <row r="668" spans="1:10">
      <c r="A668" t="s">
        <v>519</v>
      </c>
      <c r="B668" t="s">
        <v>166</v>
      </c>
      <c r="C668" t="s">
        <v>1350</v>
      </c>
      <c r="D668" s="14">
        <v>20</v>
      </c>
      <c r="F668" s="13">
        <v>45724.78125</v>
      </c>
      <c r="G668" t="s">
        <v>356</v>
      </c>
      <c r="H668" t="s">
        <v>97</v>
      </c>
      <c r="I668" t="str">
        <f>IF(B668=IFERROR(VLOOKUP(B668,base!$L$1:$L$9,1,0),""),"Produtos",IF(B668=IFERROR(VLOOKUP(B668,base!$K$2:$K$8,1,0),""),"Serviços","Combos"))</f>
        <v>Serviços</v>
      </c>
      <c r="J668">
        <f t="shared" si="15"/>
        <v>9</v>
      </c>
    </row>
    <row r="669" spans="1:10">
      <c r="A669" t="s">
        <v>536</v>
      </c>
      <c r="B669" t="s">
        <v>163</v>
      </c>
      <c r="C669" t="s">
        <v>1352</v>
      </c>
      <c r="D669" s="14">
        <v>20</v>
      </c>
      <c r="E669" s="14">
        <v>22.5</v>
      </c>
      <c r="F669" s="13">
        <v>45724.78125</v>
      </c>
      <c r="G669" t="s">
        <v>1</v>
      </c>
      <c r="H669" t="s">
        <v>93</v>
      </c>
      <c r="I669" t="str">
        <f>IF(B669=IFERROR(VLOOKUP(B669,base!$L$1:$L$9,1,0),""),"Produtos",IF(B669=IFERROR(VLOOKUP(B669,base!$K$2:$K$8,1,0),""),"Serviços","Combos"))</f>
        <v>Serviços</v>
      </c>
      <c r="J669">
        <f t="shared" si="15"/>
        <v>9</v>
      </c>
    </row>
    <row r="670" spans="1:10">
      <c r="A670" t="s">
        <v>536</v>
      </c>
      <c r="B670" t="s">
        <v>910</v>
      </c>
      <c r="C670" t="s">
        <v>1352</v>
      </c>
      <c r="D670" s="14">
        <v>2.5</v>
      </c>
      <c r="F670" s="13">
        <v>45724.78125</v>
      </c>
      <c r="G670" t="s">
        <v>1</v>
      </c>
      <c r="H670" t="s">
        <v>93</v>
      </c>
      <c r="I670" t="str">
        <f>IF(B670=IFERROR(VLOOKUP(B670,base!$L$1:$L$9,1,0),""),"Produtos",IF(B670=IFERROR(VLOOKUP(B670,base!$K$2:$K$8,1,0),""),"Serviços","Combos"))</f>
        <v>Combos</v>
      </c>
      <c r="J670">
        <f t="shared" si="15"/>
        <v>1.125</v>
      </c>
    </row>
    <row r="671" spans="1:10">
      <c r="A671" t="s">
        <v>252</v>
      </c>
      <c r="B671" t="s">
        <v>163</v>
      </c>
      <c r="C671" t="s">
        <v>1354</v>
      </c>
      <c r="D671" s="14">
        <v>35</v>
      </c>
      <c r="E671" s="14">
        <v>37.5</v>
      </c>
      <c r="F671" s="13">
        <v>45724.78125</v>
      </c>
      <c r="G671" t="s">
        <v>1</v>
      </c>
      <c r="H671" t="s">
        <v>93</v>
      </c>
      <c r="I671" t="str">
        <f>IF(B671=IFERROR(VLOOKUP(B671,base!$L$1:$L$9,1,0),""),"Produtos",IF(B671=IFERROR(VLOOKUP(B671,base!$K$2:$K$8,1,0),""),"Serviços","Combos"))</f>
        <v>Serviços</v>
      </c>
      <c r="J671">
        <f t="shared" si="15"/>
        <v>15.75</v>
      </c>
    </row>
    <row r="672" spans="1:10">
      <c r="A672" t="s">
        <v>252</v>
      </c>
      <c r="B672" t="s">
        <v>910</v>
      </c>
      <c r="C672" t="s">
        <v>1354</v>
      </c>
      <c r="D672" s="14">
        <v>2.5</v>
      </c>
      <c r="F672" s="13">
        <v>45724.78125</v>
      </c>
      <c r="G672" t="s">
        <v>1</v>
      </c>
      <c r="H672" t="s">
        <v>93</v>
      </c>
      <c r="I672" t="str">
        <f>IF(B672=IFERROR(VLOOKUP(B672,base!$L$1:$L$9,1,0),""),"Produtos",IF(B672=IFERROR(VLOOKUP(B672,base!$K$2:$K$8,1,0),""),"Serviços","Combos"))</f>
        <v>Combos</v>
      </c>
      <c r="J672">
        <f t="shared" si="15"/>
        <v>1.125</v>
      </c>
    </row>
    <row r="673" spans="1:10">
      <c r="A673" t="s">
        <v>519</v>
      </c>
      <c r="B673" t="s">
        <v>163</v>
      </c>
      <c r="C673" t="s">
        <v>1349</v>
      </c>
      <c r="D673" s="14">
        <v>35</v>
      </c>
      <c r="E673" s="14">
        <v>55</v>
      </c>
      <c r="F673" s="13">
        <v>45724.802083333336</v>
      </c>
      <c r="G673" t="s">
        <v>354</v>
      </c>
      <c r="H673" t="s">
        <v>277</v>
      </c>
      <c r="I673" t="str">
        <f>IF(B673=IFERROR(VLOOKUP(B673,base!$L$1:$L$9,1,0),""),"Produtos",IF(B673=IFERROR(VLOOKUP(B673,base!$K$2:$K$8,1,0),""),"Serviços","Combos"))</f>
        <v>Serviços</v>
      </c>
      <c r="J673">
        <f t="shared" si="15"/>
        <v>15.75</v>
      </c>
    </row>
    <row r="674" spans="1:10">
      <c r="A674" t="s">
        <v>519</v>
      </c>
      <c r="B674" t="s">
        <v>166</v>
      </c>
      <c r="C674" t="s">
        <v>1349</v>
      </c>
      <c r="D674" s="14">
        <v>20</v>
      </c>
      <c r="F674" s="13">
        <v>45724.802083333336</v>
      </c>
      <c r="G674" t="s">
        <v>354</v>
      </c>
      <c r="H674" t="s">
        <v>277</v>
      </c>
      <c r="I674" t="str">
        <f>IF(B674=IFERROR(VLOOKUP(B674,base!$L$1:$L$9,1,0),""),"Produtos",IF(B674=IFERROR(VLOOKUP(B674,base!$K$2:$K$8,1,0),""),"Serviços","Combos"))</f>
        <v>Serviços</v>
      </c>
      <c r="J674">
        <f t="shared" si="15"/>
        <v>9</v>
      </c>
    </row>
    <row r="675" spans="1:10">
      <c r="A675" t="s">
        <v>252</v>
      </c>
      <c r="B675" t="s">
        <v>163</v>
      </c>
      <c r="C675" t="s">
        <v>1312</v>
      </c>
      <c r="D675" s="14">
        <v>35</v>
      </c>
      <c r="E675" s="14">
        <v>45</v>
      </c>
      <c r="F675" s="13">
        <v>45724.8125</v>
      </c>
      <c r="G675" t="s">
        <v>1</v>
      </c>
      <c r="H675" t="s">
        <v>1099</v>
      </c>
      <c r="I675" t="str">
        <f>IF(B675=IFERROR(VLOOKUP(B675,base!$L$1:$L$9,1,0),""),"Produtos",IF(B675=IFERROR(VLOOKUP(B675,base!$K$2:$K$8,1,0),""),"Serviços","Combos"))</f>
        <v>Serviços</v>
      </c>
      <c r="J675">
        <f t="shared" si="15"/>
        <v>15.75</v>
      </c>
    </row>
    <row r="676" spans="1:10">
      <c r="A676" t="s">
        <v>252</v>
      </c>
      <c r="B676" t="s">
        <v>167</v>
      </c>
      <c r="C676" t="s">
        <v>1312</v>
      </c>
      <c r="D676" s="14">
        <v>10</v>
      </c>
      <c r="F676" s="13">
        <v>45724.8125</v>
      </c>
      <c r="G676" t="s">
        <v>1</v>
      </c>
      <c r="H676" t="s">
        <v>1099</v>
      </c>
      <c r="I676" t="str">
        <f>IF(B676=IFERROR(VLOOKUP(B676,base!$L$1:$L$9,1,0),""),"Produtos",IF(B676=IFERROR(VLOOKUP(B676,base!$K$2:$K$8,1,0),""),"Serviços","Combos"))</f>
        <v>Serviços</v>
      </c>
      <c r="J676">
        <f t="shared" si="15"/>
        <v>4.5</v>
      </c>
    </row>
    <row r="677" spans="1:10">
      <c r="A677" t="s">
        <v>536</v>
      </c>
      <c r="B677" t="s">
        <v>163</v>
      </c>
      <c r="C677" t="s">
        <v>1314</v>
      </c>
      <c r="D677" s="14">
        <v>35</v>
      </c>
      <c r="E677" s="14">
        <v>35</v>
      </c>
      <c r="F677" s="13">
        <v>45724.8125</v>
      </c>
      <c r="G677" t="s">
        <v>310</v>
      </c>
      <c r="H677" t="s">
        <v>1315</v>
      </c>
      <c r="I677" t="str">
        <f>IF(B677=IFERROR(VLOOKUP(B677,base!$L$1:$L$9,1,0),""),"Produtos",IF(B677=IFERROR(VLOOKUP(B677,base!$K$2:$K$8,1,0),""),"Serviços","Combos"))</f>
        <v>Serviços</v>
      </c>
      <c r="J677">
        <f t="shared" si="15"/>
        <v>15.75</v>
      </c>
    </row>
    <row r="678" spans="1:10">
      <c r="A678" t="s">
        <v>536</v>
      </c>
      <c r="B678" t="s">
        <v>163</v>
      </c>
      <c r="C678" t="s">
        <v>1355</v>
      </c>
      <c r="D678" s="14">
        <v>35</v>
      </c>
      <c r="E678" s="14">
        <v>95</v>
      </c>
      <c r="F678" s="13">
        <v>45724.881944444445</v>
      </c>
      <c r="G678" t="s">
        <v>1</v>
      </c>
      <c r="H678" t="s">
        <v>1356</v>
      </c>
      <c r="I678" t="str">
        <f>IF(B678=IFERROR(VLOOKUP(B678,base!$L$1:$L$9,1,0),""),"Produtos",IF(B678=IFERROR(VLOOKUP(B678,base!$K$2:$K$8,1,0),""),"Serviços","Combos"))</f>
        <v>Serviços</v>
      </c>
      <c r="J678">
        <f t="shared" si="15"/>
        <v>15.75</v>
      </c>
    </row>
    <row r="679" spans="1:10">
      <c r="A679" t="s">
        <v>252</v>
      </c>
      <c r="B679" t="s">
        <v>353</v>
      </c>
      <c r="C679" t="s">
        <v>1355</v>
      </c>
      <c r="D679" s="14">
        <v>60</v>
      </c>
      <c r="F679" s="13">
        <v>45724.881944444445</v>
      </c>
      <c r="G679" t="s">
        <v>1</v>
      </c>
      <c r="H679" t="s">
        <v>1356</v>
      </c>
      <c r="I679" t="str">
        <f>IF(B679=IFERROR(VLOOKUP(B679,base!$L$1:$L$9,1,0),""),"Produtos",IF(B679=IFERROR(VLOOKUP(B679,base!$K$2:$K$8,1,0),""),"Serviços","Combos"))</f>
        <v>Combos</v>
      </c>
      <c r="J679">
        <f t="shared" si="15"/>
        <v>27</v>
      </c>
    </row>
    <row r="680" spans="1:10">
      <c r="A680" t="s">
        <v>252</v>
      </c>
      <c r="B680" t="s">
        <v>160</v>
      </c>
      <c r="C680" t="s">
        <v>1357</v>
      </c>
      <c r="D680" s="14">
        <v>12</v>
      </c>
      <c r="E680" s="14">
        <v>12</v>
      </c>
      <c r="F680" s="13">
        <v>45724.902777777781</v>
      </c>
      <c r="G680" t="s">
        <v>1</v>
      </c>
      <c r="H680" t="s">
        <v>273</v>
      </c>
      <c r="I680" t="str">
        <f>IF(B680=IFERROR(VLOOKUP(B680,base!$L$1:$L$9,1,0),""),"Produtos",IF(B680=IFERROR(VLOOKUP(B680,base!$K$2:$K$8,1,0),""),"Serviços","Combos"))</f>
        <v>Serviços</v>
      </c>
      <c r="J680">
        <f t="shared" si="15"/>
        <v>5.4</v>
      </c>
    </row>
    <row r="681" spans="1:10">
      <c r="A681" t="s">
        <v>252</v>
      </c>
      <c r="B681" t="s">
        <v>163</v>
      </c>
      <c r="C681" t="s">
        <v>1359</v>
      </c>
      <c r="D681" s="14">
        <v>35</v>
      </c>
      <c r="E681" s="14">
        <v>45</v>
      </c>
      <c r="F681" s="13">
        <v>45726.416666666664</v>
      </c>
      <c r="G681" t="s">
        <v>1</v>
      </c>
      <c r="H681" t="s">
        <v>80</v>
      </c>
      <c r="I681" t="str">
        <f>IF(B681=IFERROR(VLOOKUP(B681,base!$L$1:$L$9,1,0),""),"Produtos",IF(B681=IFERROR(VLOOKUP(B681,base!$K$2:$K$8,1,0),""),"Serviços","Combos"))</f>
        <v>Serviços</v>
      </c>
      <c r="J681">
        <f t="shared" si="15"/>
        <v>15.75</v>
      </c>
    </row>
    <row r="682" spans="1:10">
      <c r="A682" t="s">
        <v>252</v>
      </c>
      <c r="B682" t="s">
        <v>167</v>
      </c>
      <c r="C682" t="s">
        <v>1359</v>
      </c>
      <c r="D682" s="14">
        <v>10</v>
      </c>
      <c r="F682" s="13">
        <v>45726.416666666664</v>
      </c>
      <c r="G682" t="s">
        <v>1</v>
      </c>
      <c r="H682" t="s">
        <v>80</v>
      </c>
      <c r="I682" t="str">
        <f>IF(B682=IFERROR(VLOOKUP(B682,base!$L$1:$L$9,1,0),""),"Produtos",IF(B682=IFERROR(VLOOKUP(B682,base!$K$2:$K$8,1,0),""),"Serviços","Combos"))</f>
        <v>Serviços</v>
      </c>
      <c r="J682">
        <f t="shared" si="15"/>
        <v>4.5</v>
      </c>
    </row>
    <row r="683" spans="1:10">
      <c r="A683" t="s">
        <v>519</v>
      </c>
      <c r="B683" t="s">
        <v>163</v>
      </c>
      <c r="C683" t="s">
        <v>1360</v>
      </c>
      <c r="D683" s="14">
        <v>35</v>
      </c>
      <c r="E683" s="14">
        <v>35</v>
      </c>
      <c r="F683" s="13">
        <v>45726.416666666664</v>
      </c>
      <c r="G683" t="s">
        <v>2</v>
      </c>
      <c r="H683" t="s">
        <v>288</v>
      </c>
      <c r="I683" t="str">
        <f>IF(B683=IFERROR(VLOOKUP(B683,base!$L$1:$L$9,1,0),""),"Produtos",IF(B683=IFERROR(VLOOKUP(B683,base!$K$2:$K$8,1,0),""),"Serviços","Combos"))</f>
        <v>Serviços</v>
      </c>
      <c r="J683">
        <f t="shared" si="15"/>
        <v>15.75</v>
      </c>
    </row>
    <row r="684" spans="1:10">
      <c r="A684" t="s">
        <v>252</v>
      </c>
      <c r="B684" t="s">
        <v>163</v>
      </c>
      <c r="C684" t="s">
        <v>1363</v>
      </c>
      <c r="D684" s="14">
        <v>35</v>
      </c>
      <c r="E684" s="14">
        <v>35</v>
      </c>
      <c r="F684" s="13">
        <v>45726.71875</v>
      </c>
      <c r="G684" t="s">
        <v>354</v>
      </c>
      <c r="H684" t="s">
        <v>781</v>
      </c>
      <c r="I684" t="str">
        <f>IF(B684=IFERROR(VLOOKUP(B684,base!$L$1:$L$9,1,0),""),"Produtos",IF(B684=IFERROR(VLOOKUP(B684,base!$K$2:$K$8,1,0),""),"Serviços","Combos"))</f>
        <v>Serviços</v>
      </c>
      <c r="J684">
        <f t="shared" si="15"/>
        <v>15.75</v>
      </c>
    </row>
    <row r="685" spans="1:10">
      <c r="A685" t="s">
        <v>519</v>
      </c>
      <c r="B685" t="s">
        <v>163</v>
      </c>
      <c r="C685" t="s">
        <v>1358</v>
      </c>
      <c r="D685" s="14">
        <v>35</v>
      </c>
      <c r="E685" s="14">
        <v>80</v>
      </c>
      <c r="F685" s="13">
        <v>45726.729166666664</v>
      </c>
      <c r="G685" t="s">
        <v>1</v>
      </c>
      <c r="H685" t="s">
        <v>372</v>
      </c>
      <c r="I685" t="str">
        <f>IF(B685=IFERROR(VLOOKUP(B685,base!$L$1:$L$9,1,0),""),"Produtos",IF(B685=IFERROR(VLOOKUP(B685,base!$K$2:$K$8,1,0),""),"Serviços","Combos"))</f>
        <v>Serviços</v>
      </c>
      <c r="J685">
        <f t="shared" ref="J685:J748" si="16">IF(AND(I685="Serviços",E685&gt;0),ROUND(D685*45%,2),IF(I685="Produtos",ROUND(D685*40%,2),D685*45%))</f>
        <v>15.75</v>
      </c>
    </row>
    <row r="686" spans="1:10">
      <c r="A686" t="s">
        <v>252</v>
      </c>
      <c r="B686" t="s">
        <v>163</v>
      </c>
      <c r="C686" t="s">
        <v>1358</v>
      </c>
      <c r="D686" s="14">
        <v>35</v>
      </c>
      <c r="F686" s="13">
        <v>45726.729166666664</v>
      </c>
      <c r="G686" t="s">
        <v>1</v>
      </c>
      <c r="H686" t="s">
        <v>372</v>
      </c>
      <c r="I686" t="str">
        <f>IF(B686=IFERROR(VLOOKUP(B686,base!$L$1:$L$9,1,0),""),"Produtos",IF(B686=IFERROR(VLOOKUP(B686,base!$K$2:$K$8,1,0),""),"Serviços","Combos"))</f>
        <v>Serviços</v>
      </c>
      <c r="J686">
        <f t="shared" si="16"/>
        <v>15.75</v>
      </c>
    </row>
    <row r="687" spans="1:10">
      <c r="A687" t="s">
        <v>252</v>
      </c>
      <c r="B687" t="s">
        <v>167</v>
      </c>
      <c r="C687" t="s">
        <v>1358</v>
      </c>
      <c r="D687" s="14">
        <v>10</v>
      </c>
      <c r="F687" s="13">
        <v>45726.729166666664</v>
      </c>
      <c r="G687" t="s">
        <v>1</v>
      </c>
      <c r="H687" t="s">
        <v>372</v>
      </c>
      <c r="I687" t="str">
        <f>IF(B687=IFERROR(VLOOKUP(B687,base!$L$1:$L$9,1,0),""),"Produtos",IF(B687=IFERROR(VLOOKUP(B687,base!$K$2:$K$8,1,0),""),"Serviços","Combos"))</f>
        <v>Serviços</v>
      </c>
      <c r="J687">
        <f t="shared" si="16"/>
        <v>4.5</v>
      </c>
    </row>
    <row r="688" spans="1:10">
      <c r="A688" t="s">
        <v>252</v>
      </c>
      <c r="B688" t="s">
        <v>163</v>
      </c>
      <c r="C688" t="s">
        <v>1361</v>
      </c>
      <c r="D688" s="14">
        <v>35</v>
      </c>
      <c r="E688" s="14">
        <v>60</v>
      </c>
      <c r="F688" s="13">
        <v>45726.729166666664</v>
      </c>
      <c r="G688" t="s">
        <v>1</v>
      </c>
      <c r="H688" t="s">
        <v>24</v>
      </c>
      <c r="I688" t="str">
        <f>IF(B688=IFERROR(VLOOKUP(B688,base!$L$1:$L$9,1,0),""),"Produtos",IF(B688=IFERROR(VLOOKUP(B688,base!$K$2:$K$8,1,0),""),"Serviços","Combos"))</f>
        <v>Serviços</v>
      </c>
      <c r="J688">
        <f t="shared" si="16"/>
        <v>15.75</v>
      </c>
    </row>
    <row r="689" spans="1:10">
      <c r="A689" t="s">
        <v>252</v>
      </c>
      <c r="B689" t="s">
        <v>508</v>
      </c>
      <c r="C689" t="s">
        <v>1361</v>
      </c>
      <c r="D689" s="14">
        <v>25</v>
      </c>
      <c r="F689" s="13">
        <v>45726.729166666664</v>
      </c>
      <c r="G689" t="s">
        <v>1</v>
      </c>
      <c r="H689" t="s">
        <v>24</v>
      </c>
      <c r="I689" t="str">
        <f>IF(B689=IFERROR(VLOOKUP(B689,base!$L$1:$L$9,1,0),""),"Produtos",IF(B689=IFERROR(VLOOKUP(B689,base!$K$2:$K$8,1,0),""),"Serviços","Combos"))</f>
        <v>Produtos</v>
      </c>
      <c r="J689">
        <f t="shared" si="16"/>
        <v>10</v>
      </c>
    </row>
    <row r="690" spans="1:10">
      <c r="A690" t="s">
        <v>519</v>
      </c>
      <c r="B690" t="s">
        <v>163</v>
      </c>
      <c r="C690" t="s">
        <v>1364</v>
      </c>
      <c r="D690" s="14">
        <v>35</v>
      </c>
      <c r="E690" s="14">
        <v>35</v>
      </c>
      <c r="F690" s="13">
        <v>45726.78125</v>
      </c>
      <c r="G690" t="s">
        <v>1</v>
      </c>
      <c r="H690" t="s">
        <v>52</v>
      </c>
      <c r="I690" t="str">
        <f>IF(B690=IFERROR(VLOOKUP(B690,base!$L$1:$L$9,1,0),""),"Produtos",IF(B690=IFERROR(VLOOKUP(B690,base!$K$2:$K$8,1,0),""),"Serviços","Combos"))</f>
        <v>Serviços</v>
      </c>
      <c r="J690">
        <f t="shared" si="16"/>
        <v>15.75</v>
      </c>
    </row>
    <row r="691" spans="1:10">
      <c r="A691" t="s">
        <v>519</v>
      </c>
      <c r="B691" t="s">
        <v>163</v>
      </c>
      <c r="C691" t="s">
        <v>1365</v>
      </c>
      <c r="D691" s="14">
        <v>35</v>
      </c>
      <c r="E691" s="14">
        <v>35</v>
      </c>
      <c r="F691" s="13">
        <v>45726.795138888891</v>
      </c>
      <c r="G691" t="s">
        <v>1</v>
      </c>
      <c r="H691" t="s">
        <v>191</v>
      </c>
      <c r="I691" t="str">
        <f>IF(B691=IFERROR(VLOOKUP(B691,base!$L$1:$L$9,1,0),""),"Produtos",IF(B691=IFERROR(VLOOKUP(B691,base!$K$2:$K$8,1,0),""),"Serviços","Combos"))</f>
        <v>Serviços</v>
      </c>
      <c r="J691">
        <f t="shared" si="16"/>
        <v>15.75</v>
      </c>
    </row>
    <row r="692" spans="1:10">
      <c r="A692" t="s">
        <v>252</v>
      </c>
      <c r="B692" t="s">
        <v>163</v>
      </c>
      <c r="C692" t="s">
        <v>1366</v>
      </c>
      <c r="D692" s="14">
        <v>35</v>
      </c>
      <c r="E692" s="14">
        <v>35</v>
      </c>
      <c r="F692" s="13">
        <v>45726.809027777781</v>
      </c>
      <c r="G692" t="s">
        <v>354</v>
      </c>
      <c r="H692" t="s">
        <v>783</v>
      </c>
      <c r="I692" t="str">
        <f>IF(B692=IFERROR(VLOOKUP(B692,base!$L$1:$L$9,1,0),""),"Produtos",IF(B692=IFERROR(VLOOKUP(B692,base!$K$2:$K$8,1,0),""),"Serviços","Combos"))</f>
        <v>Serviços</v>
      </c>
      <c r="J692">
        <f t="shared" si="16"/>
        <v>15.75</v>
      </c>
    </row>
    <row r="693" spans="1:10">
      <c r="A693" t="s">
        <v>252</v>
      </c>
      <c r="B693" t="s">
        <v>163</v>
      </c>
      <c r="C693" t="s">
        <v>1367</v>
      </c>
      <c r="D693" s="14">
        <v>35</v>
      </c>
      <c r="E693" s="14">
        <v>20</v>
      </c>
      <c r="F693" s="13">
        <v>45727.427083333336</v>
      </c>
      <c r="G693" t="s">
        <v>2</v>
      </c>
      <c r="H693" t="s">
        <v>1368</v>
      </c>
      <c r="I693" t="str">
        <f>IF(B693=IFERROR(VLOOKUP(B693,base!$L$1:$L$9,1,0),""),"Produtos",IF(B693=IFERROR(VLOOKUP(B693,base!$K$2:$K$8,1,0),""),"Serviços","Combos"))</f>
        <v>Serviços</v>
      </c>
      <c r="J693">
        <f t="shared" si="16"/>
        <v>15.75</v>
      </c>
    </row>
    <row r="694" spans="1:10">
      <c r="A694" t="s">
        <v>536</v>
      </c>
      <c r="B694" t="s">
        <v>163</v>
      </c>
      <c r="C694" t="s">
        <v>1369</v>
      </c>
      <c r="D694" s="14">
        <v>20</v>
      </c>
      <c r="E694" s="14">
        <v>20</v>
      </c>
      <c r="F694" s="13">
        <v>45727.427083333336</v>
      </c>
      <c r="G694" t="s">
        <v>1</v>
      </c>
      <c r="H694" t="s">
        <v>206</v>
      </c>
      <c r="I694" t="str">
        <f>IF(B694=IFERROR(VLOOKUP(B694,base!$L$1:$L$9,1,0),""),"Produtos",IF(B694=IFERROR(VLOOKUP(B694,base!$K$2:$K$8,1,0),""),"Serviços","Combos"))</f>
        <v>Serviços</v>
      </c>
      <c r="J694">
        <f t="shared" si="16"/>
        <v>9</v>
      </c>
    </row>
    <row r="695" spans="1:10">
      <c r="A695" t="s">
        <v>536</v>
      </c>
      <c r="B695" t="s">
        <v>163</v>
      </c>
      <c r="C695" t="s">
        <v>1370</v>
      </c>
      <c r="D695" s="14">
        <v>45</v>
      </c>
      <c r="E695" s="14">
        <v>45</v>
      </c>
      <c r="F695" s="13">
        <v>45727.458333333336</v>
      </c>
      <c r="G695" t="s">
        <v>1</v>
      </c>
      <c r="H695" t="s">
        <v>1371</v>
      </c>
      <c r="I695" t="str">
        <f>IF(B695=IFERROR(VLOOKUP(B695,base!$L$1:$L$9,1,0),""),"Produtos",IF(B695=IFERROR(VLOOKUP(B695,base!$K$2:$K$8,1,0),""),"Serviços","Combos"))</f>
        <v>Serviços</v>
      </c>
      <c r="J695">
        <f t="shared" si="16"/>
        <v>20.25</v>
      </c>
    </row>
    <row r="696" spans="1:10">
      <c r="A696" t="s">
        <v>252</v>
      </c>
      <c r="B696" t="s">
        <v>163</v>
      </c>
      <c r="C696" t="s">
        <v>1372</v>
      </c>
      <c r="D696" s="14">
        <v>35</v>
      </c>
      <c r="E696" s="14">
        <v>60</v>
      </c>
      <c r="F696" s="13">
        <v>45727.46875</v>
      </c>
      <c r="G696" t="s">
        <v>2</v>
      </c>
      <c r="H696" t="s">
        <v>789</v>
      </c>
      <c r="I696" t="str">
        <f>IF(B696=IFERROR(VLOOKUP(B696,base!$L$1:$L$9,1,0),""),"Produtos",IF(B696=IFERROR(VLOOKUP(B696,base!$K$2:$K$8,1,0),""),"Serviços","Combos"))</f>
        <v>Serviços</v>
      </c>
      <c r="J696">
        <f t="shared" si="16"/>
        <v>15.75</v>
      </c>
    </row>
    <row r="697" spans="1:10">
      <c r="A697" t="s">
        <v>252</v>
      </c>
      <c r="B697" t="s">
        <v>509</v>
      </c>
      <c r="C697" t="s">
        <v>1372</v>
      </c>
      <c r="D697" s="14">
        <v>25</v>
      </c>
      <c r="F697" s="13">
        <v>45727.46875</v>
      </c>
      <c r="G697" t="s">
        <v>2</v>
      </c>
      <c r="H697" t="s">
        <v>789</v>
      </c>
      <c r="I697" t="str">
        <f>IF(B697=IFERROR(VLOOKUP(B697,base!$L$1:$L$9,1,0),""),"Produtos",IF(B697=IFERROR(VLOOKUP(B697,base!$K$2:$K$8,1,0),""),"Serviços","Combos"))</f>
        <v>Produtos</v>
      </c>
      <c r="J697">
        <f t="shared" si="16"/>
        <v>10</v>
      </c>
    </row>
    <row r="698" spans="1:10">
      <c r="A698" t="s">
        <v>252</v>
      </c>
      <c r="B698" t="s">
        <v>163</v>
      </c>
      <c r="C698" t="s">
        <v>1373</v>
      </c>
      <c r="D698" s="14">
        <v>35</v>
      </c>
      <c r="E698" s="14">
        <v>35</v>
      </c>
      <c r="F698" s="13">
        <v>45727.53125</v>
      </c>
      <c r="G698" t="s">
        <v>1</v>
      </c>
      <c r="H698" t="s">
        <v>122</v>
      </c>
      <c r="I698" t="str">
        <f>IF(B698=IFERROR(VLOOKUP(B698,base!$L$1:$L$9,1,0),""),"Produtos",IF(B698=IFERROR(VLOOKUP(B698,base!$K$2:$K$8,1,0),""),"Serviços","Combos"))</f>
        <v>Serviços</v>
      </c>
      <c r="J698">
        <f t="shared" si="16"/>
        <v>15.75</v>
      </c>
    </row>
    <row r="699" spans="1:10">
      <c r="A699" t="s">
        <v>536</v>
      </c>
      <c r="B699" t="s">
        <v>472</v>
      </c>
      <c r="C699" t="s">
        <v>1380</v>
      </c>
      <c r="D699" s="14">
        <v>40</v>
      </c>
      <c r="E699" s="14">
        <v>40</v>
      </c>
      <c r="F699" s="13">
        <v>45727.53125</v>
      </c>
      <c r="G699" t="s">
        <v>2</v>
      </c>
      <c r="H699" t="s">
        <v>1381</v>
      </c>
      <c r="I699" t="str">
        <f>IF(B699=IFERROR(VLOOKUP(B699,base!$L$1:$L$9,1,0),""),"Produtos",IF(B699=IFERROR(VLOOKUP(B699,base!$K$2:$K$8,1,0),""),"Serviços","Combos"))</f>
        <v>Produtos</v>
      </c>
      <c r="J699">
        <f t="shared" si="16"/>
        <v>16</v>
      </c>
    </row>
    <row r="700" spans="1:10">
      <c r="A700" t="s">
        <v>519</v>
      </c>
      <c r="B700" t="s">
        <v>163</v>
      </c>
      <c r="C700" t="s">
        <v>1374</v>
      </c>
      <c r="D700" s="14">
        <v>35</v>
      </c>
      <c r="E700" s="14">
        <v>35</v>
      </c>
      <c r="F700" s="13">
        <v>45727.569444444445</v>
      </c>
      <c r="G700" t="s">
        <v>1</v>
      </c>
      <c r="H700" t="s">
        <v>1375</v>
      </c>
      <c r="I700" t="str">
        <f>IF(B700=IFERROR(VLOOKUP(B700,base!$L$1:$L$9,1,0),""),"Produtos",IF(B700=IFERROR(VLOOKUP(B700,base!$K$2:$K$8,1,0),""),"Serviços","Combos"))</f>
        <v>Serviços</v>
      </c>
      <c r="J700">
        <f t="shared" si="16"/>
        <v>15.75</v>
      </c>
    </row>
    <row r="701" spans="1:10">
      <c r="A701" t="s">
        <v>252</v>
      </c>
      <c r="B701" t="s">
        <v>163</v>
      </c>
      <c r="C701" t="s">
        <v>1376</v>
      </c>
      <c r="D701" s="14">
        <v>35</v>
      </c>
      <c r="E701" s="14">
        <v>55</v>
      </c>
      <c r="F701" s="13">
        <v>45727.604166666664</v>
      </c>
      <c r="G701" t="s">
        <v>1377</v>
      </c>
      <c r="H701" t="s">
        <v>276</v>
      </c>
      <c r="I701" t="str">
        <f>IF(B701=IFERROR(VLOOKUP(B701,base!$L$1:$L$9,1,0),""),"Produtos",IF(B701=IFERROR(VLOOKUP(B701,base!$K$2:$K$8,1,0),""),"Serviços","Combos"))</f>
        <v>Serviços</v>
      </c>
      <c r="J701">
        <f t="shared" si="16"/>
        <v>15.75</v>
      </c>
    </row>
    <row r="702" spans="1:10">
      <c r="A702" t="s">
        <v>252</v>
      </c>
      <c r="B702" t="s">
        <v>166</v>
      </c>
      <c r="C702" t="s">
        <v>1376</v>
      </c>
      <c r="D702" s="14">
        <v>20</v>
      </c>
      <c r="F702" s="13">
        <v>45727.604166666664</v>
      </c>
      <c r="G702" t="s">
        <v>1377</v>
      </c>
      <c r="H702" t="s">
        <v>276</v>
      </c>
      <c r="I702" t="str">
        <f>IF(B702=IFERROR(VLOOKUP(B702,base!$L$1:$L$9,1,0),""),"Produtos",IF(B702=IFERROR(VLOOKUP(B702,base!$K$2:$K$8,1,0),""),"Serviços","Combos"))</f>
        <v>Serviços</v>
      </c>
      <c r="J702">
        <f t="shared" si="16"/>
        <v>9</v>
      </c>
    </row>
    <row r="703" spans="1:10">
      <c r="A703" t="s">
        <v>519</v>
      </c>
      <c r="B703" t="s">
        <v>163</v>
      </c>
      <c r="C703" t="s">
        <v>1382</v>
      </c>
      <c r="D703" s="14">
        <v>35</v>
      </c>
      <c r="E703" s="14">
        <v>45</v>
      </c>
      <c r="F703" s="13">
        <v>45727.78125</v>
      </c>
      <c r="G703" t="s">
        <v>2</v>
      </c>
      <c r="H703" t="s">
        <v>77</v>
      </c>
      <c r="I703" t="str">
        <f>IF(B703=IFERROR(VLOOKUP(B703,base!$L$1:$L$9,1,0),""),"Produtos",IF(B703=IFERROR(VLOOKUP(B703,base!$K$2:$K$8,1,0),""),"Serviços","Combos"))</f>
        <v>Serviços</v>
      </c>
      <c r="J703">
        <f t="shared" si="16"/>
        <v>15.75</v>
      </c>
    </row>
    <row r="704" spans="1:10">
      <c r="A704" t="s">
        <v>519</v>
      </c>
      <c r="B704" t="s">
        <v>167</v>
      </c>
      <c r="C704" t="s">
        <v>1382</v>
      </c>
      <c r="D704" s="14">
        <v>10</v>
      </c>
      <c r="F704" s="13">
        <v>45727.78125</v>
      </c>
      <c r="G704" t="s">
        <v>2</v>
      </c>
      <c r="H704" t="s">
        <v>77</v>
      </c>
      <c r="I704" t="str">
        <f>IF(B704=IFERROR(VLOOKUP(B704,base!$L$1:$L$9,1,0),""),"Produtos",IF(B704=IFERROR(VLOOKUP(B704,base!$K$2:$K$8,1,0),""),"Serviços","Combos"))</f>
        <v>Serviços</v>
      </c>
      <c r="J704">
        <f t="shared" si="16"/>
        <v>4.5</v>
      </c>
    </row>
    <row r="705" spans="1:10">
      <c r="A705" t="s">
        <v>536</v>
      </c>
      <c r="B705" t="s">
        <v>1046</v>
      </c>
      <c r="C705" t="s">
        <v>1383</v>
      </c>
      <c r="D705" s="14">
        <v>35</v>
      </c>
      <c r="E705" s="14">
        <v>55</v>
      </c>
      <c r="F705" s="13">
        <v>45727.791666666664</v>
      </c>
      <c r="G705" t="s">
        <v>1</v>
      </c>
      <c r="H705" t="s">
        <v>502</v>
      </c>
      <c r="I705" t="str">
        <f>IF(B705=IFERROR(VLOOKUP(B705,base!$L$1:$L$9,1,0),""),"Produtos",IF(B705=IFERROR(VLOOKUP(B705,base!$K$2:$K$8,1,0),""),"Serviços","Combos"))</f>
        <v>Combos</v>
      </c>
      <c r="J705">
        <f t="shared" si="16"/>
        <v>15.75</v>
      </c>
    </row>
    <row r="706" spans="1:10">
      <c r="A706" t="s">
        <v>536</v>
      </c>
      <c r="B706" t="s">
        <v>160</v>
      </c>
      <c r="C706" t="s">
        <v>1383</v>
      </c>
      <c r="D706" s="14">
        <v>12</v>
      </c>
      <c r="F706" s="13">
        <v>45727.791666666664</v>
      </c>
      <c r="G706" t="s">
        <v>1</v>
      </c>
      <c r="H706" t="s">
        <v>502</v>
      </c>
      <c r="I706" t="str">
        <f>IF(B706=IFERROR(VLOOKUP(B706,base!$L$1:$L$9,1,0),""),"Produtos",IF(B706=IFERROR(VLOOKUP(B706,base!$K$2:$K$8,1,0),""),"Serviços","Combos"))</f>
        <v>Serviços</v>
      </c>
      <c r="J706">
        <f t="shared" si="16"/>
        <v>5.4</v>
      </c>
    </row>
    <row r="707" spans="1:10">
      <c r="A707" t="s">
        <v>536</v>
      </c>
      <c r="B707" t="s">
        <v>910</v>
      </c>
      <c r="C707" t="s">
        <v>1383</v>
      </c>
      <c r="D707" s="14">
        <v>8</v>
      </c>
      <c r="F707" s="13">
        <v>45727.791666666664</v>
      </c>
      <c r="G707" t="s">
        <v>1</v>
      </c>
      <c r="H707" t="s">
        <v>502</v>
      </c>
      <c r="I707" t="str">
        <f>IF(B707=IFERROR(VLOOKUP(B707,base!$L$1:$L$9,1,0),""),"Produtos",IF(B707=IFERROR(VLOOKUP(B707,base!$K$2:$K$8,1,0),""),"Serviços","Combos"))</f>
        <v>Combos</v>
      </c>
      <c r="J707">
        <f t="shared" si="16"/>
        <v>3.6</v>
      </c>
    </row>
    <row r="708" spans="1:10">
      <c r="A708" t="s">
        <v>519</v>
      </c>
      <c r="B708" t="s">
        <v>163</v>
      </c>
      <c r="C708" t="s">
        <v>1384</v>
      </c>
      <c r="D708" s="14">
        <v>35</v>
      </c>
      <c r="E708" s="14">
        <v>70</v>
      </c>
      <c r="F708" s="13">
        <v>45727.802083333336</v>
      </c>
      <c r="G708" t="s">
        <v>354</v>
      </c>
      <c r="H708" t="s">
        <v>187</v>
      </c>
      <c r="I708" t="str">
        <f>IF(B708=IFERROR(VLOOKUP(B708,base!$L$1:$L$9,1,0),""),"Produtos",IF(B708=IFERROR(VLOOKUP(B708,base!$K$2:$K$8,1,0),""),"Serviços","Combos"))</f>
        <v>Serviços</v>
      </c>
      <c r="J708">
        <f t="shared" si="16"/>
        <v>15.75</v>
      </c>
    </row>
    <row r="709" spans="1:10">
      <c r="A709" t="s">
        <v>252</v>
      </c>
      <c r="B709" t="s">
        <v>163</v>
      </c>
      <c r="C709" t="s">
        <v>1384</v>
      </c>
      <c r="D709" s="14">
        <v>35</v>
      </c>
      <c r="F709" s="13">
        <v>45727.802083333336</v>
      </c>
      <c r="G709" t="s">
        <v>354</v>
      </c>
      <c r="H709" t="s">
        <v>187</v>
      </c>
      <c r="I709" t="str">
        <f>IF(B709=IFERROR(VLOOKUP(B709,base!$L$1:$L$9,1,0),""),"Produtos",IF(B709=IFERROR(VLOOKUP(B709,base!$K$2:$K$8,1,0),""),"Serviços","Combos"))</f>
        <v>Serviços</v>
      </c>
      <c r="J709">
        <f t="shared" si="16"/>
        <v>15.75</v>
      </c>
    </row>
    <row r="710" spans="1:10">
      <c r="A710" t="s">
        <v>536</v>
      </c>
      <c r="B710" t="s">
        <v>1046</v>
      </c>
      <c r="C710" t="s">
        <v>1385</v>
      </c>
      <c r="D710" s="14">
        <v>20</v>
      </c>
      <c r="E710" s="14">
        <v>20</v>
      </c>
      <c r="F710" s="13">
        <v>45727.826388888891</v>
      </c>
      <c r="G710" t="s">
        <v>310</v>
      </c>
      <c r="H710" t="s">
        <v>376</v>
      </c>
      <c r="I710" t="str">
        <f>IF(B710=IFERROR(VLOOKUP(B710,base!$L$1:$L$9,1,0),""),"Produtos",IF(B710=IFERROR(VLOOKUP(B710,base!$K$2:$K$8,1,0),""),"Serviços","Combos"))</f>
        <v>Combos</v>
      </c>
      <c r="J710">
        <f t="shared" si="16"/>
        <v>9</v>
      </c>
    </row>
    <row r="711" spans="1:10">
      <c r="A711" t="s">
        <v>519</v>
      </c>
      <c r="B711" t="s">
        <v>163</v>
      </c>
      <c r="C711" t="s">
        <v>1386</v>
      </c>
      <c r="D711" s="14">
        <v>35</v>
      </c>
      <c r="E711" s="14">
        <v>35</v>
      </c>
      <c r="F711" s="13">
        <v>45727.847222222219</v>
      </c>
      <c r="G711" t="s">
        <v>1</v>
      </c>
      <c r="H711" t="s">
        <v>1387</v>
      </c>
      <c r="I711" t="str">
        <f>IF(B711=IFERROR(VLOOKUP(B711,base!$L$1:$L$9,1,0),""),"Produtos",IF(B711=IFERROR(VLOOKUP(B711,base!$K$2:$K$8,1,0),""),"Serviços","Combos"))</f>
        <v>Serviços</v>
      </c>
      <c r="J711">
        <f t="shared" si="16"/>
        <v>15.75</v>
      </c>
    </row>
    <row r="712" spans="1:10">
      <c r="A712" t="s">
        <v>536</v>
      </c>
      <c r="B712" t="s">
        <v>163</v>
      </c>
      <c r="C712" t="s">
        <v>1388</v>
      </c>
      <c r="D712" s="14">
        <v>35</v>
      </c>
      <c r="E712" s="14">
        <v>75</v>
      </c>
      <c r="F712" s="13">
        <v>45727.916666666664</v>
      </c>
      <c r="G712" t="s">
        <v>1</v>
      </c>
      <c r="H712" t="s">
        <v>1083</v>
      </c>
      <c r="I712" t="str">
        <f>IF(B712=IFERROR(VLOOKUP(B712,base!$L$1:$L$9,1,0),""),"Produtos",IF(B712=IFERROR(VLOOKUP(B712,base!$K$2:$K$8,1,0),""),"Serviços","Combos"))</f>
        <v>Serviços</v>
      </c>
      <c r="J712">
        <f t="shared" si="16"/>
        <v>15.75</v>
      </c>
    </row>
    <row r="713" spans="1:10">
      <c r="A713" t="s">
        <v>536</v>
      </c>
      <c r="B713" t="s">
        <v>472</v>
      </c>
      <c r="C713" t="s">
        <v>1388</v>
      </c>
      <c r="D713" s="14">
        <v>40</v>
      </c>
      <c r="F713" s="13">
        <v>45727.916666666664</v>
      </c>
      <c r="G713" t="s">
        <v>1</v>
      </c>
      <c r="H713" t="s">
        <v>1083</v>
      </c>
      <c r="I713" t="str">
        <f>IF(B713=IFERROR(VLOOKUP(B713,base!$L$1:$L$9,1,0),""),"Produtos",IF(B713=IFERROR(VLOOKUP(B713,base!$K$2:$K$8,1,0),""),"Serviços","Combos"))</f>
        <v>Produtos</v>
      </c>
      <c r="J713">
        <f t="shared" si="16"/>
        <v>16</v>
      </c>
    </row>
    <row r="714" spans="1:10">
      <c r="A714" t="s">
        <v>519</v>
      </c>
      <c r="B714" t="s">
        <v>163</v>
      </c>
      <c r="C714" t="s">
        <v>1389</v>
      </c>
      <c r="D714" s="14">
        <v>35</v>
      </c>
      <c r="E714" s="14">
        <v>50</v>
      </c>
      <c r="F714" s="13">
        <v>45728.416666666664</v>
      </c>
      <c r="G714" t="s">
        <v>1</v>
      </c>
      <c r="H714" t="s">
        <v>473</v>
      </c>
      <c r="I714" t="str">
        <f>IF(B714=IFERROR(VLOOKUP(B714,base!$L$1:$L$9,1,0),""),"Produtos",IF(B714=IFERROR(VLOOKUP(B714,base!$K$2:$K$8,1,0),""),"Serviços","Combos"))</f>
        <v>Serviços</v>
      </c>
      <c r="J714">
        <f t="shared" si="16"/>
        <v>15.75</v>
      </c>
    </row>
    <row r="715" spans="1:10">
      <c r="A715" t="s">
        <v>519</v>
      </c>
      <c r="B715" t="s">
        <v>1187</v>
      </c>
      <c r="C715" t="s">
        <v>1389</v>
      </c>
      <c r="D715" s="14">
        <v>15</v>
      </c>
      <c r="F715" s="13">
        <v>45728.416666666664</v>
      </c>
      <c r="G715" t="s">
        <v>1</v>
      </c>
      <c r="H715" t="s">
        <v>473</v>
      </c>
      <c r="I715" t="str">
        <f>IF(B715=IFERROR(VLOOKUP(B715,base!$L$1:$L$9,1,0),""),"Produtos",IF(B715=IFERROR(VLOOKUP(B715,base!$K$2:$K$8,1,0),""),"Serviços","Combos"))</f>
        <v>Combos</v>
      </c>
      <c r="J715">
        <f t="shared" si="16"/>
        <v>6.75</v>
      </c>
    </row>
    <row r="716" spans="1:10">
      <c r="A716" t="s">
        <v>536</v>
      </c>
      <c r="B716" t="s">
        <v>1046</v>
      </c>
      <c r="C716" t="s">
        <v>1390</v>
      </c>
      <c r="D716" s="14">
        <v>35</v>
      </c>
      <c r="E716" s="14">
        <v>70</v>
      </c>
      <c r="F716" s="13">
        <v>45728.416666666664</v>
      </c>
      <c r="G716" t="s">
        <v>1</v>
      </c>
      <c r="H716" t="s">
        <v>1198</v>
      </c>
      <c r="I716" t="str">
        <f>IF(B716=IFERROR(VLOOKUP(B716,base!$L$1:$L$9,1,0),""),"Produtos",IF(B716=IFERROR(VLOOKUP(B716,base!$K$2:$K$8,1,0),""),"Serviços","Combos"))</f>
        <v>Combos</v>
      </c>
      <c r="J716">
        <f t="shared" si="16"/>
        <v>15.75</v>
      </c>
    </row>
    <row r="717" spans="1:10">
      <c r="A717" t="s">
        <v>536</v>
      </c>
      <c r="B717" t="s">
        <v>513</v>
      </c>
      <c r="C717" t="s">
        <v>1390</v>
      </c>
      <c r="D717" s="14">
        <v>35</v>
      </c>
      <c r="F717" s="13">
        <v>45728.416666666664</v>
      </c>
      <c r="G717" t="s">
        <v>1</v>
      </c>
      <c r="H717" t="s">
        <v>1198</v>
      </c>
      <c r="I717" t="str">
        <f>IF(B717=IFERROR(VLOOKUP(B717,base!$L$1:$L$9,1,0),""),"Produtos",IF(B717=IFERROR(VLOOKUP(B717,base!$K$2:$K$8,1,0),""),"Serviços","Combos"))</f>
        <v>Produtos</v>
      </c>
      <c r="J717">
        <f t="shared" si="16"/>
        <v>14</v>
      </c>
    </row>
    <row r="718" spans="1:10">
      <c r="A718" t="s">
        <v>519</v>
      </c>
      <c r="B718" t="s">
        <v>163</v>
      </c>
      <c r="C718" t="s">
        <v>1378</v>
      </c>
      <c r="D718" s="14">
        <v>35</v>
      </c>
      <c r="E718" s="14">
        <v>35</v>
      </c>
      <c r="F718" s="13">
        <v>45728.583333333336</v>
      </c>
      <c r="G718" t="s">
        <v>1</v>
      </c>
      <c r="H718" t="s">
        <v>1379</v>
      </c>
      <c r="I718" t="str">
        <f>IF(B718=IFERROR(VLOOKUP(B718,base!$L$1:$L$9,1,0),""),"Produtos",IF(B718=IFERROR(VLOOKUP(B718,base!$K$2:$K$8,1,0),""),"Serviços","Combos"))</f>
        <v>Serviços</v>
      </c>
      <c r="J718">
        <f t="shared" si="16"/>
        <v>15.75</v>
      </c>
    </row>
    <row r="719" spans="1:10">
      <c r="A719" t="s">
        <v>536</v>
      </c>
      <c r="B719" t="s">
        <v>163</v>
      </c>
      <c r="C719" t="s">
        <v>1392</v>
      </c>
      <c r="D719" s="14">
        <v>35</v>
      </c>
      <c r="E719" s="14">
        <v>35</v>
      </c>
      <c r="F719" s="13">
        <v>45728.625</v>
      </c>
      <c r="G719" t="s">
        <v>1</v>
      </c>
      <c r="H719" t="s">
        <v>1127</v>
      </c>
      <c r="I719" t="str">
        <f>IF(B719=IFERROR(VLOOKUP(B719,base!$L$1:$L$9,1,0),""),"Produtos",IF(B719=IFERROR(VLOOKUP(B719,base!$K$2:$K$8,1,0),""),"Serviços","Combos"))</f>
        <v>Serviços</v>
      </c>
      <c r="J719">
        <f t="shared" si="16"/>
        <v>15.75</v>
      </c>
    </row>
    <row r="720" spans="1:10">
      <c r="A720" t="s">
        <v>536</v>
      </c>
      <c r="B720" t="s">
        <v>163</v>
      </c>
      <c r="C720" t="s">
        <v>1393</v>
      </c>
      <c r="D720" s="14">
        <v>35</v>
      </c>
      <c r="E720" s="14">
        <v>45</v>
      </c>
      <c r="F720" s="13">
        <v>45728.71875</v>
      </c>
      <c r="G720" t="s">
        <v>1</v>
      </c>
      <c r="H720" t="s">
        <v>1134</v>
      </c>
      <c r="I720" t="str">
        <f>IF(B720=IFERROR(VLOOKUP(B720,base!$L$1:$L$9,1,0),""),"Produtos",IF(B720=IFERROR(VLOOKUP(B720,base!$K$2:$K$8,1,0),""),"Serviços","Combos"))</f>
        <v>Serviços</v>
      </c>
      <c r="J720">
        <f t="shared" si="16"/>
        <v>15.75</v>
      </c>
    </row>
    <row r="721" spans="1:10">
      <c r="A721" t="s">
        <v>536</v>
      </c>
      <c r="B721" t="s">
        <v>167</v>
      </c>
      <c r="C721" t="s">
        <v>1393</v>
      </c>
      <c r="D721" s="14">
        <v>10</v>
      </c>
      <c r="F721" s="13">
        <v>45728.71875</v>
      </c>
      <c r="G721" t="s">
        <v>1</v>
      </c>
      <c r="H721" t="s">
        <v>1134</v>
      </c>
      <c r="I721" t="str">
        <f>IF(B721=IFERROR(VLOOKUP(B721,base!$L$1:$L$9,1,0),""),"Produtos",IF(B721=IFERROR(VLOOKUP(B721,base!$K$2:$K$8,1,0),""),"Serviços","Combos"))</f>
        <v>Serviços</v>
      </c>
      <c r="J721">
        <f t="shared" si="16"/>
        <v>4.5</v>
      </c>
    </row>
    <row r="722" spans="1:10">
      <c r="A722" t="s">
        <v>519</v>
      </c>
      <c r="B722" t="s">
        <v>163</v>
      </c>
      <c r="C722" t="s">
        <v>1391</v>
      </c>
      <c r="D722" s="14">
        <v>35</v>
      </c>
      <c r="E722" s="14">
        <v>35</v>
      </c>
      <c r="F722" s="13">
        <v>45728.729166666664</v>
      </c>
      <c r="G722" t="s">
        <v>1</v>
      </c>
      <c r="H722" t="s">
        <v>37</v>
      </c>
      <c r="I722" t="str">
        <f>IF(B722=IFERROR(VLOOKUP(B722,base!$L$1:$L$9,1,0),""),"Produtos",IF(B722=IFERROR(VLOOKUP(B722,base!$K$2:$K$8,1,0),""),"Serviços","Combos"))</f>
        <v>Serviços</v>
      </c>
      <c r="J722">
        <f t="shared" si="16"/>
        <v>15.75</v>
      </c>
    </row>
    <row r="723" spans="1:10">
      <c r="A723" t="s">
        <v>536</v>
      </c>
      <c r="B723" t="s">
        <v>163</v>
      </c>
      <c r="C723" t="s">
        <v>1396</v>
      </c>
      <c r="D723" s="14">
        <v>35</v>
      </c>
      <c r="E723" s="14">
        <v>35</v>
      </c>
      <c r="F723" s="13">
        <v>45728.770833333336</v>
      </c>
      <c r="G723" t="s">
        <v>1</v>
      </c>
      <c r="H723" t="s">
        <v>1397</v>
      </c>
      <c r="I723" t="str">
        <f>IF(B723=IFERROR(VLOOKUP(B723,base!$L$1:$L$9,1,0),""),"Produtos",IF(B723=IFERROR(VLOOKUP(B723,base!$K$2:$K$8,1,0),""),"Serviços","Combos"))</f>
        <v>Serviços</v>
      </c>
      <c r="J723">
        <f t="shared" si="16"/>
        <v>15.75</v>
      </c>
    </row>
    <row r="724" spans="1:10">
      <c r="A724" t="s">
        <v>519</v>
      </c>
      <c r="B724" t="s">
        <v>163</v>
      </c>
      <c r="C724" t="s">
        <v>1400</v>
      </c>
      <c r="D724" s="14">
        <v>20</v>
      </c>
      <c r="E724" s="14">
        <v>20</v>
      </c>
      <c r="F724" s="13">
        <v>45728.78125</v>
      </c>
      <c r="G724" t="s">
        <v>2</v>
      </c>
      <c r="H724" t="s">
        <v>208</v>
      </c>
      <c r="I724" t="str">
        <f>IF(B724=IFERROR(VLOOKUP(B724,base!$L$1:$L$9,1,0),""),"Produtos",IF(B724=IFERROR(VLOOKUP(B724,base!$K$2:$K$8,1,0),""),"Serviços","Combos"))</f>
        <v>Serviços</v>
      </c>
      <c r="J724">
        <f t="shared" si="16"/>
        <v>9</v>
      </c>
    </row>
    <row r="725" spans="1:10">
      <c r="A725" t="s">
        <v>536</v>
      </c>
      <c r="B725" t="s">
        <v>163</v>
      </c>
      <c r="C725" t="s">
        <v>1394</v>
      </c>
      <c r="D725" s="14">
        <v>35</v>
      </c>
      <c r="E725" s="14">
        <v>40</v>
      </c>
      <c r="F725" s="13">
        <v>45728.791666666664</v>
      </c>
      <c r="G725" t="s">
        <v>2</v>
      </c>
      <c r="H725" t="s">
        <v>856</v>
      </c>
      <c r="I725" t="str">
        <f>IF(B725=IFERROR(VLOOKUP(B725,base!$L$1:$L$9,1,0),""),"Produtos",IF(B725=IFERROR(VLOOKUP(B725,base!$K$2:$K$8,1,0),""),"Serviços","Combos"))</f>
        <v>Serviços</v>
      </c>
      <c r="J725">
        <f t="shared" si="16"/>
        <v>15.75</v>
      </c>
    </row>
    <row r="726" spans="1:10">
      <c r="A726" t="s">
        <v>536</v>
      </c>
      <c r="B726" t="s">
        <v>910</v>
      </c>
      <c r="C726" t="s">
        <v>1394</v>
      </c>
      <c r="D726" s="14">
        <v>5</v>
      </c>
      <c r="F726" s="13">
        <v>45728.791666666664</v>
      </c>
      <c r="G726" t="s">
        <v>2</v>
      </c>
      <c r="H726" t="s">
        <v>856</v>
      </c>
      <c r="I726" t="str">
        <f>IF(B726=IFERROR(VLOOKUP(B726,base!$L$1:$L$9,1,0),""),"Produtos",IF(B726=IFERROR(VLOOKUP(B726,base!$K$2:$K$8,1,0),""),"Serviços","Combos"))</f>
        <v>Combos</v>
      </c>
      <c r="J726">
        <f t="shared" si="16"/>
        <v>2.25</v>
      </c>
    </row>
    <row r="727" spans="1:10">
      <c r="A727" t="s">
        <v>519</v>
      </c>
      <c r="B727" t="s">
        <v>163</v>
      </c>
      <c r="C727" t="s">
        <v>1395</v>
      </c>
      <c r="D727" s="14">
        <v>35</v>
      </c>
      <c r="E727" s="14">
        <v>35</v>
      </c>
      <c r="F727" s="13">
        <v>45728.802083333336</v>
      </c>
      <c r="G727" t="s">
        <v>1</v>
      </c>
      <c r="H727" t="s">
        <v>53</v>
      </c>
      <c r="I727" t="str">
        <f>IF(B727=IFERROR(VLOOKUP(B727,base!$L$1:$L$9,1,0),""),"Produtos",IF(B727=IFERROR(VLOOKUP(B727,base!$K$2:$K$8,1,0),""),"Serviços","Combos"))</f>
        <v>Serviços</v>
      </c>
      <c r="J727">
        <f t="shared" si="16"/>
        <v>15.75</v>
      </c>
    </row>
    <row r="728" spans="1:10">
      <c r="A728" t="s">
        <v>519</v>
      </c>
      <c r="B728" t="s">
        <v>163</v>
      </c>
      <c r="C728" t="s">
        <v>1398</v>
      </c>
      <c r="D728" s="14">
        <v>35</v>
      </c>
      <c r="E728" s="14">
        <v>50</v>
      </c>
      <c r="F728" s="13">
        <v>45728.819444444445</v>
      </c>
      <c r="G728" t="s">
        <v>2</v>
      </c>
      <c r="H728" t="s">
        <v>278</v>
      </c>
      <c r="I728" t="str">
        <f>IF(B728=IFERROR(VLOOKUP(B728,base!$L$1:$L$9,1,0),""),"Produtos",IF(B728=IFERROR(VLOOKUP(B728,base!$K$2:$K$8,1,0),""),"Serviços","Combos"))</f>
        <v>Serviços</v>
      </c>
      <c r="J728">
        <f t="shared" si="16"/>
        <v>15.75</v>
      </c>
    </row>
    <row r="729" spans="1:10">
      <c r="A729" t="s">
        <v>519</v>
      </c>
      <c r="B729" t="s">
        <v>1046</v>
      </c>
      <c r="C729" t="s">
        <v>1398</v>
      </c>
      <c r="D729" s="14">
        <v>15</v>
      </c>
      <c r="F729" s="13">
        <v>45728.819444444445</v>
      </c>
      <c r="G729" t="s">
        <v>2</v>
      </c>
      <c r="H729" t="s">
        <v>278</v>
      </c>
      <c r="I729" t="str">
        <f>IF(B729=IFERROR(VLOOKUP(B729,base!$L$1:$L$9,1,0),""),"Produtos",IF(B729=IFERROR(VLOOKUP(B729,base!$K$2:$K$8,1,0),""),"Serviços","Combos"))</f>
        <v>Combos</v>
      </c>
      <c r="J729">
        <f t="shared" si="16"/>
        <v>6.75</v>
      </c>
    </row>
    <row r="730" spans="1:10">
      <c r="A730" t="s">
        <v>519</v>
      </c>
      <c r="B730" t="s">
        <v>163</v>
      </c>
      <c r="C730" t="s">
        <v>1399</v>
      </c>
      <c r="D730" s="14">
        <v>35</v>
      </c>
      <c r="E730" s="14">
        <v>35</v>
      </c>
      <c r="F730" s="13">
        <v>45728.836805555555</v>
      </c>
      <c r="G730" t="s">
        <v>354</v>
      </c>
      <c r="H730" t="s">
        <v>1081</v>
      </c>
      <c r="I730" t="str">
        <f>IF(B730=IFERROR(VLOOKUP(B730,base!$L$1:$L$9,1,0),""),"Produtos",IF(B730=IFERROR(VLOOKUP(B730,base!$K$2:$K$8,1,0),""),"Serviços","Combos"))</f>
        <v>Serviços</v>
      </c>
      <c r="J730">
        <f t="shared" si="16"/>
        <v>15.75</v>
      </c>
    </row>
    <row r="731" spans="1:10">
      <c r="A731" t="s">
        <v>536</v>
      </c>
      <c r="B731" t="s">
        <v>163</v>
      </c>
      <c r="C731" t="s">
        <v>1402</v>
      </c>
      <c r="D731" s="14">
        <v>35</v>
      </c>
      <c r="E731" s="14">
        <v>35</v>
      </c>
      <c r="F731" s="13">
        <v>45729.416666666664</v>
      </c>
      <c r="G731" t="s">
        <v>1</v>
      </c>
      <c r="H731" t="s">
        <v>1403</v>
      </c>
      <c r="I731" t="str">
        <f>IF(B731=IFERROR(VLOOKUP(B731,base!$L$1:$L$9,1,0),""),"Produtos",IF(B731=IFERROR(VLOOKUP(B731,base!$K$2:$K$8,1,0),""),"Serviços","Combos"))</f>
        <v>Serviços</v>
      </c>
      <c r="J731">
        <f t="shared" si="16"/>
        <v>15.75</v>
      </c>
    </row>
    <row r="732" spans="1:10">
      <c r="A732" t="s">
        <v>519</v>
      </c>
      <c r="B732" t="s">
        <v>353</v>
      </c>
      <c r="C732" t="s">
        <v>1404</v>
      </c>
      <c r="D732" s="14">
        <v>60</v>
      </c>
      <c r="E732" s="14">
        <v>60</v>
      </c>
      <c r="F732" s="13">
        <v>45729.458333333336</v>
      </c>
      <c r="G732" t="s">
        <v>354</v>
      </c>
      <c r="H732" t="s">
        <v>1405</v>
      </c>
      <c r="I732" t="str">
        <f>IF(B732=IFERROR(VLOOKUP(B732,base!$L$1:$L$9,1,0),""),"Produtos",IF(B732=IFERROR(VLOOKUP(B732,base!$K$2:$K$8,1,0),""),"Serviços","Combos"))</f>
        <v>Combos</v>
      </c>
      <c r="J732">
        <f t="shared" si="16"/>
        <v>27</v>
      </c>
    </row>
    <row r="733" spans="1:10">
      <c r="A733" t="s">
        <v>252</v>
      </c>
      <c r="B733" t="s">
        <v>163</v>
      </c>
      <c r="C733" t="s">
        <v>1406</v>
      </c>
      <c r="D733" s="14">
        <v>35</v>
      </c>
      <c r="E733" s="14">
        <v>35</v>
      </c>
      <c r="F733" s="13">
        <v>45729.510416666664</v>
      </c>
      <c r="G733" t="s">
        <v>1</v>
      </c>
      <c r="H733" t="s">
        <v>403</v>
      </c>
      <c r="I733" t="str">
        <f>IF(B733=IFERROR(VLOOKUP(B733,base!$L$1:$L$9,1,0),""),"Produtos",IF(B733=IFERROR(VLOOKUP(B733,base!$K$2:$K$8,1,0),""),"Serviços","Combos"))</f>
        <v>Serviços</v>
      </c>
      <c r="J733">
        <f t="shared" si="16"/>
        <v>15.75</v>
      </c>
    </row>
    <row r="734" spans="1:10">
      <c r="A734" t="s">
        <v>252</v>
      </c>
      <c r="B734" t="s">
        <v>160</v>
      </c>
      <c r="C734" t="s">
        <v>1407</v>
      </c>
      <c r="D734" s="14">
        <v>12</v>
      </c>
      <c r="E734" s="14">
        <v>12</v>
      </c>
      <c r="F734" s="13">
        <v>45729.53125</v>
      </c>
      <c r="G734" t="s">
        <v>1</v>
      </c>
      <c r="H734" t="s">
        <v>13</v>
      </c>
      <c r="I734" t="str">
        <f>IF(B734=IFERROR(VLOOKUP(B734,base!$L$1:$L$9,1,0),""),"Produtos",IF(B734=IFERROR(VLOOKUP(B734,base!$K$2:$K$8,1,0),""),"Serviços","Combos"))</f>
        <v>Serviços</v>
      </c>
      <c r="J734">
        <f t="shared" si="16"/>
        <v>5.4</v>
      </c>
    </row>
    <row r="735" spans="1:10">
      <c r="A735" t="s">
        <v>519</v>
      </c>
      <c r="B735" t="s">
        <v>353</v>
      </c>
      <c r="C735" t="s">
        <v>1410</v>
      </c>
      <c r="D735" s="14">
        <v>50</v>
      </c>
      <c r="E735" s="14">
        <v>50</v>
      </c>
      <c r="F735" s="13">
        <v>45729.579861111109</v>
      </c>
      <c r="G735" t="s">
        <v>1</v>
      </c>
      <c r="H735" t="s">
        <v>467</v>
      </c>
      <c r="I735" t="str">
        <f>IF(B735=IFERROR(VLOOKUP(B735,base!$L$1:$L$9,1,0),""),"Produtos",IF(B735=IFERROR(VLOOKUP(B735,base!$K$2:$K$8,1,0),""),"Serviços","Combos"))</f>
        <v>Combos</v>
      </c>
      <c r="J735">
        <f t="shared" si="16"/>
        <v>22.5</v>
      </c>
    </row>
    <row r="736" spans="1:10">
      <c r="A736" t="s">
        <v>536</v>
      </c>
      <c r="B736" t="s">
        <v>163</v>
      </c>
      <c r="C736" t="s">
        <v>1411</v>
      </c>
      <c r="D736" s="14">
        <v>35</v>
      </c>
      <c r="E736" s="14">
        <v>35</v>
      </c>
      <c r="F736" s="13">
        <v>45729.583333333336</v>
      </c>
      <c r="G736" t="s">
        <v>2</v>
      </c>
      <c r="H736" t="s">
        <v>1089</v>
      </c>
      <c r="I736" t="str">
        <f>IF(B736=IFERROR(VLOOKUP(B736,base!$L$1:$L$9,1,0),""),"Produtos",IF(B736=IFERROR(VLOOKUP(B736,base!$K$2:$K$8,1,0),""),"Serviços","Combos"))</f>
        <v>Serviços</v>
      </c>
      <c r="J736">
        <f t="shared" si="16"/>
        <v>15.75</v>
      </c>
    </row>
    <row r="737" spans="1:10">
      <c r="A737" t="s">
        <v>252</v>
      </c>
      <c r="B737" t="s">
        <v>163</v>
      </c>
      <c r="C737" t="s">
        <v>1408</v>
      </c>
      <c r="D737" s="14">
        <v>35</v>
      </c>
      <c r="E737" s="14">
        <v>35</v>
      </c>
      <c r="F737" s="13">
        <v>45729.604166666664</v>
      </c>
      <c r="G737" t="s">
        <v>1</v>
      </c>
      <c r="H737" t="s">
        <v>1409</v>
      </c>
      <c r="I737" t="str">
        <f>IF(B737=IFERROR(VLOOKUP(B737,base!$L$1:$L$9,1,0),""),"Produtos",IF(B737=IFERROR(VLOOKUP(B737,base!$K$2:$K$8,1,0),""),"Serviços","Combos"))</f>
        <v>Serviços</v>
      </c>
      <c r="J737">
        <f t="shared" si="16"/>
        <v>15.75</v>
      </c>
    </row>
    <row r="738" spans="1:10">
      <c r="A738" t="s">
        <v>519</v>
      </c>
      <c r="B738" t="s">
        <v>163</v>
      </c>
      <c r="C738" t="s">
        <v>1412</v>
      </c>
      <c r="D738" s="14">
        <v>35</v>
      </c>
      <c r="E738" s="14">
        <v>35</v>
      </c>
      <c r="F738" s="13">
        <v>45729.614583333336</v>
      </c>
      <c r="G738" t="s">
        <v>1</v>
      </c>
      <c r="H738" t="s">
        <v>850</v>
      </c>
      <c r="I738" t="str">
        <f>IF(B738=IFERROR(VLOOKUP(B738,base!$L$1:$L$9,1,0),""),"Produtos",IF(B738=IFERROR(VLOOKUP(B738,base!$K$2:$K$8,1,0),""),"Serviços","Combos"))</f>
        <v>Serviços</v>
      </c>
      <c r="J738">
        <f t="shared" si="16"/>
        <v>15.75</v>
      </c>
    </row>
    <row r="739" spans="1:10">
      <c r="A739" t="s">
        <v>519</v>
      </c>
      <c r="B739" t="s">
        <v>163</v>
      </c>
      <c r="C739" t="s">
        <v>1414</v>
      </c>
      <c r="D739" s="14">
        <v>35</v>
      </c>
      <c r="E739" s="14">
        <v>35</v>
      </c>
      <c r="F739" s="13">
        <v>45729.6875</v>
      </c>
      <c r="G739" t="s">
        <v>1</v>
      </c>
      <c r="H739" t="s">
        <v>71</v>
      </c>
      <c r="I739" t="str">
        <f>IF(B739=IFERROR(VLOOKUP(B739,base!$L$1:$L$9,1,0),""),"Produtos",IF(B739=IFERROR(VLOOKUP(B739,base!$K$2:$K$8,1,0),""),"Serviços","Combos"))</f>
        <v>Serviços</v>
      </c>
      <c r="J739">
        <f t="shared" si="16"/>
        <v>15.75</v>
      </c>
    </row>
    <row r="740" spans="1:10">
      <c r="A740" t="s">
        <v>252</v>
      </c>
      <c r="B740" t="s">
        <v>163</v>
      </c>
      <c r="C740" t="s">
        <v>1413</v>
      </c>
      <c r="D740" s="14">
        <v>35</v>
      </c>
      <c r="E740" s="14">
        <v>35</v>
      </c>
      <c r="F740" s="13">
        <v>45729.729166666664</v>
      </c>
      <c r="G740" t="s">
        <v>354</v>
      </c>
      <c r="H740" t="s">
        <v>400</v>
      </c>
      <c r="I740" t="str">
        <f>IF(B740=IFERROR(VLOOKUP(B740,base!$L$1:$L$9,1,0),""),"Produtos",IF(B740=IFERROR(VLOOKUP(B740,base!$K$2:$K$8,1,0),""),"Serviços","Combos"))</f>
        <v>Serviços</v>
      </c>
      <c r="J740">
        <f t="shared" si="16"/>
        <v>15.75</v>
      </c>
    </row>
    <row r="741" spans="1:10">
      <c r="A741" t="s">
        <v>519</v>
      </c>
      <c r="B741" t="s">
        <v>163</v>
      </c>
      <c r="C741" t="s">
        <v>1415</v>
      </c>
      <c r="D741" s="14">
        <v>35</v>
      </c>
      <c r="E741" s="14">
        <v>45</v>
      </c>
      <c r="F741" s="13">
        <v>45729.739583333336</v>
      </c>
      <c r="G741" t="s">
        <v>1</v>
      </c>
      <c r="H741" t="s">
        <v>1416</v>
      </c>
      <c r="I741" t="str">
        <f>IF(B741=IFERROR(VLOOKUP(B741,base!$L$1:$L$9,1,0),""),"Produtos",IF(B741=IFERROR(VLOOKUP(B741,base!$K$2:$K$8,1,0),""),"Serviços","Combos"))</f>
        <v>Serviços</v>
      </c>
      <c r="J741">
        <f t="shared" si="16"/>
        <v>15.75</v>
      </c>
    </row>
    <row r="742" spans="1:10">
      <c r="A742" t="s">
        <v>519</v>
      </c>
      <c r="B742" t="s">
        <v>167</v>
      </c>
      <c r="C742" t="s">
        <v>1415</v>
      </c>
      <c r="D742" s="14">
        <v>10</v>
      </c>
      <c r="F742" s="13">
        <v>45729.739583333336</v>
      </c>
      <c r="G742" t="s">
        <v>1</v>
      </c>
      <c r="H742" t="s">
        <v>1416</v>
      </c>
      <c r="I742" t="str">
        <f>IF(B742=IFERROR(VLOOKUP(B742,base!$L$1:$L$9,1,0),""),"Produtos",IF(B742=IFERROR(VLOOKUP(B742,base!$K$2:$K$8,1,0),""),"Serviços","Combos"))</f>
        <v>Serviços</v>
      </c>
      <c r="J742">
        <f t="shared" si="16"/>
        <v>4.5</v>
      </c>
    </row>
    <row r="743" spans="1:10">
      <c r="A743" t="s">
        <v>519</v>
      </c>
      <c r="B743" t="s">
        <v>353</v>
      </c>
      <c r="C743" t="s">
        <v>1401</v>
      </c>
      <c r="D743" s="14">
        <v>48.33</v>
      </c>
      <c r="E743" s="14">
        <v>0</v>
      </c>
      <c r="F743" s="13">
        <v>45729.770833333336</v>
      </c>
      <c r="G743" t="s">
        <v>1</v>
      </c>
      <c r="H743" t="s">
        <v>183</v>
      </c>
      <c r="I743" t="str">
        <f>IF(B743=IFERROR(VLOOKUP(B743,base!$L$1:$L$9,1,0),""),"Produtos",IF(B743=IFERROR(VLOOKUP(B743,base!$K$2:$K$8,1,0),""),"Serviços","Combos"))</f>
        <v>Combos</v>
      </c>
      <c r="J743">
        <f t="shared" si="16"/>
        <v>21.7485</v>
      </c>
    </row>
    <row r="744" spans="1:10">
      <c r="A744" t="s">
        <v>252</v>
      </c>
      <c r="B744" t="s">
        <v>163</v>
      </c>
      <c r="C744" t="s">
        <v>1418</v>
      </c>
      <c r="D744" s="14">
        <v>35</v>
      </c>
      <c r="E744" s="14">
        <v>35</v>
      </c>
      <c r="F744" s="13">
        <v>45729.78125</v>
      </c>
      <c r="G744" t="s">
        <v>1</v>
      </c>
      <c r="H744" t="s">
        <v>1077</v>
      </c>
      <c r="I744" t="str">
        <f>IF(B744=IFERROR(VLOOKUP(B744,base!$L$1:$L$9,1,0),""),"Produtos",IF(B744=IFERROR(VLOOKUP(B744,base!$K$2:$K$8,1,0),""),"Serviços","Combos"))</f>
        <v>Serviços</v>
      </c>
      <c r="J744">
        <f t="shared" si="16"/>
        <v>15.75</v>
      </c>
    </row>
    <row r="745" spans="1:10">
      <c r="A745" t="s">
        <v>536</v>
      </c>
      <c r="B745" t="s">
        <v>163</v>
      </c>
      <c r="C745" t="s">
        <v>1419</v>
      </c>
      <c r="D745" s="14">
        <v>50</v>
      </c>
      <c r="E745" s="14">
        <v>50</v>
      </c>
      <c r="F745" s="13">
        <v>45729.802083333336</v>
      </c>
      <c r="G745" t="s">
        <v>2</v>
      </c>
      <c r="H745" t="s">
        <v>1184</v>
      </c>
      <c r="I745" t="str">
        <f>IF(B745=IFERROR(VLOOKUP(B745,base!$L$1:$L$9,1,0),""),"Produtos",IF(B745=IFERROR(VLOOKUP(B745,base!$K$2:$K$8,1,0),""),"Serviços","Combos"))</f>
        <v>Serviços</v>
      </c>
      <c r="J745">
        <f t="shared" si="16"/>
        <v>22.5</v>
      </c>
    </row>
    <row r="746" spans="1:10">
      <c r="A746" t="s">
        <v>252</v>
      </c>
      <c r="B746" t="s">
        <v>163</v>
      </c>
      <c r="C746" t="s">
        <v>1420</v>
      </c>
      <c r="D746" s="14">
        <v>35</v>
      </c>
      <c r="E746" s="14">
        <v>45</v>
      </c>
      <c r="F746" s="13">
        <v>45729.868055555555</v>
      </c>
      <c r="G746" t="s">
        <v>1</v>
      </c>
      <c r="H746" t="s">
        <v>794</v>
      </c>
      <c r="I746" t="str">
        <f>IF(B746=IFERROR(VLOOKUP(B746,base!$L$1:$L$9,1,0),""),"Produtos",IF(B746=IFERROR(VLOOKUP(B746,base!$K$2:$K$8,1,0),""),"Serviços","Combos"))</f>
        <v>Serviços</v>
      </c>
      <c r="J746">
        <f t="shared" si="16"/>
        <v>15.75</v>
      </c>
    </row>
    <row r="747" spans="1:10">
      <c r="A747" t="s">
        <v>252</v>
      </c>
      <c r="B747" t="s">
        <v>167</v>
      </c>
      <c r="C747" t="s">
        <v>1420</v>
      </c>
      <c r="D747" s="14">
        <v>10</v>
      </c>
      <c r="F747" s="13">
        <v>45729.868055555555</v>
      </c>
      <c r="G747" t="s">
        <v>1</v>
      </c>
      <c r="H747" t="s">
        <v>794</v>
      </c>
      <c r="I747" t="str">
        <f>IF(B747=IFERROR(VLOOKUP(B747,base!$L$1:$L$9,1,0),""),"Produtos",IF(B747=IFERROR(VLOOKUP(B747,base!$K$2:$K$8,1,0),""),"Serviços","Combos"))</f>
        <v>Serviços</v>
      </c>
      <c r="J747">
        <f t="shared" si="16"/>
        <v>4.5</v>
      </c>
    </row>
    <row r="748" spans="1:10">
      <c r="A748" t="s">
        <v>252</v>
      </c>
      <c r="B748" t="s">
        <v>163</v>
      </c>
      <c r="C748" t="s">
        <v>1362</v>
      </c>
      <c r="D748" s="14">
        <v>35</v>
      </c>
      <c r="E748" s="14">
        <v>35</v>
      </c>
      <c r="F748" s="13">
        <v>45730.416666666664</v>
      </c>
      <c r="G748" t="s">
        <v>1</v>
      </c>
      <c r="H748" t="s">
        <v>364</v>
      </c>
      <c r="I748" t="str">
        <f>IF(B748=IFERROR(VLOOKUP(B748,base!$L$1:$L$9,1,0),""),"Produtos",IF(B748=IFERROR(VLOOKUP(B748,base!$K$2:$K$8,1,0),""),"Serviços","Combos"))</f>
        <v>Serviços</v>
      </c>
      <c r="J748">
        <f t="shared" si="16"/>
        <v>15.75</v>
      </c>
    </row>
    <row r="749" spans="1:10">
      <c r="A749" t="s">
        <v>252</v>
      </c>
      <c r="B749" t="s">
        <v>163</v>
      </c>
      <c r="C749" t="s">
        <v>1417</v>
      </c>
      <c r="D749" s="14">
        <v>35</v>
      </c>
      <c r="E749" s="14">
        <v>35</v>
      </c>
      <c r="F749" s="13">
        <v>45730.4375</v>
      </c>
      <c r="G749" t="s">
        <v>1</v>
      </c>
      <c r="H749" t="s">
        <v>414</v>
      </c>
      <c r="I749" t="str">
        <f>IF(B749=IFERROR(VLOOKUP(B749,base!$L$1:$L$9,1,0),""),"Produtos",IF(B749=IFERROR(VLOOKUP(B749,base!$K$2:$K$8,1,0),""),"Serviços","Combos"))</f>
        <v>Serviços</v>
      </c>
      <c r="J749">
        <f t="shared" ref="J749:J812" si="17">IF(AND(I749="Serviços",E749&gt;0),ROUND(D749*45%,2),IF(I749="Produtos",ROUND(D749*40%,2),D749*45%))</f>
        <v>15.75</v>
      </c>
    </row>
    <row r="750" spans="1:10">
      <c r="A750" t="s">
        <v>519</v>
      </c>
      <c r="B750" t="s">
        <v>353</v>
      </c>
      <c r="C750" t="s">
        <v>1425</v>
      </c>
      <c r="D750" s="14">
        <v>50</v>
      </c>
      <c r="E750" s="14">
        <v>50</v>
      </c>
      <c r="F750" s="13">
        <v>45730.447916666664</v>
      </c>
      <c r="G750" t="s">
        <v>529</v>
      </c>
      <c r="H750" t="s">
        <v>414</v>
      </c>
      <c r="I750" t="str">
        <f>IF(B750=IFERROR(VLOOKUP(B750,base!$L$1:$L$9,1,0),""),"Produtos",IF(B750=IFERROR(VLOOKUP(B750,base!$K$2:$K$8,1,0),""),"Serviços","Combos"))</f>
        <v>Combos</v>
      </c>
      <c r="J750">
        <f t="shared" si="17"/>
        <v>22.5</v>
      </c>
    </row>
    <row r="751" spans="1:10">
      <c r="A751" t="s">
        <v>519</v>
      </c>
      <c r="B751" t="s">
        <v>163</v>
      </c>
      <c r="C751" t="s">
        <v>1422</v>
      </c>
      <c r="D751" s="14">
        <v>35</v>
      </c>
      <c r="E751" s="14">
        <v>45</v>
      </c>
      <c r="F751" s="13">
        <v>45730.479166666664</v>
      </c>
      <c r="G751" t="s">
        <v>1120</v>
      </c>
      <c r="H751" t="s">
        <v>14</v>
      </c>
      <c r="I751" t="str">
        <f>IF(B751=IFERROR(VLOOKUP(B751,base!$L$1:$L$9,1,0),""),"Produtos",IF(B751=IFERROR(VLOOKUP(B751,base!$K$2:$K$8,1,0),""),"Serviços","Combos"))</f>
        <v>Serviços</v>
      </c>
      <c r="J751">
        <f t="shared" si="17"/>
        <v>15.75</v>
      </c>
    </row>
    <row r="752" spans="1:10">
      <c r="A752" t="s">
        <v>519</v>
      </c>
      <c r="B752" t="s">
        <v>167</v>
      </c>
      <c r="C752" t="s">
        <v>1422</v>
      </c>
      <c r="D752" s="14">
        <v>10</v>
      </c>
      <c r="F752" s="13">
        <v>45730.479166666664</v>
      </c>
      <c r="G752" t="s">
        <v>1120</v>
      </c>
      <c r="H752" t="s">
        <v>14</v>
      </c>
      <c r="I752" t="str">
        <f>IF(B752=IFERROR(VLOOKUP(B752,base!$L$1:$L$9,1,0),""),"Produtos",IF(B752=IFERROR(VLOOKUP(B752,base!$K$2:$K$8,1,0),""),"Serviços","Combos"))</f>
        <v>Serviços</v>
      </c>
      <c r="J752">
        <f t="shared" si="17"/>
        <v>4.5</v>
      </c>
    </row>
    <row r="753" spans="1:10">
      <c r="A753" t="s">
        <v>252</v>
      </c>
      <c r="B753" t="s">
        <v>163</v>
      </c>
      <c r="C753" t="s">
        <v>1429</v>
      </c>
      <c r="D753" s="14">
        <v>35</v>
      </c>
      <c r="E753" s="14">
        <v>35</v>
      </c>
      <c r="F753" s="13">
        <v>45730.506944444445</v>
      </c>
      <c r="G753" t="s">
        <v>1</v>
      </c>
      <c r="H753" t="s">
        <v>83</v>
      </c>
      <c r="I753" t="str">
        <f>IF(B753=IFERROR(VLOOKUP(B753,base!$L$1:$L$9,1,0),""),"Produtos",IF(B753=IFERROR(VLOOKUP(B753,base!$K$2:$K$8,1,0),""),"Serviços","Combos"))</f>
        <v>Serviços</v>
      </c>
      <c r="J753">
        <f t="shared" si="17"/>
        <v>15.75</v>
      </c>
    </row>
    <row r="754" spans="1:10">
      <c r="A754" t="s">
        <v>519</v>
      </c>
      <c r="B754" t="s">
        <v>353</v>
      </c>
      <c r="C754" t="s">
        <v>1427</v>
      </c>
      <c r="D754" s="14">
        <v>50</v>
      </c>
      <c r="E754" s="14">
        <v>50</v>
      </c>
      <c r="F754" s="13">
        <v>45730.513888888891</v>
      </c>
      <c r="G754" t="s">
        <v>354</v>
      </c>
      <c r="H754" t="s">
        <v>490</v>
      </c>
      <c r="I754" t="str">
        <f>IF(B754=IFERROR(VLOOKUP(B754,base!$L$1:$L$9,1,0),""),"Produtos",IF(B754=IFERROR(VLOOKUP(B754,base!$K$2:$K$8,1,0),""),"Serviços","Combos"))</f>
        <v>Combos</v>
      </c>
      <c r="J754">
        <f t="shared" si="17"/>
        <v>22.5</v>
      </c>
    </row>
    <row r="755" spans="1:10">
      <c r="A755" t="s">
        <v>519</v>
      </c>
      <c r="B755" t="s">
        <v>163</v>
      </c>
      <c r="C755" t="s">
        <v>1421</v>
      </c>
      <c r="D755" s="14">
        <v>35</v>
      </c>
      <c r="E755" s="14">
        <v>50</v>
      </c>
      <c r="F755" s="13">
        <v>45730.5625</v>
      </c>
      <c r="G755" t="s">
        <v>310</v>
      </c>
      <c r="H755" t="s">
        <v>880</v>
      </c>
      <c r="I755" t="str">
        <f>IF(B755=IFERROR(VLOOKUP(B755,base!$L$1:$L$9,1,0),""),"Produtos",IF(B755=IFERROR(VLOOKUP(B755,base!$K$2:$K$8,1,0),""),"Serviços","Combos"))</f>
        <v>Serviços</v>
      </c>
      <c r="J755">
        <f t="shared" si="17"/>
        <v>15.75</v>
      </c>
    </row>
    <row r="756" spans="1:10">
      <c r="A756" t="s">
        <v>519</v>
      </c>
      <c r="B756" t="s">
        <v>1046</v>
      </c>
      <c r="C756" t="s">
        <v>1421</v>
      </c>
      <c r="D756" s="14">
        <v>15</v>
      </c>
      <c r="F756" s="13">
        <v>45730.5625</v>
      </c>
      <c r="G756" t="s">
        <v>310</v>
      </c>
      <c r="H756" t="s">
        <v>880</v>
      </c>
      <c r="I756" t="str">
        <f>IF(B756=IFERROR(VLOOKUP(B756,base!$L$1:$L$9,1,0),""),"Produtos",IF(B756=IFERROR(VLOOKUP(B756,base!$K$2:$K$8,1,0),""),"Serviços","Combos"))</f>
        <v>Combos</v>
      </c>
      <c r="J756">
        <f t="shared" si="17"/>
        <v>6.75</v>
      </c>
    </row>
    <row r="757" spans="1:10">
      <c r="A757" t="s">
        <v>519</v>
      </c>
      <c r="B757" t="s">
        <v>163</v>
      </c>
      <c r="C757" t="s">
        <v>1424</v>
      </c>
      <c r="D757" s="14">
        <v>35</v>
      </c>
      <c r="E757" s="14">
        <v>75</v>
      </c>
      <c r="F757" s="13">
        <v>45730.583333333336</v>
      </c>
      <c r="G757" t="s">
        <v>529</v>
      </c>
      <c r="H757" t="s">
        <v>182</v>
      </c>
      <c r="I757" t="str">
        <f>IF(B757=IFERROR(VLOOKUP(B757,base!$L$1:$L$9,1,0),""),"Produtos",IF(B757=IFERROR(VLOOKUP(B757,base!$K$2:$K$8,1,0),""),"Serviços","Combos"))</f>
        <v>Serviços</v>
      </c>
      <c r="J757">
        <f t="shared" si="17"/>
        <v>15.75</v>
      </c>
    </row>
    <row r="758" spans="1:10">
      <c r="A758" t="s">
        <v>519</v>
      </c>
      <c r="B758" t="s">
        <v>1046</v>
      </c>
      <c r="C758" t="s">
        <v>1424</v>
      </c>
      <c r="D758" s="14">
        <v>25</v>
      </c>
      <c r="F758" s="13">
        <v>45730.583333333336</v>
      </c>
      <c r="G758" t="s">
        <v>529</v>
      </c>
      <c r="H758" t="s">
        <v>182</v>
      </c>
      <c r="I758" t="str">
        <f>IF(B758=IFERROR(VLOOKUP(B758,base!$L$1:$L$9,1,0),""),"Produtos",IF(B758=IFERROR(VLOOKUP(B758,base!$K$2:$K$8,1,0),""),"Serviços","Combos"))</f>
        <v>Combos</v>
      </c>
      <c r="J758">
        <f t="shared" si="17"/>
        <v>11.25</v>
      </c>
    </row>
    <row r="759" spans="1:10">
      <c r="A759" t="s">
        <v>519</v>
      </c>
      <c r="B759" t="s">
        <v>1187</v>
      </c>
      <c r="C759" t="s">
        <v>1424</v>
      </c>
      <c r="D759" s="14">
        <v>15</v>
      </c>
      <c r="F759" s="13">
        <v>45730.583333333336</v>
      </c>
      <c r="G759" t="s">
        <v>529</v>
      </c>
      <c r="H759" t="s">
        <v>182</v>
      </c>
      <c r="I759" t="str">
        <f>IF(B759=IFERROR(VLOOKUP(B759,base!$L$1:$L$9,1,0),""),"Produtos",IF(B759=IFERROR(VLOOKUP(B759,base!$K$2:$K$8,1,0),""),"Serviços","Combos"))</f>
        <v>Combos</v>
      </c>
      <c r="J759">
        <f t="shared" si="17"/>
        <v>6.75</v>
      </c>
    </row>
    <row r="760" spans="1:10">
      <c r="A760" t="s">
        <v>519</v>
      </c>
      <c r="B760" t="s">
        <v>163</v>
      </c>
      <c r="C760" t="s">
        <v>1436</v>
      </c>
      <c r="D760" s="14">
        <v>20</v>
      </c>
      <c r="E760" s="14">
        <v>40</v>
      </c>
      <c r="F760" s="13">
        <v>45730.618055555555</v>
      </c>
      <c r="G760" t="s">
        <v>1</v>
      </c>
      <c r="H760" t="s">
        <v>46</v>
      </c>
      <c r="I760" t="str">
        <f>IF(B760=IFERROR(VLOOKUP(B760,base!$L$1:$L$9,1,0),""),"Produtos",IF(B760=IFERROR(VLOOKUP(B760,base!$K$2:$K$8,1,0),""),"Serviços","Combos"))</f>
        <v>Serviços</v>
      </c>
      <c r="J760">
        <f t="shared" si="17"/>
        <v>9</v>
      </c>
    </row>
    <row r="761" spans="1:10">
      <c r="A761" t="s">
        <v>519</v>
      </c>
      <c r="B761" t="s">
        <v>166</v>
      </c>
      <c r="C761" t="s">
        <v>1436</v>
      </c>
      <c r="D761" s="14">
        <v>20</v>
      </c>
      <c r="F761" s="13">
        <v>45730.618055555555</v>
      </c>
      <c r="G761" t="s">
        <v>1</v>
      </c>
      <c r="H761" t="s">
        <v>46</v>
      </c>
      <c r="I761" t="str">
        <f>IF(B761=IFERROR(VLOOKUP(B761,base!$L$1:$L$9,1,0),""),"Produtos",IF(B761=IFERROR(VLOOKUP(B761,base!$K$2:$K$8,1,0),""),"Serviços","Combos"))</f>
        <v>Serviços</v>
      </c>
      <c r="J761">
        <f t="shared" si="17"/>
        <v>9</v>
      </c>
    </row>
    <row r="762" spans="1:10">
      <c r="A762" t="s">
        <v>536</v>
      </c>
      <c r="B762" t="s">
        <v>353</v>
      </c>
      <c r="C762" t="s">
        <v>1430</v>
      </c>
      <c r="D762" s="14">
        <v>60</v>
      </c>
      <c r="E762" s="14">
        <v>60</v>
      </c>
      <c r="F762" s="13">
        <v>45730.631944444445</v>
      </c>
      <c r="G762" t="s">
        <v>354</v>
      </c>
      <c r="H762" t="s">
        <v>1431</v>
      </c>
      <c r="I762" t="str">
        <f>IF(B762=IFERROR(VLOOKUP(B762,base!$L$1:$L$9,1,0),""),"Produtos",IF(B762=IFERROR(VLOOKUP(B762,base!$K$2:$K$8,1,0),""),"Serviços","Combos"))</f>
        <v>Combos</v>
      </c>
      <c r="J762">
        <f t="shared" si="17"/>
        <v>27</v>
      </c>
    </row>
    <row r="763" spans="1:10">
      <c r="A763" t="s">
        <v>252</v>
      </c>
      <c r="B763" t="s">
        <v>163</v>
      </c>
      <c r="C763" t="s">
        <v>1434</v>
      </c>
      <c r="D763" s="14">
        <v>35</v>
      </c>
      <c r="E763" s="14">
        <v>60</v>
      </c>
      <c r="F763" s="13">
        <v>45730.666666666664</v>
      </c>
      <c r="G763" t="s">
        <v>310</v>
      </c>
      <c r="H763" t="s">
        <v>1435</v>
      </c>
      <c r="I763" t="str">
        <f>IF(B763=IFERROR(VLOOKUP(B763,base!$L$1:$L$9,1,0),""),"Produtos",IF(B763=IFERROR(VLOOKUP(B763,base!$K$2:$K$8,1,0),""),"Serviços","Combos"))</f>
        <v>Serviços</v>
      </c>
      <c r="J763">
        <f t="shared" si="17"/>
        <v>15.75</v>
      </c>
    </row>
    <row r="764" spans="1:10">
      <c r="A764" t="s">
        <v>252</v>
      </c>
      <c r="B764" t="s">
        <v>509</v>
      </c>
      <c r="C764" t="s">
        <v>1434</v>
      </c>
      <c r="D764" s="14">
        <v>25</v>
      </c>
      <c r="F764" s="13">
        <v>45730.666666666664</v>
      </c>
      <c r="G764" t="s">
        <v>310</v>
      </c>
      <c r="H764" t="s">
        <v>1435</v>
      </c>
      <c r="I764" t="str">
        <f>IF(B764=IFERROR(VLOOKUP(B764,base!$L$1:$L$9,1,0),""),"Produtos",IF(B764=IFERROR(VLOOKUP(B764,base!$K$2:$K$8,1,0),""),"Serviços","Combos"))</f>
        <v>Produtos</v>
      </c>
      <c r="J764">
        <f t="shared" si="17"/>
        <v>10</v>
      </c>
    </row>
    <row r="765" spans="1:10">
      <c r="A765" t="s">
        <v>252</v>
      </c>
      <c r="B765" t="s">
        <v>1046</v>
      </c>
      <c r="C765" t="s">
        <v>1437</v>
      </c>
      <c r="D765" s="14">
        <v>35</v>
      </c>
      <c r="E765" s="14">
        <v>25</v>
      </c>
      <c r="F765" s="13">
        <v>45730.6875</v>
      </c>
      <c r="G765" t="s">
        <v>1</v>
      </c>
      <c r="H765" t="s">
        <v>120</v>
      </c>
      <c r="I765" t="str">
        <f>IF(B765=IFERROR(VLOOKUP(B765,base!$L$1:$L$9,1,0),""),"Produtos",IF(B765=IFERROR(VLOOKUP(B765,base!$K$2:$K$8,1,0),""),"Serviços","Combos"))</f>
        <v>Combos</v>
      </c>
      <c r="J765">
        <f t="shared" si="17"/>
        <v>15.75</v>
      </c>
    </row>
    <row r="766" spans="1:10">
      <c r="A766" t="s">
        <v>252</v>
      </c>
      <c r="B766" t="s">
        <v>1046</v>
      </c>
      <c r="C766" t="s">
        <v>1432</v>
      </c>
      <c r="D766" s="14">
        <v>35</v>
      </c>
      <c r="E766" s="14">
        <v>50</v>
      </c>
      <c r="F766" s="13">
        <v>45730.697916666664</v>
      </c>
      <c r="G766" t="s">
        <v>354</v>
      </c>
      <c r="H766" t="s">
        <v>908</v>
      </c>
      <c r="I766" t="str">
        <f>IF(B766=IFERROR(VLOOKUP(B766,base!$L$1:$L$9,1,0),""),"Produtos",IF(B766=IFERROR(VLOOKUP(B766,base!$K$2:$K$8,1,0),""),"Serviços","Combos"))</f>
        <v>Combos</v>
      </c>
      <c r="J766">
        <f t="shared" si="17"/>
        <v>15.75</v>
      </c>
    </row>
    <row r="767" spans="1:10">
      <c r="A767" t="s">
        <v>252</v>
      </c>
      <c r="B767" t="s">
        <v>1187</v>
      </c>
      <c r="C767" t="s">
        <v>1432</v>
      </c>
      <c r="D767" s="14">
        <v>15</v>
      </c>
      <c r="F767" s="13">
        <v>45730.697916666664</v>
      </c>
      <c r="G767" t="s">
        <v>354</v>
      </c>
      <c r="H767" t="s">
        <v>908</v>
      </c>
      <c r="I767" t="str">
        <f>IF(B767=IFERROR(VLOOKUP(B767,base!$L$1:$L$9,1,0),""),"Produtos",IF(B767=IFERROR(VLOOKUP(B767,base!$K$2:$K$8,1,0),""),"Serviços","Combos"))</f>
        <v>Combos</v>
      </c>
      <c r="J767">
        <f t="shared" si="17"/>
        <v>6.75</v>
      </c>
    </row>
    <row r="768" spans="1:10">
      <c r="A768" t="s">
        <v>536</v>
      </c>
      <c r="B768" t="s">
        <v>163</v>
      </c>
      <c r="C768" t="s">
        <v>1439</v>
      </c>
      <c r="D768" s="14">
        <v>35</v>
      </c>
      <c r="E768" s="14">
        <v>35</v>
      </c>
      <c r="F768" s="13">
        <v>45730.71875</v>
      </c>
      <c r="G768" t="s">
        <v>310</v>
      </c>
      <c r="H768" t="s">
        <v>845</v>
      </c>
      <c r="I768" t="str">
        <f>IF(B768=IFERROR(VLOOKUP(B768,base!$L$1:$L$9,1,0),""),"Produtos",IF(B768=IFERROR(VLOOKUP(B768,base!$K$2:$K$8,1,0),""),"Serviços","Combos"))</f>
        <v>Serviços</v>
      </c>
      <c r="J768">
        <f t="shared" si="17"/>
        <v>15.75</v>
      </c>
    </row>
    <row r="769" spans="1:10">
      <c r="A769" t="s">
        <v>519</v>
      </c>
      <c r="B769" t="s">
        <v>163</v>
      </c>
      <c r="C769" t="s">
        <v>1440</v>
      </c>
      <c r="D769" s="14">
        <v>35</v>
      </c>
      <c r="E769" s="14">
        <v>35</v>
      </c>
      <c r="F769" s="13">
        <v>45730.725694444445</v>
      </c>
      <c r="G769" t="s">
        <v>354</v>
      </c>
      <c r="H769" t="s">
        <v>291</v>
      </c>
      <c r="I769" t="str">
        <f>IF(B769=IFERROR(VLOOKUP(B769,base!$L$1:$L$9,1,0),""),"Produtos",IF(B769=IFERROR(VLOOKUP(B769,base!$K$2:$K$8,1,0),""),"Serviços","Combos"))</f>
        <v>Serviços</v>
      </c>
      <c r="J769">
        <f t="shared" si="17"/>
        <v>15.75</v>
      </c>
    </row>
    <row r="770" spans="1:10">
      <c r="A770" t="s">
        <v>252</v>
      </c>
      <c r="B770" t="s">
        <v>163</v>
      </c>
      <c r="C770" t="s">
        <v>1433</v>
      </c>
      <c r="D770" s="14">
        <v>35</v>
      </c>
      <c r="E770" s="14">
        <v>45</v>
      </c>
      <c r="F770" s="13">
        <v>45730.729166666664</v>
      </c>
      <c r="G770" t="s">
        <v>310</v>
      </c>
      <c r="H770" t="s">
        <v>499</v>
      </c>
      <c r="I770" t="str">
        <f>IF(B770=IFERROR(VLOOKUP(B770,base!$L$1:$L$9,1,0),""),"Produtos",IF(B770=IFERROR(VLOOKUP(B770,base!$K$2:$K$8,1,0),""),"Serviços","Combos"))</f>
        <v>Serviços</v>
      </c>
      <c r="J770">
        <f t="shared" si="17"/>
        <v>15.75</v>
      </c>
    </row>
    <row r="771" spans="1:10">
      <c r="A771" t="s">
        <v>536</v>
      </c>
      <c r="B771" t="s">
        <v>163</v>
      </c>
      <c r="C771" t="s">
        <v>1438</v>
      </c>
      <c r="D771" s="14">
        <v>35</v>
      </c>
      <c r="E771" s="14">
        <v>35</v>
      </c>
      <c r="F771" s="13">
        <v>45730.75</v>
      </c>
      <c r="G771" t="s">
        <v>2</v>
      </c>
      <c r="H771" t="s">
        <v>375</v>
      </c>
      <c r="I771" t="str">
        <f>IF(B771=IFERROR(VLOOKUP(B771,base!$L$1:$L$9,1,0),""),"Produtos",IF(B771=IFERROR(VLOOKUP(B771,base!$K$2:$K$8,1,0),""),"Serviços","Combos"))</f>
        <v>Serviços</v>
      </c>
      <c r="J771">
        <f t="shared" si="17"/>
        <v>15.75</v>
      </c>
    </row>
    <row r="772" spans="1:10">
      <c r="A772" t="s">
        <v>519</v>
      </c>
      <c r="B772" t="s">
        <v>163</v>
      </c>
      <c r="C772" t="s">
        <v>1426</v>
      </c>
      <c r="D772" s="14">
        <v>35</v>
      </c>
      <c r="E772" s="14">
        <v>35</v>
      </c>
      <c r="F772" s="13">
        <v>45730.760416666664</v>
      </c>
      <c r="G772" t="s">
        <v>1120</v>
      </c>
      <c r="H772" t="s">
        <v>20</v>
      </c>
      <c r="I772" t="str">
        <f>IF(B772=IFERROR(VLOOKUP(B772,base!$L$1:$L$9,1,0),""),"Produtos",IF(B772=IFERROR(VLOOKUP(B772,base!$K$2:$K$8,1,0),""),"Serviços","Combos"))</f>
        <v>Serviços</v>
      </c>
      <c r="J772">
        <f t="shared" si="17"/>
        <v>15.75</v>
      </c>
    </row>
    <row r="773" spans="1:10">
      <c r="A773" t="s">
        <v>519</v>
      </c>
      <c r="B773" t="s">
        <v>163</v>
      </c>
      <c r="C773" t="s">
        <v>1442</v>
      </c>
      <c r="D773" s="14">
        <v>20</v>
      </c>
      <c r="E773" s="14">
        <v>30</v>
      </c>
      <c r="F773" s="13">
        <v>45730.760416666664</v>
      </c>
      <c r="G773" t="s">
        <v>2</v>
      </c>
      <c r="H773" t="s">
        <v>914</v>
      </c>
      <c r="I773" t="str">
        <f>IF(B773=IFERROR(VLOOKUP(B773,base!$L$1:$L$9,1,0),""),"Produtos",IF(B773=IFERROR(VLOOKUP(B773,base!$K$2:$K$8,1,0),""),"Serviços","Combos"))</f>
        <v>Serviços</v>
      </c>
      <c r="J773">
        <f t="shared" si="17"/>
        <v>9</v>
      </c>
    </row>
    <row r="774" spans="1:10">
      <c r="A774" t="s">
        <v>519</v>
      </c>
      <c r="B774" t="s">
        <v>167</v>
      </c>
      <c r="C774" t="s">
        <v>1442</v>
      </c>
      <c r="D774" s="14">
        <v>10</v>
      </c>
      <c r="F774" s="13">
        <v>45730.760416666664</v>
      </c>
      <c r="G774" t="s">
        <v>2</v>
      </c>
      <c r="H774" t="s">
        <v>914</v>
      </c>
      <c r="I774" t="str">
        <f>IF(B774=IFERROR(VLOOKUP(B774,base!$L$1:$L$9,1,0),""),"Produtos",IF(B774=IFERROR(VLOOKUP(B774,base!$K$2:$K$8,1,0),""),"Serviços","Combos"))</f>
        <v>Serviços</v>
      </c>
      <c r="J774">
        <f t="shared" si="17"/>
        <v>4.5</v>
      </c>
    </row>
    <row r="775" spans="1:10">
      <c r="A775" t="s">
        <v>252</v>
      </c>
      <c r="B775" t="s">
        <v>306</v>
      </c>
      <c r="C775" t="s">
        <v>1428</v>
      </c>
      <c r="D775" s="14">
        <v>55</v>
      </c>
      <c r="E775" s="14">
        <v>65</v>
      </c>
      <c r="F775" s="13">
        <v>45730.770833333336</v>
      </c>
      <c r="G775" t="s">
        <v>1</v>
      </c>
      <c r="H775" t="s">
        <v>79</v>
      </c>
      <c r="I775" t="str">
        <f>IF(B775=IFERROR(VLOOKUP(B775,base!$L$1:$L$9,1,0),""),"Produtos",IF(B775=IFERROR(VLOOKUP(B775,base!$K$2:$K$8,1,0),""),"Serviços","Combos"))</f>
        <v>Combos</v>
      </c>
      <c r="J775">
        <f t="shared" si="17"/>
        <v>24.75</v>
      </c>
    </row>
    <row r="776" spans="1:10">
      <c r="A776" t="s">
        <v>519</v>
      </c>
      <c r="B776" t="s">
        <v>163</v>
      </c>
      <c r="C776" t="s">
        <v>1423</v>
      </c>
      <c r="D776" s="14">
        <v>35</v>
      </c>
      <c r="E776" s="14">
        <v>35</v>
      </c>
      <c r="F776" s="13">
        <v>45730.78125</v>
      </c>
      <c r="G776" t="s">
        <v>1</v>
      </c>
      <c r="H776" t="s">
        <v>485</v>
      </c>
      <c r="I776" t="str">
        <f>IF(B776=IFERROR(VLOOKUP(B776,base!$L$1:$L$9,1,0),""),"Produtos",IF(B776=IFERROR(VLOOKUP(B776,base!$K$2:$K$8,1,0),""),"Serviços","Combos"))</f>
        <v>Serviços</v>
      </c>
      <c r="J776">
        <f t="shared" si="17"/>
        <v>15.75</v>
      </c>
    </row>
    <row r="777" spans="1:10">
      <c r="A777" t="s">
        <v>519</v>
      </c>
      <c r="B777" t="s">
        <v>353</v>
      </c>
      <c r="C777" t="s">
        <v>1443</v>
      </c>
      <c r="D777" s="14">
        <v>60</v>
      </c>
      <c r="E777" s="14">
        <v>95</v>
      </c>
      <c r="F777" s="13">
        <v>45730.84375</v>
      </c>
      <c r="G777" t="s">
        <v>1</v>
      </c>
      <c r="H777" t="s">
        <v>1444</v>
      </c>
      <c r="I777" t="str">
        <f>IF(B777=IFERROR(VLOOKUP(B777,base!$L$1:$L$9,1,0),""),"Produtos",IF(B777=IFERROR(VLOOKUP(B777,base!$K$2:$K$8,1,0),""),"Serviços","Combos"))</f>
        <v>Combos</v>
      </c>
      <c r="J777">
        <f t="shared" si="17"/>
        <v>27</v>
      </c>
    </row>
    <row r="778" spans="1:10">
      <c r="A778" t="s">
        <v>536</v>
      </c>
      <c r="B778" t="s">
        <v>163</v>
      </c>
      <c r="C778" t="s">
        <v>1443</v>
      </c>
      <c r="D778" s="14">
        <v>35</v>
      </c>
      <c r="F778" s="13">
        <v>45730.84375</v>
      </c>
      <c r="G778" t="s">
        <v>1</v>
      </c>
      <c r="H778" t="s">
        <v>1444</v>
      </c>
      <c r="I778" t="str">
        <f>IF(B778=IFERROR(VLOOKUP(B778,base!$L$1:$L$9,1,0),""),"Produtos",IF(B778=IFERROR(VLOOKUP(B778,base!$K$2:$K$8,1,0),""),"Serviços","Combos"))</f>
        <v>Serviços</v>
      </c>
      <c r="J778">
        <f t="shared" si="17"/>
        <v>15.75</v>
      </c>
    </row>
    <row r="779" spans="1:10">
      <c r="A779" t="s">
        <v>252</v>
      </c>
      <c r="B779" t="s">
        <v>1046</v>
      </c>
      <c r="C779" t="s">
        <v>1445</v>
      </c>
      <c r="D779" s="14">
        <v>35</v>
      </c>
      <c r="E779" s="14">
        <v>70</v>
      </c>
      <c r="F779" s="13">
        <v>45730.864583333336</v>
      </c>
      <c r="G779" t="s">
        <v>1</v>
      </c>
      <c r="H779" t="s">
        <v>105</v>
      </c>
      <c r="I779" t="str">
        <f>IF(B779=IFERROR(VLOOKUP(B779,base!$L$1:$L$9,1,0),""),"Produtos",IF(B779=IFERROR(VLOOKUP(B779,base!$K$2:$K$8,1,0),""),"Serviços","Combos"))</f>
        <v>Combos</v>
      </c>
      <c r="J779">
        <f t="shared" si="17"/>
        <v>15.75</v>
      </c>
    </row>
    <row r="780" spans="1:10">
      <c r="A780" t="s">
        <v>252</v>
      </c>
      <c r="B780" t="s">
        <v>1446</v>
      </c>
      <c r="C780" t="s">
        <v>1445</v>
      </c>
      <c r="D780" s="14">
        <v>15</v>
      </c>
      <c r="F780" s="13">
        <v>45730.864583333336</v>
      </c>
      <c r="G780" t="s">
        <v>1</v>
      </c>
      <c r="H780" t="s">
        <v>105</v>
      </c>
      <c r="I780" t="str">
        <f>IF(B780=IFERROR(VLOOKUP(B780,base!$L$1:$L$9,1,0),""),"Produtos",IF(B780=IFERROR(VLOOKUP(B780,base!$K$2:$K$8,1,0),""),"Serviços","Combos"))</f>
        <v>Combos</v>
      </c>
      <c r="J780">
        <f t="shared" si="17"/>
        <v>6.75</v>
      </c>
    </row>
    <row r="781" spans="1:10">
      <c r="A781" t="s">
        <v>252</v>
      </c>
      <c r="B781" t="s">
        <v>163</v>
      </c>
      <c r="C781" t="s">
        <v>1445</v>
      </c>
      <c r="D781" s="14">
        <v>20</v>
      </c>
      <c r="F781" s="13">
        <v>45730.864583333336</v>
      </c>
      <c r="G781" t="s">
        <v>1</v>
      </c>
      <c r="H781" t="s">
        <v>105</v>
      </c>
      <c r="I781" t="str">
        <f>IF(B781=IFERROR(VLOOKUP(B781,base!$L$1:$L$9,1,0),""),"Produtos",IF(B781=IFERROR(VLOOKUP(B781,base!$K$2:$K$8,1,0),""),"Serviços","Combos"))</f>
        <v>Serviços</v>
      </c>
      <c r="J781">
        <f t="shared" si="17"/>
        <v>9</v>
      </c>
    </row>
    <row r="782" spans="1:10">
      <c r="A782" t="s">
        <v>536</v>
      </c>
      <c r="B782" t="s">
        <v>163</v>
      </c>
      <c r="C782" t="s">
        <v>1447</v>
      </c>
      <c r="D782" s="14">
        <v>20</v>
      </c>
      <c r="E782" s="14">
        <v>30</v>
      </c>
      <c r="F782" s="13">
        <v>45730.864583333336</v>
      </c>
      <c r="G782" t="s">
        <v>1</v>
      </c>
      <c r="H782" t="s">
        <v>271</v>
      </c>
      <c r="I782" t="str">
        <f>IF(B782=IFERROR(VLOOKUP(B782,base!$L$1:$L$9,1,0),""),"Produtos",IF(B782=IFERROR(VLOOKUP(B782,base!$K$2:$K$8,1,0),""),"Serviços","Combos"))</f>
        <v>Serviços</v>
      </c>
      <c r="J782">
        <f t="shared" si="17"/>
        <v>9</v>
      </c>
    </row>
    <row r="783" spans="1:10">
      <c r="A783" t="s">
        <v>536</v>
      </c>
      <c r="B783" t="s">
        <v>167</v>
      </c>
      <c r="C783" t="s">
        <v>1447</v>
      </c>
      <c r="D783" s="14">
        <v>10</v>
      </c>
      <c r="F783" s="13">
        <v>45730.864583333336</v>
      </c>
      <c r="G783" t="s">
        <v>1</v>
      </c>
      <c r="H783" t="s">
        <v>271</v>
      </c>
      <c r="I783" t="str">
        <f>IF(B783=IFERROR(VLOOKUP(B783,base!$L$1:$L$9,1,0),""),"Produtos",IF(B783=IFERROR(VLOOKUP(B783,base!$K$2:$K$8,1,0),""),"Serviços","Combos"))</f>
        <v>Serviços</v>
      </c>
      <c r="J783">
        <f t="shared" si="17"/>
        <v>4.5</v>
      </c>
    </row>
    <row r="784" spans="1:10">
      <c r="A784" t="s">
        <v>519</v>
      </c>
      <c r="B784" t="s">
        <v>353</v>
      </c>
      <c r="C784" t="s">
        <v>1448</v>
      </c>
      <c r="D784" s="14">
        <v>45</v>
      </c>
      <c r="E784" s="14">
        <v>45</v>
      </c>
      <c r="F784" s="13">
        <v>45730.871527777781</v>
      </c>
      <c r="G784" t="s">
        <v>2</v>
      </c>
      <c r="H784" t="s">
        <v>475</v>
      </c>
      <c r="I784" t="str">
        <f>IF(B784=IFERROR(VLOOKUP(B784,base!$L$1:$L$9,1,0),""),"Produtos",IF(B784=IFERROR(VLOOKUP(B784,base!$K$2:$K$8,1,0),""),"Serviços","Combos"))</f>
        <v>Combos</v>
      </c>
      <c r="J784">
        <f t="shared" si="17"/>
        <v>20.25</v>
      </c>
    </row>
    <row r="785" spans="1:10">
      <c r="A785" t="s">
        <v>519</v>
      </c>
      <c r="B785" t="s">
        <v>163</v>
      </c>
      <c r="C785" t="s">
        <v>1449</v>
      </c>
      <c r="D785" s="14">
        <v>35</v>
      </c>
      <c r="E785" s="14">
        <v>35</v>
      </c>
      <c r="F785" s="13">
        <v>45730.885416666664</v>
      </c>
      <c r="G785" t="s">
        <v>1</v>
      </c>
      <c r="H785" t="s">
        <v>1450</v>
      </c>
      <c r="I785" t="str">
        <f>IF(B785=IFERROR(VLOOKUP(B785,base!$L$1:$L$9,1,0),""),"Produtos",IF(B785=IFERROR(VLOOKUP(B785,base!$K$2:$K$8,1,0),""),"Serviços","Combos"))</f>
        <v>Serviços</v>
      </c>
      <c r="J785">
        <f t="shared" si="17"/>
        <v>15.75</v>
      </c>
    </row>
    <row r="786" spans="1:10">
      <c r="A786" t="s">
        <v>519</v>
      </c>
      <c r="B786" t="s">
        <v>163</v>
      </c>
      <c r="C786" t="s">
        <v>1451</v>
      </c>
      <c r="D786" s="14">
        <v>35</v>
      </c>
      <c r="E786" s="14">
        <v>45</v>
      </c>
      <c r="F786" s="13">
        <v>45731.395833333336</v>
      </c>
      <c r="G786" t="s">
        <v>1</v>
      </c>
      <c r="H786" t="s">
        <v>62</v>
      </c>
      <c r="I786" t="str">
        <f>IF(B786=IFERROR(VLOOKUP(B786,base!$L$1:$L$9,1,0),""),"Produtos",IF(B786=IFERROR(VLOOKUP(B786,base!$K$2:$K$8,1,0),""),"Serviços","Combos"))</f>
        <v>Serviços</v>
      </c>
      <c r="J786">
        <f t="shared" si="17"/>
        <v>15.75</v>
      </c>
    </row>
    <row r="787" spans="1:10">
      <c r="A787" t="s">
        <v>519</v>
      </c>
      <c r="B787" t="s">
        <v>167</v>
      </c>
      <c r="C787" t="s">
        <v>1451</v>
      </c>
      <c r="D787" s="14">
        <v>10</v>
      </c>
      <c r="F787" s="13">
        <v>45731.395833333336</v>
      </c>
      <c r="G787" t="s">
        <v>1</v>
      </c>
      <c r="H787" t="s">
        <v>62</v>
      </c>
      <c r="I787" t="str">
        <f>IF(B787=IFERROR(VLOOKUP(B787,base!$L$1:$L$9,1,0),""),"Produtos",IF(B787=IFERROR(VLOOKUP(B787,base!$K$2:$K$8,1,0),""),"Serviços","Combos"))</f>
        <v>Serviços</v>
      </c>
      <c r="J787">
        <f t="shared" si="17"/>
        <v>4.5</v>
      </c>
    </row>
    <row r="788" spans="1:10">
      <c r="A788" t="s">
        <v>536</v>
      </c>
      <c r="B788" t="s">
        <v>163</v>
      </c>
      <c r="C788" t="s">
        <v>1453</v>
      </c>
      <c r="D788" s="14">
        <v>35</v>
      </c>
      <c r="E788" s="14">
        <v>35</v>
      </c>
      <c r="F788" s="13">
        <v>45731.427083333336</v>
      </c>
      <c r="G788" t="s">
        <v>2</v>
      </c>
      <c r="H788" t="s">
        <v>274</v>
      </c>
      <c r="I788" t="str">
        <f>IF(B788=IFERROR(VLOOKUP(B788,base!$L$1:$L$9,1,0),""),"Produtos",IF(B788=IFERROR(VLOOKUP(B788,base!$K$2:$K$8,1,0),""),"Serviços","Combos"))</f>
        <v>Serviços</v>
      </c>
      <c r="J788">
        <f t="shared" si="17"/>
        <v>15.75</v>
      </c>
    </row>
    <row r="789" spans="1:10">
      <c r="A789" t="s">
        <v>252</v>
      </c>
      <c r="B789" t="s">
        <v>163</v>
      </c>
      <c r="C789" t="s">
        <v>1452</v>
      </c>
      <c r="D789" s="14">
        <v>35</v>
      </c>
      <c r="E789" s="14">
        <v>35</v>
      </c>
      <c r="F789" s="13">
        <v>45731.4375</v>
      </c>
      <c r="G789" t="s">
        <v>1</v>
      </c>
      <c r="H789" t="s">
        <v>22</v>
      </c>
      <c r="I789" t="str">
        <f>IF(B789=IFERROR(VLOOKUP(B789,base!$L$1:$L$9,1,0),""),"Produtos",IF(B789=IFERROR(VLOOKUP(B789,base!$K$2:$K$8,1,0),""),"Serviços","Combos"))</f>
        <v>Serviços</v>
      </c>
      <c r="J789">
        <f t="shared" si="17"/>
        <v>15.75</v>
      </c>
    </row>
    <row r="790" spans="1:10">
      <c r="A790" t="s">
        <v>252</v>
      </c>
      <c r="B790" t="s">
        <v>163</v>
      </c>
      <c r="C790" t="s">
        <v>1455</v>
      </c>
      <c r="D790" s="14">
        <v>35</v>
      </c>
      <c r="E790" s="14">
        <v>50</v>
      </c>
      <c r="F790" s="13">
        <v>45731.447916666664</v>
      </c>
      <c r="G790" t="s">
        <v>1</v>
      </c>
      <c r="H790" t="s">
        <v>42</v>
      </c>
      <c r="I790" t="str">
        <f>IF(B790=IFERROR(VLOOKUP(B790,base!$L$1:$L$9,1,0),""),"Produtos",IF(B790=IFERROR(VLOOKUP(B790,base!$K$2:$K$8,1,0),""),"Serviços","Combos"))</f>
        <v>Serviços</v>
      </c>
      <c r="J790">
        <f t="shared" si="17"/>
        <v>15.75</v>
      </c>
    </row>
    <row r="791" spans="1:10">
      <c r="A791" t="s">
        <v>252</v>
      </c>
      <c r="B791" t="s">
        <v>1187</v>
      </c>
      <c r="C791" t="s">
        <v>1455</v>
      </c>
      <c r="D791" s="14">
        <v>15</v>
      </c>
      <c r="F791" s="13">
        <v>45731.447916666664</v>
      </c>
      <c r="G791" t="s">
        <v>1</v>
      </c>
      <c r="H791" t="s">
        <v>42</v>
      </c>
      <c r="I791" t="str">
        <f>IF(B791=IFERROR(VLOOKUP(B791,base!$L$1:$L$9,1,0),""),"Produtos",IF(B791=IFERROR(VLOOKUP(B791,base!$K$2:$K$8,1,0),""),"Serviços","Combos"))</f>
        <v>Combos</v>
      </c>
      <c r="J791">
        <f t="shared" si="17"/>
        <v>6.75</v>
      </c>
    </row>
    <row r="792" spans="1:10">
      <c r="A792" t="s">
        <v>519</v>
      </c>
      <c r="B792" t="s">
        <v>163</v>
      </c>
      <c r="C792" t="s">
        <v>1456</v>
      </c>
      <c r="D792" s="14">
        <v>35</v>
      </c>
      <c r="E792" s="14">
        <v>35</v>
      </c>
      <c r="F792" s="13">
        <v>45731.458333333336</v>
      </c>
      <c r="G792" t="s">
        <v>1</v>
      </c>
      <c r="H792" t="s">
        <v>1457</v>
      </c>
      <c r="I792" t="str">
        <f>IF(B792=IFERROR(VLOOKUP(B792,base!$L$1:$L$9,1,0),""),"Produtos",IF(B792=IFERROR(VLOOKUP(B792,base!$K$2:$K$8,1,0),""),"Serviços","Combos"))</f>
        <v>Serviços</v>
      </c>
      <c r="J792">
        <f t="shared" si="17"/>
        <v>15.75</v>
      </c>
    </row>
    <row r="793" spans="1:10">
      <c r="A793" t="s">
        <v>536</v>
      </c>
      <c r="B793" t="s">
        <v>163</v>
      </c>
      <c r="C793" t="s">
        <v>1458</v>
      </c>
      <c r="D793" s="14">
        <v>40</v>
      </c>
      <c r="E793" s="14">
        <v>40</v>
      </c>
      <c r="F793" s="13">
        <v>45731.458333333336</v>
      </c>
      <c r="G793" t="s">
        <v>1</v>
      </c>
      <c r="H793" t="s">
        <v>373</v>
      </c>
      <c r="I793" t="str">
        <f>IF(B793=IFERROR(VLOOKUP(B793,base!$L$1:$L$9,1,0),""),"Produtos",IF(B793=IFERROR(VLOOKUP(B793,base!$K$2:$K$8,1,0),""),"Serviços","Combos"))</f>
        <v>Serviços</v>
      </c>
      <c r="J793">
        <f t="shared" si="17"/>
        <v>18</v>
      </c>
    </row>
    <row r="794" spans="1:10">
      <c r="A794" t="s">
        <v>519</v>
      </c>
      <c r="B794" t="s">
        <v>163</v>
      </c>
      <c r="C794" t="s">
        <v>1459</v>
      </c>
      <c r="D794" s="14">
        <v>35</v>
      </c>
      <c r="E794" s="14">
        <v>130</v>
      </c>
      <c r="F794" s="13">
        <v>45731.479166666664</v>
      </c>
      <c r="G794" t="s">
        <v>1</v>
      </c>
      <c r="H794" t="s">
        <v>895</v>
      </c>
      <c r="I794" t="str">
        <f>IF(B794=IFERROR(VLOOKUP(B794,base!$L$1:$L$9,1,0),""),"Produtos",IF(B794=IFERROR(VLOOKUP(B794,base!$K$2:$K$8,1,0),""),"Serviços","Combos"))</f>
        <v>Serviços</v>
      </c>
      <c r="J794">
        <f t="shared" si="17"/>
        <v>15.75</v>
      </c>
    </row>
    <row r="795" spans="1:10">
      <c r="A795" t="s">
        <v>252</v>
      </c>
      <c r="B795" t="s">
        <v>163</v>
      </c>
      <c r="C795" t="s">
        <v>1459</v>
      </c>
      <c r="D795" s="14">
        <v>35</v>
      </c>
      <c r="F795" s="13">
        <v>45731.479166666664</v>
      </c>
      <c r="G795" t="s">
        <v>1</v>
      </c>
      <c r="H795" t="s">
        <v>895</v>
      </c>
      <c r="I795" t="str">
        <f>IF(B795=IFERROR(VLOOKUP(B795,base!$L$1:$L$9,1,0),""),"Produtos",IF(B795=IFERROR(VLOOKUP(B795,base!$K$2:$K$8,1,0),""),"Serviços","Combos"))</f>
        <v>Serviços</v>
      </c>
      <c r="J795">
        <f t="shared" si="17"/>
        <v>15.75</v>
      </c>
    </row>
    <row r="796" spans="1:10">
      <c r="A796" t="s">
        <v>536</v>
      </c>
      <c r="B796" t="s">
        <v>163</v>
      </c>
      <c r="C796" t="s">
        <v>1459</v>
      </c>
      <c r="D796" s="14">
        <v>35</v>
      </c>
      <c r="F796" s="13">
        <v>45731.479166666664</v>
      </c>
      <c r="G796" t="s">
        <v>1</v>
      </c>
      <c r="H796" t="s">
        <v>895</v>
      </c>
      <c r="I796" t="str">
        <f>IF(B796=IFERROR(VLOOKUP(B796,base!$L$1:$L$9,1,0),""),"Produtos",IF(B796=IFERROR(VLOOKUP(B796,base!$K$2:$K$8,1,0),""),"Serviços","Combos"))</f>
        <v>Serviços</v>
      </c>
      <c r="J796">
        <f t="shared" si="17"/>
        <v>15.75</v>
      </c>
    </row>
    <row r="797" spans="1:10">
      <c r="A797" t="s">
        <v>519</v>
      </c>
      <c r="B797" t="s">
        <v>510</v>
      </c>
      <c r="C797" t="s">
        <v>1459</v>
      </c>
      <c r="D797" s="14">
        <v>25</v>
      </c>
      <c r="F797" s="13">
        <v>45731.479166666664</v>
      </c>
      <c r="G797" t="s">
        <v>1</v>
      </c>
      <c r="H797" t="s">
        <v>895</v>
      </c>
      <c r="I797" t="str">
        <f>IF(B797=IFERROR(VLOOKUP(B797,base!$L$1:$L$9,1,0),""),"Produtos",IF(B797=IFERROR(VLOOKUP(B797,base!$K$2:$K$8,1,0),""),"Serviços","Combos"))</f>
        <v>Produtos</v>
      </c>
      <c r="J797">
        <f t="shared" si="17"/>
        <v>10</v>
      </c>
    </row>
    <row r="798" spans="1:10">
      <c r="A798" t="s">
        <v>252</v>
      </c>
      <c r="B798" t="s">
        <v>163</v>
      </c>
      <c r="C798" t="s">
        <v>1460</v>
      </c>
      <c r="D798" s="14">
        <v>35</v>
      </c>
      <c r="E798" s="14">
        <v>45</v>
      </c>
      <c r="F798" s="13">
        <v>45731.506944444445</v>
      </c>
      <c r="G798" t="s">
        <v>1</v>
      </c>
      <c r="H798" t="s">
        <v>487</v>
      </c>
      <c r="I798" t="str">
        <f>IF(B798=IFERROR(VLOOKUP(B798,base!$L$1:$L$9,1,0),""),"Produtos",IF(B798=IFERROR(VLOOKUP(B798,base!$K$2:$K$8,1,0),""),"Serviços","Combos"))</f>
        <v>Serviços</v>
      </c>
      <c r="J798">
        <f t="shared" si="17"/>
        <v>15.75</v>
      </c>
    </row>
    <row r="799" spans="1:10">
      <c r="A799" t="s">
        <v>252</v>
      </c>
      <c r="B799" t="s">
        <v>167</v>
      </c>
      <c r="C799" t="s">
        <v>1460</v>
      </c>
      <c r="D799" s="14">
        <v>10</v>
      </c>
      <c r="F799" s="13">
        <v>45731.506944444445</v>
      </c>
      <c r="G799" t="s">
        <v>1</v>
      </c>
      <c r="H799" t="s">
        <v>487</v>
      </c>
      <c r="I799" t="str">
        <f>IF(B799=IFERROR(VLOOKUP(B799,base!$L$1:$L$9,1,0),""),"Produtos",IF(B799=IFERROR(VLOOKUP(B799,base!$K$2:$K$8,1,0),""),"Serviços","Combos"))</f>
        <v>Serviços</v>
      </c>
      <c r="J799">
        <f t="shared" si="17"/>
        <v>4.5</v>
      </c>
    </row>
    <row r="800" spans="1:10">
      <c r="A800" t="s">
        <v>252</v>
      </c>
      <c r="B800" t="s">
        <v>163</v>
      </c>
      <c r="C800" t="s">
        <v>1441</v>
      </c>
      <c r="D800" s="14">
        <v>35</v>
      </c>
      <c r="E800" s="14">
        <v>45</v>
      </c>
      <c r="F800" s="13">
        <v>45731.520833333336</v>
      </c>
      <c r="G800" t="s">
        <v>310</v>
      </c>
      <c r="H800" t="s">
        <v>96</v>
      </c>
      <c r="I800" t="str">
        <f>IF(B800=IFERROR(VLOOKUP(B800,base!$L$1:$L$9,1,0),""),"Produtos",IF(B800=IFERROR(VLOOKUP(B800,base!$K$2:$K$8,1,0),""),"Serviços","Combos"))</f>
        <v>Serviços</v>
      </c>
      <c r="J800">
        <f t="shared" si="17"/>
        <v>15.75</v>
      </c>
    </row>
    <row r="801" spans="1:10">
      <c r="A801" t="s">
        <v>252</v>
      </c>
      <c r="B801" t="s">
        <v>167</v>
      </c>
      <c r="C801" t="s">
        <v>1441</v>
      </c>
      <c r="D801" s="14">
        <v>10</v>
      </c>
      <c r="F801" s="13">
        <v>45731.520833333336</v>
      </c>
      <c r="G801" t="s">
        <v>310</v>
      </c>
      <c r="H801" t="s">
        <v>96</v>
      </c>
      <c r="I801" t="str">
        <f>IF(B801=IFERROR(VLOOKUP(B801,base!$L$1:$L$9,1,0),""),"Produtos",IF(B801=IFERROR(VLOOKUP(B801,base!$K$2:$K$8,1,0),""),"Serviços","Combos"))</f>
        <v>Serviços</v>
      </c>
      <c r="J801">
        <f t="shared" si="17"/>
        <v>4.5</v>
      </c>
    </row>
    <row r="802" spans="1:10">
      <c r="A802" t="s">
        <v>536</v>
      </c>
      <c r="B802" t="s">
        <v>163</v>
      </c>
      <c r="C802" t="s">
        <v>1462</v>
      </c>
      <c r="D802" s="14">
        <v>35</v>
      </c>
      <c r="E802" s="14">
        <v>30</v>
      </c>
      <c r="F802" s="13">
        <v>45731.541666666664</v>
      </c>
      <c r="G802" t="s">
        <v>1</v>
      </c>
      <c r="H802" t="s">
        <v>1348</v>
      </c>
      <c r="I802" t="str">
        <f>IF(B802=IFERROR(VLOOKUP(B802,base!$L$1:$L$9,1,0),""),"Produtos",IF(B802=IFERROR(VLOOKUP(B802,base!$K$2:$K$8,1,0),""),"Serviços","Combos"))</f>
        <v>Serviços</v>
      </c>
      <c r="J802">
        <f t="shared" si="17"/>
        <v>15.75</v>
      </c>
    </row>
    <row r="803" spans="1:10">
      <c r="A803" t="s">
        <v>519</v>
      </c>
      <c r="B803" t="s">
        <v>163</v>
      </c>
      <c r="C803" t="s">
        <v>1454</v>
      </c>
      <c r="D803" s="14">
        <v>40</v>
      </c>
      <c r="E803" s="14">
        <v>40</v>
      </c>
      <c r="F803" s="13">
        <v>45731.5625</v>
      </c>
      <c r="G803" t="s">
        <v>310</v>
      </c>
      <c r="H803" t="s">
        <v>282</v>
      </c>
      <c r="I803" t="str">
        <f>IF(B803=IFERROR(VLOOKUP(B803,base!$L$1:$L$9,1,0),""),"Produtos",IF(B803=IFERROR(VLOOKUP(B803,base!$K$2:$K$8,1,0),""),"Serviços","Combos"))</f>
        <v>Serviços</v>
      </c>
      <c r="J803">
        <f t="shared" si="17"/>
        <v>18</v>
      </c>
    </row>
    <row r="804" spans="1:10">
      <c r="A804" t="s">
        <v>519</v>
      </c>
      <c r="B804" t="s">
        <v>163</v>
      </c>
      <c r="C804" t="s">
        <v>1463</v>
      </c>
      <c r="D804" s="14">
        <v>35</v>
      </c>
      <c r="E804" s="14">
        <v>35</v>
      </c>
      <c r="F804" s="13">
        <v>45731.569444444445</v>
      </c>
      <c r="G804" t="s">
        <v>2</v>
      </c>
      <c r="H804" t="s">
        <v>75</v>
      </c>
      <c r="I804" t="str">
        <f>IF(B804=IFERROR(VLOOKUP(B804,base!$L$1:$L$9,1,0),""),"Produtos",IF(B804=IFERROR(VLOOKUP(B804,base!$K$2:$K$8,1,0),""),"Serviços","Combos"))</f>
        <v>Serviços</v>
      </c>
      <c r="J804">
        <f t="shared" si="17"/>
        <v>15.75</v>
      </c>
    </row>
    <row r="805" spans="1:10">
      <c r="A805" t="s">
        <v>519</v>
      </c>
      <c r="B805" t="s">
        <v>1446</v>
      </c>
      <c r="C805" t="s">
        <v>1465</v>
      </c>
      <c r="D805" s="14">
        <v>15</v>
      </c>
      <c r="E805" s="14">
        <v>15</v>
      </c>
      <c r="F805" s="13">
        <v>45731.604166666664</v>
      </c>
      <c r="G805" t="s">
        <v>310</v>
      </c>
      <c r="H805" t="s">
        <v>1466</v>
      </c>
      <c r="I805" t="str">
        <f>IF(B805=IFERROR(VLOOKUP(B805,base!$L$1:$L$9,1,0),""),"Produtos",IF(B805=IFERROR(VLOOKUP(B805,base!$K$2:$K$8,1,0),""),"Serviços","Combos"))</f>
        <v>Combos</v>
      </c>
      <c r="J805">
        <f t="shared" si="17"/>
        <v>6.75</v>
      </c>
    </row>
    <row r="806" spans="1:10">
      <c r="A806" t="s">
        <v>519</v>
      </c>
      <c r="B806" t="s">
        <v>160</v>
      </c>
      <c r="C806" t="s">
        <v>1470</v>
      </c>
      <c r="D806" s="14">
        <v>12</v>
      </c>
      <c r="E806" s="14">
        <v>12</v>
      </c>
      <c r="F806" s="13">
        <v>45731.614583333336</v>
      </c>
      <c r="G806" t="s">
        <v>2</v>
      </c>
      <c r="H806" t="s">
        <v>115</v>
      </c>
      <c r="I806" t="str">
        <f>IF(B806=IFERROR(VLOOKUP(B806,base!$L$1:$L$9,1,0),""),"Produtos",IF(B806=IFERROR(VLOOKUP(B806,base!$K$2:$K$8,1,0),""),"Serviços","Combos"))</f>
        <v>Serviços</v>
      </c>
      <c r="J806">
        <f t="shared" si="17"/>
        <v>5.4</v>
      </c>
    </row>
    <row r="807" spans="1:10">
      <c r="A807" t="s">
        <v>252</v>
      </c>
      <c r="B807" t="s">
        <v>163</v>
      </c>
      <c r="C807" t="s">
        <v>1464</v>
      </c>
      <c r="D807" s="14">
        <v>35</v>
      </c>
      <c r="E807" s="14">
        <v>35</v>
      </c>
      <c r="F807" s="13">
        <v>45731.625</v>
      </c>
      <c r="G807" t="s">
        <v>1</v>
      </c>
      <c r="H807" t="s">
        <v>296</v>
      </c>
      <c r="I807" t="str">
        <f>IF(B807=IFERROR(VLOOKUP(B807,base!$L$1:$L$9,1,0),""),"Produtos",IF(B807=IFERROR(VLOOKUP(B807,base!$K$2:$K$8,1,0),""),"Serviços","Combos"))</f>
        <v>Serviços</v>
      </c>
      <c r="J807">
        <f t="shared" si="17"/>
        <v>15.75</v>
      </c>
    </row>
    <row r="808" spans="1:10">
      <c r="A808" t="s">
        <v>519</v>
      </c>
      <c r="B808" t="s">
        <v>353</v>
      </c>
      <c r="C808" t="s">
        <v>1468</v>
      </c>
      <c r="D808" s="14">
        <v>50</v>
      </c>
      <c r="E808" s="14">
        <v>50</v>
      </c>
      <c r="F808" s="13">
        <v>45731.666666666664</v>
      </c>
      <c r="G808" t="s">
        <v>1</v>
      </c>
      <c r="H808" t="s">
        <v>28</v>
      </c>
      <c r="I808" t="str">
        <f>IF(B808=IFERROR(VLOOKUP(B808,base!$L$1:$L$9,1,0),""),"Produtos",IF(B808=IFERROR(VLOOKUP(B808,base!$K$2:$K$8,1,0),""),"Serviços","Combos"))</f>
        <v>Combos</v>
      </c>
      <c r="J808">
        <f t="shared" si="17"/>
        <v>22.5</v>
      </c>
    </row>
    <row r="809" spans="1:10">
      <c r="A809" t="s">
        <v>252</v>
      </c>
      <c r="B809" t="s">
        <v>163</v>
      </c>
      <c r="C809" t="s">
        <v>1469</v>
      </c>
      <c r="D809" s="14">
        <v>35</v>
      </c>
      <c r="E809" s="14">
        <v>35</v>
      </c>
      <c r="F809" s="13">
        <v>45731.666666666664</v>
      </c>
      <c r="G809" t="s">
        <v>354</v>
      </c>
      <c r="H809" t="s">
        <v>107</v>
      </c>
      <c r="I809" t="str">
        <f>IF(B809=IFERROR(VLOOKUP(B809,base!$L$1:$L$9,1,0),""),"Produtos",IF(B809=IFERROR(VLOOKUP(B809,base!$K$2:$K$8,1,0),""),"Serviços","Combos"))</f>
        <v>Serviços</v>
      </c>
      <c r="J809">
        <f t="shared" si="17"/>
        <v>15.75</v>
      </c>
    </row>
    <row r="810" spans="1:10">
      <c r="A810" t="s">
        <v>536</v>
      </c>
      <c r="B810" t="s">
        <v>353</v>
      </c>
      <c r="C810" t="s">
        <v>1471</v>
      </c>
      <c r="D810" s="14">
        <v>60</v>
      </c>
      <c r="E810" s="14">
        <v>60</v>
      </c>
      <c r="F810" s="13">
        <v>45731.673611111109</v>
      </c>
      <c r="G810" t="s">
        <v>2</v>
      </c>
      <c r="H810" t="s">
        <v>1472</v>
      </c>
      <c r="I810" t="str">
        <f>IF(B810=IFERROR(VLOOKUP(B810,base!$L$1:$L$9,1,0),""),"Produtos",IF(B810=IFERROR(VLOOKUP(B810,base!$K$2:$K$8,1,0),""),"Serviços","Combos"))</f>
        <v>Combos</v>
      </c>
      <c r="J810">
        <f t="shared" si="17"/>
        <v>27</v>
      </c>
    </row>
    <row r="811" spans="1:10">
      <c r="A811" t="s">
        <v>519</v>
      </c>
      <c r="B811" t="s">
        <v>163</v>
      </c>
      <c r="C811" t="s">
        <v>1461</v>
      </c>
      <c r="D811" s="14">
        <v>35</v>
      </c>
      <c r="E811" s="14">
        <v>35</v>
      </c>
      <c r="F811" s="13">
        <v>45731.708333333336</v>
      </c>
      <c r="G811" t="s">
        <v>1</v>
      </c>
      <c r="H811" t="s">
        <v>127</v>
      </c>
      <c r="I811" t="str">
        <f>IF(B811=IFERROR(VLOOKUP(B811,base!$L$1:$L$9,1,0),""),"Produtos",IF(B811=IFERROR(VLOOKUP(B811,base!$K$2:$K$8,1,0),""),"Serviços","Combos"))</f>
        <v>Serviços</v>
      </c>
      <c r="J811">
        <f t="shared" si="17"/>
        <v>15.75</v>
      </c>
    </row>
    <row r="812" spans="1:10">
      <c r="A812" t="s">
        <v>536</v>
      </c>
      <c r="B812" t="s">
        <v>353</v>
      </c>
      <c r="C812" t="s">
        <v>1473</v>
      </c>
      <c r="D812" s="14">
        <v>60</v>
      </c>
      <c r="E812" s="14">
        <v>60</v>
      </c>
      <c r="F812" s="13">
        <v>45731.708333333336</v>
      </c>
      <c r="G812" t="s">
        <v>1</v>
      </c>
      <c r="H812" t="s">
        <v>1474</v>
      </c>
      <c r="I812" t="str">
        <f>IF(B812=IFERROR(VLOOKUP(B812,base!$L$1:$L$9,1,0),""),"Produtos",IF(B812=IFERROR(VLOOKUP(B812,base!$K$2:$K$8,1,0),""),"Serviços","Combos"))</f>
        <v>Combos</v>
      </c>
      <c r="J812">
        <f t="shared" si="17"/>
        <v>27</v>
      </c>
    </row>
    <row r="813" spans="1:10">
      <c r="A813" t="s">
        <v>252</v>
      </c>
      <c r="B813" t="s">
        <v>163</v>
      </c>
      <c r="C813" t="s">
        <v>1467</v>
      </c>
      <c r="D813" s="14">
        <v>35</v>
      </c>
      <c r="E813" s="14">
        <v>70</v>
      </c>
      <c r="F813" s="13">
        <v>45731.729166666664</v>
      </c>
      <c r="G813" t="s">
        <v>354</v>
      </c>
      <c r="H813" t="s">
        <v>493</v>
      </c>
      <c r="I813" t="str">
        <f>IF(B813=IFERROR(VLOOKUP(B813,base!$L$1:$L$9,1,0),""),"Produtos",IF(B813=IFERROR(VLOOKUP(B813,base!$K$2:$K$8,1,0),""),"Serviços","Combos"))</f>
        <v>Serviços</v>
      </c>
      <c r="J813">
        <f t="shared" ref="J813:J876" si="18">IF(AND(I813="Serviços",E813&gt;0),ROUND(D813*45%,2),IF(I813="Produtos",ROUND(D813*40%,2),D813*45%))</f>
        <v>15.75</v>
      </c>
    </row>
    <row r="814" spans="1:10">
      <c r="A814" t="s">
        <v>252</v>
      </c>
      <c r="B814" t="s">
        <v>163</v>
      </c>
      <c r="C814" t="s">
        <v>1467</v>
      </c>
      <c r="D814" s="14">
        <v>35</v>
      </c>
      <c r="F814" s="13">
        <v>45731.729166666664</v>
      </c>
      <c r="G814" t="s">
        <v>354</v>
      </c>
      <c r="H814" t="s">
        <v>493</v>
      </c>
      <c r="I814" t="str">
        <f>IF(B814=IFERROR(VLOOKUP(B814,base!$L$1:$L$9,1,0),""),"Produtos",IF(B814=IFERROR(VLOOKUP(B814,base!$K$2:$K$8,1,0),""),"Serviços","Combos"))</f>
        <v>Serviços</v>
      </c>
      <c r="J814">
        <f t="shared" si="18"/>
        <v>15.75</v>
      </c>
    </row>
    <row r="815" spans="1:10">
      <c r="A815" t="s">
        <v>519</v>
      </c>
      <c r="B815" t="s">
        <v>353</v>
      </c>
      <c r="C815" t="s">
        <v>1475</v>
      </c>
      <c r="D815" s="14">
        <v>55</v>
      </c>
      <c r="E815" s="14">
        <v>55</v>
      </c>
      <c r="F815" s="13">
        <v>45731.729166666664</v>
      </c>
      <c r="G815" t="s">
        <v>310</v>
      </c>
      <c r="H815" t="s">
        <v>126</v>
      </c>
      <c r="I815" t="str">
        <f>IF(B815=IFERROR(VLOOKUP(B815,base!$L$1:$L$9,1,0),""),"Produtos",IF(B815=IFERROR(VLOOKUP(B815,base!$K$2:$K$8,1,0),""),"Serviços","Combos"))</f>
        <v>Combos</v>
      </c>
      <c r="J815">
        <f t="shared" si="18"/>
        <v>24.75</v>
      </c>
    </row>
    <row r="816" spans="1:10">
      <c r="A816" t="s">
        <v>519</v>
      </c>
      <c r="B816" t="s">
        <v>353</v>
      </c>
      <c r="C816" t="s">
        <v>1477</v>
      </c>
      <c r="D816" s="14">
        <v>50</v>
      </c>
      <c r="E816" s="14">
        <v>50</v>
      </c>
      <c r="F816" s="13">
        <v>45731.753472222219</v>
      </c>
      <c r="G816" t="s">
        <v>2</v>
      </c>
      <c r="H816" t="s">
        <v>278</v>
      </c>
      <c r="I816" t="str">
        <f>IF(B816=IFERROR(VLOOKUP(B816,base!$L$1:$L$9,1,0),""),"Produtos",IF(B816=IFERROR(VLOOKUP(B816,base!$K$2:$K$8,1,0),""),"Serviços","Combos"))</f>
        <v>Combos</v>
      </c>
      <c r="J816">
        <f t="shared" si="18"/>
        <v>22.5</v>
      </c>
    </row>
    <row r="817" spans="1:10">
      <c r="A817" t="s">
        <v>252</v>
      </c>
      <c r="B817" t="s">
        <v>163</v>
      </c>
      <c r="C817" t="s">
        <v>1476</v>
      </c>
      <c r="D817" s="14">
        <v>35</v>
      </c>
      <c r="E817" s="14">
        <v>35</v>
      </c>
      <c r="F817" s="13">
        <v>45731.78125</v>
      </c>
      <c r="G817" t="s">
        <v>2</v>
      </c>
      <c r="H817" t="s">
        <v>1099</v>
      </c>
      <c r="I817" t="str">
        <f>IF(B817=IFERROR(VLOOKUP(B817,base!$L$1:$L$9,1,0),""),"Produtos",IF(B817=IFERROR(VLOOKUP(B817,base!$K$2:$K$8,1,0),""),"Serviços","Combos"))</f>
        <v>Serviços</v>
      </c>
      <c r="J817">
        <f t="shared" si="18"/>
        <v>15.75</v>
      </c>
    </row>
    <row r="818" spans="1:10">
      <c r="A818" t="s">
        <v>536</v>
      </c>
      <c r="B818" t="s">
        <v>163</v>
      </c>
      <c r="C818" t="s">
        <v>1478</v>
      </c>
      <c r="D818" s="14">
        <v>35</v>
      </c>
      <c r="E818" s="14">
        <v>60</v>
      </c>
      <c r="F818" s="13">
        <v>45731.802083333336</v>
      </c>
      <c r="G818" t="s">
        <v>1</v>
      </c>
      <c r="H818" t="s">
        <v>1479</v>
      </c>
      <c r="I818" t="str">
        <f>IF(B818=IFERROR(VLOOKUP(B818,base!$L$1:$L$9,1,0),""),"Produtos",IF(B818=IFERROR(VLOOKUP(B818,base!$K$2:$K$8,1,0),""),"Serviços","Combos"))</f>
        <v>Serviços</v>
      </c>
      <c r="J818">
        <f t="shared" si="18"/>
        <v>15.75</v>
      </c>
    </row>
    <row r="819" spans="1:10">
      <c r="A819" t="s">
        <v>536</v>
      </c>
      <c r="B819" t="s">
        <v>508</v>
      </c>
      <c r="C819" t="s">
        <v>1478</v>
      </c>
      <c r="D819" s="14">
        <v>25</v>
      </c>
      <c r="F819" s="13">
        <v>45731.802083333336</v>
      </c>
      <c r="G819" t="s">
        <v>1</v>
      </c>
      <c r="H819" t="s">
        <v>1479</v>
      </c>
      <c r="I819" t="str">
        <f>IF(B819=IFERROR(VLOOKUP(B819,base!$L$1:$L$9,1,0),""),"Produtos",IF(B819=IFERROR(VLOOKUP(B819,base!$K$2:$K$8,1,0),""),"Serviços","Combos"))</f>
        <v>Produtos</v>
      </c>
      <c r="J819">
        <f t="shared" si="18"/>
        <v>10</v>
      </c>
    </row>
    <row r="820" spans="1:10">
      <c r="A820" t="s">
        <v>536</v>
      </c>
      <c r="B820" t="s">
        <v>1046</v>
      </c>
      <c r="C820" t="s">
        <v>1480</v>
      </c>
      <c r="D820" s="14">
        <v>35</v>
      </c>
      <c r="E820" s="14">
        <v>35</v>
      </c>
      <c r="F820" s="13">
        <v>45731.822916666664</v>
      </c>
      <c r="G820" t="s">
        <v>2</v>
      </c>
      <c r="H820" t="s">
        <v>290</v>
      </c>
      <c r="I820" t="str">
        <f>IF(B820=IFERROR(VLOOKUP(B820,base!$L$1:$L$9,1,0),""),"Produtos",IF(B820=IFERROR(VLOOKUP(B820,base!$K$2:$K$8,1,0),""),"Serviços","Combos"))</f>
        <v>Combos</v>
      </c>
      <c r="J820">
        <f t="shared" si="18"/>
        <v>15.75</v>
      </c>
    </row>
    <row r="821" spans="1:10">
      <c r="A821" t="s">
        <v>536</v>
      </c>
      <c r="B821" t="s">
        <v>163</v>
      </c>
      <c r="C821" t="s">
        <v>1481</v>
      </c>
      <c r="D821" s="14">
        <v>35</v>
      </c>
      <c r="E821" s="14">
        <v>50</v>
      </c>
      <c r="F821" s="13">
        <v>45734.416666666664</v>
      </c>
      <c r="G821" t="s">
        <v>1</v>
      </c>
      <c r="H821" t="s">
        <v>1482</v>
      </c>
      <c r="I821" t="str">
        <f>IF(B821=IFERROR(VLOOKUP(B821,base!$L$1:$L$9,1,0),""),"Produtos",IF(B821=IFERROR(VLOOKUP(B821,base!$K$2:$K$8,1,0),""),"Serviços","Combos"))</f>
        <v>Serviços</v>
      </c>
      <c r="J821">
        <f t="shared" si="18"/>
        <v>15.75</v>
      </c>
    </row>
    <row r="822" spans="1:10">
      <c r="A822" t="s">
        <v>536</v>
      </c>
      <c r="B822" t="s">
        <v>167</v>
      </c>
      <c r="C822" t="s">
        <v>1481</v>
      </c>
      <c r="D822" s="14">
        <v>15</v>
      </c>
      <c r="F822" s="13">
        <v>45734.416666666664</v>
      </c>
      <c r="G822" t="s">
        <v>1</v>
      </c>
      <c r="H822" t="s">
        <v>1482</v>
      </c>
      <c r="I822" t="str">
        <f>IF(B822=IFERROR(VLOOKUP(B822,base!$L$1:$L$9,1,0),""),"Produtos",IF(B822=IFERROR(VLOOKUP(B822,base!$K$2:$K$8,1,0),""),"Serviços","Combos"))</f>
        <v>Serviços</v>
      </c>
      <c r="J822">
        <f t="shared" si="18"/>
        <v>6.75</v>
      </c>
    </row>
    <row r="823" spans="1:10">
      <c r="A823" t="s">
        <v>252</v>
      </c>
      <c r="B823" t="s">
        <v>163</v>
      </c>
      <c r="C823" t="s">
        <v>1484</v>
      </c>
      <c r="D823" s="14">
        <v>35</v>
      </c>
      <c r="E823" s="14">
        <v>45</v>
      </c>
      <c r="F823" s="13">
        <v>45734.5</v>
      </c>
      <c r="G823" t="s">
        <v>354</v>
      </c>
      <c r="H823" t="s">
        <v>1485</v>
      </c>
      <c r="I823" t="str">
        <f>IF(B823=IFERROR(VLOOKUP(B823,base!$L$1:$L$9,1,0),""),"Produtos",IF(B823=IFERROR(VLOOKUP(B823,base!$K$2:$K$8,1,0),""),"Serviços","Combos"))</f>
        <v>Serviços</v>
      </c>
      <c r="J823">
        <f t="shared" si="18"/>
        <v>15.75</v>
      </c>
    </row>
    <row r="824" spans="1:10">
      <c r="A824" t="s">
        <v>252</v>
      </c>
      <c r="B824" t="s">
        <v>167</v>
      </c>
      <c r="C824" t="s">
        <v>1484</v>
      </c>
      <c r="D824" s="14">
        <v>10</v>
      </c>
      <c r="F824" s="13">
        <v>45734.5</v>
      </c>
      <c r="G824" t="s">
        <v>354</v>
      </c>
      <c r="H824" t="s">
        <v>1485</v>
      </c>
      <c r="I824" t="str">
        <f>IF(B824=IFERROR(VLOOKUP(B824,base!$L$1:$L$9,1,0),""),"Produtos",IF(B824=IFERROR(VLOOKUP(B824,base!$K$2:$K$8,1,0),""),"Serviços","Combos"))</f>
        <v>Serviços</v>
      </c>
      <c r="J824">
        <f t="shared" si="18"/>
        <v>4.5</v>
      </c>
    </row>
    <row r="825" spans="1:10">
      <c r="A825" t="s">
        <v>519</v>
      </c>
      <c r="B825" t="s">
        <v>163</v>
      </c>
      <c r="C825" t="s">
        <v>1487</v>
      </c>
      <c r="D825" s="14">
        <v>35</v>
      </c>
      <c r="E825" s="14">
        <v>45</v>
      </c>
      <c r="F825" s="13">
        <v>45734.666666666664</v>
      </c>
      <c r="G825" t="s">
        <v>1</v>
      </c>
      <c r="H825" t="s">
        <v>1488</v>
      </c>
      <c r="I825" t="str">
        <f>IF(B825=IFERROR(VLOOKUP(B825,base!$L$1:$L$9,1,0),""),"Produtos",IF(B825=IFERROR(VLOOKUP(B825,base!$K$2:$K$8,1,0),""),"Serviços","Combos"))</f>
        <v>Serviços</v>
      </c>
      <c r="J825">
        <f t="shared" si="18"/>
        <v>15.75</v>
      </c>
    </row>
    <row r="826" spans="1:10">
      <c r="A826" t="s">
        <v>519</v>
      </c>
      <c r="B826" t="s">
        <v>167</v>
      </c>
      <c r="C826" t="s">
        <v>1487</v>
      </c>
      <c r="D826" s="14">
        <v>10</v>
      </c>
      <c r="F826" s="13">
        <v>45734.666666666664</v>
      </c>
      <c r="G826" t="s">
        <v>1</v>
      </c>
      <c r="H826" t="s">
        <v>1488</v>
      </c>
      <c r="I826" t="str">
        <f>IF(B826=IFERROR(VLOOKUP(B826,base!$L$1:$L$9,1,0),""),"Produtos",IF(B826=IFERROR(VLOOKUP(B826,base!$K$2:$K$8,1,0),""),"Serviços","Combos"))</f>
        <v>Serviços</v>
      </c>
      <c r="J826">
        <f t="shared" si="18"/>
        <v>4.5</v>
      </c>
    </row>
    <row r="827" spans="1:10">
      <c r="A827" t="s">
        <v>536</v>
      </c>
      <c r="B827" t="s">
        <v>163</v>
      </c>
      <c r="C827" t="s">
        <v>1486</v>
      </c>
      <c r="D827" s="14">
        <v>35</v>
      </c>
      <c r="E827" s="14">
        <v>60</v>
      </c>
      <c r="F827" s="13">
        <v>45734.729166666664</v>
      </c>
      <c r="G827" t="s">
        <v>1</v>
      </c>
      <c r="H827" t="s">
        <v>492</v>
      </c>
      <c r="I827" t="str">
        <f>IF(B827=IFERROR(VLOOKUP(B827,base!$L$1:$L$9,1,0),""),"Produtos",IF(B827=IFERROR(VLOOKUP(B827,base!$K$2:$K$8,1,0),""),"Serviços","Combos"))</f>
        <v>Serviços</v>
      </c>
      <c r="J827">
        <f t="shared" si="18"/>
        <v>15.75</v>
      </c>
    </row>
    <row r="828" spans="1:10">
      <c r="A828" t="s">
        <v>536</v>
      </c>
      <c r="B828" t="s">
        <v>352</v>
      </c>
      <c r="C828" t="s">
        <v>1486</v>
      </c>
      <c r="D828" s="14">
        <v>20</v>
      </c>
      <c r="F828" s="13">
        <v>45734.729166666664</v>
      </c>
      <c r="G828" t="s">
        <v>1</v>
      </c>
      <c r="H828" t="s">
        <v>492</v>
      </c>
      <c r="I828" t="str">
        <f>IF(B828=IFERROR(VLOOKUP(B828,base!$L$1:$L$9,1,0),""),"Produtos",IF(B828=IFERROR(VLOOKUP(B828,base!$K$2:$K$8,1,0),""),"Serviços","Combos"))</f>
        <v>Combos</v>
      </c>
      <c r="J828">
        <f t="shared" si="18"/>
        <v>9</v>
      </c>
    </row>
    <row r="829" spans="1:10">
      <c r="A829" t="s">
        <v>536</v>
      </c>
      <c r="B829" t="s">
        <v>910</v>
      </c>
      <c r="C829" t="s">
        <v>1486</v>
      </c>
      <c r="D829" s="14">
        <v>5</v>
      </c>
      <c r="F829" s="13">
        <v>45734.729166666664</v>
      </c>
      <c r="G829" t="s">
        <v>1</v>
      </c>
      <c r="H829" t="s">
        <v>492</v>
      </c>
      <c r="I829" t="str">
        <f>IF(B829=IFERROR(VLOOKUP(B829,base!$L$1:$L$9,1,0),""),"Produtos",IF(B829=IFERROR(VLOOKUP(B829,base!$K$2:$K$8,1,0),""),"Serviços","Combos"))</f>
        <v>Combos</v>
      </c>
      <c r="J829">
        <f t="shared" si="18"/>
        <v>2.25</v>
      </c>
    </row>
    <row r="830" spans="1:10">
      <c r="A830" t="s">
        <v>519</v>
      </c>
      <c r="B830" t="s">
        <v>163</v>
      </c>
      <c r="C830" t="s">
        <v>1489</v>
      </c>
      <c r="D830" s="14">
        <v>35</v>
      </c>
      <c r="E830" s="14">
        <v>35</v>
      </c>
      <c r="F830" s="13">
        <v>45734.770833333336</v>
      </c>
      <c r="G830" t="s">
        <v>310</v>
      </c>
      <c r="H830" t="s">
        <v>1490</v>
      </c>
      <c r="I830" t="str">
        <f>IF(B830=IFERROR(VLOOKUP(B830,base!$L$1:$L$9,1,0),""),"Produtos",IF(B830=IFERROR(VLOOKUP(B830,base!$K$2:$K$8,1,0),""),"Serviços","Combos"))</f>
        <v>Serviços</v>
      </c>
      <c r="J830">
        <f t="shared" si="18"/>
        <v>15.75</v>
      </c>
    </row>
    <row r="831" spans="1:10">
      <c r="A831" t="s">
        <v>519</v>
      </c>
      <c r="B831" t="s">
        <v>163</v>
      </c>
      <c r="C831" t="s">
        <v>1491</v>
      </c>
      <c r="D831" s="14">
        <v>35</v>
      </c>
      <c r="E831" s="14">
        <v>45</v>
      </c>
      <c r="F831" s="13">
        <v>45734.770833333336</v>
      </c>
      <c r="G831" t="s">
        <v>2</v>
      </c>
      <c r="H831" t="s">
        <v>1492</v>
      </c>
      <c r="I831" t="str">
        <f>IF(B831=IFERROR(VLOOKUP(B831,base!$L$1:$L$9,1,0),""),"Produtos",IF(B831=IFERROR(VLOOKUP(B831,base!$K$2:$K$8,1,0),""),"Serviços","Combos"))</f>
        <v>Serviços</v>
      </c>
      <c r="J831">
        <f t="shared" si="18"/>
        <v>15.75</v>
      </c>
    </row>
    <row r="832" spans="1:10">
      <c r="A832" t="s">
        <v>519</v>
      </c>
      <c r="B832" t="s">
        <v>167</v>
      </c>
      <c r="C832" t="s">
        <v>1491</v>
      </c>
      <c r="D832" s="14">
        <v>10</v>
      </c>
      <c r="F832" s="13">
        <v>45734.770833333336</v>
      </c>
      <c r="G832" t="s">
        <v>2</v>
      </c>
      <c r="H832" t="s">
        <v>1492</v>
      </c>
      <c r="I832" t="str">
        <f>IF(B832=IFERROR(VLOOKUP(B832,base!$L$1:$L$9,1,0),""),"Produtos",IF(B832=IFERROR(VLOOKUP(B832,base!$K$2:$K$8,1,0),""),"Serviços","Combos"))</f>
        <v>Serviços</v>
      </c>
      <c r="J832">
        <f t="shared" si="18"/>
        <v>4.5</v>
      </c>
    </row>
    <row r="833" spans="1:10">
      <c r="A833" t="s">
        <v>252</v>
      </c>
      <c r="B833" t="s">
        <v>353</v>
      </c>
      <c r="C833" t="s">
        <v>1493</v>
      </c>
      <c r="D833" s="14">
        <v>60</v>
      </c>
      <c r="E833" s="14">
        <v>60</v>
      </c>
      <c r="F833" s="13">
        <v>45734.78125</v>
      </c>
      <c r="G833" t="s">
        <v>354</v>
      </c>
      <c r="H833" t="s">
        <v>95</v>
      </c>
      <c r="I833" t="str">
        <f>IF(B833=IFERROR(VLOOKUP(B833,base!$L$1:$L$9,1,0),""),"Produtos",IF(B833=IFERROR(VLOOKUP(B833,base!$K$2:$K$8,1,0),""),"Serviços","Combos"))</f>
        <v>Combos</v>
      </c>
      <c r="J833">
        <f t="shared" si="18"/>
        <v>27</v>
      </c>
    </row>
    <row r="834" spans="1:10">
      <c r="A834" t="s">
        <v>536</v>
      </c>
      <c r="B834" t="s">
        <v>163</v>
      </c>
      <c r="C834" t="s">
        <v>1494</v>
      </c>
      <c r="D834" s="14">
        <v>35</v>
      </c>
      <c r="E834" s="14">
        <v>35</v>
      </c>
      <c r="F834" s="13">
        <v>45734.8125</v>
      </c>
      <c r="G834" t="s">
        <v>2</v>
      </c>
      <c r="H834" t="s">
        <v>1495</v>
      </c>
      <c r="I834" t="str">
        <f>IF(B834=IFERROR(VLOOKUP(B834,base!$L$1:$L$9,1,0),""),"Produtos",IF(B834=IFERROR(VLOOKUP(B834,base!$K$2:$K$8,1,0),""),"Serviços","Combos"))</f>
        <v>Serviços</v>
      </c>
      <c r="J834">
        <f t="shared" si="18"/>
        <v>15.75</v>
      </c>
    </row>
    <row r="835" spans="1:10">
      <c r="A835" t="s">
        <v>252</v>
      </c>
      <c r="B835" t="s">
        <v>163</v>
      </c>
      <c r="C835" t="s">
        <v>1496</v>
      </c>
      <c r="D835" s="14">
        <v>35</v>
      </c>
      <c r="E835" s="14">
        <v>35</v>
      </c>
      <c r="F835" s="13">
        <v>45734.8125</v>
      </c>
      <c r="G835" t="s">
        <v>354</v>
      </c>
      <c r="H835" t="s">
        <v>1497</v>
      </c>
      <c r="I835" t="str">
        <f>IF(B835=IFERROR(VLOOKUP(B835,base!$L$1:$L$9,1,0),""),"Produtos",IF(B835=IFERROR(VLOOKUP(B835,base!$K$2:$K$8,1,0),""),"Serviços","Combos"))</f>
        <v>Serviços</v>
      </c>
      <c r="J835">
        <f t="shared" si="18"/>
        <v>15.75</v>
      </c>
    </row>
    <row r="836" spans="1:10">
      <c r="A836" t="s">
        <v>536</v>
      </c>
      <c r="B836" t="s">
        <v>163</v>
      </c>
      <c r="C836" t="s">
        <v>1498</v>
      </c>
      <c r="D836" s="14">
        <v>35</v>
      </c>
      <c r="E836" s="14">
        <v>85</v>
      </c>
      <c r="F836" s="13">
        <v>45734.850694444445</v>
      </c>
      <c r="G836" t="s">
        <v>1</v>
      </c>
      <c r="H836" t="s">
        <v>1499</v>
      </c>
      <c r="I836" t="str">
        <f>IF(B836=IFERROR(VLOOKUP(B836,base!$L$1:$L$9,1,0),""),"Produtos",IF(B836=IFERROR(VLOOKUP(B836,base!$K$2:$K$8,1,0),""),"Serviços","Combos"))</f>
        <v>Serviços</v>
      </c>
      <c r="J836">
        <f t="shared" si="18"/>
        <v>15.75</v>
      </c>
    </row>
    <row r="837" spans="1:10">
      <c r="A837" t="s">
        <v>536</v>
      </c>
      <c r="B837" t="s">
        <v>167</v>
      </c>
      <c r="C837" t="s">
        <v>1498</v>
      </c>
      <c r="D837" s="14">
        <v>10</v>
      </c>
      <c r="F837" s="13">
        <v>45734.850694444445</v>
      </c>
      <c r="G837" t="s">
        <v>1</v>
      </c>
      <c r="H837" t="s">
        <v>1499</v>
      </c>
      <c r="I837" t="str">
        <f>IF(B837=IFERROR(VLOOKUP(B837,base!$L$1:$L$9,1,0),""),"Produtos",IF(B837=IFERROR(VLOOKUP(B837,base!$K$2:$K$8,1,0),""),"Serviços","Combos"))</f>
        <v>Serviços</v>
      </c>
      <c r="J837">
        <f t="shared" si="18"/>
        <v>4.5</v>
      </c>
    </row>
    <row r="838" spans="1:10">
      <c r="A838" t="s">
        <v>536</v>
      </c>
      <c r="B838" t="s">
        <v>472</v>
      </c>
      <c r="C838" t="s">
        <v>1498</v>
      </c>
      <c r="D838" s="14">
        <v>40</v>
      </c>
      <c r="F838" s="13">
        <v>45734.850694444445</v>
      </c>
      <c r="G838" t="s">
        <v>1</v>
      </c>
      <c r="H838" t="s">
        <v>1499</v>
      </c>
      <c r="I838" t="str">
        <f>IF(B838=IFERROR(VLOOKUP(B838,base!$L$1:$L$9,1,0),""),"Produtos",IF(B838=IFERROR(VLOOKUP(B838,base!$K$2:$K$8,1,0),""),"Serviços","Combos"))</f>
        <v>Produtos</v>
      </c>
      <c r="J838">
        <f t="shared" si="18"/>
        <v>16</v>
      </c>
    </row>
    <row r="839" spans="1:10">
      <c r="A839" t="s">
        <v>252</v>
      </c>
      <c r="B839" t="s">
        <v>163</v>
      </c>
      <c r="C839" t="s">
        <v>1500</v>
      </c>
      <c r="D839" s="14">
        <v>35</v>
      </c>
      <c r="E839" s="14">
        <v>60</v>
      </c>
      <c r="F839" s="13">
        <v>45734.864583333336</v>
      </c>
      <c r="G839" t="s">
        <v>2</v>
      </c>
      <c r="H839" t="s">
        <v>210</v>
      </c>
      <c r="I839" t="str">
        <f>IF(B839=IFERROR(VLOOKUP(B839,base!$L$1:$L$9,1,0),""),"Produtos",IF(B839=IFERROR(VLOOKUP(B839,base!$K$2:$K$8,1,0),""),"Serviços","Combos"))</f>
        <v>Serviços</v>
      </c>
      <c r="J839">
        <f t="shared" si="18"/>
        <v>15.75</v>
      </c>
    </row>
    <row r="840" spans="1:10">
      <c r="A840" t="s">
        <v>252</v>
      </c>
      <c r="B840" t="s">
        <v>509</v>
      </c>
      <c r="C840" t="s">
        <v>1500</v>
      </c>
      <c r="D840" s="14">
        <v>25</v>
      </c>
      <c r="F840" s="13">
        <v>45734.864583333336</v>
      </c>
      <c r="G840" t="s">
        <v>2</v>
      </c>
      <c r="H840" t="s">
        <v>210</v>
      </c>
      <c r="I840" t="str">
        <f>IF(B840=IFERROR(VLOOKUP(B840,base!$L$1:$L$9,1,0),""),"Produtos",IF(B840=IFERROR(VLOOKUP(B840,base!$K$2:$K$8,1,0),""),"Serviços","Combos"))</f>
        <v>Produtos</v>
      </c>
      <c r="J840">
        <f t="shared" si="18"/>
        <v>10</v>
      </c>
    </row>
    <row r="841" spans="1:10">
      <c r="A841" t="s">
        <v>252</v>
      </c>
      <c r="B841" t="s">
        <v>163</v>
      </c>
      <c r="C841" t="s">
        <v>1501</v>
      </c>
      <c r="D841" s="14">
        <v>35</v>
      </c>
      <c r="E841" s="14">
        <v>35</v>
      </c>
      <c r="F841" s="13">
        <v>45735.416666666664</v>
      </c>
      <c r="G841" t="s">
        <v>354</v>
      </c>
      <c r="H841" t="s">
        <v>503</v>
      </c>
      <c r="I841" t="str">
        <f>IF(B841=IFERROR(VLOOKUP(B841,base!$L$1:$L$9,1,0),""),"Produtos",IF(B841=IFERROR(VLOOKUP(B841,base!$K$2:$K$8,1,0),""),"Serviços","Combos"))</f>
        <v>Serviços</v>
      </c>
      <c r="J841">
        <f t="shared" si="18"/>
        <v>15.75</v>
      </c>
    </row>
    <row r="842" spans="1:10">
      <c r="A842" t="s">
        <v>536</v>
      </c>
      <c r="B842" t="s">
        <v>163</v>
      </c>
      <c r="C842" t="s">
        <v>1508</v>
      </c>
      <c r="D842" s="14">
        <v>20</v>
      </c>
      <c r="E842" s="14">
        <v>20</v>
      </c>
      <c r="F842" s="13">
        <v>45735.427083333336</v>
      </c>
      <c r="G842" t="s">
        <v>1377</v>
      </c>
      <c r="H842" t="s">
        <v>1067</v>
      </c>
      <c r="I842" t="str">
        <f>IF(B842=IFERROR(VLOOKUP(B842,base!$L$1:$L$9,1,0),""),"Produtos",IF(B842=IFERROR(VLOOKUP(B842,base!$K$2:$K$8,1,0),""),"Serviços","Combos"))</f>
        <v>Serviços</v>
      </c>
      <c r="J842">
        <f t="shared" si="18"/>
        <v>9</v>
      </c>
    </row>
    <row r="843" spans="1:10">
      <c r="A843" t="s">
        <v>519</v>
      </c>
      <c r="B843" t="s">
        <v>163</v>
      </c>
      <c r="C843" t="s">
        <v>1503</v>
      </c>
      <c r="D843" s="14">
        <v>35</v>
      </c>
      <c r="E843" s="14">
        <v>35</v>
      </c>
      <c r="F843" s="13">
        <v>45735.4375</v>
      </c>
      <c r="G843" t="s">
        <v>354</v>
      </c>
      <c r="H843" t="s">
        <v>372</v>
      </c>
      <c r="I843" t="str">
        <f>IF(B843=IFERROR(VLOOKUP(B843,base!$L$1:$L$9,1,0),""),"Produtos",IF(B843=IFERROR(VLOOKUP(B843,base!$K$2:$K$8,1,0),""),"Serviços","Combos"))</f>
        <v>Serviços</v>
      </c>
      <c r="J843">
        <f t="shared" si="18"/>
        <v>15.75</v>
      </c>
    </row>
    <row r="844" spans="1:10">
      <c r="A844" t="s">
        <v>252</v>
      </c>
      <c r="B844" t="s">
        <v>163</v>
      </c>
      <c r="C844" t="s">
        <v>1505</v>
      </c>
      <c r="D844" s="14">
        <v>35</v>
      </c>
      <c r="E844" s="14">
        <v>35</v>
      </c>
      <c r="F844" s="13">
        <v>45735.46875</v>
      </c>
      <c r="G844" t="s">
        <v>1</v>
      </c>
      <c r="H844" t="s">
        <v>58</v>
      </c>
      <c r="I844" t="str">
        <f>IF(B844=IFERROR(VLOOKUP(B844,base!$L$1:$L$9,1,0),""),"Produtos",IF(B844=IFERROR(VLOOKUP(B844,base!$K$2:$K$8,1,0),""),"Serviços","Combos"))</f>
        <v>Serviços</v>
      </c>
      <c r="J844">
        <f t="shared" si="18"/>
        <v>15.75</v>
      </c>
    </row>
    <row r="845" spans="1:10">
      <c r="A845" t="s">
        <v>536</v>
      </c>
      <c r="B845" t="s">
        <v>163</v>
      </c>
      <c r="C845" t="s">
        <v>1506</v>
      </c>
      <c r="D845" s="14">
        <v>35</v>
      </c>
      <c r="E845" s="14">
        <v>40</v>
      </c>
      <c r="F845" s="13">
        <v>45735.479166666664</v>
      </c>
      <c r="G845" t="s">
        <v>310</v>
      </c>
      <c r="H845" t="s">
        <v>292</v>
      </c>
      <c r="I845" t="str">
        <f>IF(B845=IFERROR(VLOOKUP(B845,base!$L$1:$L$9,1,0),""),"Produtos",IF(B845=IFERROR(VLOOKUP(B845,base!$K$2:$K$8,1,0),""),"Serviços","Combos"))</f>
        <v>Serviços</v>
      </c>
      <c r="J845">
        <f t="shared" si="18"/>
        <v>15.75</v>
      </c>
    </row>
    <row r="846" spans="1:10">
      <c r="A846" t="s">
        <v>536</v>
      </c>
      <c r="B846" t="s">
        <v>910</v>
      </c>
      <c r="C846" t="s">
        <v>1506</v>
      </c>
      <c r="D846" s="14">
        <v>5</v>
      </c>
      <c r="F846" s="13">
        <v>45735.479166666664</v>
      </c>
      <c r="G846" t="s">
        <v>310</v>
      </c>
      <c r="H846" t="s">
        <v>292</v>
      </c>
      <c r="I846" t="str">
        <f>IF(B846=IFERROR(VLOOKUP(B846,base!$L$1:$L$9,1,0),""),"Produtos",IF(B846=IFERROR(VLOOKUP(B846,base!$K$2:$K$8,1,0),""),"Serviços","Combos"))</f>
        <v>Combos</v>
      </c>
      <c r="J846">
        <f t="shared" si="18"/>
        <v>2.25</v>
      </c>
    </row>
    <row r="847" spans="1:10">
      <c r="A847" t="s">
        <v>519</v>
      </c>
      <c r="B847" t="s">
        <v>163</v>
      </c>
      <c r="C847" t="s">
        <v>1509</v>
      </c>
      <c r="D847" s="14">
        <v>35</v>
      </c>
      <c r="E847" s="14">
        <v>35</v>
      </c>
      <c r="F847" s="13">
        <v>45735.479166666664</v>
      </c>
      <c r="G847" t="s">
        <v>2</v>
      </c>
      <c r="H847" t="s">
        <v>207</v>
      </c>
      <c r="I847" t="str">
        <f>IF(B847=IFERROR(VLOOKUP(B847,base!$L$1:$L$9,1,0),""),"Produtos",IF(B847=IFERROR(VLOOKUP(B847,base!$K$2:$K$8,1,0),""),"Serviços","Combos"))</f>
        <v>Serviços</v>
      </c>
      <c r="J847">
        <f t="shared" si="18"/>
        <v>15.75</v>
      </c>
    </row>
    <row r="848" spans="1:10">
      <c r="A848" t="s">
        <v>519</v>
      </c>
      <c r="B848" t="s">
        <v>353</v>
      </c>
      <c r="C848" t="s">
        <v>1510</v>
      </c>
      <c r="D848" s="14">
        <v>50</v>
      </c>
      <c r="E848" s="14">
        <v>50</v>
      </c>
      <c r="F848" s="13">
        <v>45735.538194444445</v>
      </c>
      <c r="G848" t="s">
        <v>1</v>
      </c>
      <c r="H848" t="s">
        <v>278</v>
      </c>
      <c r="I848" t="str">
        <f>IF(B848=IFERROR(VLOOKUP(B848,base!$L$1:$L$9,1,0),""),"Produtos",IF(B848=IFERROR(VLOOKUP(B848,base!$K$2:$K$8,1,0),""),"Serviços","Combos"))</f>
        <v>Combos</v>
      </c>
      <c r="J848">
        <f t="shared" si="18"/>
        <v>22.5</v>
      </c>
    </row>
    <row r="849" spans="1:10">
      <c r="A849" t="s">
        <v>252</v>
      </c>
      <c r="B849" t="s">
        <v>353</v>
      </c>
      <c r="C849" t="s">
        <v>1511</v>
      </c>
      <c r="D849" s="14">
        <v>60</v>
      </c>
      <c r="E849" s="14">
        <v>60</v>
      </c>
      <c r="F849" s="13">
        <v>45735.541666666664</v>
      </c>
      <c r="G849" t="s">
        <v>1</v>
      </c>
      <c r="H849" t="s">
        <v>1512</v>
      </c>
      <c r="I849" t="str">
        <f>IF(B849=IFERROR(VLOOKUP(B849,base!$L$1:$L$9,1,0),""),"Produtos",IF(B849=IFERROR(VLOOKUP(B849,base!$K$2:$K$8,1,0),""),"Serviços","Combos"))</f>
        <v>Combos</v>
      </c>
      <c r="J849">
        <f t="shared" si="18"/>
        <v>27</v>
      </c>
    </row>
    <row r="850" spans="1:10">
      <c r="A850" t="s">
        <v>519</v>
      </c>
      <c r="B850" t="s">
        <v>163</v>
      </c>
      <c r="C850" t="s">
        <v>1507</v>
      </c>
      <c r="D850" s="14">
        <v>35</v>
      </c>
      <c r="E850" s="14">
        <v>50</v>
      </c>
      <c r="F850" s="13">
        <v>45735.625</v>
      </c>
      <c r="G850" t="s">
        <v>2</v>
      </c>
      <c r="H850" t="s">
        <v>383</v>
      </c>
      <c r="I850" t="str">
        <f>IF(B850=IFERROR(VLOOKUP(B850,base!$L$1:$L$9,1,0),""),"Produtos",IF(B850=IFERROR(VLOOKUP(B850,base!$K$2:$K$8,1,0),""),"Serviços","Combos"))</f>
        <v>Serviços</v>
      </c>
      <c r="J850">
        <f t="shared" si="18"/>
        <v>15.75</v>
      </c>
    </row>
    <row r="851" spans="1:10">
      <c r="A851" t="s">
        <v>519</v>
      </c>
      <c r="B851" t="s">
        <v>1046</v>
      </c>
      <c r="C851" t="s">
        <v>1507</v>
      </c>
      <c r="D851" s="14">
        <v>15</v>
      </c>
      <c r="F851" s="13">
        <v>45735.625</v>
      </c>
      <c r="G851" t="s">
        <v>2</v>
      </c>
      <c r="H851" t="s">
        <v>383</v>
      </c>
      <c r="I851" t="str">
        <f>IF(B851=IFERROR(VLOOKUP(B851,base!$L$1:$L$9,1,0),""),"Produtos",IF(B851=IFERROR(VLOOKUP(B851,base!$K$2:$K$8,1,0),""),"Serviços","Combos"))</f>
        <v>Combos</v>
      </c>
      <c r="J851">
        <f t="shared" si="18"/>
        <v>6.75</v>
      </c>
    </row>
    <row r="852" spans="1:10">
      <c r="A852" t="s">
        <v>519</v>
      </c>
      <c r="B852" t="s">
        <v>353</v>
      </c>
      <c r="C852" t="s">
        <v>1502</v>
      </c>
      <c r="D852" s="14">
        <v>60</v>
      </c>
      <c r="E852" s="14">
        <v>60</v>
      </c>
      <c r="F852" s="13">
        <v>45735.71875</v>
      </c>
      <c r="G852" t="s">
        <v>1</v>
      </c>
      <c r="H852" t="s">
        <v>398</v>
      </c>
      <c r="I852" t="str">
        <f>IF(B852=IFERROR(VLOOKUP(B852,base!$L$1:$L$9,1,0),""),"Produtos",IF(B852=IFERROR(VLOOKUP(B852,base!$K$2:$K$8,1,0),""),"Serviços","Combos"))</f>
        <v>Combos</v>
      </c>
      <c r="J852">
        <f t="shared" si="18"/>
        <v>27</v>
      </c>
    </row>
    <row r="853" spans="1:10">
      <c r="A853" t="s">
        <v>252</v>
      </c>
      <c r="B853" t="s">
        <v>163</v>
      </c>
      <c r="C853" t="s">
        <v>1514</v>
      </c>
      <c r="D853" s="14">
        <v>35</v>
      </c>
      <c r="E853" s="14">
        <v>20</v>
      </c>
      <c r="F853" s="13">
        <v>45735.75</v>
      </c>
      <c r="G853" t="s">
        <v>1</v>
      </c>
      <c r="H853" t="s">
        <v>1179</v>
      </c>
      <c r="I853" t="str">
        <f>IF(B853=IFERROR(VLOOKUP(B853,base!$L$1:$L$9,1,0),""),"Produtos",IF(B853=IFERROR(VLOOKUP(B853,base!$K$2:$K$8,1,0),""),"Serviços","Combos"))</f>
        <v>Serviços</v>
      </c>
      <c r="J853">
        <f t="shared" si="18"/>
        <v>15.75</v>
      </c>
    </row>
    <row r="854" spans="1:10">
      <c r="A854" t="s">
        <v>519</v>
      </c>
      <c r="B854" t="s">
        <v>163</v>
      </c>
      <c r="C854" t="s">
        <v>1516</v>
      </c>
      <c r="D854" s="14">
        <v>35</v>
      </c>
      <c r="E854" s="14">
        <v>35</v>
      </c>
      <c r="F854" s="13">
        <v>45735.770833333336</v>
      </c>
      <c r="G854" t="s">
        <v>1</v>
      </c>
      <c r="H854" t="s">
        <v>1517</v>
      </c>
      <c r="I854" t="str">
        <f>IF(B854=IFERROR(VLOOKUP(B854,base!$L$1:$L$9,1,0),""),"Produtos",IF(B854=IFERROR(VLOOKUP(B854,base!$K$2:$K$8,1,0),""),"Serviços","Combos"))</f>
        <v>Serviços</v>
      </c>
      <c r="J854">
        <f t="shared" si="18"/>
        <v>15.75</v>
      </c>
    </row>
    <row r="855" spans="1:10">
      <c r="A855" t="s">
        <v>519</v>
      </c>
      <c r="B855" t="s">
        <v>163</v>
      </c>
      <c r="C855" t="s">
        <v>1513</v>
      </c>
      <c r="D855" s="14">
        <v>30</v>
      </c>
      <c r="E855" s="14">
        <v>0</v>
      </c>
      <c r="F855" s="13">
        <v>45735.791666666664</v>
      </c>
      <c r="G855" t="s">
        <v>1</v>
      </c>
      <c r="H855" t="s">
        <v>185</v>
      </c>
      <c r="I855" t="str">
        <f>IF(B855=IFERROR(VLOOKUP(B855,base!$L$1:$L$9,1,0),""),"Produtos",IF(B855=IFERROR(VLOOKUP(B855,base!$K$2:$K$8,1,0),""),"Serviços","Combos"))</f>
        <v>Serviços</v>
      </c>
      <c r="J855">
        <f t="shared" si="18"/>
        <v>13.5</v>
      </c>
    </row>
    <row r="856" spans="1:10">
      <c r="A856" t="s">
        <v>252</v>
      </c>
      <c r="B856" t="s">
        <v>163</v>
      </c>
      <c r="C856" t="s">
        <v>1504</v>
      </c>
      <c r="D856" s="14">
        <v>35</v>
      </c>
      <c r="E856" s="14">
        <v>35</v>
      </c>
      <c r="F856" s="13">
        <v>45736.416666666664</v>
      </c>
      <c r="G856" t="s">
        <v>1</v>
      </c>
      <c r="H856" t="s">
        <v>364</v>
      </c>
      <c r="I856" t="str">
        <f>IF(B856=IFERROR(VLOOKUP(B856,base!$L$1:$L$9,1,0),""),"Produtos",IF(B856=IFERROR(VLOOKUP(B856,base!$K$2:$K$8,1,0),""),"Serviços","Combos"))</f>
        <v>Serviços</v>
      </c>
      <c r="J856">
        <f t="shared" si="18"/>
        <v>15.75</v>
      </c>
    </row>
    <row r="857" spans="1:10">
      <c r="A857" t="s">
        <v>519</v>
      </c>
      <c r="B857" t="s">
        <v>163</v>
      </c>
      <c r="C857" t="s">
        <v>1518</v>
      </c>
      <c r="D857" s="14">
        <v>25</v>
      </c>
      <c r="E857" s="14">
        <v>60</v>
      </c>
      <c r="F857" s="13">
        <v>45736.479166666664</v>
      </c>
      <c r="G857" t="s">
        <v>354</v>
      </c>
      <c r="H857" t="s">
        <v>122</v>
      </c>
      <c r="I857" t="str">
        <f>IF(B857=IFERROR(VLOOKUP(B857,base!$L$1:$L$9,1,0),""),"Produtos",IF(B857=IFERROR(VLOOKUP(B857,base!$K$2:$K$8,1,0),""),"Serviços","Combos"))</f>
        <v>Serviços</v>
      </c>
      <c r="J857">
        <f t="shared" si="18"/>
        <v>11.25</v>
      </c>
    </row>
    <row r="858" spans="1:10">
      <c r="A858" t="s">
        <v>519</v>
      </c>
      <c r="B858" t="s">
        <v>1046</v>
      </c>
      <c r="C858" t="s">
        <v>1518</v>
      </c>
      <c r="D858" s="14">
        <v>35</v>
      </c>
      <c r="F858" s="13">
        <v>45736.479166666664</v>
      </c>
      <c r="G858" t="s">
        <v>354</v>
      </c>
      <c r="H858" t="s">
        <v>122</v>
      </c>
      <c r="I858" t="str">
        <f>IF(B858=IFERROR(VLOOKUP(B858,base!$L$1:$L$9,1,0),""),"Produtos",IF(B858=IFERROR(VLOOKUP(B858,base!$K$2:$K$8,1,0),""),"Serviços","Combos"))</f>
        <v>Combos</v>
      </c>
      <c r="J858">
        <f t="shared" si="18"/>
        <v>15.75</v>
      </c>
    </row>
    <row r="859" spans="1:10">
      <c r="A859" t="s">
        <v>252</v>
      </c>
      <c r="B859" t="s">
        <v>160</v>
      </c>
      <c r="C859" t="s">
        <v>1520</v>
      </c>
      <c r="D859" s="14">
        <v>12</v>
      </c>
      <c r="E859" s="14">
        <v>25</v>
      </c>
      <c r="F859" s="13">
        <v>45736.510416666664</v>
      </c>
      <c r="G859" t="s">
        <v>1</v>
      </c>
      <c r="H859" t="s">
        <v>286</v>
      </c>
      <c r="I859" t="str">
        <f>IF(B859=IFERROR(VLOOKUP(B859,base!$L$1:$L$9,1,0),""),"Produtos",IF(B859=IFERROR(VLOOKUP(B859,base!$K$2:$K$8,1,0),""),"Serviços","Combos"))</f>
        <v>Serviços</v>
      </c>
      <c r="J859">
        <f t="shared" si="18"/>
        <v>5.4</v>
      </c>
    </row>
    <row r="860" spans="1:10">
      <c r="A860" t="s">
        <v>252</v>
      </c>
      <c r="B860" t="s">
        <v>163</v>
      </c>
      <c r="C860" t="s">
        <v>1521</v>
      </c>
      <c r="D860" s="14">
        <v>35</v>
      </c>
      <c r="E860" s="14">
        <v>45</v>
      </c>
      <c r="F860" s="13">
        <v>45736.552083333336</v>
      </c>
      <c r="G860" t="s">
        <v>310</v>
      </c>
      <c r="H860" t="s">
        <v>44</v>
      </c>
      <c r="I860" t="str">
        <f>IF(B860=IFERROR(VLOOKUP(B860,base!$L$1:$L$9,1,0),""),"Produtos",IF(B860=IFERROR(VLOOKUP(B860,base!$K$2:$K$8,1,0),""),"Serviços","Combos"))</f>
        <v>Serviços</v>
      </c>
      <c r="J860">
        <f t="shared" si="18"/>
        <v>15.75</v>
      </c>
    </row>
    <row r="861" spans="1:10">
      <c r="A861" t="s">
        <v>252</v>
      </c>
      <c r="B861" t="s">
        <v>167</v>
      </c>
      <c r="C861" t="s">
        <v>1521</v>
      </c>
      <c r="D861" s="14">
        <v>10</v>
      </c>
      <c r="F861" s="13">
        <v>45736.552083333336</v>
      </c>
      <c r="G861" t="s">
        <v>310</v>
      </c>
      <c r="H861" t="s">
        <v>44</v>
      </c>
      <c r="I861" t="str">
        <f>IF(B861=IFERROR(VLOOKUP(B861,base!$L$1:$L$9,1,0),""),"Produtos",IF(B861=IFERROR(VLOOKUP(B861,base!$K$2:$K$8,1,0),""),"Serviços","Combos"))</f>
        <v>Serviços</v>
      </c>
      <c r="J861">
        <f t="shared" si="18"/>
        <v>4.5</v>
      </c>
    </row>
    <row r="862" spans="1:10">
      <c r="A862" t="s">
        <v>519</v>
      </c>
      <c r="B862" t="s">
        <v>163</v>
      </c>
      <c r="C862" t="s">
        <v>1515</v>
      </c>
      <c r="D862" s="14">
        <v>35</v>
      </c>
      <c r="E862" s="14">
        <v>35</v>
      </c>
      <c r="F862" s="13">
        <v>45736.5625</v>
      </c>
      <c r="G862" t="s">
        <v>1</v>
      </c>
      <c r="H862" t="s">
        <v>11</v>
      </c>
      <c r="I862" t="str">
        <f>IF(B862=IFERROR(VLOOKUP(B862,base!$L$1:$L$9,1,0),""),"Produtos",IF(B862=IFERROR(VLOOKUP(B862,base!$K$2:$K$8,1,0),""),"Serviços","Combos"))</f>
        <v>Serviços</v>
      </c>
      <c r="J862">
        <f t="shared" si="18"/>
        <v>15.75</v>
      </c>
    </row>
    <row r="863" spans="1:10">
      <c r="A863" t="s">
        <v>519</v>
      </c>
      <c r="B863" t="s">
        <v>163</v>
      </c>
      <c r="C863" t="s">
        <v>1483</v>
      </c>
      <c r="D863" s="14">
        <v>35</v>
      </c>
      <c r="E863" s="14">
        <v>35</v>
      </c>
      <c r="F863" s="13">
        <v>45736.625</v>
      </c>
      <c r="G863" t="s">
        <v>1</v>
      </c>
      <c r="H863" t="s">
        <v>1056</v>
      </c>
      <c r="I863" t="str">
        <f>IF(B863=IFERROR(VLOOKUP(B863,base!$L$1:$L$9,1,0),""),"Produtos",IF(B863=IFERROR(VLOOKUP(B863,base!$K$2:$K$8,1,0),""),"Serviços","Combos"))</f>
        <v>Serviços</v>
      </c>
      <c r="J863">
        <f t="shared" si="18"/>
        <v>15.75</v>
      </c>
    </row>
    <row r="864" spans="1:10">
      <c r="A864" t="s">
        <v>519</v>
      </c>
      <c r="B864" t="s">
        <v>163</v>
      </c>
      <c r="C864" t="s">
        <v>1519</v>
      </c>
      <c r="D864" s="14">
        <v>35</v>
      </c>
      <c r="E864" s="14">
        <v>70</v>
      </c>
      <c r="F864" s="13">
        <v>45736.645833333336</v>
      </c>
      <c r="G864" t="s">
        <v>1</v>
      </c>
      <c r="H864" t="s">
        <v>16</v>
      </c>
      <c r="I864" t="str">
        <f>IF(B864=IFERROR(VLOOKUP(B864,base!$L$1:$L$9,1,0),""),"Produtos",IF(B864=IFERROR(VLOOKUP(B864,base!$K$2:$K$8,1,0),""),"Serviços","Combos"))</f>
        <v>Serviços</v>
      </c>
      <c r="J864">
        <f t="shared" si="18"/>
        <v>15.75</v>
      </c>
    </row>
    <row r="865" spans="1:10">
      <c r="A865" t="s">
        <v>252</v>
      </c>
      <c r="B865" t="s">
        <v>163</v>
      </c>
      <c r="C865" t="s">
        <v>1519</v>
      </c>
      <c r="D865" s="14">
        <v>35</v>
      </c>
      <c r="F865" s="13">
        <v>45736.645833333336</v>
      </c>
      <c r="G865" t="s">
        <v>1</v>
      </c>
      <c r="H865" t="s">
        <v>16</v>
      </c>
      <c r="I865" t="str">
        <f>IF(B865=IFERROR(VLOOKUP(B865,base!$L$1:$L$9,1,0),""),"Produtos",IF(B865=IFERROR(VLOOKUP(B865,base!$K$2:$K$8,1,0),""),"Serviços","Combos"))</f>
        <v>Serviços</v>
      </c>
      <c r="J865">
        <f t="shared" si="18"/>
        <v>15.75</v>
      </c>
    </row>
    <row r="866" spans="1:10">
      <c r="A866" t="s">
        <v>252</v>
      </c>
      <c r="B866" t="s">
        <v>163</v>
      </c>
      <c r="C866" t="s">
        <v>1525</v>
      </c>
      <c r="D866" s="14">
        <v>35</v>
      </c>
      <c r="E866" s="14">
        <v>35</v>
      </c>
      <c r="F866" s="13">
        <v>45736.670138888891</v>
      </c>
      <c r="G866" t="s">
        <v>1</v>
      </c>
      <c r="H866" t="s">
        <v>290</v>
      </c>
      <c r="I866" t="str">
        <f>IF(B866=IFERROR(VLOOKUP(B866,base!$L$1:$L$9,1,0),""),"Produtos",IF(B866=IFERROR(VLOOKUP(B866,base!$K$2:$K$8,1,0),""),"Serviços","Combos"))</f>
        <v>Serviços</v>
      </c>
      <c r="J866">
        <f t="shared" si="18"/>
        <v>15.75</v>
      </c>
    </row>
    <row r="867" spans="1:10">
      <c r="A867" t="s">
        <v>536</v>
      </c>
      <c r="B867" t="s">
        <v>163</v>
      </c>
      <c r="C867" t="s">
        <v>1528</v>
      </c>
      <c r="D867" s="14">
        <v>35</v>
      </c>
      <c r="E867" s="14">
        <v>35</v>
      </c>
      <c r="F867" s="13">
        <v>45736.71875</v>
      </c>
      <c r="G867" t="s">
        <v>1</v>
      </c>
      <c r="H867" t="s">
        <v>376</v>
      </c>
      <c r="I867" t="str">
        <f>IF(B867=IFERROR(VLOOKUP(B867,base!$L$1:$L$9,1,0),""),"Produtos",IF(B867=IFERROR(VLOOKUP(B867,base!$K$2:$K$8,1,0),""),"Serviços","Combos"))</f>
        <v>Serviços</v>
      </c>
      <c r="J867">
        <f t="shared" si="18"/>
        <v>15.75</v>
      </c>
    </row>
    <row r="868" spans="1:10">
      <c r="A868" t="s">
        <v>519</v>
      </c>
      <c r="B868" t="s">
        <v>163</v>
      </c>
      <c r="C868" t="s">
        <v>1522</v>
      </c>
      <c r="D868" s="14">
        <v>35</v>
      </c>
      <c r="E868" s="14">
        <v>50</v>
      </c>
      <c r="F868" s="13">
        <v>45736.739583333336</v>
      </c>
      <c r="G868" t="s">
        <v>2</v>
      </c>
      <c r="H868" t="s">
        <v>1523</v>
      </c>
      <c r="I868" t="str">
        <f>IF(B868=IFERROR(VLOOKUP(B868,base!$L$1:$L$9,1,0),""),"Produtos",IF(B868=IFERROR(VLOOKUP(B868,base!$K$2:$K$8,1,0),""),"Serviços","Combos"))</f>
        <v>Serviços</v>
      </c>
      <c r="J868">
        <f t="shared" si="18"/>
        <v>15.75</v>
      </c>
    </row>
    <row r="869" spans="1:10">
      <c r="A869" t="s">
        <v>519</v>
      </c>
      <c r="B869" t="s">
        <v>167</v>
      </c>
      <c r="C869" t="s">
        <v>1522</v>
      </c>
      <c r="D869" s="14">
        <v>15</v>
      </c>
      <c r="F869" s="13">
        <v>45736.739583333336</v>
      </c>
      <c r="G869" t="s">
        <v>2</v>
      </c>
      <c r="H869" t="s">
        <v>1523</v>
      </c>
      <c r="I869" t="str">
        <f>IF(B869=IFERROR(VLOOKUP(B869,base!$L$1:$L$9,1,0),""),"Produtos",IF(B869=IFERROR(VLOOKUP(B869,base!$K$2:$K$8,1,0),""),"Serviços","Combos"))</f>
        <v>Serviços</v>
      </c>
      <c r="J869">
        <f t="shared" si="18"/>
        <v>6.75</v>
      </c>
    </row>
    <row r="870" spans="1:10">
      <c r="A870" t="s">
        <v>252</v>
      </c>
      <c r="B870" t="s">
        <v>163</v>
      </c>
      <c r="C870" t="s">
        <v>1524</v>
      </c>
      <c r="D870" s="14">
        <v>35</v>
      </c>
      <c r="E870" s="14">
        <v>45</v>
      </c>
      <c r="F870" s="13">
        <v>45736.739583333336</v>
      </c>
      <c r="G870" t="s">
        <v>310</v>
      </c>
      <c r="H870" t="s">
        <v>1019</v>
      </c>
      <c r="I870" t="str">
        <f>IF(B870=IFERROR(VLOOKUP(B870,base!$L$1:$L$9,1,0),""),"Produtos",IF(B870=IFERROR(VLOOKUP(B870,base!$K$2:$K$8,1,0),""),"Serviços","Combos"))</f>
        <v>Serviços</v>
      </c>
      <c r="J870">
        <f t="shared" si="18"/>
        <v>15.75</v>
      </c>
    </row>
    <row r="871" spans="1:10">
      <c r="A871" t="s">
        <v>252</v>
      </c>
      <c r="B871" t="s">
        <v>167</v>
      </c>
      <c r="C871" t="s">
        <v>1524</v>
      </c>
      <c r="D871" s="14">
        <v>10</v>
      </c>
      <c r="F871" s="13">
        <v>45736.739583333336</v>
      </c>
      <c r="G871" t="s">
        <v>310</v>
      </c>
      <c r="H871" t="s">
        <v>1019</v>
      </c>
      <c r="I871" t="str">
        <f>IF(B871=IFERROR(VLOOKUP(B871,base!$L$1:$L$9,1,0),""),"Produtos",IF(B871=IFERROR(VLOOKUP(B871,base!$K$2:$K$8,1,0),""),"Serviços","Combos"))</f>
        <v>Serviços</v>
      </c>
      <c r="J871">
        <f t="shared" si="18"/>
        <v>4.5</v>
      </c>
    </row>
    <row r="872" spans="1:10">
      <c r="A872" t="s">
        <v>536</v>
      </c>
      <c r="B872" t="s">
        <v>163</v>
      </c>
      <c r="C872" t="s">
        <v>1526</v>
      </c>
      <c r="D872" s="14">
        <v>35</v>
      </c>
      <c r="E872" s="14">
        <v>60</v>
      </c>
      <c r="F872" s="13">
        <v>45736.75</v>
      </c>
      <c r="G872" t="s">
        <v>310</v>
      </c>
      <c r="H872" t="s">
        <v>397</v>
      </c>
      <c r="I872" t="str">
        <f>IF(B872=IFERROR(VLOOKUP(B872,base!$L$1:$L$9,1,0),""),"Produtos",IF(B872=IFERROR(VLOOKUP(B872,base!$K$2:$K$8,1,0),""),"Serviços","Combos"))</f>
        <v>Serviços</v>
      </c>
      <c r="J872">
        <f t="shared" si="18"/>
        <v>15.75</v>
      </c>
    </row>
    <row r="873" spans="1:10">
      <c r="A873" t="s">
        <v>536</v>
      </c>
      <c r="B873" t="s">
        <v>508</v>
      </c>
      <c r="C873" t="s">
        <v>1526</v>
      </c>
      <c r="D873" s="14">
        <v>25</v>
      </c>
      <c r="F873" s="13">
        <v>45736.75</v>
      </c>
      <c r="G873" t="s">
        <v>310</v>
      </c>
      <c r="H873" t="s">
        <v>397</v>
      </c>
      <c r="I873" t="str">
        <f>IF(B873=IFERROR(VLOOKUP(B873,base!$L$1:$L$9,1,0),""),"Produtos",IF(B873=IFERROR(VLOOKUP(B873,base!$K$2:$K$8,1,0),""),"Serviços","Combos"))</f>
        <v>Produtos</v>
      </c>
      <c r="J873">
        <f t="shared" si="18"/>
        <v>10</v>
      </c>
    </row>
    <row r="874" spans="1:10">
      <c r="A874" t="s">
        <v>252</v>
      </c>
      <c r="B874" t="s">
        <v>163</v>
      </c>
      <c r="C874" t="s">
        <v>1529</v>
      </c>
      <c r="D874" s="14">
        <v>35</v>
      </c>
      <c r="E874" s="14">
        <v>45</v>
      </c>
      <c r="F874" s="13">
        <v>45736.770833333336</v>
      </c>
      <c r="G874" t="s">
        <v>1</v>
      </c>
      <c r="H874" t="s">
        <v>479</v>
      </c>
      <c r="I874" t="str">
        <f>IF(B874=IFERROR(VLOOKUP(B874,base!$L$1:$L$9,1,0),""),"Produtos",IF(B874=IFERROR(VLOOKUP(B874,base!$K$2:$K$8,1,0),""),"Serviços","Combos"))</f>
        <v>Serviços</v>
      </c>
      <c r="J874">
        <f t="shared" si="18"/>
        <v>15.75</v>
      </c>
    </row>
    <row r="875" spans="1:10">
      <c r="A875" t="s">
        <v>252</v>
      </c>
      <c r="B875" t="s">
        <v>167</v>
      </c>
      <c r="C875" t="s">
        <v>1529</v>
      </c>
      <c r="D875" s="14">
        <v>10</v>
      </c>
      <c r="F875" s="13">
        <v>45736.770833333336</v>
      </c>
      <c r="G875" t="s">
        <v>1</v>
      </c>
      <c r="H875" t="s">
        <v>479</v>
      </c>
      <c r="I875" t="str">
        <f>IF(B875=IFERROR(VLOOKUP(B875,base!$L$1:$L$9,1,0),""),"Produtos",IF(B875=IFERROR(VLOOKUP(B875,base!$K$2:$K$8,1,0),""),"Serviços","Combos"))</f>
        <v>Serviços</v>
      </c>
      <c r="J875">
        <f t="shared" si="18"/>
        <v>4.5</v>
      </c>
    </row>
    <row r="876" spans="1:10">
      <c r="A876" t="s">
        <v>536</v>
      </c>
      <c r="B876" t="s">
        <v>1046</v>
      </c>
      <c r="C876" t="s">
        <v>1532</v>
      </c>
      <c r="D876" s="14">
        <v>35</v>
      </c>
      <c r="E876" s="14">
        <v>55</v>
      </c>
      <c r="F876" s="13">
        <v>45736.78125</v>
      </c>
      <c r="G876" t="s">
        <v>2</v>
      </c>
      <c r="H876" t="s">
        <v>1533</v>
      </c>
      <c r="I876" t="str">
        <f>IF(B876=IFERROR(VLOOKUP(B876,base!$L$1:$L$9,1,0),""),"Produtos",IF(B876=IFERROR(VLOOKUP(B876,base!$K$2:$K$8,1,0),""),"Serviços","Combos"))</f>
        <v>Combos</v>
      </c>
      <c r="J876">
        <f t="shared" si="18"/>
        <v>15.75</v>
      </c>
    </row>
    <row r="877" spans="1:10">
      <c r="A877" t="s">
        <v>519</v>
      </c>
      <c r="B877" t="s">
        <v>352</v>
      </c>
      <c r="C877" t="s">
        <v>1532</v>
      </c>
      <c r="D877" s="14">
        <v>20</v>
      </c>
      <c r="F877" s="13">
        <v>45736.78125</v>
      </c>
      <c r="G877" t="s">
        <v>2</v>
      </c>
      <c r="H877" t="s">
        <v>1533</v>
      </c>
      <c r="I877" t="str">
        <f>IF(B877=IFERROR(VLOOKUP(B877,base!$L$1:$L$9,1,0),""),"Produtos",IF(B877=IFERROR(VLOOKUP(B877,base!$K$2:$K$8,1,0),""),"Serviços","Combos"))</f>
        <v>Combos</v>
      </c>
      <c r="J877">
        <f t="shared" ref="J877:J883" si="19">IF(AND(I877="Serviços",E877&gt;0),ROUND(D877*45%,2),IF(I877="Produtos",ROUND(D877*40%,2),D877*45%))</f>
        <v>9</v>
      </c>
    </row>
    <row r="878" spans="1:10">
      <c r="A878" t="s">
        <v>519</v>
      </c>
      <c r="B878" t="s">
        <v>163</v>
      </c>
      <c r="C878" t="s">
        <v>1534</v>
      </c>
      <c r="D878" s="14">
        <v>35</v>
      </c>
      <c r="E878" s="14">
        <v>65</v>
      </c>
      <c r="F878" s="13">
        <v>45736.791666666664</v>
      </c>
      <c r="G878" t="s">
        <v>1</v>
      </c>
      <c r="H878" t="s">
        <v>110</v>
      </c>
      <c r="I878" t="str">
        <f>IF(B878=IFERROR(VLOOKUP(B878,base!$L$1:$L$9,1,0),""),"Produtos",IF(B878=IFERROR(VLOOKUP(B878,base!$K$2:$K$8,1,0),""),"Serviços","Combos"))</f>
        <v>Serviços</v>
      </c>
      <c r="J878">
        <f t="shared" si="19"/>
        <v>15.75</v>
      </c>
    </row>
    <row r="879" spans="1:10">
      <c r="A879" t="s">
        <v>519</v>
      </c>
      <c r="B879" t="s">
        <v>166</v>
      </c>
      <c r="C879" t="s">
        <v>1534</v>
      </c>
      <c r="D879" s="14">
        <v>20</v>
      </c>
      <c r="F879" s="13">
        <v>45736.791666666664</v>
      </c>
      <c r="G879" t="s">
        <v>1</v>
      </c>
      <c r="H879" t="s">
        <v>110</v>
      </c>
      <c r="I879" t="str">
        <f>IF(B879=IFERROR(VLOOKUP(B879,base!$L$1:$L$9,1,0),""),"Produtos",IF(B879=IFERROR(VLOOKUP(B879,base!$K$2:$K$8,1,0),""),"Serviços","Combos"))</f>
        <v>Serviços</v>
      </c>
      <c r="J879">
        <f t="shared" si="19"/>
        <v>9</v>
      </c>
    </row>
    <row r="880" spans="1:10">
      <c r="A880" t="s">
        <v>519</v>
      </c>
      <c r="B880" t="s">
        <v>167</v>
      </c>
      <c r="C880" t="s">
        <v>1534</v>
      </c>
      <c r="D880" s="14">
        <v>10</v>
      </c>
      <c r="F880" s="13">
        <v>45736.791666666664</v>
      </c>
      <c r="G880" t="s">
        <v>1</v>
      </c>
      <c r="H880" t="s">
        <v>110</v>
      </c>
      <c r="I880" t="str">
        <f>IF(B880=IFERROR(VLOOKUP(B880,base!$L$1:$L$9,1,0),""),"Produtos",IF(B880=IFERROR(VLOOKUP(B880,base!$K$2:$K$8,1,0),""),"Serviços","Combos"))</f>
        <v>Serviços</v>
      </c>
      <c r="J880">
        <f t="shared" si="19"/>
        <v>4.5</v>
      </c>
    </row>
    <row r="881" spans="1:16">
      <c r="A881" t="s">
        <v>536</v>
      </c>
      <c r="B881" t="s">
        <v>163</v>
      </c>
      <c r="C881" t="s">
        <v>1530</v>
      </c>
      <c r="D881" s="14">
        <v>35</v>
      </c>
      <c r="E881" s="14">
        <v>35</v>
      </c>
      <c r="F881" s="13">
        <v>45736.795138888891</v>
      </c>
      <c r="G881" t="s">
        <v>2</v>
      </c>
      <c r="H881" t="s">
        <v>1531</v>
      </c>
      <c r="I881" t="str">
        <f>IF(B881=IFERROR(VLOOKUP(B881,base!$L$1:$L$9,1,0),""),"Produtos",IF(B881=IFERROR(VLOOKUP(B881,base!$K$2:$K$8,1,0),""),"Serviços","Combos"))</f>
        <v>Serviços</v>
      </c>
      <c r="J881">
        <f t="shared" si="19"/>
        <v>15.75</v>
      </c>
    </row>
    <row r="882" spans="1:16">
      <c r="A882" t="s">
        <v>252</v>
      </c>
      <c r="B882" t="s">
        <v>163</v>
      </c>
      <c r="C882" t="s">
        <v>1527</v>
      </c>
      <c r="D882" s="14">
        <v>35</v>
      </c>
      <c r="E882" s="14">
        <v>60</v>
      </c>
      <c r="F882" s="13">
        <v>45736.802083333336</v>
      </c>
      <c r="G882" t="s">
        <v>1</v>
      </c>
      <c r="H882" t="s">
        <v>994</v>
      </c>
      <c r="I882" t="str">
        <f>IF(B882=IFERROR(VLOOKUP(B882,base!$L$1:$L$9,1,0),""),"Produtos",IF(B882=IFERROR(VLOOKUP(B882,base!$K$2:$K$8,1,0),""),"Serviços","Combos"))</f>
        <v>Serviços</v>
      </c>
      <c r="J882">
        <f t="shared" si="19"/>
        <v>15.75</v>
      </c>
    </row>
    <row r="883" spans="1:16" s="25" customFormat="1">
      <c r="A883" s="25" t="s">
        <v>252</v>
      </c>
      <c r="B883" s="25" t="s">
        <v>509</v>
      </c>
      <c r="C883" s="25" t="s">
        <v>1527</v>
      </c>
      <c r="D883" s="26">
        <v>25</v>
      </c>
      <c r="F883" s="27">
        <v>45736.802083333336</v>
      </c>
      <c r="G883" s="25" t="s">
        <v>1</v>
      </c>
      <c r="H883" s="25" t="s">
        <v>994</v>
      </c>
      <c r="I883" s="25" t="str">
        <f>IF(B883=IFERROR(VLOOKUP(B883,base!$L$1:$L$9,1,0),""),"Produtos",IF(B883=IFERROR(VLOOKUP(B883,base!$K$2:$K$8,1,0),""),"Serviços","Combos"))</f>
        <v>Produtos</v>
      </c>
      <c r="J883" s="25">
        <f t="shared" si="19"/>
        <v>10</v>
      </c>
      <c r="P883" s="50"/>
    </row>
    <row r="884" spans="1:16">
      <c r="A884" t="s">
        <v>252</v>
      </c>
      <c r="B884" t="s">
        <v>163</v>
      </c>
      <c r="C884" t="s">
        <v>1543</v>
      </c>
      <c r="D884" s="14">
        <v>35</v>
      </c>
      <c r="E884" s="14">
        <v>40</v>
      </c>
      <c r="F884" s="1" t="s">
        <v>1603</v>
      </c>
      <c r="G884" t="s">
        <v>2</v>
      </c>
      <c r="H884" t="s">
        <v>73</v>
      </c>
      <c r="I884" t="str">
        <f>IF(B884=IFERROR(VLOOKUP(B884,base!$L$1:$L$9,1,0),""),"Produtos",IF(B884=IFERROR(VLOOKUP(B884,base!$K$2:$K$8,1,0),""),"Serviços","Combos"))</f>
        <v>Serviços</v>
      </c>
      <c r="J884">
        <f>IF(AND(I884="Serviços",E884&gt;0),ROUND(D884*45%,2),IF(I884="Produtos",ROUND(D884*40%,2),D884*45%))</f>
        <v>15.75</v>
      </c>
      <c r="K884" s="1">
        <f>DATEVALUE(F884)</f>
        <v>45738</v>
      </c>
      <c r="P884" s="1">
        <f>DATEVALUE(F884)</f>
        <v>45738</v>
      </c>
    </row>
    <row r="885" spans="1:16">
      <c r="A885" t="s">
        <v>252</v>
      </c>
      <c r="B885" t="s">
        <v>910</v>
      </c>
      <c r="C885" t="s">
        <v>1543</v>
      </c>
      <c r="D885" s="14">
        <v>5</v>
      </c>
      <c r="E885" t="s">
        <v>1604</v>
      </c>
      <c r="F885" s="1" t="s">
        <v>1603</v>
      </c>
      <c r="G885" t="s">
        <v>2</v>
      </c>
      <c r="H885" t="s">
        <v>73</v>
      </c>
      <c r="I885" t="str">
        <f>IF(B885=IFERROR(VLOOKUP(B885,base!$L$1:$L$9,1,0),""),"Produtos",IF(B885=IFERROR(VLOOKUP(B885,base!$K$2:$K$8,1,0),""),"Serviços","Combos"))</f>
        <v>Combos</v>
      </c>
      <c r="J885">
        <f t="shared" ref="J885:J948" si="20">IF(AND(I885="Serviços",E885&gt;0),ROUND(D885*45%,2),IF(I885="Produtos",ROUND(D885*40%,2),D885*45%))</f>
        <v>2.25</v>
      </c>
      <c r="K885" s="1">
        <f t="shared" ref="K885:K948" si="21">DATEVALUE(F885)</f>
        <v>45738</v>
      </c>
      <c r="P885" s="1">
        <f t="shared" ref="P885:P948" si="22">DATEVALUE(F885)</f>
        <v>45738</v>
      </c>
    </row>
    <row r="886" spans="1:16">
      <c r="A886" t="s">
        <v>252</v>
      </c>
      <c r="B886" t="s">
        <v>163</v>
      </c>
      <c r="C886" t="s">
        <v>1544</v>
      </c>
      <c r="D886" s="14">
        <v>35</v>
      </c>
      <c r="E886" s="14">
        <v>45</v>
      </c>
      <c r="F886" s="1" t="s">
        <v>1605</v>
      </c>
      <c r="G886" t="s">
        <v>1</v>
      </c>
      <c r="H886" t="s">
        <v>24</v>
      </c>
      <c r="I886" t="str">
        <f>IF(B886=IFERROR(VLOOKUP(B886,base!$L$1:$L$9,1,0),""),"Produtos",IF(B886=IFERROR(VLOOKUP(B886,base!$K$2:$K$8,1,0),""),"Serviços","Combos"))</f>
        <v>Serviços</v>
      </c>
      <c r="J886">
        <f t="shared" si="20"/>
        <v>15.75</v>
      </c>
      <c r="K886" s="1">
        <f t="shared" si="21"/>
        <v>45738</v>
      </c>
      <c r="P886" s="1">
        <f t="shared" si="22"/>
        <v>45738</v>
      </c>
    </row>
    <row r="887" spans="1:16">
      <c r="A887" t="s">
        <v>252</v>
      </c>
      <c r="B887" t="s">
        <v>167</v>
      </c>
      <c r="C887" t="s">
        <v>1544</v>
      </c>
      <c r="D887" s="14">
        <v>10</v>
      </c>
      <c r="E887" t="s">
        <v>1604</v>
      </c>
      <c r="F887" s="1" t="s">
        <v>1605</v>
      </c>
      <c r="G887" t="s">
        <v>1</v>
      </c>
      <c r="H887" t="s">
        <v>24</v>
      </c>
      <c r="I887" t="str">
        <f>IF(B887=IFERROR(VLOOKUP(B887,base!$L$1:$L$9,1,0),""),"Produtos",IF(B887=IFERROR(VLOOKUP(B887,base!$K$2:$K$8,1,0),""),"Serviços","Combos"))</f>
        <v>Serviços</v>
      </c>
      <c r="J887">
        <f t="shared" si="20"/>
        <v>4.5</v>
      </c>
      <c r="K887" s="1">
        <f t="shared" si="21"/>
        <v>45738</v>
      </c>
      <c r="P887" s="1">
        <f t="shared" si="22"/>
        <v>45738</v>
      </c>
    </row>
    <row r="888" spans="1:16">
      <c r="A888" t="s">
        <v>252</v>
      </c>
      <c r="B888" t="s">
        <v>163</v>
      </c>
      <c r="C888" t="s">
        <v>1545</v>
      </c>
      <c r="D888" s="14">
        <v>35</v>
      </c>
      <c r="E888" s="14">
        <v>60</v>
      </c>
      <c r="F888" s="1" t="s">
        <v>1606</v>
      </c>
      <c r="G888" t="s">
        <v>2</v>
      </c>
      <c r="H888" t="s">
        <v>1546</v>
      </c>
      <c r="I888" t="str">
        <f>IF(B888=IFERROR(VLOOKUP(B888,base!$L$1:$L$9,1,0),""),"Produtos",IF(B888=IFERROR(VLOOKUP(B888,base!$K$2:$K$8,1,0),""),"Serviços","Combos"))</f>
        <v>Serviços</v>
      </c>
      <c r="J888">
        <f t="shared" si="20"/>
        <v>15.75</v>
      </c>
      <c r="K888" s="1">
        <f t="shared" si="21"/>
        <v>45738</v>
      </c>
      <c r="P888" s="1">
        <f t="shared" si="22"/>
        <v>45738</v>
      </c>
    </row>
    <row r="889" spans="1:16">
      <c r="A889" t="s">
        <v>252</v>
      </c>
      <c r="B889" t="s">
        <v>166</v>
      </c>
      <c r="C889" t="s">
        <v>1545</v>
      </c>
      <c r="D889" s="14">
        <v>20</v>
      </c>
      <c r="E889" t="s">
        <v>1604</v>
      </c>
      <c r="F889" s="1" t="s">
        <v>1606</v>
      </c>
      <c r="G889" t="s">
        <v>2</v>
      </c>
      <c r="H889" t="s">
        <v>1546</v>
      </c>
      <c r="I889" t="str">
        <f>IF(B889=IFERROR(VLOOKUP(B889,base!$L$1:$L$9,1,0),""),"Produtos",IF(B889=IFERROR(VLOOKUP(B889,base!$K$2:$K$8,1,0),""),"Serviços","Combos"))</f>
        <v>Serviços</v>
      </c>
      <c r="J889">
        <f t="shared" si="20"/>
        <v>9</v>
      </c>
      <c r="K889" s="1">
        <f t="shared" si="21"/>
        <v>45738</v>
      </c>
      <c r="P889" s="1">
        <f t="shared" si="22"/>
        <v>45738</v>
      </c>
    </row>
    <row r="890" spans="1:16">
      <c r="A890" t="s">
        <v>252</v>
      </c>
      <c r="B890" t="s">
        <v>910</v>
      </c>
      <c r="C890" t="s">
        <v>1545</v>
      </c>
      <c r="D890" s="14">
        <v>5</v>
      </c>
      <c r="E890" t="s">
        <v>1604</v>
      </c>
      <c r="F890" s="1" t="s">
        <v>1606</v>
      </c>
      <c r="G890" t="s">
        <v>2</v>
      </c>
      <c r="H890" t="s">
        <v>1546</v>
      </c>
      <c r="I890" t="str">
        <f>IF(B890=IFERROR(VLOOKUP(B890,base!$L$1:$L$9,1,0),""),"Produtos",IF(B890=IFERROR(VLOOKUP(B890,base!$K$2:$K$8,1,0),""),"Serviços","Combos"))</f>
        <v>Combos</v>
      </c>
      <c r="J890">
        <f t="shared" si="20"/>
        <v>2.25</v>
      </c>
      <c r="K890" s="1">
        <f t="shared" si="21"/>
        <v>45738</v>
      </c>
      <c r="P890" s="1">
        <f t="shared" si="22"/>
        <v>45738</v>
      </c>
    </row>
    <row r="891" spans="1:16">
      <c r="A891" t="s">
        <v>519</v>
      </c>
      <c r="B891" t="s">
        <v>163</v>
      </c>
      <c r="C891" t="s">
        <v>1607</v>
      </c>
      <c r="D891" s="14">
        <v>35</v>
      </c>
      <c r="E891" s="14">
        <v>35</v>
      </c>
      <c r="F891" s="1" t="s">
        <v>1608</v>
      </c>
      <c r="G891" t="s">
        <v>2</v>
      </c>
      <c r="H891" t="s">
        <v>288</v>
      </c>
      <c r="I891" t="str">
        <f>IF(B891=IFERROR(VLOOKUP(B891,base!$L$1:$L$9,1,0),""),"Produtos",IF(B891=IFERROR(VLOOKUP(B891,base!$K$2:$K$8,1,0),""),"Serviços","Combos"))</f>
        <v>Serviços</v>
      </c>
      <c r="J891">
        <f t="shared" si="20"/>
        <v>15.75</v>
      </c>
      <c r="K891" s="1">
        <f t="shared" si="21"/>
        <v>45743</v>
      </c>
      <c r="P891" s="1">
        <f t="shared" si="22"/>
        <v>45743</v>
      </c>
    </row>
    <row r="892" spans="1:16">
      <c r="A892" t="s">
        <v>252</v>
      </c>
      <c r="B892" t="s">
        <v>163</v>
      </c>
      <c r="C892" t="s">
        <v>1547</v>
      </c>
      <c r="D892" s="14">
        <v>35</v>
      </c>
      <c r="E892" s="14">
        <v>45</v>
      </c>
      <c r="F892" s="1" t="s">
        <v>1609</v>
      </c>
      <c r="G892" t="s">
        <v>882</v>
      </c>
      <c r="H892" t="s">
        <v>1548</v>
      </c>
      <c r="I892" t="str">
        <f>IF(B892=IFERROR(VLOOKUP(B892,base!$L$1:$L$9,1,0),""),"Produtos",IF(B892=IFERROR(VLOOKUP(B892,base!$K$2:$K$8,1,0),""),"Serviços","Combos"))</f>
        <v>Serviços</v>
      </c>
      <c r="J892">
        <f t="shared" si="20"/>
        <v>15.75</v>
      </c>
      <c r="K892" s="1">
        <f t="shared" si="21"/>
        <v>45737</v>
      </c>
      <c r="P892" s="1">
        <f t="shared" si="22"/>
        <v>45737</v>
      </c>
    </row>
    <row r="893" spans="1:16">
      <c r="A893" t="s">
        <v>252</v>
      </c>
      <c r="B893" t="s">
        <v>167</v>
      </c>
      <c r="C893" t="s">
        <v>1547</v>
      </c>
      <c r="D893" s="14">
        <v>10</v>
      </c>
      <c r="E893" s="14" t="s">
        <v>1604</v>
      </c>
      <c r="F893" s="1" t="s">
        <v>1609</v>
      </c>
      <c r="G893" t="s">
        <v>882</v>
      </c>
      <c r="H893" t="s">
        <v>1548</v>
      </c>
      <c r="I893" t="str">
        <f>IF(B893=IFERROR(VLOOKUP(B893,base!$L$1:$L$9,1,0),""),"Produtos",IF(B893=IFERROR(VLOOKUP(B893,base!$K$2:$K$8,1,0),""),"Serviços","Combos"))</f>
        <v>Serviços</v>
      </c>
      <c r="J893">
        <f t="shared" si="20"/>
        <v>4.5</v>
      </c>
      <c r="K893" s="1">
        <f t="shared" si="21"/>
        <v>45737</v>
      </c>
      <c r="P893" s="1">
        <f t="shared" si="22"/>
        <v>45737</v>
      </c>
    </row>
    <row r="894" spans="1:16">
      <c r="A894" t="s">
        <v>519</v>
      </c>
      <c r="B894" t="s">
        <v>163</v>
      </c>
      <c r="C894" t="s">
        <v>1549</v>
      </c>
      <c r="D894" s="14">
        <v>35</v>
      </c>
      <c r="E894" s="14">
        <v>35</v>
      </c>
      <c r="F894" s="1" t="s">
        <v>1610</v>
      </c>
      <c r="G894" t="s">
        <v>354</v>
      </c>
      <c r="H894" t="s">
        <v>284</v>
      </c>
      <c r="I894" t="str">
        <f>IF(B894=IFERROR(VLOOKUP(B894,base!$L$1:$L$9,1,0),""),"Produtos",IF(B894=IFERROR(VLOOKUP(B894,base!$K$2:$K$8,1,0),""),"Serviços","Combos"))</f>
        <v>Serviços</v>
      </c>
      <c r="J894">
        <f t="shared" si="20"/>
        <v>15.75</v>
      </c>
      <c r="K894" s="1">
        <f t="shared" si="21"/>
        <v>45737</v>
      </c>
      <c r="P894" s="1">
        <f t="shared" si="22"/>
        <v>45737</v>
      </c>
    </row>
    <row r="895" spans="1:16">
      <c r="A895" t="s">
        <v>519</v>
      </c>
      <c r="B895" t="s">
        <v>163</v>
      </c>
      <c r="C895" t="s">
        <v>1550</v>
      </c>
      <c r="D895" s="14">
        <v>35</v>
      </c>
      <c r="E895" s="14">
        <v>50</v>
      </c>
      <c r="F895" s="1" t="s">
        <v>1611</v>
      </c>
      <c r="G895" t="s">
        <v>1</v>
      </c>
      <c r="H895" t="s">
        <v>387</v>
      </c>
      <c r="I895" t="str">
        <f>IF(B895=IFERROR(VLOOKUP(B895,base!$L$1:$L$9,1,0),""),"Produtos",IF(B895=IFERROR(VLOOKUP(B895,base!$K$2:$K$8,1,0),""),"Serviços","Combos"))</f>
        <v>Serviços</v>
      </c>
      <c r="J895">
        <f t="shared" si="20"/>
        <v>15.75</v>
      </c>
      <c r="K895" s="1">
        <f t="shared" si="21"/>
        <v>45737</v>
      </c>
      <c r="P895" s="1">
        <f t="shared" si="22"/>
        <v>45737</v>
      </c>
    </row>
    <row r="896" spans="1:16">
      <c r="A896" t="s">
        <v>519</v>
      </c>
      <c r="B896" t="s">
        <v>167</v>
      </c>
      <c r="C896" t="s">
        <v>1550</v>
      </c>
      <c r="D896" s="14">
        <v>15</v>
      </c>
      <c r="E896" s="14" t="s">
        <v>1604</v>
      </c>
      <c r="F896" s="1" t="s">
        <v>1611</v>
      </c>
      <c r="G896" t="s">
        <v>1</v>
      </c>
      <c r="H896" t="s">
        <v>387</v>
      </c>
      <c r="I896" t="str">
        <f>IF(B896=IFERROR(VLOOKUP(B896,base!$L$1:$L$9,1,0),""),"Produtos",IF(B896=IFERROR(VLOOKUP(B896,base!$K$2:$K$8,1,0),""),"Serviços","Combos"))</f>
        <v>Serviços</v>
      </c>
      <c r="J896">
        <f t="shared" si="20"/>
        <v>6.75</v>
      </c>
      <c r="K896" s="1">
        <f t="shared" si="21"/>
        <v>45737</v>
      </c>
      <c r="P896" s="1">
        <f t="shared" si="22"/>
        <v>45737</v>
      </c>
    </row>
    <row r="897" spans="1:16">
      <c r="A897" t="s">
        <v>519</v>
      </c>
      <c r="B897" t="s">
        <v>163</v>
      </c>
      <c r="C897" t="s">
        <v>1551</v>
      </c>
      <c r="D897" s="14">
        <v>35</v>
      </c>
      <c r="E897" s="14">
        <v>45</v>
      </c>
      <c r="F897" s="1" t="s">
        <v>1603</v>
      </c>
      <c r="G897" t="s">
        <v>354</v>
      </c>
      <c r="H897" t="s">
        <v>466</v>
      </c>
      <c r="I897" t="str">
        <f>IF(B897=IFERROR(VLOOKUP(B897,base!$L$1:$L$9,1,0),""),"Produtos",IF(B897=IFERROR(VLOOKUP(B897,base!$K$2:$K$8,1,0),""),"Serviços","Combos"))</f>
        <v>Serviços</v>
      </c>
      <c r="J897">
        <f t="shared" si="20"/>
        <v>15.75</v>
      </c>
      <c r="K897" s="1">
        <f t="shared" si="21"/>
        <v>45738</v>
      </c>
      <c r="P897" s="1">
        <f t="shared" si="22"/>
        <v>45738</v>
      </c>
    </row>
    <row r="898" spans="1:16">
      <c r="A898" t="s">
        <v>519</v>
      </c>
      <c r="B898" t="s">
        <v>167</v>
      </c>
      <c r="C898" t="s">
        <v>1551</v>
      </c>
      <c r="D898" s="14">
        <v>10</v>
      </c>
      <c r="E898" s="14" t="s">
        <v>1604</v>
      </c>
      <c r="F898" s="1" t="s">
        <v>1603</v>
      </c>
      <c r="G898" t="s">
        <v>354</v>
      </c>
      <c r="H898" t="s">
        <v>466</v>
      </c>
      <c r="I898" t="str">
        <f>IF(B898=IFERROR(VLOOKUP(B898,base!$L$1:$L$9,1,0),""),"Produtos",IF(B898=IFERROR(VLOOKUP(B898,base!$K$2:$K$8,1,0),""),"Serviços","Combos"))</f>
        <v>Serviços</v>
      </c>
      <c r="J898">
        <f t="shared" si="20"/>
        <v>4.5</v>
      </c>
      <c r="K898" s="1">
        <f t="shared" si="21"/>
        <v>45738</v>
      </c>
      <c r="P898" s="1">
        <f t="shared" si="22"/>
        <v>45738</v>
      </c>
    </row>
    <row r="899" spans="1:16">
      <c r="A899" t="s">
        <v>519</v>
      </c>
      <c r="B899" t="s">
        <v>167</v>
      </c>
      <c r="C899" t="s">
        <v>1552</v>
      </c>
      <c r="D899" s="14">
        <v>15</v>
      </c>
      <c r="E899" s="14">
        <v>15</v>
      </c>
      <c r="F899" s="1" t="s">
        <v>1612</v>
      </c>
      <c r="G899" t="s">
        <v>1</v>
      </c>
      <c r="H899" t="s">
        <v>14</v>
      </c>
      <c r="I899" t="str">
        <f>IF(B899=IFERROR(VLOOKUP(B899,base!$L$1:$L$9,1,0),""),"Produtos",IF(B899=IFERROR(VLOOKUP(B899,base!$K$2:$K$8,1,0),""),"Serviços","Combos"))</f>
        <v>Serviços</v>
      </c>
      <c r="J899">
        <f t="shared" si="20"/>
        <v>6.75</v>
      </c>
      <c r="K899" s="1">
        <f t="shared" si="21"/>
        <v>45737</v>
      </c>
      <c r="P899" s="1">
        <f t="shared" si="22"/>
        <v>45737</v>
      </c>
    </row>
    <row r="900" spans="1:16">
      <c r="A900" t="s">
        <v>536</v>
      </c>
      <c r="B900" t="s">
        <v>163</v>
      </c>
      <c r="C900" t="s">
        <v>1553</v>
      </c>
      <c r="D900" s="14">
        <v>35</v>
      </c>
      <c r="E900" s="14">
        <v>35</v>
      </c>
      <c r="F900" s="1" t="s">
        <v>1613</v>
      </c>
      <c r="G900" t="s">
        <v>2</v>
      </c>
      <c r="H900" t="s">
        <v>1023</v>
      </c>
      <c r="I900" t="str">
        <f>IF(B900=IFERROR(VLOOKUP(B900,base!$L$1:$L$9,1,0),""),"Produtos",IF(B900=IFERROR(VLOOKUP(B900,base!$K$2:$K$8,1,0),""),"Serviços","Combos"))</f>
        <v>Serviços</v>
      </c>
      <c r="J900">
        <f t="shared" si="20"/>
        <v>15.75</v>
      </c>
      <c r="K900" s="1">
        <f t="shared" si="21"/>
        <v>45737</v>
      </c>
      <c r="P900" s="1">
        <f t="shared" si="22"/>
        <v>45737</v>
      </c>
    </row>
    <row r="901" spans="1:16">
      <c r="A901" t="s">
        <v>519</v>
      </c>
      <c r="B901" t="s">
        <v>353</v>
      </c>
      <c r="C901" t="s">
        <v>1554</v>
      </c>
      <c r="D901" s="14">
        <v>60</v>
      </c>
      <c r="E901" s="14">
        <v>60</v>
      </c>
      <c r="F901" s="1" t="s">
        <v>1614</v>
      </c>
      <c r="G901" t="s">
        <v>1</v>
      </c>
      <c r="H901" t="s">
        <v>10</v>
      </c>
      <c r="I901" t="str">
        <f>IF(B901=IFERROR(VLOOKUP(B901,base!$L$1:$L$9,1,0),""),"Produtos",IF(B901=IFERROR(VLOOKUP(B901,base!$K$2:$K$8,1,0),""),"Serviços","Combos"))</f>
        <v>Combos</v>
      </c>
      <c r="J901">
        <f t="shared" si="20"/>
        <v>27</v>
      </c>
      <c r="K901" s="1">
        <f t="shared" si="21"/>
        <v>45737</v>
      </c>
      <c r="P901" s="1">
        <f t="shared" si="22"/>
        <v>45737</v>
      </c>
    </row>
    <row r="902" spans="1:16">
      <c r="A902" t="s">
        <v>252</v>
      </c>
      <c r="B902" t="s">
        <v>353</v>
      </c>
      <c r="C902" t="s">
        <v>1555</v>
      </c>
      <c r="D902" s="14">
        <v>60</v>
      </c>
      <c r="E902" s="14">
        <v>60</v>
      </c>
      <c r="F902" s="1" t="s">
        <v>1615</v>
      </c>
      <c r="G902" t="s">
        <v>1</v>
      </c>
      <c r="H902" t="s">
        <v>1214</v>
      </c>
      <c r="I902" t="str">
        <f>IF(B902=IFERROR(VLOOKUP(B902,base!$L$1:$L$9,1,0),""),"Produtos",IF(B902=IFERROR(VLOOKUP(B902,base!$K$2:$K$8,1,0),""),"Serviços","Combos"))</f>
        <v>Combos</v>
      </c>
      <c r="J902">
        <f t="shared" si="20"/>
        <v>27</v>
      </c>
      <c r="K902" s="1">
        <f t="shared" si="21"/>
        <v>45737</v>
      </c>
      <c r="P902" s="1">
        <f t="shared" si="22"/>
        <v>45737</v>
      </c>
    </row>
    <row r="903" spans="1:16">
      <c r="A903" t="s">
        <v>519</v>
      </c>
      <c r="B903" t="s">
        <v>353</v>
      </c>
      <c r="C903" t="s">
        <v>1556</v>
      </c>
      <c r="D903" s="14">
        <v>60</v>
      </c>
      <c r="E903" s="14">
        <v>75</v>
      </c>
      <c r="F903" s="1" t="s">
        <v>1616</v>
      </c>
      <c r="G903" t="s">
        <v>354</v>
      </c>
      <c r="H903" t="s">
        <v>192</v>
      </c>
      <c r="I903" t="str">
        <f>IF(B903=IFERROR(VLOOKUP(B903,base!$L$1:$L$9,1,0),""),"Produtos",IF(B903=IFERROR(VLOOKUP(B903,base!$K$2:$K$8,1,0),""),"Serviços","Combos"))</f>
        <v>Combos</v>
      </c>
      <c r="J903">
        <f t="shared" si="20"/>
        <v>27</v>
      </c>
      <c r="K903" s="1">
        <f t="shared" si="21"/>
        <v>45737</v>
      </c>
      <c r="P903" s="1">
        <f t="shared" si="22"/>
        <v>45737</v>
      </c>
    </row>
    <row r="904" spans="1:16">
      <c r="A904" t="s">
        <v>519</v>
      </c>
      <c r="B904" t="s">
        <v>1187</v>
      </c>
      <c r="C904" t="s">
        <v>1556</v>
      </c>
      <c r="D904" s="14">
        <v>15</v>
      </c>
      <c r="E904" s="14" t="s">
        <v>1604</v>
      </c>
      <c r="F904" s="1" t="s">
        <v>1616</v>
      </c>
      <c r="G904" t="s">
        <v>354</v>
      </c>
      <c r="H904" t="s">
        <v>192</v>
      </c>
      <c r="I904" t="str">
        <f>IF(B904=IFERROR(VLOOKUP(B904,base!$L$1:$L$9,1,0),""),"Produtos",IF(B904=IFERROR(VLOOKUP(B904,base!$K$2:$K$8,1,0),""),"Serviços","Combos"))</f>
        <v>Combos</v>
      </c>
      <c r="J904">
        <f t="shared" si="20"/>
        <v>6.75</v>
      </c>
      <c r="K904" s="1">
        <f t="shared" si="21"/>
        <v>45737</v>
      </c>
      <c r="P904" s="1">
        <f t="shared" si="22"/>
        <v>45737</v>
      </c>
    </row>
    <row r="905" spans="1:16">
      <c r="A905" t="s">
        <v>252</v>
      </c>
      <c r="B905" t="s">
        <v>163</v>
      </c>
      <c r="C905" t="s">
        <v>1557</v>
      </c>
      <c r="D905" s="14">
        <v>35</v>
      </c>
      <c r="E905" s="14">
        <v>35</v>
      </c>
      <c r="F905" s="1" t="s">
        <v>1617</v>
      </c>
      <c r="G905" t="s">
        <v>2</v>
      </c>
      <c r="H905" t="s">
        <v>22</v>
      </c>
      <c r="I905" t="str">
        <f>IF(B905=IFERROR(VLOOKUP(B905,base!$L$1:$L$9,1,0),""),"Produtos",IF(B905=IFERROR(VLOOKUP(B905,base!$K$2:$K$8,1,0),""),"Serviços","Combos"))</f>
        <v>Serviços</v>
      </c>
      <c r="J905">
        <f t="shared" si="20"/>
        <v>15.75</v>
      </c>
      <c r="K905" s="1">
        <f t="shared" si="21"/>
        <v>45738</v>
      </c>
      <c r="P905" s="1">
        <f t="shared" si="22"/>
        <v>45738</v>
      </c>
    </row>
    <row r="906" spans="1:16">
      <c r="A906" t="s">
        <v>536</v>
      </c>
      <c r="B906" t="s">
        <v>1046</v>
      </c>
      <c r="C906" t="s">
        <v>1558</v>
      </c>
      <c r="D906" s="14">
        <v>30</v>
      </c>
      <c r="E906" s="14">
        <v>30</v>
      </c>
      <c r="F906" s="1" t="s">
        <v>1606</v>
      </c>
      <c r="G906" t="s">
        <v>310</v>
      </c>
      <c r="H906" t="s">
        <v>401</v>
      </c>
      <c r="I906" t="str">
        <f>IF(B906=IFERROR(VLOOKUP(B906,base!$L$1:$L$9,1,0),""),"Produtos",IF(B906=IFERROR(VLOOKUP(B906,base!$K$2:$K$8,1,0),""),"Serviços","Combos"))</f>
        <v>Combos</v>
      </c>
      <c r="J906">
        <f t="shared" si="20"/>
        <v>13.5</v>
      </c>
      <c r="K906" s="1">
        <f t="shared" si="21"/>
        <v>45738</v>
      </c>
      <c r="P906" s="1">
        <f t="shared" si="22"/>
        <v>45738</v>
      </c>
    </row>
    <row r="907" spans="1:16">
      <c r="A907" t="s">
        <v>252</v>
      </c>
      <c r="B907" t="s">
        <v>163</v>
      </c>
      <c r="C907" t="s">
        <v>1559</v>
      </c>
      <c r="D907" s="14">
        <v>35</v>
      </c>
      <c r="E907" s="14">
        <v>45</v>
      </c>
      <c r="F907" s="1" t="s">
        <v>1612</v>
      </c>
      <c r="G907" t="s">
        <v>1</v>
      </c>
      <c r="H907" t="s">
        <v>31</v>
      </c>
      <c r="I907" t="str">
        <f>IF(B907=IFERROR(VLOOKUP(B907,base!$L$1:$L$9,1,0),""),"Produtos",IF(B907=IFERROR(VLOOKUP(B907,base!$K$2:$K$8,1,0),""),"Serviços","Combos"))</f>
        <v>Serviços</v>
      </c>
      <c r="J907">
        <f t="shared" si="20"/>
        <v>15.75</v>
      </c>
      <c r="K907" s="1">
        <f t="shared" si="21"/>
        <v>45737</v>
      </c>
      <c r="P907" s="1">
        <f t="shared" si="22"/>
        <v>45737</v>
      </c>
    </row>
    <row r="908" spans="1:16">
      <c r="A908" t="s">
        <v>252</v>
      </c>
      <c r="B908" t="s">
        <v>167</v>
      </c>
      <c r="C908" t="s">
        <v>1559</v>
      </c>
      <c r="D908" s="14">
        <v>10</v>
      </c>
      <c r="E908" s="14" t="s">
        <v>1604</v>
      </c>
      <c r="F908" s="1" t="s">
        <v>1612</v>
      </c>
      <c r="G908" t="s">
        <v>1</v>
      </c>
      <c r="H908" t="s">
        <v>31</v>
      </c>
      <c r="I908" t="str">
        <f>IF(B908=IFERROR(VLOOKUP(B908,base!$L$1:$L$9,1,0),""),"Produtos",IF(B908=IFERROR(VLOOKUP(B908,base!$K$2:$K$8,1,0),""),"Serviços","Combos"))</f>
        <v>Serviços</v>
      </c>
      <c r="J908">
        <f t="shared" si="20"/>
        <v>4.5</v>
      </c>
      <c r="K908" s="1">
        <f t="shared" si="21"/>
        <v>45737</v>
      </c>
      <c r="P908" s="1">
        <f t="shared" si="22"/>
        <v>45737</v>
      </c>
    </row>
    <row r="909" spans="1:16">
      <c r="A909" t="s">
        <v>519</v>
      </c>
      <c r="B909" t="s">
        <v>163</v>
      </c>
      <c r="C909" t="s">
        <v>1560</v>
      </c>
      <c r="D909" s="14">
        <v>35</v>
      </c>
      <c r="E909" s="14">
        <v>35</v>
      </c>
      <c r="F909" s="1" t="s">
        <v>1618</v>
      </c>
      <c r="G909" t="s">
        <v>1</v>
      </c>
      <c r="H909" t="s">
        <v>1561</v>
      </c>
      <c r="I909" t="str">
        <f>IF(B909=IFERROR(VLOOKUP(B909,base!$L$1:$L$9,1,0),""),"Produtos",IF(B909=IFERROR(VLOOKUP(B909,base!$K$2:$K$8,1,0),""),"Serviços","Combos"))</f>
        <v>Serviços</v>
      </c>
      <c r="J909">
        <f t="shared" si="20"/>
        <v>15.75</v>
      </c>
      <c r="K909" s="1">
        <f t="shared" si="21"/>
        <v>45737</v>
      </c>
      <c r="P909" s="1">
        <f t="shared" si="22"/>
        <v>45737</v>
      </c>
    </row>
    <row r="910" spans="1:16">
      <c r="A910" t="s">
        <v>519</v>
      </c>
      <c r="B910" t="s">
        <v>160</v>
      </c>
      <c r="C910" t="s">
        <v>1562</v>
      </c>
      <c r="D910" s="14">
        <v>15</v>
      </c>
      <c r="E910" s="14">
        <v>15</v>
      </c>
      <c r="F910" s="1" t="s">
        <v>1619</v>
      </c>
      <c r="G910" t="s">
        <v>310</v>
      </c>
      <c r="H910" t="s">
        <v>282</v>
      </c>
      <c r="I910" t="str">
        <f>IF(B910=IFERROR(VLOOKUP(B910,base!$L$1:$L$9,1,0),""),"Produtos",IF(B910=IFERROR(VLOOKUP(B910,base!$K$2:$K$8,1,0),""),"Serviços","Combos"))</f>
        <v>Serviços</v>
      </c>
      <c r="J910">
        <f t="shared" si="20"/>
        <v>6.75</v>
      </c>
      <c r="K910" s="1">
        <f t="shared" si="21"/>
        <v>45737</v>
      </c>
      <c r="P910" s="1">
        <f t="shared" si="22"/>
        <v>45737</v>
      </c>
    </row>
    <row r="911" spans="1:16">
      <c r="A911" t="s">
        <v>519</v>
      </c>
      <c r="B911" t="s">
        <v>163</v>
      </c>
      <c r="C911" t="s">
        <v>1563</v>
      </c>
      <c r="D911" s="14">
        <v>35</v>
      </c>
      <c r="E911" s="14">
        <v>45</v>
      </c>
      <c r="F911" s="1" t="s">
        <v>1618</v>
      </c>
      <c r="G911" t="s">
        <v>310</v>
      </c>
      <c r="H911" t="s">
        <v>1564</v>
      </c>
      <c r="I911" t="str">
        <f>IF(B911=IFERROR(VLOOKUP(B911,base!$L$1:$L$9,1,0),""),"Produtos",IF(B911=IFERROR(VLOOKUP(B911,base!$K$2:$K$8,1,0),""),"Serviços","Combos"))</f>
        <v>Serviços</v>
      </c>
      <c r="J911">
        <f t="shared" si="20"/>
        <v>15.75</v>
      </c>
      <c r="K911" s="1">
        <f t="shared" si="21"/>
        <v>45737</v>
      </c>
      <c r="P911" s="1">
        <f t="shared" si="22"/>
        <v>45737</v>
      </c>
    </row>
    <row r="912" spans="1:16">
      <c r="A912" t="s">
        <v>519</v>
      </c>
      <c r="B912" t="s">
        <v>167</v>
      </c>
      <c r="C912" t="s">
        <v>1563</v>
      </c>
      <c r="D912" s="14">
        <v>10</v>
      </c>
      <c r="E912" s="14" t="s">
        <v>1604</v>
      </c>
      <c r="F912" s="1" t="s">
        <v>1618</v>
      </c>
      <c r="G912" t="s">
        <v>310</v>
      </c>
      <c r="H912" t="s">
        <v>1564</v>
      </c>
      <c r="I912" t="str">
        <f>IF(B912=IFERROR(VLOOKUP(B912,base!$L$1:$L$9,1,0),""),"Produtos",IF(B912=IFERROR(VLOOKUP(B912,base!$K$2:$K$8,1,0),""),"Serviços","Combos"))</f>
        <v>Serviços</v>
      </c>
      <c r="J912">
        <f t="shared" si="20"/>
        <v>4.5</v>
      </c>
      <c r="K912" s="1">
        <f t="shared" si="21"/>
        <v>45737</v>
      </c>
      <c r="P912" s="1">
        <f t="shared" si="22"/>
        <v>45737</v>
      </c>
    </row>
    <row r="913" spans="1:16">
      <c r="A913" t="s">
        <v>519</v>
      </c>
      <c r="B913" t="s">
        <v>163</v>
      </c>
      <c r="C913" t="s">
        <v>1565</v>
      </c>
      <c r="D913" s="14">
        <v>35</v>
      </c>
      <c r="E913" s="14">
        <v>35</v>
      </c>
      <c r="F913" s="1" t="s">
        <v>1620</v>
      </c>
      <c r="G913" t="s">
        <v>1</v>
      </c>
      <c r="H913" t="s">
        <v>8</v>
      </c>
      <c r="I913" t="str">
        <f>IF(B913=IFERROR(VLOOKUP(B913,base!$L$1:$L$9,1,0),""),"Produtos",IF(B913=IFERROR(VLOOKUP(B913,base!$K$2:$K$8,1,0),""),"Serviços","Combos"))</f>
        <v>Serviços</v>
      </c>
      <c r="J913">
        <f t="shared" si="20"/>
        <v>15.75</v>
      </c>
      <c r="K913" s="1">
        <f t="shared" si="21"/>
        <v>45737</v>
      </c>
      <c r="P913" s="1">
        <f t="shared" si="22"/>
        <v>45737</v>
      </c>
    </row>
    <row r="914" spans="1:16">
      <c r="A914" t="s">
        <v>536</v>
      </c>
      <c r="B914" t="s">
        <v>353</v>
      </c>
      <c r="C914" t="s">
        <v>1566</v>
      </c>
      <c r="D914" s="14">
        <v>50</v>
      </c>
      <c r="E914" s="14">
        <v>50</v>
      </c>
      <c r="F914" s="1" t="s">
        <v>1621</v>
      </c>
      <c r="G914" t="s">
        <v>1</v>
      </c>
      <c r="H914" t="s">
        <v>1184</v>
      </c>
      <c r="I914" t="str">
        <f>IF(B914=IFERROR(VLOOKUP(B914,base!$L$1:$L$9,1,0),""),"Produtos",IF(B914=IFERROR(VLOOKUP(B914,base!$K$2:$K$8,1,0),""),"Serviços","Combos"))</f>
        <v>Combos</v>
      </c>
      <c r="J914">
        <f t="shared" si="20"/>
        <v>22.5</v>
      </c>
      <c r="K914" s="1">
        <f t="shared" si="21"/>
        <v>45737</v>
      </c>
      <c r="P914" s="1">
        <f t="shared" si="22"/>
        <v>45737</v>
      </c>
    </row>
    <row r="915" spans="1:16">
      <c r="A915" t="s">
        <v>519</v>
      </c>
      <c r="B915" t="s">
        <v>163</v>
      </c>
      <c r="C915" t="s">
        <v>1567</v>
      </c>
      <c r="D915" s="14">
        <v>35</v>
      </c>
      <c r="E915" s="14">
        <v>35</v>
      </c>
      <c r="F915" s="1" t="s">
        <v>1622</v>
      </c>
      <c r="G915" t="s">
        <v>1</v>
      </c>
      <c r="H915" t="s">
        <v>83</v>
      </c>
      <c r="I915" t="str">
        <f>IF(B915=IFERROR(VLOOKUP(B915,base!$L$1:$L$9,1,0),""),"Produtos",IF(B915=IFERROR(VLOOKUP(B915,base!$K$2:$K$8,1,0),""),"Serviços","Combos"))</f>
        <v>Serviços</v>
      </c>
      <c r="J915">
        <f t="shared" si="20"/>
        <v>15.75</v>
      </c>
      <c r="K915" s="1">
        <f t="shared" si="21"/>
        <v>45737</v>
      </c>
      <c r="P915" s="1">
        <f t="shared" si="22"/>
        <v>45737</v>
      </c>
    </row>
    <row r="916" spans="1:16">
      <c r="A916" t="s">
        <v>536</v>
      </c>
      <c r="B916" t="s">
        <v>163</v>
      </c>
      <c r="C916" t="s">
        <v>1568</v>
      </c>
      <c r="D916" s="14">
        <v>35</v>
      </c>
      <c r="E916" s="14">
        <v>40</v>
      </c>
      <c r="F916" s="1" t="s">
        <v>1623</v>
      </c>
      <c r="G916" t="s">
        <v>1</v>
      </c>
      <c r="H916" t="s">
        <v>495</v>
      </c>
      <c r="I916" t="str">
        <f>IF(B916=IFERROR(VLOOKUP(B916,base!$L$1:$L$9,1,0),""),"Produtos",IF(B916=IFERROR(VLOOKUP(B916,base!$K$2:$K$8,1,0),""),"Serviços","Combos"))</f>
        <v>Serviços</v>
      </c>
      <c r="J916">
        <f t="shared" si="20"/>
        <v>15.75</v>
      </c>
      <c r="K916" s="1">
        <f t="shared" si="21"/>
        <v>45737</v>
      </c>
      <c r="P916" s="1">
        <f t="shared" si="22"/>
        <v>45737</v>
      </c>
    </row>
    <row r="917" spans="1:16">
      <c r="A917" t="s">
        <v>536</v>
      </c>
      <c r="B917" t="s">
        <v>910</v>
      </c>
      <c r="C917" t="s">
        <v>1568</v>
      </c>
      <c r="D917" s="14">
        <v>5</v>
      </c>
      <c r="E917" s="14" t="s">
        <v>1604</v>
      </c>
      <c r="F917" s="1" t="s">
        <v>1623</v>
      </c>
      <c r="G917" t="s">
        <v>1</v>
      </c>
      <c r="H917" t="s">
        <v>495</v>
      </c>
      <c r="I917" t="str">
        <f>IF(B917=IFERROR(VLOOKUP(B917,base!$L$1:$L$9,1,0),""),"Produtos",IF(B917=IFERROR(VLOOKUP(B917,base!$K$2:$K$8,1,0),""),"Serviços","Combos"))</f>
        <v>Combos</v>
      </c>
      <c r="J917">
        <f t="shared" si="20"/>
        <v>2.25</v>
      </c>
      <c r="K917" s="1">
        <f t="shared" si="21"/>
        <v>45737</v>
      </c>
      <c r="P917" s="1">
        <f t="shared" si="22"/>
        <v>45737</v>
      </c>
    </row>
    <row r="918" spans="1:16">
      <c r="A918" t="s">
        <v>536</v>
      </c>
      <c r="B918" t="s">
        <v>353</v>
      </c>
      <c r="C918" t="s">
        <v>1569</v>
      </c>
      <c r="D918" s="14">
        <v>55</v>
      </c>
      <c r="E918" s="14">
        <v>70</v>
      </c>
      <c r="F918" s="1" t="s">
        <v>1620</v>
      </c>
      <c r="G918" t="s">
        <v>2</v>
      </c>
      <c r="H918" t="s">
        <v>502</v>
      </c>
      <c r="I918" t="str">
        <f>IF(B918=IFERROR(VLOOKUP(B918,base!$L$1:$L$9,1,0),""),"Produtos",IF(B918=IFERROR(VLOOKUP(B918,base!$K$2:$K$8,1,0),""),"Serviços","Combos"))</f>
        <v>Combos</v>
      </c>
      <c r="J918">
        <f t="shared" si="20"/>
        <v>24.75</v>
      </c>
      <c r="K918" s="1">
        <f t="shared" si="21"/>
        <v>45737</v>
      </c>
      <c r="P918" s="1">
        <f t="shared" si="22"/>
        <v>45737</v>
      </c>
    </row>
    <row r="919" spans="1:16">
      <c r="A919" t="s">
        <v>536</v>
      </c>
      <c r="B919" t="s">
        <v>910</v>
      </c>
      <c r="C919" t="s">
        <v>1569</v>
      </c>
      <c r="D919" s="14">
        <v>15</v>
      </c>
      <c r="E919" s="14" t="s">
        <v>1604</v>
      </c>
      <c r="F919" s="1" t="s">
        <v>1620</v>
      </c>
      <c r="G919" t="s">
        <v>2</v>
      </c>
      <c r="H919" t="s">
        <v>502</v>
      </c>
      <c r="I919" t="str">
        <f>IF(B919=IFERROR(VLOOKUP(B919,base!$L$1:$L$9,1,0),""),"Produtos",IF(B919=IFERROR(VLOOKUP(B919,base!$K$2:$K$8,1,0),""),"Serviços","Combos"))</f>
        <v>Combos</v>
      </c>
      <c r="J919">
        <f t="shared" si="20"/>
        <v>6.75</v>
      </c>
      <c r="K919" s="1">
        <f t="shared" si="21"/>
        <v>45737</v>
      </c>
      <c r="P919" s="1">
        <f t="shared" si="22"/>
        <v>45737</v>
      </c>
    </row>
    <row r="920" spans="1:16">
      <c r="A920" t="s">
        <v>536</v>
      </c>
      <c r="B920" t="s">
        <v>353</v>
      </c>
      <c r="C920" t="s">
        <v>1570</v>
      </c>
      <c r="D920" s="14">
        <v>60</v>
      </c>
      <c r="E920" s="14">
        <v>135</v>
      </c>
      <c r="F920" s="1" t="s">
        <v>1624</v>
      </c>
      <c r="G920" t="s">
        <v>354</v>
      </c>
      <c r="H920" t="s">
        <v>901</v>
      </c>
      <c r="I920" t="str">
        <f>IF(B920=IFERROR(VLOOKUP(B920,base!$L$1:$L$9,1,0),""),"Produtos",IF(B920=IFERROR(VLOOKUP(B920,base!$K$2:$K$8,1,0),""),"Serviços","Combos"))</f>
        <v>Combos</v>
      </c>
      <c r="J920">
        <f t="shared" si="20"/>
        <v>27</v>
      </c>
      <c r="K920" s="1">
        <f t="shared" si="21"/>
        <v>45738</v>
      </c>
      <c r="P920" s="1">
        <f t="shared" si="22"/>
        <v>45738</v>
      </c>
    </row>
    <row r="921" spans="1:16">
      <c r="A921" t="s">
        <v>536</v>
      </c>
      <c r="B921" t="s">
        <v>472</v>
      </c>
      <c r="C921" t="s">
        <v>1570</v>
      </c>
      <c r="D921" s="14">
        <v>40</v>
      </c>
      <c r="E921" t="s">
        <v>1604</v>
      </c>
      <c r="F921" s="1" t="s">
        <v>1624</v>
      </c>
      <c r="G921" t="s">
        <v>354</v>
      </c>
      <c r="H921" t="s">
        <v>901</v>
      </c>
      <c r="I921" t="str">
        <f>IF(B921=IFERROR(VLOOKUP(B921,base!$L$1:$L$9,1,0),""),"Produtos",IF(B921=IFERROR(VLOOKUP(B921,base!$K$2:$K$8,1,0),""),"Serviços","Combos"))</f>
        <v>Produtos</v>
      </c>
      <c r="J921">
        <f t="shared" si="20"/>
        <v>16</v>
      </c>
      <c r="K921" s="1">
        <f t="shared" si="21"/>
        <v>45738</v>
      </c>
      <c r="P921" s="1">
        <f t="shared" si="22"/>
        <v>45738</v>
      </c>
    </row>
    <row r="922" spans="1:16">
      <c r="A922" t="s">
        <v>536</v>
      </c>
      <c r="B922" t="s">
        <v>513</v>
      </c>
      <c r="C922" t="s">
        <v>1570</v>
      </c>
      <c r="D922" s="14">
        <v>35</v>
      </c>
      <c r="E922" s="14" t="s">
        <v>1604</v>
      </c>
      <c r="F922" s="1" t="s">
        <v>1624</v>
      </c>
      <c r="G922" t="s">
        <v>354</v>
      </c>
      <c r="H922" t="s">
        <v>901</v>
      </c>
      <c r="I922" t="str">
        <f>IF(B922=IFERROR(VLOOKUP(B922,base!$L$1:$L$9,1,0),""),"Produtos",IF(B922=IFERROR(VLOOKUP(B922,base!$K$2:$K$8,1,0),""),"Serviços","Combos"))</f>
        <v>Produtos</v>
      </c>
      <c r="J922">
        <f t="shared" si="20"/>
        <v>14</v>
      </c>
      <c r="K922" s="1">
        <f t="shared" si="21"/>
        <v>45738</v>
      </c>
      <c r="P922" s="1">
        <f t="shared" si="22"/>
        <v>45738</v>
      </c>
    </row>
    <row r="923" spans="1:16">
      <c r="A923" t="s">
        <v>519</v>
      </c>
      <c r="B923" t="s">
        <v>353</v>
      </c>
      <c r="C923" t="s">
        <v>1571</v>
      </c>
      <c r="D923" s="14">
        <v>60</v>
      </c>
      <c r="E923" s="14">
        <v>60</v>
      </c>
      <c r="F923" s="1" t="s">
        <v>1625</v>
      </c>
      <c r="G923" t="s">
        <v>1</v>
      </c>
      <c r="H923" t="s">
        <v>490</v>
      </c>
      <c r="I923" t="str">
        <f>IF(B923=IFERROR(VLOOKUP(B923,base!$L$1:$L$9,1,0),""),"Produtos",IF(B923=IFERROR(VLOOKUP(B923,base!$K$2:$K$8,1,0),""),"Serviços","Combos"))</f>
        <v>Combos</v>
      </c>
      <c r="J923">
        <f t="shared" si="20"/>
        <v>27</v>
      </c>
      <c r="K923" s="1">
        <f t="shared" si="21"/>
        <v>45737</v>
      </c>
      <c r="P923" s="1">
        <f t="shared" si="22"/>
        <v>45737</v>
      </c>
    </row>
    <row r="924" spans="1:16">
      <c r="A924" t="s">
        <v>252</v>
      </c>
      <c r="B924" t="s">
        <v>165</v>
      </c>
      <c r="C924" t="s">
        <v>1572</v>
      </c>
      <c r="D924" s="14">
        <v>65</v>
      </c>
      <c r="E924" s="14">
        <v>100</v>
      </c>
      <c r="F924" s="1" t="s">
        <v>1626</v>
      </c>
      <c r="G924" t="s">
        <v>354</v>
      </c>
      <c r="H924" t="s">
        <v>480</v>
      </c>
      <c r="I924" t="str">
        <f>IF(B924=IFERROR(VLOOKUP(B924,base!$L$1:$L$9,1,0),""),"Produtos",IF(B924=IFERROR(VLOOKUP(B924,base!$K$2:$K$8,1,0),""),"Serviços","Combos"))</f>
        <v>Serviços</v>
      </c>
      <c r="J924">
        <f t="shared" si="20"/>
        <v>29.25</v>
      </c>
      <c r="K924" s="1">
        <f t="shared" si="21"/>
        <v>45737</v>
      </c>
      <c r="P924" s="1">
        <f t="shared" si="22"/>
        <v>45737</v>
      </c>
    </row>
    <row r="925" spans="1:16">
      <c r="A925" t="s">
        <v>252</v>
      </c>
      <c r="B925" t="s">
        <v>163</v>
      </c>
      <c r="C925" t="s">
        <v>1572</v>
      </c>
      <c r="D925" s="14">
        <v>35</v>
      </c>
      <c r="E925" s="14" t="s">
        <v>1604</v>
      </c>
      <c r="F925" s="1" t="s">
        <v>1626</v>
      </c>
      <c r="G925" t="s">
        <v>354</v>
      </c>
      <c r="H925" t="s">
        <v>480</v>
      </c>
      <c r="I925" t="str">
        <f>IF(B925=IFERROR(VLOOKUP(B925,base!$L$1:$L$9,1,0),""),"Produtos",IF(B925=IFERROR(VLOOKUP(B925,base!$K$2:$K$8,1,0),""),"Serviços","Combos"))</f>
        <v>Serviços</v>
      </c>
      <c r="J925">
        <f t="shared" si="20"/>
        <v>15.75</v>
      </c>
      <c r="K925" s="1">
        <f t="shared" si="21"/>
        <v>45737</v>
      </c>
      <c r="P925" s="1">
        <f t="shared" si="22"/>
        <v>45737</v>
      </c>
    </row>
    <row r="926" spans="1:16">
      <c r="A926" t="s">
        <v>536</v>
      </c>
      <c r="B926" t="s">
        <v>163</v>
      </c>
      <c r="C926" t="s">
        <v>1573</v>
      </c>
      <c r="D926" s="14">
        <v>35</v>
      </c>
      <c r="E926" s="14">
        <v>35</v>
      </c>
      <c r="F926" s="1" t="s">
        <v>1627</v>
      </c>
      <c r="G926" t="s">
        <v>1</v>
      </c>
      <c r="H926" t="s">
        <v>1574</v>
      </c>
      <c r="I926" t="str">
        <f>IF(B926=IFERROR(VLOOKUP(B926,base!$L$1:$L$9,1,0),""),"Produtos",IF(B926=IFERROR(VLOOKUP(B926,base!$K$2:$K$8,1,0),""),"Serviços","Combos"))</f>
        <v>Serviços</v>
      </c>
      <c r="J926">
        <f t="shared" si="20"/>
        <v>15.75</v>
      </c>
      <c r="K926" s="1">
        <f t="shared" si="21"/>
        <v>45737</v>
      </c>
      <c r="P926" s="1">
        <f t="shared" si="22"/>
        <v>45737</v>
      </c>
    </row>
    <row r="927" spans="1:16">
      <c r="A927" t="s">
        <v>252</v>
      </c>
      <c r="B927" t="s">
        <v>163</v>
      </c>
      <c r="C927" t="s">
        <v>1575</v>
      </c>
      <c r="D927" s="14">
        <v>35</v>
      </c>
      <c r="E927" s="14">
        <v>50</v>
      </c>
      <c r="F927" s="1" t="s">
        <v>1628</v>
      </c>
      <c r="G927" t="s">
        <v>2</v>
      </c>
      <c r="H927" t="s">
        <v>1099</v>
      </c>
      <c r="I927" t="str">
        <f>IF(B927=IFERROR(VLOOKUP(B927,base!$L$1:$L$9,1,0),""),"Produtos",IF(B927=IFERROR(VLOOKUP(B927,base!$K$2:$K$8,1,0),""),"Serviços","Combos"))</f>
        <v>Serviços</v>
      </c>
      <c r="J927">
        <f t="shared" si="20"/>
        <v>15.75</v>
      </c>
      <c r="K927" s="1">
        <f t="shared" si="21"/>
        <v>45737</v>
      </c>
      <c r="P927" s="1">
        <f t="shared" si="22"/>
        <v>45737</v>
      </c>
    </row>
    <row r="928" spans="1:16">
      <c r="A928" t="s">
        <v>252</v>
      </c>
      <c r="B928" t="s">
        <v>167</v>
      </c>
      <c r="C928" t="s">
        <v>1575</v>
      </c>
      <c r="D928" s="14">
        <v>10</v>
      </c>
      <c r="E928" s="14" t="s">
        <v>1604</v>
      </c>
      <c r="F928" s="1" t="s">
        <v>1628</v>
      </c>
      <c r="G928" t="s">
        <v>2</v>
      </c>
      <c r="H928" t="s">
        <v>1099</v>
      </c>
      <c r="I928" t="str">
        <f>IF(B928=IFERROR(VLOOKUP(B928,base!$L$1:$L$9,1,0),""),"Produtos",IF(B928=IFERROR(VLOOKUP(B928,base!$K$2:$K$8,1,0),""),"Serviços","Combos"))</f>
        <v>Serviços</v>
      </c>
      <c r="J928">
        <f t="shared" si="20"/>
        <v>4.5</v>
      </c>
      <c r="K928" s="1">
        <f t="shared" si="21"/>
        <v>45737</v>
      </c>
      <c r="P928" s="1">
        <f t="shared" si="22"/>
        <v>45737</v>
      </c>
    </row>
    <row r="929" spans="1:16">
      <c r="A929" t="s">
        <v>519</v>
      </c>
      <c r="B929" t="s">
        <v>163</v>
      </c>
      <c r="C929" t="s">
        <v>1576</v>
      </c>
      <c r="D929" s="14">
        <v>35</v>
      </c>
      <c r="E929" s="14">
        <v>35</v>
      </c>
      <c r="F929" s="1" t="s">
        <v>1606</v>
      </c>
      <c r="G929" t="s">
        <v>2</v>
      </c>
      <c r="H929" t="s">
        <v>37</v>
      </c>
      <c r="I929" t="str">
        <f>IF(B929=IFERROR(VLOOKUP(B929,base!$L$1:$L$9,1,0),""),"Produtos",IF(B929=IFERROR(VLOOKUP(B929,base!$K$2:$K$8,1,0),""),"Serviços","Combos"))</f>
        <v>Serviços</v>
      </c>
      <c r="J929">
        <f t="shared" si="20"/>
        <v>15.75</v>
      </c>
      <c r="K929" s="1">
        <f t="shared" si="21"/>
        <v>45738</v>
      </c>
      <c r="P929" s="1">
        <f t="shared" si="22"/>
        <v>45738</v>
      </c>
    </row>
    <row r="930" spans="1:16">
      <c r="A930" t="s">
        <v>536</v>
      </c>
      <c r="B930" t="s">
        <v>163</v>
      </c>
      <c r="C930" t="s">
        <v>1577</v>
      </c>
      <c r="D930" s="14">
        <v>35</v>
      </c>
      <c r="E930" s="14">
        <v>35</v>
      </c>
      <c r="F930" s="1" t="s">
        <v>1629</v>
      </c>
      <c r="G930" t="s">
        <v>1</v>
      </c>
      <c r="H930" t="s">
        <v>470</v>
      </c>
      <c r="I930" t="str">
        <f>IF(B930=IFERROR(VLOOKUP(B930,base!$L$1:$L$9,1,0),""),"Produtos",IF(B930=IFERROR(VLOOKUP(B930,base!$K$2:$K$8,1,0),""),"Serviços","Combos"))</f>
        <v>Serviços</v>
      </c>
      <c r="J930">
        <f t="shared" si="20"/>
        <v>15.75</v>
      </c>
      <c r="K930" s="1">
        <f t="shared" si="21"/>
        <v>45737</v>
      </c>
      <c r="P930" s="1">
        <f t="shared" si="22"/>
        <v>45737</v>
      </c>
    </row>
    <row r="931" spans="1:16">
      <c r="A931" t="s">
        <v>519</v>
      </c>
      <c r="B931" t="s">
        <v>353</v>
      </c>
      <c r="C931" t="s">
        <v>1578</v>
      </c>
      <c r="D931" s="14">
        <v>50</v>
      </c>
      <c r="E931" s="14">
        <v>50</v>
      </c>
      <c r="F931" s="1" t="s">
        <v>1630</v>
      </c>
      <c r="G931" t="s">
        <v>1</v>
      </c>
      <c r="H931" t="s">
        <v>28</v>
      </c>
      <c r="I931" t="str">
        <f>IF(B931=IFERROR(VLOOKUP(B931,base!$L$1:$L$9,1,0),""),"Produtos",IF(B931=IFERROR(VLOOKUP(B931,base!$K$2:$K$8,1,0),""),"Serviços","Combos"))</f>
        <v>Combos</v>
      </c>
      <c r="J931">
        <f t="shared" si="20"/>
        <v>22.5</v>
      </c>
      <c r="K931" s="1">
        <f t="shared" si="21"/>
        <v>45737</v>
      </c>
      <c r="P931" s="1">
        <f t="shared" si="22"/>
        <v>45737</v>
      </c>
    </row>
    <row r="932" spans="1:16">
      <c r="A932" t="s">
        <v>252</v>
      </c>
      <c r="B932" t="s">
        <v>353</v>
      </c>
      <c r="C932" t="s">
        <v>1579</v>
      </c>
      <c r="D932" s="14">
        <v>60</v>
      </c>
      <c r="E932" s="14">
        <v>60</v>
      </c>
      <c r="F932" s="1" t="s">
        <v>1631</v>
      </c>
      <c r="G932" t="s">
        <v>1</v>
      </c>
      <c r="H932" t="s">
        <v>1154</v>
      </c>
      <c r="I932" t="str">
        <f>IF(B932=IFERROR(VLOOKUP(B932,base!$L$1:$L$9,1,0),""),"Produtos",IF(B932=IFERROR(VLOOKUP(B932,base!$K$2:$K$8,1,0),""),"Serviços","Combos"))</f>
        <v>Combos</v>
      </c>
      <c r="J932">
        <f t="shared" si="20"/>
        <v>27</v>
      </c>
      <c r="K932" s="1">
        <f t="shared" si="21"/>
        <v>45737</v>
      </c>
      <c r="P932" s="1">
        <f t="shared" si="22"/>
        <v>45737</v>
      </c>
    </row>
    <row r="933" spans="1:16">
      <c r="A933" t="s">
        <v>519</v>
      </c>
      <c r="B933" t="s">
        <v>163</v>
      </c>
      <c r="C933" t="s">
        <v>1580</v>
      </c>
      <c r="D933" s="14">
        <v>35</v>
      </c>
      <c r="E933" s="14">
        <v>50</v>
      </c>
      <c r="F933" s="1" t="s">
        <v>1632</v>
      </c>
      <c r="G933" t="s">
        <v>529</v>
      </c>
      <c r="H933" t="s">
        <v>414</v>
      </c>
      <c r="I933" t="str">
        <f>IF(B933=IFERROR(VLOOKUP(B933,base!$L$1:$L$9,1,0),""),"Produtos",IF(B933=IFERROR(VLOOKUP(B933,base!$K$2:$K$8,1,0),""),"Serviços","Combos"))</f>
        <v>Serviços</v>
      </c>
      <c r="J933">
        <f t="shared" si="20"/>
        <v>15.75</v>
      </c>
      <c r="K933" s="1">
        <f t="shared" si="21"/>
        <v>45738</v>
      </c>
      <c r="P933" s="1">
        <f t="shared" si="22"/>
        <v>45738</v>
      </c>
    </row>
    <row r="934" spans="1:16">
      <c r="A934" t="s">
        <v>519</v>
      </c>
      <c r="B934" t="s">
        <v>1046</v>
      </c>
      <c r="C934" t="s">
        <v>1580</v>
      </c>
      <c r="D934" s="14">
        <v>15</v>
      </c>
      <c r="E934" s="14" t="s">
        <v>1604</v>
      </c>
      <c r="F934" s="1" t="s">
        <v>1632</v>
      </c>
      <c r="G934" t="s">
        <v>529</v>
      </c>
      <c r="H934" t="s">
        <v>414</v>
      </c>
      <c r="I934" t="str">
        <f>IF(B934=IFERROR(VLOOKUP(B934,base!$L$1:$L$9,1,0),""),"Produtos",IF(B934=IFERROR(VLOOKUP(B934,base!$K$2:$K$8,1,0),""),"Serviços","Combos"))</f>
        <v>Combos</v>
      </c>
      <c r="J934">
        <f t="shared" si="20"/>
        <v>6.75</v>
      </c>
      <c r="K934" s="1">
        <f t="shared" si="21"/>
        <v>45738</v>
      </c>
      <c r="P934" s="1">
        <f t="shared" si="22"/>
        <v>45738</v>
      </c>
    </row>
    <row r="935" spans="1:16">
      <c r="A935" t="s">
        <v>252</v>
      </c>
      <c r="B935" t="s">
        <v>163</v>
      </c>
      <c r="C935" t="s">
        <v>1581</v>
      </c>
      <c r="D935" s="14">
        <v>35</v>
      </c>
      <c r="E935" s="14">
        <v>45</v>
      </c>
      <c r="F935" s="1" t="s">
        <v>1633</v>
      </c>
      <c r="G935" t="s">
        <v>1</v>
      </c>
      <c r="H935" t="s">
        <v>400</v>
      </c>
      <c r="I935" t="str">
        <f>IF(B935=IFERROR(VLOOKUP(B935,base!$L$1:$L$9,1,0),""),"Produtos",IF(B935=IFERROR(VLOOKUP(B935,base!$K$2:$K$8,1,0),""),"Serviços","Combos"))</f>
        <v>Serviços</v>
      </c>
      <c r="J935">
        <f t="shared" si="20"/>
        <v>15.75</v>
      </c>
      <c r="K935" s="1">
        <f t="shared" si="21"/>
        <v>45738</v>
      </c>
      <c r="P935" s="1">
        <f t="shared" si="22"/>
        <v>45738</v>
      </c>
    </row>
    <row r="936" spans="1:16">
      <c r="A936" t="s">
        <v>252</v>
      </c>
      <c r="B936" t="s">
        <v>167</v>
      </c>
      <c r="C936" t="s">
        <v>1581</v>
      </c>
      <c r="D936" s="14">
        <v>10</v>
      </c>
      <c r="E936" s="14" t="s">
        <v>1604</v>
      </c>
      <c r="F936" s="1" t="s">
        <v>1633</v>
      </c>
      <c r="G936" t="s">
        <v>1</v>
      </c>
      <c r="H936" t="s">
        <v>400</v>
      </c>
      <c r="I936" t="str">
        <f>IF(B936=IFERROR(VLOOKUP(B936,base!$L$1:$L$9,1,0),""),"Produtos",IF(B936=IFERROR(VLOOKUP(B936,base!$K$2:$K$8,1,0),""),"Serviços","Combos"))</f>
        <v>Serviços</v>
      </c>
      <c r="J936">
        <f t="shared" si="20"/>
        <v>4.5</v>
      </c>
      <c r="K936" s="1">
        <f t="shared" si="21"/>
        <v>45738</v>
      </c>
      <c r="P936" s="1">
        <f t="shared" si="22"/>
        <v>45738</v>
      </c>
    </row>
    <row r="937" spans="1:16">
      <c r="A937" t="s">
        <v>519</v>
      </c>
      <c r="B937" t="s">
        <v>163</v>
      </c>
      <c r="C937" t="s">
        <v>1582</v>
      </c>
      <c r="D937" s="14">
        <v>35</v>
      </c>
      <c r="E937" s="14">
        <v>0</v>
      </c>
      <c r="F937" s="1" t="s">
        <v>1634</v>
      </c>
      <c r="G937" t="s">
        <v>1</v>
      </c>
      <c r="H937" t="s">
        <v>1583</v>
      </c>
      <c r="I937" t="str">
        <f>IF(B937=IFERROR(VLOOKUP(B937,base!$L$1:$L$9,1,0),""),"Produtos",IF(B937=IFERROR(VLOOKUP(B937,base!$K$2:$K$8,1,0),""),"Serviços","Combos"))</f>
        <v>Serviços</v>
      </c>
      <c r="J937">
        <f t="shared" si="20"/>
        <v>15.75</v>
      </c>
      <c r="K937" s="1">
        <f t="shared" si="21"/>
        <v>45738</v>
      </c>
      <c r="P937" s="1">
        <f t="shared" si="22"/>
        <v>45738</v>
      </c>
    </row>
    <row r="938" spans="1:16">
      <c r="A938" t="s">
        <v>252</v>
      </c>
      <c r="B938" t="s">
        <v>163</v>
      </c>
      <c r="C938" t="s">
        <v>1584</v>
      </c>
      <c r="D938" s="14">
        <v>35</v>
      </c>
      <c r="E938" s="14">
        <v>35</v>
      </c>
      <c r="F938" s="1" t="s">
        <v>1635</v>
      </c>
      <c r="G938" t="s">
        <v>354</v>
      </c>
      <c r="H938" t="s">
        <v>1008</v>
      </c>
      <c r="I938" t="str">
        <f>IF(B938=IFERROR(VLOOKUP(B938,base!$L$1:$L$9,1,0),""),"Produtos",IF(B938=IFERROR(VLOOKUP(B938,base!$K$2:$K$8,1,0),""),"Serviços","Combos"))</f>
        <v>Serviços</v>
      </c>
      <c r="J938">
        <f t="shared" si="20"/>
        <v>15.75</v>
      </c>
      <c r="K938" s="1">
        <f t="shared" si="21"/>
        <v>45738</v>
      </c>
      <c r="P938" s="1">
        <f t="shared" si="22"/>
        <v>45738</v>
      </c>
    </row>
    <row r="939" spans="1:16">
      <c r="A939" t="s">
        <v>536</v>
      </c>
      <c r="B939" t="s">
        <v>163</v>
      </c>
      <c r="C939" t="s">
        <v>1585</v>
      </c>
      <c r="D939" s="14">
        <v>35</v>
      </c>
      <c r="E939" s="14">
        <v>35</v>
      </c>
      <c r="F939" s="1" t="s">
        <v>1617</v>
      </c>
      <c r="G939" t="s">
        <v>1</v>
      </c>
      <c r="H939" t="s">
        <v>869</v>
      </c>
      <c r="I939" t="str">
        <f>IF(B939=IFERROR(VLOOKUP(B939,base!$L$1:$L$9,1,0),""),"Produtos",IF(B939=IFERROR(VLOOKUP(B939,base!$K$2:$K$8,1,0),""),"Serviços","Combos"))</f>
        <v>Serviços</v>
      </c>
      <c r="J939">
        <f t="shared" si="20"/>
        <v>15.75</v>
      </c>
      <c r="K939" s="1">
        <f t="shared" si="21"/>
        <v>45738</v>
      </c>
      <c r="P939" s="1">
        <f t="shared" si="22"/>
        <v>45738</v>
      </c>
    </row>
    <row r="940" spans="1:16">
      <c r="A940" t="s">
        <v>252</v>
      </c>
      <c r="B940" t="s">
        <v>163</v>
      </c>
      <c r="C940" t="s">
        <v>1586</v>
      </c>
      <c r="D940" s="14">
        <v>35</v>
      </c>
      <c r="E940" s="14">
        <v>35</v>
      </c>
      <c r="F940" s="1" t="s">
        <v>1636</v>
      </c>
      <c r="G940" t="s">
        <v>1</v>
      </c>
      <c r="H940" t="s">
        <v>123</v>
      </c>
      <c r="I940" t="str">
        <f>IF(B940=IFERROR(VLOOKUP(B940,base!$L$1:$L$9,1,0),""),"Produtos",IF(B940=IFERROR(VLOOKUP(B940,base!$K$2:$K$8,1,0),""),"Serviços","Combos"))</f>
        <v>Serviços</v>
      </c>
      <c r="J940">
        <f t="shared" si="20"/>
        <v>15.75</v>
      </c>
      <c r="K940" s="1">
        <f t="shared" si="21"/>
        <v>45738</v>
      </c>
      <c r="P940" s="1">
        <f t="shared" si="22"/>
        <v>45738</v>
      </c>
    </row>
    <row r="941" spans="1:16">
      <c r="A941" t="s">
        <v>536</v>
      </c>
      <c r="B941" t="s">
        <v>163</v>
      </c>
      <c r="C941" t="s">
        <v>1587</v>
      </c>
      <c r="D941" s="14">
        <v>35</v>
      </c>
      <c r="E941" s="14">
        <v>35</v>
      </c>
      <c r="F941" s="1" t="s">
        <v>1637</v>
      </c>
      <c r="G941" t="s">
        <v>354</v>
      </c>
      <c r="H941" t="s">
        <v>1588</v>
      </c>
      <c r="I941" t="str">
        <f>IF(B941=IFERROR(VLOOKUP(B941,base!$L$1:$L$9,1,0),""),"Produtos",IF(B941=IFERROR(VLOOKUP(B941,base!$K$2:$K$8,1,0),""),"Serviços","Combos"))</f>
        <v>Serviços</v>
      </c>
      <c r="J941">
        <f t="shared" si="20"/>
        <v>15.75</v>
      </c>
      <c r="K941" s="1">
        <f t="shared" si="21"/>
        <v>45738</v>
      </c>
      <c r="P941" s="1">
        <f t="shared" si="22"/>
        <v>45738</v>
      </c>
    </row>
    <row r="942" spans="1:16">
      <c r="A942" t="s">
        <v>519</v>
      </c>
      <c r="B942" t="s">
        <v>163</v>
      </c>
      <c r="C942" t="s">
        <v>1589</v>
      </c>
      <c r="D942" s="14">
        <v>35</v>
      </c>
      <c r="E942" s="14">
        <v>35</v>
      </c>
      <c r="F942" s="1" t="s">
        <v>1638</v>
      </c>
      <c r="G942" t="s">
        <v>2</v>
      </c>
      <c r="H942" t="s">
        <v>1590</v>
      </c>
      <c r="I942" t="str">
        <f>IF(B942=IFERROR(VLOOKUP(B942,base!$L$1:$L$9,1,0),""),"Produtos",IF(B942=IFERROR(VLOOKUP(B942,base!$K$2:$K$8,1,0),""),"Serviços","Combos"))</f>
        <v>Serviços</v>
      </c>
      <c r="J942">
        <f t="shared" si="20"/>
        <v>15.75</v>
      </c>
      <c r="K942" s="1">
        <f t="shared" si="21"/>
        <v>45738</v>
      </c>
      <c r="P942" s="1">
        <f t="shared" si="22"/>
        <v>45738</v>
      </c>
    </row>
    <row r="943" spans="1:16">
      <c r="A943" t="s">
        <v>519</v>
      </c>
      <c r="B943" t="s">
        <v>163</v>
      </c>
      <c r="C943" t="s">
        <v>1591</v>
      </c>
      <c r="D943" s="14">
        <v>35</v>
      </c>
      <c r="E943" s="14">
        <v>35</v>
      </c>
      <c r="F943" s="1" t="s">
        <v>1639</v>
      </c>
      <c r="G943" t="s">
        <v>2</v>
      </c>
      <c r="H943" t="s">
        <v>115</v>
      </c>
      <c r="I943" t="str">
        <f>IF(B943=IFERROR(VLOOKUP(B943,base!$L$1:$L$9,1,0),""),"Produtos",IF(B943=IFERROR(VLOOKUP(B943,base!$K$2:$K$8,1,0),""),"Serviços","Combos"))</f>
        <v>Serviços</v>
      </c>
      <c r="J943">
        <f t="shared" si="20"/>
        <v>15.75</v>
      </c>
      <c r="K943" s="1">
        <f t="shared" si="21"/>
        <v>45738</v>
      </c>
      <c r="P943" s="1">
        <f t="shared" si="22"/>
        <v>45738</v>
      </c>
    </row>
    <row r="944" spans="1:16">
      <c r="A944" t="s">
        <v>252</v>
      </c>
      <c r="B944" t="s">
        <v>163</v>
      </c>
      <c r="C944" t="s">
        <v>1592</v>
      </c>
      <c r="D944" s="14">
        <v>35</v>
      </c>
      <c r="E944" s="14">
        <v>35</v>
      </c>
      <c r="F944" s="1" t="s">
        <v>1640</v>
      </c>
      <c r="G944" t="s">
        <v>310</v>
      </c>
      <c r="H944" t="s">
        <v>1593</v>
      </c>
      <c r="I944" t="str">
        <f>IF(B944=IFERROR(VLOOKUP(B944,base!$L$1:$L$9,1,0),""),"Produtos",IF(B944=IFERROR(VLOOKUP(B944,base!$K$2:$K$8,1,0),""),"Serviços","Combos"))</f>
        <v>Serviços</v>
      </c>
      <c r="J944">
        <f t="shared" si="20"/>
        <v>15.75</v>
      </c>
      <c r="K944" s="1">
        <f t="shared" si="21"/>
        <v>45738</v>
      </c>
      <c r="P944" s="1">
        <f t="shared" si="22"/>
        <v>45738</v>
      </c>
    </row>
    <row r="945" spans="1:16">
      <c r="A945" t="s">
        <v>252</v>
      </c>
      <c r="B945" t="s">
        <v>163</v>
      </c>
      <c r="C945" t="s">
        <v>1594</v>
      </c>
      <c r="D945" s="14">
        <v>35</v>
      </c>
      <c r="E945" s="14">
        <v>35</v>
      </c>
      <c r="F945" s="1" t="s">
        <v>1641</v>
      </c>
      <c r="G945" t="s">
        <v>354</v>
      </c>
      <c r="H945" t="s">
        <v>296</v>
      </c>
      <c r="I945" t="str">
        <f>IF(B945=IFERROR(VLOOKUP(B945,base!$L$1:$L$9,1,0),""),"Produtos",IF(B945=IFERROR(VLOOKUP(B945,base!$K$2:$K$8,1,0),""),"Serviços","Combos"))</f>
        <v>Serviços</v>
      </c>
      <c r="J945">
        <f t="shared" si="20"/>
        <v>15.75</v>
      </c>
      <c r="K945" s="1">
        <f t="shared" si="21"/>
        <v>45738</v>
      </c>
      <c r="P945" s="1">
        <f t="shared" si="22"/>
        <v>45738</v>
      </c>
    </row>
    <row r="946" spans="1:16">
      <c r="A946" t="s">
        <v>536</v>
      </c>
      <c r="B946" t="s">
        <v>163</v>
      </c>
      <c r="C946" t="s">
        <v>1595</v>
      </c>
      <c r="D946" s="14">
        <v>30</v>
      </c>
      <c r="E946" s="14">
        <v>30</v>
      </c>
      <c r="F946" s="1" t="s">
        <v>1642</v>
      </c>
      <c r="G946" t="s">
        <v>1</v>
      </c>
      <c r="H946" t="s">
        <v>1348</v>
      </c>
      <c r="I946" t="str">
        <f>IF(B946=IFERROR(VLOOKUP(B946,base!$L$1:$L$9,1,0),""),"Produtos",IF(B946=IFERROR(VLOOKUP(B946,base!$K$2:$K$8,1,0),""),"Serviços","Combos"))</f>
        <v>Serviços</v>
      </c>
      <c r="J946">
        <f t="shared" si="20"/>
        <v>13.5</v>
      </c>
      <c r="K946" s="1">
        <f t="shared" si="21"/>
        <v>45738</v>
      </c>
      <c r="P946" s="1">
        <f t="shared" si="22"/>
        <v>45738</v>
      </c>
    </row>
    <row r="947" spans="1:16">
      <c r="A947" t="s">
        <v>536</v>
      </c>
      <c r="B947" t="s">
        <v>163</v>
      </c>
      <c r="C947" t="s">
        <v>1596</v>
      </c>
      <c r="D947" s="14">
        <v>25</v>
      </c>
      <c r="E947" s="14">
        <v>25</v>
      </c>
      <c r="F947" s="1" t="s">
        <v>1642</v>
      </c>
      <c r="G947" t="s">
        <v>1</v>
      </c>
      <c r="H947" t="s">
        <v>271</v>
      </c>
      <c r="I947" t="str">
        <f>IF(B947=IFERROR(VLOOKUP(B947,base!$L$1:$L$9,1,0),""),"Produtos",IF(B947=IFERROR(VLOOKUP(B947,base!$K$2:$K$8,1,0),""),"Serviços","Combos"))</f>
        <v>Serviços</v>
      </c>
      <c r="J947">
        <f t="shared" si="20"/>
        <v>11.25</v>
      </c>
      <c r="K947" s="1">
        <f t="shared" si="21"/>
        <v>45738</v>
      </c>
      <c r="P947" s="1">
        <f t="shared" si="22"/>
        <v>45738</v>
      </c>
    </row>
    <row r="948" spans="1:16">
      <c r="A948" t="s">
        <v>252</v>
      </c>
      <c r="B948" t="s">
        <v>353</v>
      </c>
      <c r="C948" t="s">
        <v>1597</v>
      </c>
      <c r="D948" s="14">
        <v>60</v>
      </c>
      <c r="E948" s="14">
        <v>60</v>
      </c>
      <c r="F948" s="1" t="s">
        <v>1643</v>
      </c>
      <c r="G948" t="s">
        <v>1</v>
      </c>
      <c r="H948" t="s">
        <v>1167</v>
      </c>
      <c r="I948" t="str">
        <f>IF(B948=IFERROR(VLOOKUP(B948,base!$L$1:$L$9,1,0),""),"Produtos",IF(B948=IFERROR(VLOOKUP(B948,base!$K$2:$K$8,1,0),""),"Serviços","Combos"))</f>
        <v>Combos</v>
      </c>
      <c r="J948">
        <f t="shared" si="20"/>
        <v>27</v>
      </c>
      <c r="K948" s="1">
        <f t="shared" si="21"/>
        <v>45738</v>
      </c>
      <c r="P948" s="1">
        <f t="shared" si="22"/>
        <v>45738</v>
      </c>
    </row>
    <row r="949" spans="1:16">
      <c r="A949" t="s">
        <v>536</v>
      </c>
      <c r="B949" t="s">
        <v>163</v>
      </c>
      <c r="C949" t="s">
        <v>1598</v>
      </c>
      <c r="D949" s="14">
        <v>35</v>
      </c>
      <c r="E949" s="14">
        <v>35</v>
      </c>
      <c r="F949" s="1" t="s">
        <v>1636</v>
      </c>
      <c r="G949" t="s">
        <v>354</v>
      </c>
      <c r="H949" t="s">
        <v>1599</v>
      </c>
      <c r="I949" t="str">
        <f>IF(B949=IFERROR(VLOOKUP(B949,base!$L$1:$L$9,1,0),""),"Produtos",IF(B949=IFERROR(VLOOKUP(B949,base!$K$2:$K$8,1,0),""),"Serviços","Combos"))</f>
        <v>Serviços</v>
      </c>
      <c r="J949">
        <f t="shared" ref="J949:J1012" si="23">IF(AND(I949="Serviços",E949&gt;0),ROUND(D949*45%,2),IF(I949="Produtos",ROUND(D949*40%,2),D949*45%))</f>
        <v>15.75</v>
      </c>
      <c r="K949" s="1">
        <f t="shared" ref="K949:K1012" si="24">DATEVALUE(F949)</f>
        <v>45738</v>
      </c>
      <c r="P949" s="1">
        <f t="shared" ref="P949:P1012" si="25">DATEVALUE(F949)</f>
        <v>45738</v>
      </c>
    </row>
    <row r="950" spans="1:16">
      <c r="A950" t="s">
        <v>536</v>
      </c>
      <c r="B950" t="s">
        <v>163</v>
      </c>
      <c r="C950" t="s">
        <v>1600</v>
      </c>
      <c r="D950" s="14">
        <v>35</v>
      </c>
      <c r="E950" s="14">
        <v>35</v>
      </c>
      <c r="F950" s="1" t="s">
        <v>1644</v>
      </c>
      <c r="G950" t="s">
        <v>2</v>
      </c>
      <c r="H950" t="s">
        <v>382</v>
      </c>
      <c r="I950" t="str">
        <f>IF(B950=IFERROR(VLOOKUP(B950,base!$L$1:$L$9,1,0),""),"Produtos",IF(B950=IFERROR(VLOOKUP(B950,base!$K$2:$K$8,1,0),""),"Serviços","Combos"))</f>
        <v>Serviços</v>
      </c>
      <c r="J950">
        <f t="shared" si="23"/>
        <v>15.75</v>
      </c>
      <c r="K950" s="1">
        <f t="shared" si="24"/>
        <v>45738</v>
      </c>
      <c r="P950" s="1">
        <f t="shared" si="25"/>
        <v>45738</v>
      </c>
    </row>
    <row r="951" spans="1:16">
      <c r="A951" t="s">
        <v>536</v>
      </c>
      <c r="B951" t="s">
        <v>163</v>
      </c>
      <c r="C951" t="s">
        <v>1601</v>
      </c>
      <c r="D951" s="14">
        <v>35</v>
      </c>
      <c r="E951" s="14">
        <v>35</v>
      </c>
      <c r="F951" s="1" t="s">
        <v>1645</v>
      </c>
      <c r="G951" t="s">
        <v>310</v>
      </c>
      <c r="H951" t="s">
        <v>1602</v>
      </c>
      <c r="I951" t="str">
        <f>IF(B951=IFERROR(VLOOKUP(B951,base!$L$1:$L$9,1,0),""),"Produtos",IF(B951=IFERROR(VLOOKUP(B951,base!$K$2:$K$8,1,0),""),"Serviços","Combos"))</f>
        <v>Serviços</v>
      </c>
      <c r="J951">
        <f t="shared" si="23"/>
        <v>15.75</v>
      </c>
      <c r="K951" s="1">
        <f t="shared" si="24"/>
        <v>45738</v>
      </c>
      <c r="P951" s="1">
        <f t="shared" si="25"/>
        <v>45738</v>
      </c>
    </row>
    <row r="952" spans="1:16">
      <c r="A952" t="s">
        <v>252</v>
      </c>
      <c r="B952" t="s">
        <v>163</v>
      </c>
      <c r="C952" t="s">
        <v>1646</v>
      </c>
      <c r="D952" s="14">
        <v>35</v>
      </c>
      <c r="E952" s="14">
        <v>35</v>
      </c>
      <c r="F952" s="1" t="s">
        <v>1647</v>
      </c>
      <c r="G952" t="s">
        <v>2</v>
      </c>
      <c r="H952" t="s">
        <v>303</v>
      </c>
      <c r="I952" t="str">
        <f>IF(B952=IFERROR(VLOOKUP(B952,base!$L$1:$L$9,1,0),""),"Produtos",IF(B952=IFERROR(VLOOKUP(B952,base!$K$2:$K$8,1,0),""),"Serviços","Combos"))</f>
        <v>Serviços</v>
      </c>
      <c r="J952">
        <f t="shared" si="23"/>
        <v>15.75</v>
      </c>
      <c r="K952" s="1">
        <f t="shared" si="24"/>
        <v>45745</v>
      </c>
      <c r="P952" s="1">
        <f t="shared" si="25"/>
        <v>45745</v>
      </c>
    </row>
    <row r="953" spans="1:16">
      <c r="A953" t="s">
        <v>252</v>
      </c>
      <c r="B953" t="s">
        <v>352</v>
      </c>
      <c r="C953" t="s">
        <v>1648</v>
      </c>
      <c r="D953" s="14">
        <v>20</v>
      </c>
      <c r="E953" s="14">
        <v>20</v>
      </c>
      <c r="F953" s="1" t="s">
        <v>1649</v>
      </c>
      <c r="G953" t="s">
        <v>310</v>
      </c>
      <c r="H953" t="s">
        <v>464</v>
      </c>
      <c r="I953" t="str">
        <f>IF(B953=IFERROR(VLOOKUP(B953,base!$L$1:$L$9,1,0),""),"Produtos",IF(B953=IFERROR(VLOOKUP(B953,base!$K$2:$K$8,1,0),""),"Serviços","Combos"))</f>
        <v>Combos</v>
      </c>
      <c r="J953">
        <f t="shared" si="23"/>
        <v>9</v>
      </c>
      <c r="K953" s="1">
        <f t="shared" si="24"/>
        <v>45740</v>
      </c>
      <c r="P953" s="1">
        <f t="shared" si="25"/>
        <v>45740</v>
      </c>
    </row>
    <row r="954" spans="1:16">
      <c r="A954" t="s">
        <v>252</v>
      </c>
      <c r="B954" t="s">
        <v>163</v>
      </c>
      <c r="C954" t="s">
        <v>1650</v>
      </c>
      <c r="D954" s="14">
        <v>35</v>
      </c>
      <c r="E954" s="14">
        <v>55</v>
      </c>
      <c r="F954" s="1" t="s">
        <v>1649</v>
      </c>
      <c r="G954" t="s">
        <v>1</v>
      </c>
      <c r="H954" t="s">
        <v>1651</v>
      </c>
      <c r="I954" t="str">
        <f>IF(B954=IFERROR(VLOOKUP(B954,base!$L$1:$L$9,1,0),""),"Produtos",IF(B954=IFERROR(VLOOKUP(B954,base!$K$2:$K$8,1,0),""),"Serviços","Combos"))</f>
        <v>Serviços</v>
      </c>
      <c r="J954">
        <f t="shared" si="23"/>
        <v>15.75</v>
      </c>
      <c r="K954" s="1">
        <f t="shared" si="24"/>
        <v>45740</v>
      </c>
      <c r="P954" s="1">
        <f t="shared" si="25"/>
        <v>45740</v>
      </c>
    </row>
    <row r="955" spans="1:16">
      <c r="A955" t="s">
        <v>252</v>
      </c>
      <c r="B955" t="s">
        <v>166</v>
      </c>
      <c r="C955" t="s">
        <v>1650</v>
      </c>
      <c r="D955" s="14">
        <v>20</v>
      </c>
      <c r="E955" t="s">
        <v>1604</v>
      </c>
      <c r="F955" s="1" t="s">
        <v>1649</v>
      </c>
      <c r="G955" t="s">
        <v>1</v>
      </c>
      <c r="H955" t="s">
        <v>1651</v>
      </c>
      <c r="I955" t="str">
        <f>IF(B955=IFERROR(VLOOKUP(B955,base!$L$1:$L$9,1,0),""),"Produtos",IF(B955=IFERROR(VLOOKUP(B955,base!$K$2:$K$8,1,0),""),"Serviços","Combos"))</f>
        <v>Serviços</v>
      </c>
      <c r="J955">
        <f t="shared" si="23"/>
        <v>9</v>
      </c>
      <c r="K955" s="1">
        <f t="shared" si="24"/>
        <v>45740</v>
      </c>
      <c r="P955" s="1">
        <f t="shared" si="25"/>
        <v>45740</v>
      </c>
    </row>
    <row r="956" spans="1:16">
      <c r="A956" t="s">
        <v>252</v>
      </c>
      <c r="B956" t="s">
        <v>163</v>
      </c>
      <c r="C956" t="s">
        <v>1652</v>
      </c>
      <c r="D956" s="14">
        <v>35</v>
      </c>
      <c r="E956" s="14">
        <v>35</v>
      </c>
      <c r="F956" s="1" t="s">
        <v>1653</v>
      </c>
      <c r="G956" t="s">
        <v>1</v>
      </c>
      <c r="H956" t="s">
        <v>1654</v>
      </c>
      <c r="I956" t="str">
        <f>IF(B956=IFERROR(VLOOKUP(B956,base!$L$1:$L$9,1,0),""),"Produtos",IF(B956=IFERROR(VLOOKUP(B956,base!$K$2:$K$8,1,0),""),"Serviços","Combos"))</f>
        <v>Serviços</v>
      </c>
      <c r="J956">
        <f t="shared" si="23"/>
        <v>15.75</v>
      </c>
      <c r="K956" s="1">
        <f t="shared" si="24"/>
        <v>45740</v>
      </c>
      <c r="P956" s="1">
        <f t="shared" si="25"/>
        <v>45740</v>
      </c>
    </row>
    <row r="957" spans="1:16">
      <c r="A957" t="s">
        <v>252</v>
      </c>
      <c r="B957" t="s">
        <v>163</v>
      </c>
      <c r="C957" t="s">
        <v>1655</v>
      </c>
      <c r="D957" s="14">
        <v>35</v>
      </c>
      <c r="E957" s="14">
        <v>35</v>
      </c>
      <c r="F957" s="1" t="s">
        <v>1656</v>
      </c>
      <c r="G957" t="s">
        <v>2</v>
      </c>
      <c r="H957" t="s">
        <v>1657</v>
      </c>
      <c r="I957" t="str">
        <f>IF(B957=IFERROR(VLOOKUP(B957,base!$L$1:$L$9,1,0),""),"Produtos",IF(B957=IFERROR(VLOOKUP(B957,base!$K$2:$K$8,1,0),""),"Serviços","Combos"))</f>
        <v>Serviços</v>
      </c>
      <c r="J957">
        <f t="shared" si="23"/>
        <v>15.75</v>
      </c>
      <c r="K957" s="1">
        <f t="shared" si="24"/>
        <v>45740</v>
      </c>
      <c r="P957" s="1">
        <f t="shared" si="25"/>
        <v>45740</v>
      </c>
    </row>
    <row r="958" spans="1:16">
      <c r="A958" t="s">
        <v>252</v>
      </c>
      <c r="B958" t="s">
        <v>353</v>
      </c>
      <c r="C958" t="s">
        <v>1658</v>
      </c>
      <c r="D958" s="14">
        <v>60</v>
      </c>
      <c r="E958" s="14">
        <v>60</v>
      </c>
      <c r="F958" s="1" t="s">
        <v>1659</v>
      </c>
      <c r="G958" t="s">
        <v>1</v>
      </c>
      <c r="H958" t="s">
        <v>363</v>
      </c>
      <c r="I958" t="str">
        <f>IF(B958=IFERROR(VLOOKUP(B958,base!$L$1:$L$9,1,0),""),"Produtos",IF(B958=IFERROR(VLOOKUP(B958,base!$K$2:$K$8,1,0),""),"Serviços","Combos"))</f>
        <v>Combos</v>
      </c>
      <c r="J958">
        <f t="shared" si="23"/>
        <v>27</v>
      </c>
      <c r="K958" s="1">
        <f t="shared" si="24"/>
        <v>45740</v>
      </c>
      <c r="P958" s="1">
        <f t="shared" si="25"/>
        <v>45740</v>
      </c>
    </row>
    <row r="959" spans="1:16">
      <c r="A959" t="s">
        <v>519</v>
      </c>
      <c r="B959" t="s">
        <v>163</v>
      </c>
      <c r="C959" t="s">
        <v>1660</v>
      </c>
      <c r="D959" s="14">
        <v>35</v>
      </c>
      <c r="E959" s="14">
        <v>35</v>
      </c>
      <c r="F959" s="1" t="s">
        <v>1661</v>
      </c>
      <c r="G959" t="s">
        <v>1</v>
      </c>
      <c r="H959" t="s">
        <v>11</v>
      </c>
      <c r="I959" t="str">
        <f>IF(B959=IFERROR(VLOOKUP(B959,base!$L$1:$L$9,1,0),""),"Produtos",IF(B959=IFERROR(VLOOKUP(B959,base!$K$2:$K$8,1,0),""),"Serviços","Combos"))</f>
        <v>Serviços</v>
      </c>
      <c r="J959">
        <f t="shared" si="23"/>
        <v>15.75</v>
      </c>
      <c r="K959" s="1">
        <f t="shared" si="24"/>
        <v>45741</v>
      </c>
      <c r="P959" s="1">
        <f t="shared" si="25"/>
        <v>45741</v>
      </c>
    </row>
    <row r="960" spans="1:16">
      <c r="A960" t="s">
        <v>252</v>
      </c>
      <c r="B960" t="s">
        <v>160</v>
      </c>
      <c r="C960" t="s">
        <v>1662</v>
      </c>
      <c r="D960" s="14">
        <v>12</v>
      </c>
      <c r="E960" s="14">
        <v>12</v>
      </c>
      <c r="F960" s="1" t="s">
        <v>1663</v>
      </c>
      <c r="G960" t="s">
        <v>1</v>
      </c>
      <c r="H960" t="s">
        <v>80</v>
      </c>
      <c r="I960" t="str">
        <f>IF(B960=IFERROR(VLOOKUP(B960,base!$L$1:$L$9,1,0),""),"Produtos",IF(B960=IFERROR(VLOOKUP(B960,base!$K$2:$K$8,1,0),""),"Serviços","Combos"))</f>
        <v>Serviços</v>
      </c>
      <c r="J960">
        <f t="shared" si="23"/>
        <v>5.4</v>
      </c>
      <c r="K960" s="1">
        <f t="shared" si="24"/>
        <v>45741</v>
      </c>
      <c r="P960" s="1">
        <f t="shared" si="25"/>
        <v>45741</v>
      </c>
    </row>
    <row r="961" spans="1:16">
      <c r="A961" t="s">
        <v>252</v>
      </c>
      <c r="B961" t="s">
        <v>163</v>
      </c>
      <c r="C961" t="s">
        <v>1664</v>
      </c>
      <c r="D961" s="14">
        <v>35</v>
      </c>
      <c r="E961" s="14">
        <v>35</v>
      </c>
      <c r="F961" s="1" t="s">
        <v>1665</v>
      </c>
      <c r="G961" t="s">
        <v>1</v>
      </c>
      <c r="H961" t="s">
        <v>499</v>
      </c>
      <c r="I961" t="str">
        <f>IF(B961=IFERROR(VLOOKUP(B961,base!$L$1:$L$9,1,0),""),"Produtos",IF(B961=IFERROR(VLOOKUP(B961,base!$K$2:$K$8,1,0),""),"Serviços","Combos"))</f>
        <v>Serviços</v>
      </c>
      <c r="J961">
        <f t="shared" si="23"/>
        <v>15.75</v>
      </c>
      <c r="K961" s="1">
        <f t="shared" si="24"/>
        <v>45741</v>
      </c>
      <c r="P961" s="1">
        <f t="shared" si="25"/>
        <v>45741</v>
      </c>
    </row>
    <row r="962" spans="1:16">
      <c r="A962" t="s">
        <v>519</v>
      </c>
      <c r="B962" t="s">
        <v>353</v>
      </c>
      <c r="C962" t="s">
        <v>1666</v>
      </c>
      <c r="D962" s="14">
        <v>50</v>
      </c>
      <c r="E962" s="14">
        <v>50</v>
      </c>
      <c r="F962" s="1" t="s">
        <v>1667</v>
      </c>
      <c r="G962" t="s">
        <v>2</v>
      </c>
      <c r="H962" t="s">
        <v>278</v>
      </c>
      <c r="I962" t="str">
        <f>IF(B962=IFERROR(VLOOKUP(B962,base!$L$1:$L$9,1,0),""),"Produtos",IF(B962=IFERROR(VLOOKUP(B962,base!$K$2:$K$8,1,0),""),"Serviços","Combos"))</f>
        <v>Combos</v>
      </c>
      <c r="J962">
        <f t="shared" si="23"/>
        <v>22.5</v>
      </c>
      <c r="K962" s="1">
        <f t="shared" si="24"/>
        <v>45741</v>
      </c>
      <c r="P962" s="1">
        <f t="shared" si="25"/>
        <v>45741</v>
      </c>
    </row>
    <row r="963" spans="1:16">
      <c r="A963" t="s">
        <v>252</v>
      </c>
      <c r="B963" t="s">
        <v>163</v>
      </c>
      <c r="C963" t="s">
        <v>1668</v>
      </c>
      <c r="D963" s="14">
        <v>35</v>
      </c>
      <c r="E963" s="14">
        <v>35</v>
      </c>
      <c r="F963" s="1" t="s">
        <v>1669</v>
      </c>
      <c r="G963" t="s">
        <v>1</v>
      </c>
      <c r="H963" t="s">
        <v>189</v>
      </c>
      <c r="I963" t="str">
        <f>IF(B963=IFERROR(VLOOKUP(B963,base!$L$1:$L$9,1,0),""),"Produtos",IF(B963=IFERROR(VLOOKUP(B963,base!$K$2:$K$8,1,0),""),"Serviços","Combos"))</f>
        <v>Serviços</v>
      </c>
      <c r="J963">
        <f t="shared" si="23"/>
        <v>15.75</v>
      </c>
      <c r="K963" s="1">
        <f t="shared" si="24"/>
        <v>45741</v>
      </c>
      <c r="P963" s="1">
        <f t="shared" si="25"/>
        <v>45741</v>
      </c>
    </row>
    <row r="964" spans="1:16">
      <c r="A964" t="s">
        <v>536</v>
      </c>
      <c r="B964" t="s">
        <v>163</v>
      </c>
      <c r="C964" t="s">
        <v>1670</v>
      </c>
      <c r="D964" s="14">
        <v>35</v>
      </c>
      <c r="E964" s="14">
        <v>35</v>
      </c>
      <c r="F964" s="1" t="s">
        <v>1671</v>
      </c>
      <c r="G964" t="s">
        <v>1</v>
      </c>
      <c r="H964" t="s">
        <v>1672</v>
      </c>
      <c r="I964" t="str">
        <f>IF(B964=IFERROR(VLOOKUP(B964,base!$L$1:$L$9,1,0),""),"Produtos",IF(B964=IFERROR(VLOOKUP(B964,base!$K$2:$K$8,1,0),""),"Serviços","Combos"))</f>
        <v>Serviços</v>
      </c>
      <c r="J964">
        <f t="shared" si="23"/>
        <v>15.75</v>
      </c>
      <c r="K964" s="1">
        <f t="shared" si="24"/>
        <v>45741</v>
      </c>
      <c r="P964" s="1">
        <f t="shared" si="25"/>
        <v>45741</v>
      </c>
    </row>
    <row r="965" spans="1:16">
      <c r="A965" t="s">
        <v>536</v>
      </c>
      <c r="B965" t="s">
        <v>163</v>
      </c>
      <c r="C965" t="s">
        <v>1673</v>
      </c>
      <c r="D965" s="14">
        <v>35</v>
      </c>
      <c r="E965" s="14">
        <v>35</v>
      </c>
      <c r="F965" s="1" t="s">
        <v>1671</v>
      </c>
      <c r="G965" t="s">
        <v>354</v>
      </c>
      <c r="H965" t="s">
        <v>1674</v>
      </c>
      <c r="I965" t="str">
        <f>IF(B965=IFERROR(VLOOKUP(B965,base!$L$1:$L$9,1,0),""),"Produtos",IF(B965=IFERROR(VLOOKUP(B965,base!$K$2:$K$8,1,0),""),"Serviços","Combos"))</f>
        <v>Serviços</v>
      </c>
      <c r="J965">
        <f t="shared" si="23"/>
        <v>15.75</v>
      </c>
      <c r="K965" s="1">
        <f t="shared" si="24"/>
        <v>45741</v>
      </c>
      <c r="P965" s="1">
        <f t="shared" si="25"/>
        <v>45741</v>
      </c>
    </row>
    <row r="966" spans="1:16">
      <c r="A966" t="s">
        <v>252</v>
      </c>
      <c r="B966" t="s">
        <v>163</v>
      </c>
      <c r="C966" t="s">
        <v>1675</v>
      </c>
      <c r="D966" s="14">
        <v>20</v>
      </c>
      <c r="E966" s="14">
        <v>22.5</v>
      </c>
      <c r="F966" s="1" t="s">
        <v>1676</v>
      </c>
      <c r="G966" t="s">
        <v>2</v>
      </c>
      <c r="H966" t="s">
        <v>796</v>
      </c>
      <c r="I966" t="str">
        <f>IF(B966=IFERROR(VLOOKUP(B966,base!$L$1:$L$9,1,0),""),"Produtos",IF(B966=IFERROR(VLOOKUP(B966,base!$K$2:$K$8,1,0),""),"Serviços","Combos"))</f>
        <v>Serviços</v>
      </c>
      <c r="J966">
        <f t="shared" si="23"/>
        <v>9</v>
      </c>
      <c r="K966" s="1">
        <f t="shared" si="24"/>
        <v>45741</v>
      </c>
      <c r="P966" s="1">
        <f t="shared" si="25"/>
        <v>45741</v>
      </c>
    </row>
    <row r="967" spans="1:16">
      <c r="A967" t="s">
        <v>252</v>
      </c>
      <c r="B967" t="s">
        <v>910</v>
      </c>
      <c r="C967" t="s">
        <v>1675</v>
      </c>
      <c r="D967" s="14">
        <v>2.5</v>
      </c>
      <c r="E967" t="s">
        <v>1604</v>
      </c>
      <c r="F967" s="1" t="s">
        <v>1676</v>
      </c>
      <c r="G967" t="s">
        <v>2</v>
      </c>
      <c r="H967" t="s">
        <v>796</v>
      </c>
      <c r="I967" t="str">
        <f>IF(B967=IFERROR(VLOOKUP(B967,base!$L$1:$L$9,1,0),""),"Produtos",IF(B967=IFERROR(VLOOKUP(B967,base!$K$2:$K$8,1,0),""),"Serviços","Combos"))</f>
        <v>Combos</v>
      </c>
      <c r="J967">
        <f t="shared" si="23"/>
        <v>1.125</v>
      </c>
      <c r="K967" s="1">
        <f t="shared" si="24"/>
        <v>45741</v>
      </c>
      <c r="P967" s="1">
        <f t="shared" si="25"/>
        <v>45741</v>
      </c>
    </row>
    <row r="968" spans="1:16">
      <c r="A968" t="s">
        <v>252</v>
      </c>
      <c r="B968" t="s">
        <v>353</v>
      </c>
      <c r="C968" t="s">
        <v>1677</v>
      </c>
      <c r="D968" s="14">
        <v>60</v>
      </c>
      <c r="E968" s="14">
        <v>60</v>
      </c>
      <c r="F968" s="1" t="s">
        <v>1678</v>
      </c>
      <c r="G968" t="s">
        <v>1</v>
      </c>
      <c r="H968" t="s">
        <v>1679</v>
      </c>
      <c r="I968" t="str">
        <f>IF(B968=IFERROR(VLOOKUP(B968,base!$L$1:$L$9,1,0),""),"Produtos",IF(B968=IFERROR(VLOOKUP(B968,base!$K$2:$K$8,1,0),""),"Serviços","Combos"))</f>
        <v>Combos</v>
      </c>
      <c r="J968">
        <f t="shared" si="23"/>
        <v>27</v>
      </c>
      <c r="K968" s="1">
        <f t="shared" si="24"/>
        <v>45741</v>
      </c>
      <c r="P968" s="1">
        <f t="shared" si="25"/>
        <v>45741</v>
      </c>
    </row>
    <row r="969" spans="1:16">
      <c r="A969" t="s">
        <v>519</v>
      </c>
      <c r="B969" t="s">
        <v>163</v>
      </c>
      <c r="C969" t="s">
        <v>1680</v>
      </c>
      <c r="D969" s="14">
        <v>35</v>
      </c>
      <c r="E969" s="14">
        <v>45</v>
      </c>
      <c r="F969" s="1" t="s">
        <v>1681</v>
      </c>
      <c r="G969" t="s">
        <v>1</v>
      </c>
      <c r="H969" t="s">
        <v>134</v>
      </c>
      <c r="I969" t="str">
        <f>IF(B969=IFERROR(VLOOKUP(B969,base!$L$1:$L$9,1,0),""),"Produtos",IF(B969=IFERROR(VLOOKUP(B969,base!$K$2:$K$8,1,0),""),"Serviços","Combos"))</f>
        <v>Serviços</v>
      </c>
      <c r="J969">
        <f t="shared" si="23"/>
        <v>15.75</v>
      </c>
      <c r="K969" s="1">
        <f t="shared" si="24"/>
        <v>45742</v>
      </c>
      <c r="P969" s="1">
        <f t="shared" si="25"/>
        <v>45742</v>
      </c>
    </row>
    <row r="970" spans="1:16">
      <c r="A970" t="s">
        <v>519</v>
      </c>
      <c r="B970" t="s">
        <v>167</v>
      </c>
      <c r="C970" t="s">
        <v>1680</v>
      </c>
      <c r="D970" s="14">
        <v>10</v>
      </c>
      <c r="E970" t="s">
        <v>1604</v>
      </c>
      <c r="F970" s="1" t="s">
        <v>1681</v>
      </c>
      <c r="G970" t="s">
        <v>1</v>
      </c>
      <c r="H970" t="s">
        <v>134</v>
      </c>
      <c r="I970" t="str">
        <f>IF(B970=IFERROR(VLOOKUP(B970,base!$L$1:$L$9,1,0),""),"Produtos",IF(B970=IFERROR(VLOOKUP(B970,base!$K$2:$K$8,1,0),""),"Serviços","Combos"))</f>
        <v>Serviços</v>
      </c>
      <c r="J970">
        <f t="shared" si="23"/>
        <v>4.5</v>
      </c>
      <c r="K970" s="1">
        <f t="shared" si="24"/>
        <v>45742</v>
      </c>
      <c r="P970" s="1">
        <f t="shared" si="25"/>
        <v>45742</v>
      </c>
    </row>
    <row r="971" spans="1:16">
      <c r="A971" t="s">
        <v>252</v>
      </c>
      <c r="B971" t="s">
        <v>163</v>
      </c>
      <c r="C971" t="s">
        <v>1682</v>
      </c>
      <c r="D971" s="14">
        <v>35</v>
      </c>
      <c r="E971" s="14">
        <v>35</v>
      </c>
      <c r="F971" s="1" t="s">
        <v>1608</v>
      </c>
      <c r="G971" t="s">
        <v>1</v>
      </c>
      <c r="H971" t="s">
        <v>364</v>
      </c>
      <c r="I971" t="str">
        <f>IF(B971=IFERROR(VLOOKUP(B971,base!$L$1:$L$9,1,0),""),"Produtos",IF(B971=IFERROR(VLOOKUP(B971,base!$K$2:$K$8,1,0),""),"Serviços","Combos"))</f>
        <v>Serviços</v>
      </c>
      <c r="J971">
        <f t="shared" si="23"/>
        <v>15.75</v>
      </c>
      <c r="K971" s="1">
        <f t="shared" si="24"/>
        <v>45743</v>
      </c>
      <c r="P971" s="1">
        <f t="shared" si="25"/>
        <v>45743</v>
      </c>
    </row>
    <row r="972" spans="1:16">
      <c r="A972" t="s">
        <v>536</v>
      </c>
      <c r="B972" t="s">
        <v>163</v>
      </c>
      <c r="C972" t="s">
        <v>1683</v>
      </c>
      <c r="D972" s="14">
        <v>35</v>
      </c>
      <c r="E972" s="14">
        <v>35</v>
      </c>
      <c r="F972" s="1" t="s">
        <v>1684</v>
      </c>
      <c r="G972" t="s">
        <v>2</v>
      </c>
      <c r="H972" t="s">
        <v>188</v>
      </c>
      <c r="I972" t="str">
        <f>IF(B972=IFERROR(VLOOKUP(B972,base!$L$1:$L$9,1,0),""),"Produtos",IF(B972=IFERROR(VLOOKUP(B972,base!$K$2:$K$8,1,0),""),"Serviços","Combos"))</f>
        <v>Serviços</v>
      </c>
      <c r="J972">
        <f t="shared" si="23"/>
        <v>15.75</v>
      </c>
      <c r="K972" s="1">
        <f t="shared" si="24"/>
        <v>45742</v>
      </c>
      <c r="P972" s="1">
        <f t="shared" si="25"/>
        <v>45742</v>
      </c>
    </row>
    <row r="973" spans="1:16">
      <c r="A973" t="s">
        <v>536</v>
      </c>
      <c r="B973" t="s">
        <v>163</v>
      </c>
      <c r="C973" t="s">
        <v>1685</v>
      </c>
      <c r="D973" s="14">
        <v>35</v>
      </c>
      <c r="E973" s="14">
        <v>35</v>
      </c>
      <c r="F973" s="1" t="s">
        <v>1684</v>
      </c>
      <c r="G973" t="s">
        <v>1</v>
      </c>
      <c r="H973" t="s">
        <v>83</v>
      </c>
      <c r="I973" t="str">
        <f>IF(B973=IFERROR(VLOOKUP(B973,base!$L$1:$L$9,1,0),""),"Produtos",IF(B973=IFERROR(VLOOKUP(B973,base!$K$2:$K$8,1,0),""),"Serviços","Combos"))</f>
        <v>Serviços</v>
      </c>
      <c r="J973">
        <f t="shared" si="23"/>
        <v>15.75</v>
      </c>
      <c r="K973" s="1">
        <f t="shared" si="24"/>
        <v>45742</v>
      </c>
      <c r="P973" s="1">
        <f t="shared" si="25"/>
        <v>45742</v>
      </c>
    </row>
    <row r="974" spans="1:16">
      <c r="A974" t="s">
        <v>536</v>
      </c>
      <c r="B974" t="s">
        <v>163</v>
      </c>
      <c r="C974" t="s">
        <v>1686</v>
      </c>
      <c r="D974" s="14">
        <v>35</v>
      </c>
      <c r="E974" s="14">
        <v>45</v>
      </c>
      <c r="F974" s="1" t="s">
        <v>1687</v>
      </c>
      <c r="G974" t="s">
        <v>1</v>
      </c>
      <c r="H974" t="s">
        <v>1688</v>
      </c>
      <c r="I974" t="str">
        <f>IF(B974=IFERROR(VLOOKUP(B974,base!$L$1:$L$9,1,0),""),"Produtos",IF(B974=IFERROR(VLOOKUP(B974,base!$K$2:$K$8,1,0),""),"Serviços","Combos"))</f>
        <v>Serviços</v>
      </c>
      <c r="J974">
        <f t="shared" si="23"/>
        <v>15.75</v>
      </c>
      <c r="K974" s="1">
        <f t="shared" si="24"/>
        <v>45742</v>
      </c>
      <c r="P974" s="1">
        <f t="shared" si="25"/>
        <v>45742</v>
      </c>
    </row>
    <row r="975" spans="1:16">
      <c r="A975" t="s">
        <v>536</v>
      </c>
      <c r="B975" t="s">
        <v>167</v>
      </c>
      <c r="C975" t="s">
        <v>1686</v>
      </c>
      <c r="D975" s="14">
        <v>10</v>
      </c>
      <c r="E975" t="s">
        <v>1604</v>
      </c>
      <c r="F975" s="1" t="s">
        <v>1687</v>
      </c>
      <c r="G975" t="s">
        <v>1</v>
      </c>
      <c r="H975" t="s">
        <v>1688</v>
      </c>
      <c r="I975" t="str">
        <f>IF(B975=IFERROR(VLOOKUP(B975,base!$L$1:$L$9,1,0),""),"Produtos",IF(B975=IFERROR(VLOOKUP(B975,base!$K$2:$K$8,1,0),""),"Serviços","Combos"))</f>
        <v>Serviços</v>
      </c>
      <c r="J975">
        <f t="shared" si="23"/>
        <v>4.5</v>
      </c>
      <c r="K975" s="1">
        <f t="shared" si="24"/>
        <v>45742</v>
      </c>
      <c r="P975" s="1">
        <f t="shared" si="25"/>
        <v>45742</v>
      </c>
    </row>
    <row r="976" spans="1:16">
      <c r="A976" t="s">
        <v>519</v>
      </c>
      <c r="B976" t="s">
        <v>163</v>
      </c>
      <c r="C976" t="s">
        <v>1689</v>
      </c>
      <c r="D976" s="14">
        <v>35</v>
      </c>
      <c r="E976" s="14">
        <v>35</v>
      </c>
      <c r="F976" s="1" t="s">
        <v>1690</v>
      </c>
      <c r="G976" t="s">
        <v>354</v>
      </c>
      <c r="H976" t="s">
        <v>122</v>
      </c>
      <c r="I976" t="str">
        <f>IF(B976=IFERROR(VLOOKUP(B976,base!$L$1:$L$9,1,0),""),"Produtos",IF(B976=IFERROR(VLOOKUP(B976,base!$K$2:$K$8,1,0),""),"Serviços","Combos"))</f>
        <v>Serviços</v>
      </c>
      <c r="J976">
        <f t="shared" si="23"/>
        <v>15.75</v>
      </c>
      <c r="K976" s="1">
        <f t="shared" si="24"/>
        <v>45742</v>
      </c>
      <c r="P976" s="1">
        <f t="shared" si="25"/>
        <v>45742</v>
      </c>
    </row>
    <row r="977" spans="1:16">
      <c r="A977" t="s">
        <v>519</v>
      </c>
      <c r="B977" t="s">
        <v>163</v>
      </c>
      <c r="C977" t="s">
        <v>1691</v>
      </c>
      <c r="D977" s="14">
        <v>35</v>
      </c>
      <c r="E977" s="14">
        <v>0</v>
      </c>
      <c r="F977" s="1" t="s">
        <v>1692</v>
      </c>
      <c r="G977" t="s">
        <v>1</v>
      </c>
      <c r="H977" t="s">
        <v>482</v>
      </c>
      <c r="I977" t="str">
        <f>IF(B977=IFERROR(VLOOKUP(B977,base!$L$1:$L$9,1,0),""),"Produtos",IF(B977=IFERROR(VLOOKUP(B977,base!$K$2:$K$8,1,0),""),"Serviços","Combos"))</f>
        <v>Serviços</v>
      </c>
      <c r="J977">
        <f t="shared" si="23"/>
        <v>15.75</v>
      </c>
      <c r="K977" s="1">
        <f t="shared" si="24"/>
        <v>45742</v>
      </c>
      <c r="P977" s="1">
        <f t="shared" si="25"/>
        <v>45742</v>
      </c>
    </row>
    <row r="978" spans="1:16">
      <c r="A978" t="s">
        <v>519</v>
      </c>
      <c r="B978" t="s">
        <v>163</v>
      </c>
      <c r="C978" t="s">
        <v>1693</v>
      </c>
      <c r="D978" s="14">
        <v>35</v>
      </c>
      <c r="E978" s="14">
        <v>35</v>
      </c>
      <c r="F978" s="1" t="s">
        <v>1694</v>
      </c>
      <c r="G978" t="s">
        <v>354</v>
      </c>
      <c r="H978" t="s">
        <v>1695</v>
      </c>
      <c r="I978" t="str">
        <f>IF(B978=IFERROR(VLOOKUP(B978,base!$L$1:$L$9,1,0),""),"Produtos",IF(B978=IFERROR(VLOOKUP(B978,base!$K$2:$K$8,1,0),""),"Serviços","Combos"))</f>
        <v>Serviços</v>
      </c>
      <c r="J978">
        <f t="shared" si="23"/>
        <v>15.75</v>
      </c>
      <c r="K978" s="1">
        <f t="shared" si="24"/>
        <v>45742</v>
      </c>
      <c r="P978" s="1">
        <f t="shared" si="25"/>
        <v>45742</v>
      </c>
    </row>
    <row r="979" spans="1:16">
      <c r="A979" t="s">
        <v>536</v>
      </c>
      <c r="B979" t="s">
        <v>163</v>
      </c>
      <c r="C979" t="s">
        <v>1696</v>
      </c>
      <c r="D979" s="14">
        <v>35</v>
      </c>
      <c r="E979" s="14">
        <v>75</v>
      </c>
      <c r="F979" s="1" t="s">
        <v>1697</v>
      </c>
      <c r="G979" t="s">
        <v>1</v>
      </c>
      <c r="H979" t="s">
        <v>1499</v>
      </c>
      <c r="I979" t="str">
        <f>IF(B979=IFERROR(VLOOKUP(B979,base!$L$1:$L$9,1,0),""),"Produtos",IF(B979=IFERROR(VLOOKUP(B979,base!$K$2:$K$8,1,0),""),"Serviços","Combos"))</f>
        <v>Serviços</v>
      </c>
      <c r="J979">
        <f t="shared" si="23"/>
        <v>15.75</v>
      </c>
      <c r="K979" s="1">
        <f t="shared" si="24"/>
        <v>45742</v>
      </c>
      <c r="P979" s="1">
        <f t="shared" si="25"/>
        <v>45742</v>
      </c>
    </row>
    <row r="980" spans="1:16">
      <c r="A980" t="s">
        <v>536</v>
      </c>
      <c r="B980" t="s">
        <v>1187</v>
      </c>
      <c r="C980" t="s">
        <v>1696</v>
      </c>
      <c r="D980" s="14">
        <v>15</v>
      </c>
      <c r="E980" t="s">
        <v>1604</v>
      </c>
      <c r="F980" s="1" t="s">
        <v>1697</v>
      </c>
      <c r="G980" t="s">
        <v>1</v>
      </c>
      <c r="H980" t="s">
        <v>1499</v>
      </c>
      <c r="I980" t="str">
        <f>IF(B980=IFERROR(VLOOKUP(B980,base!$L$1:$L$9,1,0),""),"Produtos",IF(B980=IFERROR(VLOOKUP(B980,base!$K$2:$K$8,1,0),""),"Serviços","Combos"))</f>
        <v>Combos</v>
      </c>
      <c r="J980">
        <f t="shared" si="23"/>
        <v>6.75</v>
      </c>
      <c r="K980" s="1">
        <f t="shared" si="24"/>
        <v>45742</v>
      </c>
      <c r="P980" s="1">
        <f t="shared" si="25"/>
        <v>45742</v>
      </c>
    </row>
    <row r="981" spans="1:16">
      <c r="A981" t="s">
        <v>536</v>
      </c>
      <c r="B981" t="s">
        <v>508</v>
      </c>
      <c r="C981" t="s">
        <v>1696</v>
      </c>
      <c r="D981" s="14">
        <v>25</v>
      </c>
      <c r="E981" t="s">
        <v>1604</v>
      </c>
      <c r="F981" s="1" t="s">
        <v>1697</v>
      </c>
      <c r="G981" t="s">
        <v>1</v>
      </c>
      <c r="H981" t="s">
        <v>1499</v>
      </c>
      <c r="I981" t="str">
        <f>IF(B981=IFERROR(VLOOKUP(B981,base!$L$1:$L$9,1,0),""),"Produtos",IF(B981=IFERROR(VLOOKUP(B981,base!$K$2:$K$8,1,0),""),"Serviços","Combos"))</f>
        <v>Produtos</v>
      </c>
      <c r="J981">
        <f t="shared" si="23"/>
        <v>10</v>
      </c>
      <c r="K981" s="1">
        <f t="shared" si="24"/>
        <v>45742</v>
      </c>
      <c r="P981" s="1">
        <f t="shared" si="25"/>
        <v>45742</v>
      </c>
    </row>
    <row r="982" spans="1:16">
      <c r="A982" t="s">
        <v>252</v>
      </c>
      <c r="B982" t="s">
        <v>163</v>
      </c>
      <c r="C982" t="s">
        <v>1698</v>
      </c>
      <c r="D982" s="14">
        <v>35</v>
      </c>
      <c r="E982" s="14">
        <v>50</v>
      </c>
      <c r="F982" s="1" t="s">
        <v>1699</v>
      </c>
      <c r="G982" t="s">
        <v>2</v>
      </c>
      <c r="H982" t="s">
        <v>869</v>
      </c>
      <c r="I982" t="str">
        <f>IF(B982=IFERROR(VLOOKUP(B982,base!$L$1:$L$9,1,0),""),"Produtos",IF(B982=IFERROR(VLOOKUP(B982,base!$K$2:$K$8,1,0),""),"Serviços","Combos"))</f>
        <v>Serviços</v>
      </c>
      <c r="J982">
        <f t="shared" si="23"/>
        <v>15.75</v>
      </c>
      <c r="K982" s="1">
        <f t="shared" si="24"/>
        <v>45743</v>
      </c>
      <c r="P982" s="1">
        <f t="shared" si="25"/>
        <v>45743</v>
      </c>
    </row>
    <row r="983" spans="1:16">
      <c r="A983" t="s">
        <v>252</v>
      </c>
      <c r="B983" t="s">
        <v>1446</v>
      </c>
      <c r="C983" t="s">
        <v>1698</v>
      </c>
      <c r="D983" s="14">
        <v>15</v>
      </c>
      <c r="E983" t="s">
        <v>1604</v>
      </c>
      <c r="F983" s="1" t="s">
        <v>1699</v>
      </c>
      <c r="G983" t="s">
        <v>2</v>
      </c>
      <c r="H983" t="s">
        <v>869</v>
      </c>
      <c r="I983" t="str">
        <f>IF(B983=IFERROR(VLOOKUP(B983,base!$L$1:$L$9,1,0),""),"Produtos",IF(B983=IFERROR(VLOOKUP(B983,base!$K$2:$K$8,1,0),""),"Serviços","Combos"))</f>
        <v>Combos</v>
      </c>
      <c r="J983">
        <f t="shared" si="23"/>
        <v>6.75</v>
      </c>
      <c r="K983" s="1">
        <f t="shared" si="24"/>
        <v>45743</v>
      </c>
      <c r="P983" s="1">
        <f t="shared" si="25"/>
        <v>45743</v>
      </c>
    </row>
    <row r="984" spans="1:16">
      <c r="A984" t="s">
        <v>519</v>
      </c>
      <c r="B984" t="s">
        <v>353</v>
      </c>
      <c r="C984" t="s">
        <v>1700</v>
      </c>
      <c r="D984" s="14">
        <v>60</v>
      </c>
      <c r="E984" s="14">
        <v>60</v>
      </c>
      <c r="F984" s="1" t="s">
        <v>1701</v>
      </c>
      <c r="G984" t="s">
        <v>310</v>
      </c>
      <c r="H984" t="s">
        <v>1702</v>
      </c>
      <c r="I984" t="str">
        <f>IF(B984=IFERROR(VLOOKUP(B984,base!$L$1:$L$9,1,0),""),"Produtos",IF(B984=IFERROR(VLOOKUP(B984,base!$K$2:$K$8,1,0),""),"Serviços","Combos"))</f>
        <v>Combos</v>
      </c>
      <c r="J984">
        <f t="shared" si="23"/>
        <v>27</v>
      </c>
      <c r="K984" s="1">
        <f t="shared" si="24"/>
        <v>45742</v>
      </c>
      <c r="P984" s="1">
        <f t="shared" si="25"/>
        <v>45742</v>
      </c>
    </row>
    <row r="985" spans="1:16">
      <c r="A985" t="s">
        <v>536</v>
      </c>
      <c r="B985" t="s">
        <v>353</v>
      </c>
      <c r="C985" t="s">
        <v>1703</v>
      </c>
      <c r="D985" s="14">
        <v>55</v>
      </c>
      <c r="E985" s="14">
        <v>55</v>
      </c>
      <c r="F985" s="1" t="s">
        <v>1704</v>
      </c>
      <c r="G985" t="s">
        <v>1</v>
      </c>
      <c r="H985" t="s">
        <v>285</v>
      </c>
      <c r="I985" t="str">
        <f>IF(B985=IFERROR(VLOOKUP(B985,base!$L$1:$L$9,1,0),""),"Produtos",IF(B985=IFERROR(VLOOKUP(B985,base!$K$2:$K$8,1,0),""),"Serviços","Combos"))</f>
        <v>Combos</v>
      </c>
      <c r="J985">
        <f t="shared" si="23"/>
        <v>24.75</v>
      </c>
      <c r="K985" s="1">
        <f t="shared" si="24"/>
        <v>45742</v>
      </c>
      <c r="P985" s="1">
        <f t="shared" si="25"/>
        <v>45742</v>
      </c>
    </row>
    <row r="986" spans="1:16">
      <c r="A986" t="s">
        <v>519</v>
      </c>
      <c r="B986" t="s">
        <v>163</v>
      </c>
      <c r="C986" t="s">
        <v>1705</v>
      </c>
      <c r="D986" s="14">
        <v>35</v>
      </c>
      <c r="E986" s="14">
        <v>35</v>
      </c>
      <c r="F986" s="1" t="s">
        <v>1706</v>
      </c>
      <c r="G986" t="s">
        <v>1</v>
      </c>
      <c r="H986" t="s">
        <v>500</v>
      </c>
      <c r="I986" t="str">
        <f>IF(B986=IFERROR(VLOOKUP(B986,base!$L$1:$L$9,1,0),""),"Produtos",IF(B986=IFERROR(VLOOKUP(B986,base!$K$2:$K$8,1,0),""),"Serviços","Combos"))</f>
        <v>Serviços</v>
      </c>
      <c r="J986">
        <f t="shared" si="23"/>
        <v>15.75</v>
      </c>
      <c r="K986" s="1">
        <f t="shared" si="24"/>
        <v>45742</v>
      </c>
      <c r="P986" s="1">
        <f t="shared" si="25"/>
        <v>45742</v>
      </c>
    </row>
    <row r="987" spans="1:16">
      <c r="A987" t="s">
        <v>519</v>
      </c>
      <c r="B987" t="s">
        <v>163</v>
      </c>
      <c r="C987" t="s">
        <v>1707</v>
      </c>
      <c r="D987" s="14">
        <v>35</v>
      </c>
      <c r="E987" s="14">
        <v>35</v>
      </c>
      <c r="F987" s="1" t="s">
        <v>1708</v>
      </c>
      <c r="G987" t="s">
        <v>1</v>
      </c>
      <c r="H987" t="s">
        <v>1083</v>
      </c>
      <c r="I987" t="str">
        <f>IF(B987=IFERROR(VLOOKUP(B987,base!$L$1:$L$9,1,0),""),"Produtos",IF(B987=IFERROR(VLOOKUP(B987,base!$K$2:$K$8,1,0),""),"Serviços","Combos"))</f>
        <v>Serviços</v>
      </c>
      <c r="J987">
        <f t="shared" si="23"/>
        <v>15.75</v>
      </c>
      <c r="K987" s="1">
        <f t="shared" si="24"/>
        <v>45742</v>
      </c>
      <c r="P987" s="1">
        <f t="shared" si="25"/>
        <v>45742</v>
      </c>
    </row>
    <row r="988" spans="1:16">
      <c r="A988" t="s">
        <v>536</v>
      </c>
      <c r="B988" t="s">
        <v>163</v>
      </c>
      <c r="C988" t="s">
        <v>1709</v>
      </c>
      <c r="D988" s="14">
        <v>35</v>
      </c>
      <c r="E988" s="14">
        <v>35</v>
      </c>
      <c r="F988" s="1" t="s">
        <v>1708</v>
      </c>
      <c r="G988" t="s">
        <v>1</v>
      </c>
      <c r="H988" t="s">
        <v>116</v>
      </c>
      <c r="I988" t="str">
        <f>IF(B988=IFERROR(VLOOKUP(B988,base!$L$1:$L$9,1,0),""),"Produtos",IF(B988=IFERROR(VLOOKUP(B988,base!$K$2:$K$8,1,0),""),"Serviços","Combos"))</f>
        <v>Serviços</v>
      </c>
      <c r="J988">
        <f t="shared" si="23"/>
        <v>15.75</v>
      </c>
      <c r="K988" s="1">
        <f t="shared" si="24"/>
        <v>45742</v>
      </c>
      <c r="P988" s="1">
        <f t="shared" si="25"/>
        <v>45742</v>
      </c>
    </row>
    <row r="989" spans="1:16">
      <c r="A989" t="s">
        <v>536</v>
      </c>
      <c r="B989" t="s">
        <v>163</v>
      </c>
      <c r="C989" t="s">
        <v>1710</v>
      </c>
      <c r="D989" s="14">
        <v>35</v>
      </c>
      <c r="E989" s="14">
        <v>35</v>
      </c>
      <c r="F989" s="1" t="s">
        <v>1711</v>
      </c>
      <c r="G989" t="s">
        <v>1</v>
      </c>
      <c r="H989" t="s">
        <v>1712</v>
      </c>
      <c r="I989" t="str">
        <f>IF(B989=IFERROR(VLOOKUP(B989,base!$L$1:$L$9,1,0),""),"Produtos",IF(B989=IFERROR(VLOOKUP(B989,base!$K$2:$K$8,1,0),""),"Serviços","Combos"))</f>
        <v>Serviços</v>
      </c>
      <c r="J989">
        <f t="shared" si="23"/>
        <v>15.75</v>
      </c>
      <c r="K989" s="1">
        <f t="shared" si="24"/>
        <v>45743</v>
      </c>
      <c r="P989" s="1">
        <f t="shared" si="25"/>
        <v>45743</v>
      </c>
    </row>
    <row r="990" spans="1:16">
      <c r="A990" t="s">
        <v>519</v>
      </c>
      <c r="B990" t="s">
        <v>163</v>
      </c>
      <c r="C990" t="s">
        <v>1713</v>
      </c>
      <c r="D990" s="14">
        <v>35</v>
      </c>
      <c r="E990" s="14">
        <v>45</v>
      </c>
      <c r="F990" s="1" t="s">
        <v>1711</v>
      </c>
      <c r="G990" t="s">
        <v>1</v>
      </c>
      <c r="H990" t="s">
        <v>467</v>
      </c>
      <c r="I990" t="str">
        <f>IF(B990=IFERROR(VLOOKUP(B990,base!$L$1:$L$9,1,0),""),"Produtos",IF(B990=IFERROR(VLOOKUP(B990,base!$K$2:$K$8,1,0),""),"Serviços","Combos"))</f>
        <v>Serviços</v>
      </c>
      <c r="J990">
        <f t="shared" si="23"/>
        <v>15.75</v>
      </c>
      <c r="K990" s="1">
        <f t="shared" si="24"/>
        <v>45743</v>
      </c>
      <c r="P990" s="1">
        <f t="shared" si="25"/>
        <v>45743</v>
      </c>
    </row>
    <row r="991" spans="1:16">
      <c r="A991" t="s">
        <v>519</v>
      </c>
      <c r="B991" t="s">
        <v>167</v>
      </c>
      <c r="C991" t="s">
        <v>1713</v>
      </c>
      <c r="D991" s="14">
        <v>10</v>
      </c>
      <c r="E991" t="s">
        <v>1604</v>
      </c>
      <c r="F991" s="1" t="s">
        <v>1711</v>
      </c>
      <c r="G991" t="s">
        <v>1</v>
      </c>
      <c r="H991" t="s">
        <v>467</v>
      </c>
      <c r="I991" t="str">
        <f>IF(B991=IFERROR(VLOOKUP(B991,base!$L$1:$L$9,1,0),""),"Produtos",IF(B991=IFERROR(VLOOKUP(B991,base!$K$2:$K$8,1,0),""),"Serviços","Combos"))</f>
        <v>Serviços</v>
      </c>
      <c r="J991">
        <f t="shared" si="23"/>
        <v>4.5</v>
      </c>
      <c r="K991" s="1">
        <f t="shared" si="24"/>
        <v>45743</v>
      </c>
      <c r="P991" s="1">
        <f t="shared" si="25"/>
        <v>45743</v>
      </c>
    </row>
    <row r="992" spans="1:16">
      <c r="A992" t="s">
        <v>519</v>
      </c>
      <c r="B992" t="s">
        <v>163</v>
      </c>
      <c r="C992" t="s">
        <v>1714</v>
      </c>
      <c r="D992" s="14">
        <v>35</v>
      </c>
      <c r="E992" s="14">
        <v>35</v>
      </c>
      <c r="F992" s="1" t="s">
        <v>1715</v>
      </c>
      <c r="G992" t="s">
        <v>1</v>
      </c>
      <c r="H992" t="s">
        <v>1031</v>
      </c>
      <c r="I992" t="str">
        <f>IF(B992=IFERROR(VLOOKUP(B992,base!$L$1:$L$9,1,0),""),"Produtos",IF(B992=IFERROR(VLOOKUP(B992,base!$K$2:$K$8,1,0),""),"Serviços","Combos"))</f>
        <v>Serviços</v>
      </c>
      <c r="J992">
        <f t="shared" si="23"/>
        <v>15.75</v>
      </c>
      <c r="K992" s="1">
        <f t="shared" si="24"/>
        <v>45743</v>
      </c>
      <c r="P992" s="1">
        <f t="shared" si="25"/>
        <v>45743</v>
      </c>
    </row>
    <row r="993" spans="1:16">
      <c r="A993" t="s">
        <v>252</v>
      </c>
      <c r="B993" t="s">
        <v>163</v>
      </c>
      <c r="C993" t="s">
        <v>1716</v>
      </c>
      <c r="D993" s="14">
        <v>35</v>
      </c>
      <c r="E993" s="14">
        <v>20</v>
      </c>
      <c r="F993" s="1" t="s">
        <v>1717</v>
      </c>
      <c r="G993" t="s">
        <v>1</v>
      </c>
      <c r="H993" t="s">
        <v>376</v>
      </c>
      <c r="I993" t="str">
        <f>IF(B993=IFERROR(VLOOKUP(B993,base!$L$1:$L$9,1,0),""),"Produtos",IF(B993=IFERROR(VLOOKUP(B993,base!$K$2:$K$8,1,0),""),"Serviços","Combos"))</f>
        <v>Serviços</v>
      </c>
      <c r="J993">
        <f t="shared" si="23"/>
        <v>15.75</v>
      </c>
      <c r="K993" s="1">
        <f t="shared" si="24"/>
        <v>45743</v>
      </c>
      <c r="P993" s="1">
        <f t="shared" si="25"/>
        <v>45743</v>
      </c>
    </row>
    <row r="994" spans="1:16">
      <c r="A994" t="s">
        <v>519</v>
      </c>
      <c r="B994" t="s">
        <v>163</v>
      </c>
      <c r="C994" t="s">
        <v>1718</v>
      </c>
      <c r="D994" s="14">
        <v>35</v>
      </c>
      <c r="E994" s="14">
        <v>35</v>
      </c>
      <c r="F994" s="1" t="s">
        <v>1719</v>
      </c>
      <c r="G994" t="s">
        <v>1</v>
      </c>
      <c r="H994" t="s">
        <v>1720</v>
      </c>
      <c r="I994" t="str">
        <f>IF(B994=IFERROR(VLOOKUP(B994,base!$L$1:$L$9,1,0),""),"Produtos",IF(B994=IFERROR(VLOOKUP(B994,base!$K$2:$K$8,1,0),""),"Serviços","Combos"))</f>
        <v>Serviços</v>
      </c>
      <c r="J994">
        <f t="shared" si="23"/>
        <v>15.75</v>
      </c>
      <c r="K994" s="1">
        <f t="shared" si="24"/>
        <v>45743</v>
      </c>
      <c r="P994" s="1">
        <f t="shared" si="25"/>
        <v>45743</v>
      </c>
    </row>
    <row r="995" spans="1:16">
      <c r="A995" t="s">
        <v>519</v>
      </c>
      <c r="B995" t="s">
        <v>1046</v>
      </c>
      <c r="C995" t="s">
        <v>1721</v>
      </c>
      <c r="D995" s="14">
        <v>15</v>
      </c>
      <c r="E995" s="14">
        <v>15</v>
      </c>
      <c r="F995" s="1" t="s">
        <v>1722</v>
      </c>
      <c r="G995" t="s">
        <v>1</v>
      </c>
      <c r="H995" t="s">
        <v>1371</v>
      </c>
      <c r="I995" t="str">
        <f>IF(B995=IFERROR(VLOOKUP(B995,base!$L$1:$L$9,1,0),""),"Produtos",IF(B995=IFERROR(VLOOKUP(B995,base!$K$2:$K$8,1,0),""),"Serviços","Combos"))</f>
        <v>Combos</v>
      </c>
      <c r="J995">
        <f t="shared" si="23"/>
        <v>6.75</v>
      </c>
      <c r="K995" s="1">
        <f t="shared" si="24"/>
        <v>45743</v>
      </c>
      <c r="P995" s="1">
        <f t="shared" si="25"/>
        <v>45743</v>
      </c>
    </row>
    <row r="996" spans="1:16">
      <c r="A996" t="s">
        <v>252</v>
      </c>
      <c r="B996" t="s">
        <v>163</v>
      </c>
      <c r="C996" t="s">
        <v>1723</v>
      </c>
      <c r="D996" s="14">
        <v>35</v>
      </c>
      <c r="E996" s="14">
        <v>45</v>
      </c>
      <c r="F996" s="1" t="s">
        <v>1724</v>
      </c>
      <c r="G996" t="s">
        <v>354</v>
      </c>
      <c r="H996" t="s">
        <v>1725</v>
      </c>
      <c r="I996" t="str">
        <f>IF(B996=IFERROR(VLOOKUP(B996,base!$L$1:$L$9,1,0),""),"Produtos",IF(B996=IFERROR(VLOOKUP(B996,base!$K$2:$K$8,1,0),""),"Serviços","Combos"))</f>
        <v>Serviços</v>
      </c>
      <c r="J996">
        <f t="shared" si="23"/>
        <v>15.75</v>
      </c>
      <c r="K996" s="1">
        <f t="shared" si="24"/>
        <v>45743</v>
      </c>
      <c r="P996" s="1">
        <f t="shared" si="25"/>
        <v>45743</v>
      </c>
    </row>
    <row r="997" spans="1:16">
      <c r="A997" t="s">
        <v>252</v>
      </c>
      <c r="B997" t="s">
        <v>167</v>
      </c>
      <c r="C997" t="s">
        <v>1723</v>
      </c>
      <c r="D997" s="14">
        <v>10</v>
      </c>
      <c r="E997" t="s">
        <v>1604</v>
      </c>
      <c r="F997" s="1" t="s">
        <v>1724</v>
      </c>
      <c r="G997" t="s">
        <v>354</v>
      </c>
      <c r="H997" t="s">
        <v>1725</v>
      </c>
      <c r="I997" t="str">
        <f>IF(B997=IFERROR(VLOOKUP(B997,base!$L$1:$L$9,1,0),""),"Produtos",IF(B997=IFERROR(VLOOKUP(B997,base!$K$2:$K$8,1,0),""),"Serviços","Combos"))</f>
        <v>Serviços</v>
      </c>
      <c r="J997">
        <f t="shared" si="23"/>
        <v>4.5</v>
      </c>
      <c r="K997" s="1">
        <f t="shared" si="24"/>
        <v>45743</v>
      </c>
      <c r="P997" s="1">
        <f t="shared" si="25"/>
        <v>45743</v>
      </c>
    </row>
    <row r="998" spans="1:16">
      <c r="A998" t="s">
        <v>519</v>
      </c>
      <c r="B998" t="s">
        <v>1046</v>
      </c>
      <c r="C998" t="s">
        <v>1726</v>
      </c>
      <c r="D998" s="14">
        <v>35</v>
      </c>
      <c r="E998" s="14">
        <v>35</v>
      </c>
      <c r="F998" s="1" t="s">
        <v>1727</v>
      </c>
      <c r="G998" t="s">
        <v>1</v>
      </c>
      <c r="H998" t="s">
        <v>290</v>
      </c>
      <c r="I998" t="str">
        <f>IF(B998=IFERROR(VLOOKUP(B998,base!$L$1:$L$9,1,0),""),"Produtos",IF(B998=IFERROR(VLOOKUP(B998,base!$K$2:$K$8,1,0),""),"Serviços","Combos"))</f>
        <v>Combos</v>
      </c>
      <c r="J998">
        <f t="shared" si="23"/>
        <v>15.75</v>
      </c>
      <c r="K998" s="1">
        <f t="shared" si="24"/>
        <v>45743</v>
      </c>
      <c r="P998" s="1">
        <f t="shared" si="25"/>
        <v>45743</v>
      </c>
    </row>
    <row r="999" spans="1:16">
      <c r="A999" t="s">
        <v>536</v>
      </c>
      <c r="B999" t="s">
        <v>353</v>
      </c>
      <c r="C999" t="s">
        <v>1728</v>
      </c>
      <c r="D999" s="14">
        <v>60</v>
      </c>
      <c r="E999" s="14">
        <v>60</v>
      </c>
      <c r="F999" s="1" t="s">
        <v>1699</v>
      </c>
      <c r="G999" t="s">
        <v>1</v>
      </c>
      <c r="H999" t="s">
        <v>1729</v>
      </c>
      <c r="I999" t="str">
        <f>IF(B999=IFERROR(VLOOKUP(B999,base!$L$1:$L$9,1,0),""),"Produtos",IF(B999=IFERROR(VLOOKUP(B999,base!$K$2:$K$8,1,0),""),"Serviços","Combos"))</f>
        <v>Combos</v>
      </c>
      <c r="J999">
        <f t="shared" si="23"/>
        <v>27</v>
      </c>
      <c r="K999" s="1">
        <f t="shared" si="24"/>
        <v>45743</v>
      </c>
      <c r="P999" s="1">
        <f t="shared" si="25"/>
        <v>45743</v>
      </c>
    </row>
    <row r="1000" spans="1:16">
      <c r="A1000" t="s">
        <v>519</v>
      </c>
      <c r="B1000" t="s">
        <v>163</v>
      </c>
      <c r="C1000" t="s">
        <v>1730</v>
      </c>
      <c r="D1000" s="14">
        <v>35</v>
      </c>
      <c r="E1000" s="14">
        <v>35</v>
      </c>
      <c r="F1000" s="1" t="s">
        <v>1731</v>
      </c>
      <c r="G1000" t="s">
        <v>2</v>
      </c>
      <c r="H1000" t="s">
        <v>71</v>
      </c>
      <c r="I1000" t="str">
        <f>IF(B1000=IFERROR(VLOOKUP(B1000,base!$L$1:$L$9,1,0),""),"Produtos",IF(B1000=IFERROR(VLOOKUP(B1000,base!$K$2:$K$8,1,0),""),"Serviços","Combos"))</f>
        <v>Serviços</v>
      </c>
      <c r="J1000">
        <f t="shared" si="23"/>
        <v>15.75</v>
      </c>
      <c r="K1000" s="1">
        <f t="shared" si="24"/>
        <v>45743</v>
      </c>
      <c r="P1000" s="1">
        <f t="shared" si="25"/>
        <v>45743</v>
      </c>
    </row>
    <row r="1001" spans="1:16">
      <c r="A1001" t="s">
        <v>519</v>
      </c>
      <c r="B1001" t="s">
        <v>472</v>
      </c>
      <c r="C1001" t="s">
        <v>1730</v>
      </c>
      <c r="D1001" s="14">
        <v>40</v>
      </c>
      <c r="E1001" t="s">
        <v>1604</v>
      </c>
      <c r="F1001" s="1" t="s">
        <v>1731</v>
      </c>
      <c r="G1001" t="s">
        <v>2</v>
      </c>
      <c r="H1001" t="s">
        <v>71</v>
      </c>
      <c r="I1001" t="str">
        <f>IF(B1001=IFERROR(VLOOKUP(B1001,base!$L$1:$L$9,1,0),""),"Produtos",IF(B1001=IFERROR(VLOOKUP(B1001,base!$K$2:$K$8,1,0),""),"Serviços","Combos"))</f>
        <v>Produtos</v>
      </c>
      <c r="J1001">
        <f t="shared" si="23"/>
        <v>16</v>
      </c>
      <c r="K1001" s="1">
        <f t="shared" si="24"/>
        <v>45743</v>
      </c>
      <c r="P1001" s="1">
        <f t="shared" si="25"/>
        <v>45743</v>
      </c>
    </row>
    <row r="1002" spans="1:16">
      <c r="A1002" t="s">
        <v>536</v>
      </c>
      <c r="B1002" t="s">
        <v>353</v>
      </c>
      <c r="C1002" t="s">
        <v>1732</v>
      </c>
      <c r="D1002" s="14">
        <v>60</v>
      </c>
      <c r="E1002" s="14">
        <v>60</v>
      </c>
      <c r="F1002" s="1" t="s">
        <v>1733</v>
      </c>
      <c r="G1002" t="s">
        <v>1</v>
      </c>
      <c r="H1002" t="s">
        <v>465</v>
      </c>
      <c r="I1002" t="str">
        <f>IF(B1002=IFERROR(VLOOKUP(B1002,base!$L$1:$L$9,1,0),""),"Produtos",IF(B1002=IFERROR(VLOOKUP(B1002,base!$K$2:$K$8,1,0),""),"Serviços","Combos"))</f>
        <v>Combos</v>
      </c>
      <c r="J1002">
        <f t="shared" si="23"/>
        <v>27</v>
      </c>
      <c r="K1002" s="1">
        <f t="shared" si="24"/>
        <v>45743</v>
      </c>
      <c r="P1002" s="1">
        <f t="shared" si="25"/>
        <v>45743</v>
      </c>
    </row>
    <row r="1003" spans="1:16">
      <c r="A1003" t="s">
        <v>519</v>
      </c>
      <c r="B1003" t="s">
        <v>163</v>
      </c>
      <c r="C1003" t="s">
        <v>1734</v>
      </c>
      <c r="D1003" s="14">
        <v>35</v>
      </c>
      <c r="E1003" s="14">
        <v>50</v>
      </c>
      <c r="F1003" s="1" t="s">
        <v>1735</v>
      </c>
      <c r="G1003" t="s">
        <v>1</v>
      </c>
      <c r="H1003" t="s">
        <v>12</v>
      </c>
      <c r="I1003" t="str">
        <f>IF(B1003=IFERROR(VLOOKUP(B1003,base!$L$1:$L$9,1,0),""),"Produtos",IF(B1003=IFERROR(VLOOKUP(B1003,base!$K$2:$K$8,1,0),""),"Serviços","Combos"))</f>
        <v>Serviços</v>
      </c>
      <c r="J1003">
        <f t="shared" si="23"/>
        <v>15.75</v>
      </c>
      <c r="K1003" s="1">
        <f t="shared" si="24"/>
        <v>45744</v>
      </c>
      <c r="P1003" s="1">
        <f t="shared" si="25"/>
        <v>45744</v>
      </c>
    </row>
    <row r="1004" spans="1:16">
      <c r="A1004" t="s">
        <v>519</v>
      </c>
      <c r="B1004" t="s">
        <v>167</v>
      </c>
      <c r="C1004" t="s">
        <v>1734</v>
      </c>
      <c r="D1004" s="14">
        <v>15</v>
      </c>
      <c r="E1004" t="s">
        <v>1604</v>
      </c>
      <c r="F1004" s="1" t="s">
        <v>1735</v>
      </c>
      <c r="G1004" t="s">
        <v>1</v>
      </c>
      <c r="H1004" t="s">
        <v>12</v>
      </c>
      <c r="I1004" t="str">
        <f>IF(B1004=IFERROR(VLOOKUP(B1004,base!$L$1:$L$9,1,0),""),"Produtos",IF(B1004=IFERROR(VLOOKUP(B1004,base!$K$2:$K$8,1,0),""),"Serviços","Combos"))</f>
        <v>Serviços</v>
      </c>
      <c r="J1004">
        <f t="shared" si="23"/>
        <v>6.75</v>
      </c>
      <c r="K1004" s="1">
        <f t="shared" si="24"/>
        <v>45744</v>
      </c>
      <c r="P1004" s="1">
        <f t="shared" si="25"/>
        <v>45744</v>
      </c>
    </row>
    <row r="1005" spans="1:16">
      <c r="A1005" t="s">
        <v>519</v>
      </c>
      <c r="B1005" t="s">
        <v>163</v>
      </c>
      <c r="C1005" t="s">
        <v>1736</v>
      </c>
      <c r="D1005" s="14">
        <v>35</v>
      </c>
      <c r="E1005" s="14">
        <v>35</v>
      </c>
      <c r="F1005" s="1" t="s">
        <v>1737</v>
      </c>
      <c r="G1005" t="s">
        <v>1</v>
      </c>
      <c r="H1005" t="s">
        <v>119</v>
      </c>
      <c r="I1005" t="str">
        <f>IF(B1005=IFERROR(VLOOKUP(B1005,base!$L$1:$L$9,1,0),""),"Produtos",IF(B1005=IFERROR(VLOOKUP(B1005,base!$K$2:$K$8,1,0),""),"Serviços","Combos"))</f>
        <v>Serviços</v>
      </c>
      <c r="J1005">
        <f t="shared" si="23"/>
        <v>15.75</v>
      </c>
      <c r="K1005" s="1">
        <f t="shared" si="24"/>
        <v>45743</v>
      </c>
      <c r="P1005" s="1">
        <f t="shared" si="25"/>
        <v>45743</v>
      </c>
    </row>
    <row r="1006" spans="1:16">
      <c r="A1006" t="s">
        <v>519</v>
      </c>
      <c r="B1006" t="s">
        <v>163</v>
      </c>
      <c r="C1006" t="s">
        <v>1738</v>
      </c>
      <c r="D1006" s="14">
        <v>35</v>
      </c>
      <c r="E1006" s="14">
        <v>35</v>
      </c>
      <c r="F1006" s="1" t="s">
        <v>1739</v>
      </c>
      <c r="G1006" t="s">
        <v>2</v>
      </c>
      <c r="H1006" t="s">
        <v>417</v>
      </c>
      <c r="I1006" t="str">
        <f>IF(B1006=IFERROR(VLOOKUP(B1006,base!$L$1:$L$9,1,0),""),"Produtos",IF(B1006=IFERROR(VLOOKUP(B1006,base!$K$2:$K$8,1,0),""),"Serviços","Combos"))</f>
        <v>Serviços</v>
      </c>
      <c r="J1006">
        <f t="shared" si="23"/>
        <v>15.75</v>
      </c>
      <c r="K1006" s="1">
        <f t="shared" si="24"/>
        <v>45743</v>
      </c>
      <c r="P1006" s="1">
        <f t="shared" si="25"/>
        <v>45743</v>
      </c>
    </row>
    <row r="1007" spans="1:16">
      <c r="A1007" t="s">
        <v>536</v>
      </c>
      <c r="B1007" t="s">
        <v>353</v>
      </c>
      <c r="C1007" t="s">
        <v>1740</v>
      </c>
      <c r="D1007" s="14">
        <v>60</v>
      </c>
      <c r="E1007" s="14">
        <v>60</v>
      </c>
      <c r="F1007" s="1" t="s">
        <v>1741</v>
      </c>
      <c r="G1007" t="s">
        <v>354</v>
      </c>
      <c r="H1007" t="s">
        <v>1328</v>
      </c>
      <c r="I1007" t="str">
        <f>IF(B1007=IFERROR(VLOOKUP(B1007,base!$L$1:$L$9,1,0),""),"Produtos",IF(B1007=IFERROR(VLOOKUP(B1007,base!$K$2:$K$8,1,0),""),"Serviços","Combos"))</f>
        <v>Combos</v>
      </c>
      <c r="J1007">
        <f t="shared" si="23"/>
        <v>27</v>
      </c>
      <c r="K1007" s="1">
        <f t="shared" si="24"/>
        <v>45743</v>
      </c>
      <c r="P1007" s="1">
        <f t="shared" si="25"/>
        <v>45743</v>
      </c>
    </row>
    <row r="1008" spans="1:16">
      <c r="A1008" t="s">
        <v>519</v>
      </c>
      <c r="B1008" t="s">
        <v>163</v>
      </c>
      <c r="C1008" t="s">
        <v>1742</v>
      </c>
      <c r="D1008" s="14">
        <v>35</v>
      </c>
      <c r="E1008" s="14">
        <v>50</v>
      </c>
      <c r="F1008" s="1" t="s">
        <v>1743</v>
      </c>
      <c r="G1008" t="s">
        <v>310</v>
      </c>
      <c r="H1008" t="s">
        <v>387</v>
      </c>
      <c r="I1008" t="str">
        <f>IF(B1008=IFERROR(VLOOKUP(B1008,base!$L$1:$L$9,1,0),""),"Produtos",IF(B1008=IFERROR(VLOOKUP(B1008,base!$K$2:$K$8,1,0),""),"Serviços","Combos"))</f>
        <v>Serviços</v>
      </c>
      <c r="J1008">
        <f t="shared" si="23"/>
        <v>15.75</v>
      </c>
      <c r="K1008" s="1">
        <f t="shared" si="24"/>
        <v>45744</v>
      </c>
      <c r="P1008" s="1">
        <f t="shared" si="25"/>
        <v>45744</v>
      </c>
    </row>
    <row r="1009" spans="1:16">
      <c r="A1009" t="s">
        <v>519</v>
      </c>
      <c r="B1009" t="s">
        <v>167</v>
      </c>
      <c r="C1009" t="s">
        <v>1742</v>
      </c>
      <c r="D1009" s="14">
        <v>15</v>
      </c>
      <c r="E1009" t="s">
        <v>1604</v>
      </c>
      <c r="F1009" s="1" t="s">
        <v>1743</v>
      </c>
      <c r="G1009" t="s">
        <v>310</v>
      </c>
      <c r="H1009" t="s">
        <v>387</v>
      </c>
      <c r="I1009" t="str">
        <f>IF(B1009=IFERROR(VLOOKUP(B1009,base!$L$1:$L$9,1,0),""),"Produtos",IF(B1009=IFERROR(VLOOKUP(B1009,base!$K$2:$K$8,1,0),""),"Serviços","Combos"))</f>
        <v>Serviços</v>
      </c>
      <c r="J1009">
        <f t="shared" si="23"/>
        <v>6.75</v>
      </c>
      <c r="K1009" s="1">
        <f t="shared" si="24"/>
        <v>45744</v>
      </c>
      <c r="P1009" s="1">
        <f t="shared" si="25"/>
        <v>45744</v>
      </c>
    </row>
    <row r="1010" spans="1:16">
      <c r="A1010" t="s">
        <v>519</v>
      </c>
      <c r="B1010" t="s">
        <v>163</v>
      </c>
      <c r="C1010" t="s">
        <v>1744</v>
      </c>
      <c r="D1010" s="14">
        <v>35</v>
      </c>
      <c r="E1010" s="14">
        <v>35</v>
      </c>
      <c r="F1010" s="1" t="s">
        <v>1745</v>
      </c>
      <c r="G1010" t="s">
        <v>1</v>
      </c>
      <c r="H1010" t="s">
        <v>1746</v>
      </c>
      <c r="I1010" t="str">
        <f>IF(B1010=IFERROR(VLOOKUP(B1010,base!$L$1:$L$9,1,0),""),"Produtos",IF(B1010=IFERROR(VLOOKUP(B1010,base!$K$2:$K$8,1,0),""),"Serviços","Combos"))</f>
        <v>Serviços</v>
      </c>
      <c r="J1010">
        <f t="shared" si="23"/>
        <v>15.75</v>
      </c>
      <c r="K1010" s="1">
        <f t="shared" si="24"/>
        <v>45743</v>
      </c>
      <c r="P1010" s="1">
        <f t="shared" si="25"/>
        <v>45743</v>
      </c>
    </row>
    <row r="1011" spans="1:16">
      <c r="A1011" t="s">
        <v>536</v>
      </c>
      <c r="B1011" t="s">
        <v>163</v>
      </c>
      <c r="C1011" t="s">
        <v>1747</v>
      </c>
      <c r="D1011" s="14">
        <v>35</v>
      </c>
      <c r="E1011" s="14">
        <v>35</v>
      </c>
      <c r="F1011" s="1" t="s">
        <v>1748</v>
      </c>
      <c r="G1011" t="s">
        <v>1</v>
      </c>
      <c r="H1011" t="s">
        <v>281</v>
      </c>
      <c r="I1011" t="str">
        <f>IF(B1011=IFERROR(VLOOKUP(B1011,base!$L$1:$L$9,1,0),""),"Produtos",IF(B1011=IFERROR(VLOOKUP(B1011,base!$K$2:$K$8,1,0),""),"Serviços","Combos"))</f>
        <v>Serviços</v>
      </c>
      <c r="J1011">
        <f t="shared" si="23"/>
        <v>15.75</v>
      </c>
      <c r="K1011" s="1">
        <f t="shared" si="24"/>
        <v>45743</v>
      </c>
      <c r="P1011" s="1">
        <f t="shared" si="25"/>
        <v>45743</v>
      </c>
    </row>
    <row r="1012" spans="1:16">
      <c r="A1012" t="s">
        <v>536</v>
      </c>
      <c r="B1012" t="s">
        <v>163</v>
      </c>
      <c r="C1012" t="s">
        <v>1749</v>
      </c>
      <c r="D1012" s="14">
        <v>30</v>
      </c>
      <c r="E1012" s="14">
        <v>30</v>
      </c>
      <c r="F1012" s="1" t="s">
        <v>1748</v>
      </c>
      <c r="G1012" t="s">
        <v>1</v>
      </c>
      <c r="H1012" t="s">
        <v>1348</v>
      </c>
      <c r="I1012" t="str">
        <f>IF(B1012=IFERROR(VLOOKUP(B1012,base!$L$1:$L$9,1,0),""),"Produtos",IF(B1012=IFERROR(VLOOKUP(B1012,base!$K$2:$K$8,1,0),""),"Serviços","Combos"))</f>
        <v>Serviços</v>
      </c>
      <c r="J1012">
        <f t="shared" si="23"/>
        <v>13.5</v>
      </c>
      <c r="K1012" s="1">
        <f t="shared" si="24"/>
        <v>45743</v>
      </c>
      <c r="P1012" s="1">
        <f t="shared" si="25"/>
        <v>45743</v>
      </c>
    </row>
    <row r="1013" spans="1:16">
      <c r="A1013" t="s">
        <v>519</v>
      </c>
      <c r="B1013" t="s">
        <v>163</v>
      </c>
      <c r="C1013" t="s">
        <v>1750</v>
      </c>
      <c r="D1013" s="14">
        <v>35</v>
      </c>
      <c r="E1013" s="14">
        <v>35</v>
      </c>
      <c r="F1013" s="1" t="s">
        <v>1751</v>
      </c>
      <c r="G1013" t="s">
        <v>1</v>
      </c>
      <c r="H1013" t="s">
        <v>20</v>
      </c>
      <c r="I1013" t="str">
        <f>IF(B1013=IFERROR(VLOOKUP(B1013,base!$L$1:$L$9,1,0),""),"Produtos",IF(B1013=IFERROR(VLOOKUP(B1013,base!$K$2:$K$8,1,0),""),"Serviços","Combos"))</f>
        <v>Serviços</v>
      </c>
      <c r="J1013">
        <f t="shared" ref="J1013:J1076" si="26">IF(AND(I1013="Serviços",E1013&gt;0),ROUND(D1013*45%,2),IF(I1013="Produtos",ROUND(D1013*40%,2),D1013*45%))</f>
        <v>15.75</v>
      </c>
      <c r="K1013" s="1">
        <f t="shared" ref="K1013:K1076" si="27">DATEVALUE(F1013)</f>
        <v>45744</v>
      </c>
      <c r="P1013" s="1">
        <f t="shared" ref="P1013:P1076" si="28">DATEVALUE(F1013)</f>
        <v>45744</v>
      </c>
    </row>
    <row r="1014" spans="1:16">
      <c r="A1014" t="s">
        <v>252</v>
      </c>
      <c r="B1014" t="s">
        <v>353</v>
      </c>
      <c r="C1014" t="s">
        <v>1752</v>
      </c>
      <c r="D1014" s="14">
        <v>60</v>
      </c>
      <c r="E1014" s="14">
        <v>60</v>
      </c>
      <c r="F1014" s="1" t="s">
        <v>1743</v>
      </c>
      <c r="G1014" t="s">
        <v>1</v>
      </c>
      <c r="H1014" t="s">
        <v>34</v>
      </c>
      <c r="I1014" t="str">
        <f>IF(B1014=IFERROR(VLOOKUP(B1014,base!$L$1:$L$9,1,0),""),"Produtos",IF(B1014=IFERROR(VLOOKUP(B1014,base!$K$2:$K$8,1,0),""),"Serviços","Combos"))</f>
        <v>Combos</v>
      </c>
      <c r="J1014">
        <f t="shared" si="26"/>
        <v>27</v>
      </c>
      <c r="K1014" s="1">
        <f t="shared" si="27"/>
        <v>45744</v>
      </c>
      <c r="P1014" s="1">
        <f t="shared" si="28"/>
        <v>45744</v>
      </c>
    </row>
    <row r="1015" spans="1:16">
      <c r="A1015" t="s">
        <v>519</v>
      </c>
      <c r="B1015" t="s">
        <v>163</v>
      </c>
      <c r="C1015" t="s">
        <v>1753</v>
      </c>
      <c r="D1015" s="14">
        <v>35</v>
      </c>
      <c r="E1015" s="14">
        <v>60</v>
      </c>
      <c r="F1015" s="1" t="s">
        <v>1754</v>
      </c>
      <c r="G1015" t="s">
        <v>1</v>
      </c>
      <c r="H1015" t="s">
        <v>490</v>
      </c>
      <c r="I1015" t="str">
        <f>IF(B1015=IFERROR(VLOOKUP(B1015,base!$L$1:$L$9,1,0),""),"Produtos",IF(B1015=IFERROR(VLOOKUP(B1015,base!$K$2:$K$8,1,0),""),"Serviços","Combos"))</f>
        <v>Serviços</v>
      </c>
      <c r="J1015">
        <f t="shared" si="26"/>
        <v>15.75</v>
      </c>
      <c r="K1015" s="1">
        <f t="shared" si="27"/>
        <v>45744</v>
      </c>
      <c r="P1015" s="1">
        <f t="shared" si="28"/>
        <v>45744</v>
      </c>
    </row>
    <row r="1016" spans="1:16">
      <c r="A1016" t="s">
        <v>519</v>
      </c>
      <c r="B1016" t="s">
        <v>1046</v>
      </c>
      <c r="C1016" t="s">
        <v>1753</v>
      </c>
      <c r="D1016" s="14">
        <v>25</v>
      </c>
      <c r="E1016" t="s">
        <v>1604</v>
      </c>
      <c r="F1016" s="1" t="s">
        <v>1754</v>
      </c>
      <c r="G1016" t="s">
        <v>1</v>
      </c>
      <c r="H1016" t="s">
        <v>490</v>
      </c>
      <c r="I1016" t="str">
        <f>IF(B1016=IFERROR(VLOOKUP(B1016,base!$L$1:$L$9,1,0),""),"Produtos",IF(B1016=IFERROR(VLOOKUP(B1016,base!$K$2:$K$8,1,0),""),"Serviços","Combos"))</f>
        <v>Combos</v>
      </c>
      <c r="J1016">
        <f t="shared" si="26"/>
        <v>11.25</v>
      </c>
      <c r="K1016" s="1">
        <f t="shared" si="27"/>
        <v>45744</v>
      </c>
      <c r="P1016" s="1">
        <f t="shared" si="28"/>
        <v>45744</v>
      </c>
    </row>
    <row r="1017" spans="1:16">
      <c r="A1017" t="s">
        <v>519</v>
      </c>
      <c r="B1017" t="s">
        <v>163</v>
      </c>
      <c r="C1017" t="s">
        <v>1755</v>
      </c>
      <c r="D1017" s="14">
        <v>35</v>
      </c>
      <c r="E1017" s="14">
        <v>35</v>
      </c>
      <c r="F1017" s="1" t="s">
        <v>1756</v>
      </c>
      <c r="G1017" t="s">
        <v>1</v>
      </c>
      <c r="H1017" t="s">
        <v>864</v>
      </c>
      <c r="I1017" t="str">
        <f>IF(B1017=IFERROR(VLOOKUP(B1017,base!$L$1:$L$9,1,0),""),"Produtos",IF(B1017=IFERROR(VLOOKUP(B1017,base!$K$2:$K$8,1,0),""),"Serviços","Combos"))</f>
        <v>Serviços</v>
      </c>
      <c r="J1017">
        <f t="shared" si="26"/>
        <v>15.75</v>
      </c>
      <c r="K1017" s="1">
        <f t="shared" si="27"/>
        <v>45744</v>
      </c>
      <c r="P1017" s="1">
        <f t="shared" si="28"/>
        <v>45744</v>
      </c>
    </row>
    <row r="1018" spans="1:16">
      <c r="A1018" t="s">
        <v>252</v>
      </c>
      <c r="B1018" t="s">
        <v>163</v>
      </c>
      <c r="C1018" t="s">
        <v>1757</v>
      </c>
      <c r="D1018" s="14">
        <v>35</v>
      </c>
      <c r="E1018" s="14">
        <v>95</v>
      </c>
      <c r="F1018" s="1" t="s">
        <v>1758</v>
      </c>
      <c r="G1018" t="s">
        <v>1</v>
      </c>
      <c r="H1018" t="s">
        <v>1759</v>
      </c>
      <c r="I1018" t="str">
        <f>IF(B1018=IFERROR(VLOOKUP(B1018,base!$L$1:$L$9,1,0),""),"Produtos",IF(B1018=IFERROR(VLOOKUP(B1018,base!$K$2:$K$8,1,0),""),"Serviços","Combos"))</f>
        <v>Serviços</v>
      </c>
      <c r="J1018">
        <f t="shared" si="26"/>
        <v>15.75</v>
      </c>
      <c r="K1018" s="1">
        <f t="shared" si="27"/>
        <v>45744</v>
      </c>
      <c r="P1018" s="1">
        <f t="shared" si="28"/>
        <v>45744</v>
      </c>
    </row>
    <row r="1019" spans="1:16">
      <c r="A1019" t="s">
        <v>536</v>
      </c>
      <c r="B1019" t="s">
        <v>353</v>
      </c>
      <c r="C1019" t="s">
        <v>1757</v>
      </c>
      <c r="D1019" s="14">
        <v>60</v>
      </c>
      <c r="E1019" t="s">
        <v>1604</v>
      </c>
      <c r="F1019" s="1" t="s">
        <v>1758</v>
      </c>
      <c r="G1019" t="s">
        <v>1</v>
      </c>
      <c r="H1019" t="s">
        <v>1759</v>
      </c>
      <c r="I1019" t="str">
        <f>IF(B1019=IFERROR(VLOOKUP(B1019,base!$L$1:$L$9,1,0),""),"Produtos",IF(B1019=IFERROR(VLOOKUP(B1019,base!$K$2:$K$8,1,0),""),"Serviços","Combos"))</f>
        <v>Combos</v>
      </c>
      <c r="J1019">
        <f t="shared" si="26"/>
        <v>27</v>
      </c>
      <c r="K1019" s="1">
        <f t="shared" si="27"/>
        <v>45744</v>
      </c>
      <c r="P1019" s="1">
        <f t="shared" si="28"/>
        <v>45744</v>
      </c>
    </row>
    <row r="1020" spans="1:16">
      <c r="A1020" t="s">
        <v>252</v>
      </c>
      <c r="B1020" t="s">
        <v>163</v>
      </c>
      <c r="C1020" t="s">
        <v>1760</v>
      </c>
      <c r="D1020" s="14">
        <v>35</v>
      </c>
      <c r="E1020" s="14">
        <v>35</v>
      </c>
      <c r="F1020" s="1" t="s">
        <v>1761</v>
      </c>
      <c r="G1020" t="s">
        <v>1</v>
      </c>
      <c r="H1020" t="s">
        <v>1762</v>
      </c>
      <c r="I1020" t="str">
        <f>IF(B1020=IFERROR(VLOOKUP(B1020,base!$L$1:$L$9,1,0),""),"Produtos",IF(B1020=IFERROR(VLOOKUP(B1020,base!$K$2:$K$8,1,0),""),"Serviços","Combos"))</f>
        <v>Serviços</v>
      </c>
      <c r="J1020">
        <f t="shared" si="26"/>
        <v>15.75</v>
      </c>
      <c r="K1020" s="1">
        <f t="shared" si="27"/>
        <v>45744</v>
      </c>
      <c r="P1020" s="1">
        <f t="shared" si="28"/>
        <v>45744</v>
      </c>
    </row>
    <row r="1021" spans="1:16">
      <c r="A1021" t="s">
        <v>536</v>
      </c>
      <c r="B1021" t="s">
        <v>163</v>
      </c>
      <c r="C1021" t="s">
        <v>1763</v>
      </c>
      <c r="D1021" s="14">
        <v>35</v>
      </c>
      <c r="E1021" s="14">
        <v>35</v>
      </c>
      <c r="F1021" s="1" t="s">
        <v>1761</v>
      </c>
      <c r="G1021" t="s">
        <v>1</v>
      </c>
      <c r="H1021" t="s">
        <v>280</v>
      </c>
      <c r="I1021" t="str">
        <f>IF(B1021=IFERROR(VLOOKUP(B1021,base!$L$1:$L$9,1,0),""),"Produtos",IF(B1021=IFERROR(VLOOKUP(B1021,base!$K$2:$K$8,1,0),""),"Serviços","Combos"))</f>
        <v>Serviços</v>
      </c>
      <c r="J1021">
        <f t="shared" si="26"/>
        <v>15.75</v>
      </c>
      <c r="K1021" s="1">
        <f t="shared" si="27"/>
        <v>45744</v>
      </c>
      <c r="P1021" s="1">
        <f t="shared" si="28"/>
        <v>45744</v>
      </c>
    </row>
    <row r="1022" spans="1:16">
      <c r="A1022" t="s">
        <v>519</v>
      </c>
      <c r="B1022" t="s">
        <v>163</v>
      </c>
      <c r="C1022" t="s">
        <v>1764</v>
      </c>
      <c r="D1022" s="14">
        <v>35</v>
      </c>
      <c r="E1022" s="14">
        <v>35</v>
      </c>
      <c r="F1022" s="1" t="s">
        <v>1765</v>
      </c>
      <c r="G1022" t="s">
        <v>1</v>
      </c>
      <c r="H1022" t="s">
        <v>185</v>
      </c>
      <c r="I1022" t="str">
        <f>IF(B1022=IFERROR(VLOOKUP(B1022,base!$L$1:$L$9,1,0),""),"Produtos",IF(B1022=IFERROR(VLOOKUP(B1022,base!$K$2:$K$8,1,0),""),"Serviços","Combos"))</f>
        <v>Serviços</v>
      </c>
      <c r="J1022">
        <f t="shared" si="26"/>
        <v>15.75</v>
      </c>
      <c r="K1022" s="1">
        <f t="shared" si="27"/>
        <v>45744</v>
      </c>
      <c r="P1022" s="1">
        <f t="shared" si="28"/>
        <v>45744</v>
      </c>
    </row>
    <row r="1023" spans="1:16">
      <c r="A1023" t="s">
        <v>536</v>
      </c>
      <c r="B1023" t="s">
        <v>163</v>
      </c>
      <c r="C1023" t="s">
        <v>1766</v>
      </c>
      <c r="D1023" s="14">
        <v>20</v>
      </c>
      <c r="E1023" s="14">
        <v>20</v>
      </c>
      <c r="F1023" s="1" t="s">
        <v>1767</v>
      </c>
      <c r="G1023" t="s">
        <v>1</v>
      </c>
      <c r="H1023" t="s">
        <v>1768</v>
      </c>
      <c r="I1023" t="str">
        <f>IF(B1023=IFERROR(VLOOKUP(B1023,base!$L$1:$L$9,1,0),""),"Produtos",IF(B1023=IFERROR(VLOOKUP(B1023,base!$K$2:$K$8,1,0),""),"Serviços","Combos"))</f>
        <v>Serviços</v>
      </c>
      <c r="J1023">
        <f t="shared" si="26"/>
        <v>9</v>
      </c>
      <c r="K1023" s="1">
        <f t="shared" si="27"/>
        <v>45744</v>
      </c>
      <c r="P1023" s="1">
        <f t="shared" si="28"/>
        <v>45744</v>
      </c>
    </row>
    <row r="1024" spans="1:16">
      <c r="A1024" t="s">
        <v>252</v>
      </c>
      <c r="B1024" t="s">
        <v>160</v>
      </c>
      <c r="C1024" t="s">
        <v>1769</v>
      </c>
      <c r="D1024" s="14">
        <v>12</v>
      </c>
      <c r="E1024" s="14">
        <v>12</v>
      </c>
      <c r="F1024" s="1" t="s">
        <v>1770</v>
      </c>
      <c r="G1024" t="s">
        <v>1</v>
      </c>
      <c r="H1024" t="s">
        <v>1771</v>
      </c>
      <c r="I1024" t="str">
        <f>IF(B1024=IFERROR(VLOOKUP(B1024,base!$L$1:$L$9,1,0),""),"Produtos",IF(B1024=IFERROR(VLOOKUP(B1024,base!$K$2:$K$8,1,0),""),"Serviços","Combos"))</f>
        <v>Serviços</v>
      </c>
      <c r="J1024">
        <f t="shared" si="26"/>
        <v>5.4</v>
      </c>
      <c r="K1024" s="1">
        <f t="shared" si="27"/>
        <v>45744</v>
      </c>
      <c r="P1024" s="1">
        <f t="shared" si="28"/>
        <v>45744</v>
      </c>
    </row>
    <row r="1025" spans="1:16">
      <c r="A1025" t="s">
        <v>252</v>
      </c>
      <c r="B1025" t="s">
        <v>163</v>
      </c>
      <c r="C1025" t="s">
        <v>1772</v>
      </c>
      <c r="D1025" s="14">
        <v>35</v>
      </c>
      <c r="E1025" s="14">
        <v>45</v>
      </c>
      <c r="F1025" s="1" t="s">
        <v>1773</v>
      </c>
      <c r="G1025" t="s">
        <v>1</v>
      </c>
      <c r="H1025" t="s">
        <v>1116</v>
      </c>
      <c r="I1025" t="str">
        <f>IF(B1025=IFERROR(VLOOKUP(B1025,base!$L$1:$L$9,1,0),""),"Produtos",IF(B1025=IFERROR(VLOOKUP(B1025,base!$K$2:$K$8,1,0),""),"Serviços","Combos"))</f>
        <v>Serviços</v>
      </c>
      <c r="J1025">
        <f t="shared" si="26"/>
        <v>15.75</v>
      </c>
      <c r="K1025" s="1">
        <f t="shared" si="27"/>
        <v>45744</v>
      </c>
      <c r="P1025" s="1">
        <f t="shared" si="28"/>
        <v>45744</v>
      </c>
    </row>
    <row r="1026" spans="1:16">
      <c r="A1026" t="s">
        <v>252</v>
      </c>
      <c r="B1026" t="s">
        <v>167</v>
      </c>
      <c r="C1026" t="s">
        <v>1772</v>
      </c>
      <c r="D1026" s="14">
        <v>10</v>
      </c>
      <c r="E1026" t="s">
        <v>1604</v>
      </c>
      <c r="F1026" s="1" t="s">
        <v>1773</v>
      </c>
      <c r="G1026" t="s">
        <v>1</v>
      </c>
      <c r="H1026" t="s">
        <v>1116</v>
      </c>
      <c r="I1026" t="str">
        <f>IF(B1026=IFERROR(VLOOKUP(B1026,base!$L$1:$L$9,1,0),""),"Produtos",IF(B1026=IFERROR(VLOOKUP(B1026,base!$K$2:$K$8,1,0),""),"Serviços","Combos"))</f>
        <v>Serviços</v>
      </c>
      <c r="J1026">
        <f t="shared" si="26"/>
        <v>4.5</v>
      </c>
      <c r="K1026" s="1">
        <f t="shared" si="27"/>
        <v>45744</v>
      </c>
      <c r="P1026" s="1">
        <f t="shared" si="28"/>
        <v>45744</v>
      </c>
    </row>
    <row r="1027" spans="1:16">
      <c r="A1027" t="s">
        <v>252</v>
      </c>
      <c r="B1027" t="s">
        <v>163</v>
      </c>
      <c r="C1027" t="s">
        <v>1774</v>
      </c>
      <c r="D1027" s="14">
        <v>35</v>
      </c>
      <c r="E1027" s="14">
        <v>35</v>
      </c>
      <c r="F1027" s="1" t="s">
        <v>1775</v>
      </c>
      <c r="G1027" t="s">
        <v>1</v>
      </c>
      <c r="H1027" t="s">
        <v>1409</v>
      </c>
      <c r="I1027" t="str">
        <f>IF(B1027=IFERROR(VLOOKUP(B1027,base!$L$1:$L$9,1,0),""),"Produtos",IF(B1027=IFERROR(VLOOKUP(B1027,base!$K$2:$K$8,1,0),""),"Serviços","Combos"))</f>
        <v>Serviços</v>
      </c>
      <c r="J1027">
        <f t="shared" si="26"/>
        <v>15.75</v>
      </c>
      <c r="K1027" s="1">
        <f t="shared" si="27"/>
        <v>45744</v>
      </c>
      <c r="P1027" s="1">
        <f t="shared" si="28"/>
        <v>45744</v>
      </c>
    </row>
    <row r="1028" spans="1:16">
      <c r="A1028" t="s">
        <v>519</v>
      </c>
      <c r="B1028" t="s">
        <v>163</v>
      </c>
      <c r="C1028" t="s">
        <v>1776</v>
      </c>
      <c r="D1028" s="14">
        <v>35</v>
      </c>
      <c r="E1028" s="14">
        <v>35</v>
      </c>
      <c r="F1028" s="1" t="s">
        <v>1777</v>
      </c>
      <c r="G1028" t="s">
        <v>1</v>
      </c>
      <c r="H1028" t="s">
        <v>1778</v>
      </c>
      <c r="I1028" t="str">
        <f>IF(B1028=IFERROR(VLOOKUP(B1028,base!$L$1:$L$9,1,0),""),"Produtos",IF(B1028=IFERROR(VLOOKUP(B1028,base!$K$2:$K$8,1,0),""),"Serviços","Combos"))</f>
        <v>Serviços</v>
      </c>
      <c r="J1028">
        <f t="shared" si="26"/>
        <v>15.75</v>
      </c>
      <c r="K1028" s="1">
        <f t="shared" si="27"/>
        <v>45744</v>
      </c>
      <c r="P1028" s="1">
        <f t="shared" si="28"/>
        <v>45744</v>
      </c>
    </row>
    <row r="1029" spans="1:16">
      <c r="A1029" t="s">
        <v>536</v>
      </c>
      <c r="B1029" t="s">
        <v>353</v>
      </c>
      <c r="C1029" t="s">
        <v>1779</v>
      </c>
      <c r="D1029" s="14">
        <v>50</v>
      </c>
      <c r="E1029" s="14">
        <v>50</v>
      </c>
      <c r="F1029" s="1" t="s">
        <v>1780</v>
      </c>
      <c r="G1029" t="s">
        <v>1</v>
      </c>
      <c r="H1029" t="s">
        <v>1184</v>
      </c>
      <c r="I1029" t="str">
        <f>IF(B1029=IFERROR(VLOOKUP(B1029,base!$L$1:$L$9,1,0),""),"Produtos",IF(B1029=IFERROR(VLOOKUP(B1029,base!$K$2:$K$8,1,0),""),"Serviços","Combos"))</f>
        <v>Combos</v>
      </c>
      <c r="J1029">
        <f t="shared" si="26"/>
        <v>22.5</v>
      </c>
      <c r="K1029" s="1">
        <f t="shared" si="27"/>
        <v>45744</v>
      </c>
      <c r="P1029" s="1">
        <f t="shared" si="28"/>
        <v>45744</v>
      </c>
    </row>
    <row r="1030" spans="1:16">
      <c r="A1030" t="s">
        <v>519</v>
      </c>
      <c r="B1030" t="s">
        <v>163</v>
      </c>
      <c r="C1030" t="s">
        <v>1781</v>
      </c>
      <c r="D1030" s="14">
        <v>35</v>
      </c>
      <c r="E1030" s="14">
        <v>35</v>
      </c>
      <c r="F1030" s="1" t="s">
        <v>1780</v>
      </c>
      <c r="G1030" t="s">
        <v>2</v>
      </c>
      <c r="H1030" t="s">
        <v>794</v>
      </c>
      <c r="I1030" t="str">
        <f>IF(B1030=IFERROR(VLOOKUP(B1030,base!$L$1:$L$9,1,0),""),"Produtos",IF(B1030=IFERROR(VLOOKUP(B1030,base!$K$2:$K$8,1,0),""),"Serviços","Combos"))</f>
        <v>Serviços</v>
      </c>
      <c r="J1030">
        <f t="shared" si="26"/>
        <v>15.75</v>
      </c>
      <c r="K1030" s="1">
        <f t="shared" si="27"/>
        <v>45744</v>
      </c>
      <c r="P1030" s="1">
        <f t="shared" si="28"/>
        <v>45744</v>
      </c>
    </row>
    <row r="1031" spans="1:16">
      <c r="A1031" t="s">
        <v>519</v>
      </c>
      <c r="B1031" t="s">
        <v>163</v>
      </c>
      <c r="C1031" t="s">
        <v>1782</v>
      </c>
      <c r="D1031" s="14">
        <v>35</v>
      </c>
      <c r="E1031" s="14">
        <v>55</v>
      </c>
      <c r="F1031" s="1" t="s">
        <v>1783</v>
      </c>
      <c r="G1031" t="s">
        <v>1</v>
      </c>
      <c r="H1031" t="s">
        <v>88</v>
      </c>
      <c r="I1031" t="str">
        <f>IF(B1031=IFERROR(VLOOKUP(B1031,base!$L$1:$L$9,1,0),""),"Produtos",IF(B1031=IFERROR(VLOOKUP(B1031,base!$K$2:$K$8,1,0),""),"Serviços","Combos"))</f>
        <v>Serviços</v>
      </c>
      <c r="J1031">
        <f t="shared" si="26"/>
        <v>15.75</v>
      </c>
      <c r="K1031" s="1">
        <f t="shared" si="27"/>
        <v>45744</v>
      </c>
      <c r="P1031" s="1">
        <f t="shared" si="28"/>
        <v>45744</v>
      </c>
    </row>
    <row r="1032" spans="1:16">
      <c r="A1032" t="s">
        <v>519</v>
      </c>
      <c r="B1032" t="s">
        <v>1046</v>
      </c>
      <c r="C1032" t="s">
        <v>1782</v>
      </c>
      <c r="D1032" s="14">
        <v>20</v>
      </c>
      <c r="E1032" t="s">
        <v>1604</v>
      </c>
      <c r="F1032" s="1" t="s">
        <v>1783</v>
      </c>
      <c r="G1032" t="s">
        <v>1</v>
      </c>
      <c r="H1032" t="s">
        <v>88</v>
      </c>
      <c r="I1032" t="str">
        <f>IF(B1032=IFERROR(VLOOKUP(B1032,base!$L$1:$L$9,1,0),""),"Produtos",IF(B1032=IFERROR(VLOOKUP(B1032,base!$K$2:$K$8,1,0),""),"Serviços","Combos"))</f>
        <v>Combos</v>
      </c>
      <c r="J1032">
        <f t="shared" si="26"/>
        <v>9</v>
      </c>
      <c r="K1032" s="1">
        <f t="shared" si="27"/>
        <v>45744</v>
      </c>
      <c r="P1032" s="1">
        <f t="shared" si="28"/>
        <v>45744</v>
      </c>
    </row>
    <row r="1033" spans="1:16">
      <c r="A1033" t="s">
        <v>252</v>
      </c>
      <c r="B1033" t="s">
        <v>163</v>
      </c>
      <c r="C1033" t="s">
        <v>1784</v>
      </c>
      <c r="D1033" s="14">
        <v>35</v>
      </c>
      <c r="E1033" s="14">
        <v>45</v>
      </c>
      <c r="F1033" s="1" t="s">
        <v>1785</v>
      </c>
      <c r="G1033" t="s">
        <v>1</v>
      </c>
      <c r="H1033" t="s">
        <v>794</v>
      </c>
      <c r="I1033" t="str">
        <f>IF(B1033=IFERROR(VLOOKUP(B1033,base!$L$1:$L$9,1,0),""),"Produtos",IF(B1033=IFERROR(VLOOKUP(B1033,base!$K$2:$K$8,1,0),""),"Serviços","Combos"))</f>
        <v>Serviços</v>
      </c>
      <c r="J1033">
        <f t="shared" si="26"/>
        <v>15.75</v>
      </c>
      <c r="K1033" s="1">
        <f t="shared" si="27"/>
        <v>45744</v>
      </c>
      <c r="P1033" s="1">
        <f t="shared" si="28"/>
        <v>45744</v>
      </c>
    </row>
    <row r="1034" spans="1:16">
      <c r="A1034" t="s">
        <v>252</v>
      </c>
      <c r="B1034" t="s">
        <v>167</v>
      </c>
      <c r="C1034" t="s">
        <v>1784</v>
      </c>
      <c r="D1034" s="14">
        <v>10</v>
      </c>
      <c r="E1034" t="s">
        <v>1604</v>
      </c>
      <c r="F1034" s="1" t="s">
        <v>1785</v>
      </c>
      <c r="G1034" t="s">
        <v>1</v>
      </c>
      <c r="H1034" t="s">
        <v>794</v>
      </c>
      <c r="I1034" t="str">
        <f>IF(B1034=IFERROR(VLOOKUP(B1034,base!$L$1:$L$9,1,0),""),"Produtos",IF(B1034=IFERROR(VLOOKUP(B1034,base!$K$2:$K$8,1,0),""),"Serviços","Combos"))</f>
        <v>Serviços</v>
      </c>
      <c r="J1034">
        <f t="shared" si="26"/>
        <v>4.5</v>
      </c>
      <c r="K1034" s="1">
        <f t="shared" si="27"/>
        <v>45744</v>
      </c>
      <c r="P1034" s="1">
        <f t="shared" si="28"/>
        <v>45744</v>
      </c>
    </row>
    <row r="1035" spans="1:16">
      <c r="A1035" t="s">
        <v>519</v>
      </c>
      <c r="B1035" t="s">
        <v>163</v>
      </c>
      <c r="C1035" t="s">
        <v>1786</v>
      </c>
      <c r="D1035" s="14">
        <v>35</v>
      </c>
      <c r="E1035" s="14">
        <v>55</v>
      </c>
      <c r="F1035" s="1" t="s">
        <v>1787</v>
      </c>
      <c r="G1035" t="s">
        <v>2</v>
      </c>
      <c r="H1035" t="s">
        <v>379</v>
      </c>
      <c r="I1035" t="str">
        <f>IF(B1035=IFERROR(VLOOKUP(B1035,base!$L$1:$L$9,1,0),""),"Produtos",IF(B1035=IFERROR(VLOOKUP(B1035,base!$K$2:$K$8,1,0),""),"Serviços","Combos"))</f>
        <v>Serviços</v>
      </c>
      <c r="J1035">
        <f t="shared" si="26"/>
        <v>15.75</v>
      </c>
      <c r="K1035" s="1">
        <f t="shared" si="27"/>
        <v>45745</v>
      </c>
      <c r="P1035" s="1">
        <f t="shared" si="28"/>
        <v>45745</v>
      </c>
    </row>
    <row r="1036" spans="1:16">
      <c r="A1036" t="s">
        <v>519</v>
      </c>
      <c r="B1036" t="s">
        <v>166</v>
      </c>
      <c r="C1036" t="s">
        <v>1786</v>
      </c>
      <c r="D1036" s="14">
        <v>20</v>
      </c>
      <c r="E1036" t="s">
        <v>1604</v>
      </c>
      <c r="F1036" s="1" t="s">
        <v>1787</v>
      </c>
      <c r="G1036" t="s">
        <v>2</v>
      </c>
      <c r="H1036" t="s">
        <v>379</v>
      </c>
      <c r="I1036" t="str">
        <f>IF(B1036=IFERROR(VLOOKUP(B1036,base!$L$1:$L$9,1,0),""),"Produtos",IF(B1036=IFERROR(VLOOKUP(B1036,base!$K$2:$K$8,1,0),""),"Serviços","Combos"))</f>
        <v>Serviços</v>
      </c>
      <c r="J1036">
        <f t="shared" si="26"/>
        <v>9</v>
      </c>
      <c r="K1036" s="1">
        <f t="shared" si="27"/>
        <v>45745</v>
      </c>
      <c r="P1036" s="1">
        <f t="shared" si="28"/>
        <v>45745</v>
      </c>
    </row>
    <row r="1037" spans="1:16">
      <c r="A1037" t="s">
        <v>252</v>
      </c>
      <c r="B1037" t="s">
        <v>163</v>
      </c>
      <c r="C1037" t="s">
        <v>1788</v>
      </c>
      <c r="D1037" s="14">
        <v>35</v>
      </c>
      <c r="E1037" s="14">
        <v>35</v>
      </c>
      <c r="F1037" s="1" t="s">
        <v>1783</v>
      </c>
      <c r="G1037" t="s">
        <v>2</v>
      </c>
      <c r="H1037" t="s">
        <v>372</v>
      </c>
      <c r="I1037" t="str">
        <f>IF(B1037=IFERROR(VLOOKUP(B1037,base!$L$1:$L$9,1,0),""),"Produtos",IF(B1037=IFERROR(VLOOKUP(B1037,base!$K$2:$K$8,1,0),""),"Serviços","Combos"))</f>
        <v>Serviços</v>
      </c>
      <c r="J1037">
        <f t="shared" si="26"/>
        <v>15.75</v>
      </c>
      <c r="K1037" s="1">
        <f t="shared" si="27"/>
        <v>45744</v>
      </c>
      <c r="P1037" s="1">
        <f t="shared" si="28"/>
        <v>45744</v>
      </c>
    </row>
    <row r="1038" spans="1:16">
      <c r="A1038" t="s">
        <v>536</v>
      </c>
      <c r="B1038" t="s">
        <v>163</v>
      </c>
      <c r="C1038" t="s">
        <v>1789</v>
      </c>
      <c r="D1038" s="14">
        <v>35</v>
      </c>
      <c r="E1038" s="14">
        <v>35</v>
      </c>
      <c r="F1038" s="1" t="s">
        <v>1783</v>
      </c>
      <c r="G1038" t="s">
        <v>1</v>
      </c>
      <c r="H1038" t="s">
        <v>794</v>
      </c>
      <c r="I1038" t="str">
        <f>IF(B1038=IFERROR(VLOOKUP(B1038,base!$L$1:$L$9,1,0),""),"Produtos",IF(B1038=IFERROR(VLOOKUP(B1038,base!$K$2:$K$8,1,0),""),"Serviços","Combos"))</f>
        <v>Serviços</v>
      </c>
      <c r="J1038">
        <f t="shared" si="26"/>
        <v>15.75</v>
      </c>
      <c r="K1038" s="1">
        <f t="shared" si="27"/>
        <v>45744</v>
      </c>
      <c r="P1038" s="1">
        <f t="shared" si="28"/>
        <v>45744</v>
      </c>
    </row>
    <row r="1039" spans="1:16">
      <c r="A1039" t="s">
        <v>519</v>
      </c>
      <c r="B1039" t="s">
        <v>163</v>
      </c>
      <c r="C1039" t="s">
        <v>1790</v>
      </c>
      <c r="D1039" s="14">
        <v>30</v>
      </c>
      <c r="E1039" s="14">
        <v>0</v>
      </c>
      <c r="F1039" s="1" t="s">
        <v>1791</v>
      </c>
      <c r="G1039" t="s">
        <v>1</v>
      </c>
      <c r="H1039" t="s">
        <v>95</v>
      </c>
      <c r="I1039" t="str">
        <f>IF(B1039=IFERROR(VLOOKUP(B1039,base!$L$1:$L$9,1,0),""),"Produtos",IF(B1039=IFERROR(VLOOKUP(B1039,base!$K$2:$K$8,1,0),""),"Serviços","Combos"))</f>
        <v>Serviços</v>
      </c>
      <c r="J1039">
        <f t="shared" si="26"/>
        <v>13.5</v>
      </c>
      <c r="K1039" s="1">
        <f t="shared" si="27"/>
        <v>45744</v>
      </c>
      <c r="P1039" s="1">
        <f t="shared" si="28"/>
        <v>45744</v>
      </c>
    </row>
    <row r="1040" spans="1:16">
      <c r="A1040" t="s">
        <v>536</v>
      </c>
      <c r="B1040" t="s">
        <v>163</v>
      </c>
      <c r="C1040" t="s">
        <v>1792</v>
      </c>
      <c r="D1040" s="14">
        <v>35</v>
      </c>
      <c r="E1040" s="14">
        <v>95</v>
      </c>
      <c r="F1040" s="1" t="s">
        <v>1791</v>
      </c>
      <c r="G1040" t="s">
        <v>1793</v>
      </c>
      <c r="H1040" t="s">
        <v>201</v>
      </c>
      <c r="I1040" t="str">
        <f>IF(B1040=IFERROR(VLOOKUP(B1040,base!$L$1:$L$9,1,0),""),"Produtos",IF(B1040=IFERROR(VLOOKUP(B1040,base!$K$2:$K$8,1,0),""),"Serviços","Combos"))</f>
        <v>Serviços</v>
      </c>
      <c r="J1040">
        <f t="shared" si="26"/>
        <v>15.75</v>
      </c>
      <c r="K1040" s="1">
        <f t="shared" si="27"/>
        <v>45744</v>
      </c>
      <c r="P1040" s="1">
        <f t="shared" si="28"/>
        <v>45744</v>
      </c>
    </row>
    <row r="1041" spans="1:16">
      <c r="A1041" t="s">
        <v>252</v>
      </c>
      <c r="B1041" t="s">
        <v>163</v>
      </c>
      <c r="C1041" t="s">
        <v>1792</v>
      </c>
      <c r="D1041" s="14">
        <v>35</v>
      </c>
      <c r="E1041" t="s">
        <v>1604</v>
      </c>
      <c r="F1041" s="1" t="s">
        <v>1791</v>
      </c>
      <c r="G1041" t="s">
        <v>1793</v>
      </c>
      <c r="H1041" t="s">
        <v>201</v>
      </c>
      <c r="I1041" t="str">
        <f>IF(B1041=IFERROR(VLOOKUP(B1041,base!$L$1:$L$9,1,0),""),"Produtos",IF(B1041=IFERROR(VLOOKUP(B1041,base!$K$2:$K$8,1,0),""),"Serviços","Combos"))</f>
        <v>Serviços</v>
      </c>
      <c r="J1041">
        <f t="shared" si="26"/>
        <v>15.75</v>
      </c>
      <c r="K1041" s="1">
        <f t="shared" si="27"/>
        <v>45744</v>
      </c>
      <c r="P1041" s="1">
        <f t="shared" si="28"/>
        <v>45744</v>
      </c>
    </row>
    <row r="1042" spans="1:16">
      <c r="A1042" t="s">
        <v>536</v>
      </c>
      <c r="B1042" t="s">
        <v>509</v>
      </c>
      <c r="C1042" t="s">
        <v>1792</v>
      </c>
      <c r="D1042" s="14">
        <v>25</v>
      </c>
      <c r="E1042" t="s">
        <v>1604</v>
      </c>
      <c r="F1042" s="1" t="s">
        <v>1791</v>
      </c>
      <c r="G1042" t="s">
        <v>1793</v>
      </c>
      <c r="H1042" t="s">
        <v>201</v>
      </c>
      <c r="I1042" t="str">
        <f>IF(B1042=IFERROR(VLOOKUP(B1042,base!$L$1:$L$9,1,0),""),"Produtos",IF(B1042=IFERROR(VLOOKUP(B1042,base!$K$2:$K$8,1,0),""),"Serviços","Combos"))</f>
        <v>Produtos</v>
      </c>
      <c r="J1042">
        <f t="shared" si="26"/>
        <v>10</v>
      </c>
      <c r="K1042" s="1">
        <f t="shared" si="27"/>
        <v>45744</v>
      </c>
      <c r="P1042" s="1">
        <f t="shared" si="28"/>
        <v>45744</v>
      </c>
    </row>
    <row r="1043" spans="1:16">
      <c r="A1043" t="s">
        <v>519</v>
      </c>
      <c r="B1043" t="s">
        <v>163</v>
      </c>
      <c r="C1043" t="s">
        <v>1794</v>
      </c>
      <c r="D1043" s="14">
        <v>35</v>
      </c>
      <c r="E1043" s="14">
        <v>50</v>
      </c>
      <c r="F1043" s="1" t="s">
        <v>1795</v>
      </c>
      <c r="G1043" t="s">
        <v>1</v>
      </c>
      <c r="H1043" t="s">
        <v>28</v>
      </c>
      <c r="I1043" t="str">
        <f>IF(B1043=IFERROR(VLOOKUP(B1043,base!$L$1:$L$9,1,0),""),"Produtos",IF(B1043=IFERROR(VLOOKUP(B1043,base!$K$2:$K$8,1,0),""),"Serviços","Combos"))</f>
        <v>Serviços</v>
      </c>
      <c r="J1043">
        <f t="shared" si="26"/>
        <v>15.75</v>
      </c>
      <c r="K1043" s="1">
        <f t="shared" si="27"/>
        <v>45745</v>
      </c>
      <c r="P1043" s="1">
        <f t="shared" si="28"/>
        <v>45745</v>
      </c>
    </row>
    <row r="1044" spans="1:16">
      <c r="A1044" t="s">
        <v>519</v>
      </c>
      <c r="B1044" t="s">
        <v>1046</v>
      </c>
      <c r="C1044" t="s">
        <v>1794</v>
      </c>
      <c r="D1044" s="14">
        <v>15</v>
      </c>
      <c r="E1044" t="s">
        <v>1604</v>
      </c>
      <c r="F1044" s="1" t="s">
        <v>1795</v>
      </c>
      <c r="G1044" t="s">
        <v>1</v>
      </c>
      <c r="H1044" t="s">
        <v>28</v>
      </c>
      <c r="I1044" t="str">
        <f>IF(B1044=IFERROR(VLOOKUP(B1044,base!$L$1:$L$9,1,0),""),"Produtos",IF(B1044=IFERROR(VLOOKUP(B1044,base!$K$2:$K$8,1,0),""),"Serviços","Combos"))</f>
        <v>Combos</v>
      </c>
      <c r="J1044">
        <f t="shared" si="26"/>
        <v>6.75</v>
      </c>
      <c r="K1044" s="1">
        <f t="shared" si="27"/>
        <v>45745</v>
      </c>
      <c r="P1044" s="1">
        <f t="shared" si="28"/>
        <v>45745</v>
      </c>
    </row>
    <row r="1045" spans="1:16">
      <c r="A1045" t="s">
        <v>519</v>
      </c>
      <c r="B1045" t="s">
        <v>513</v>
      </c>
      <c r="C1045" t="s">
        <v>1794</v>
      </c>
      <c r="D1045" s="14">
        <v>35</v>
      </c>
      <c r="E1045" t="s">
        <v>1604</v>
      </c>
      <c r="F1045" s="1" t="s">
        <v>1795</v>
      </c>
      <c r="G1045" t="s">
        <v>1</v>
      </c>
      <c r="H1045" t="s">
        <v>28</v>
      </c>
      <c r="I1045" t="str">
        <f>IF(B1045=IFERROR(VLOOKUP(B1045,base!$L$1:$L$9,1,0),""),"Produtos",IF(B1045=IFERROR(VLOOKUP(B1045,base!$K$2:$K$8,1,0),""),"Serviços","Combos"))</f>
        <v>Produtos</v>
      </c>
      <c r="J1045">
        <f t="shared" si="26"/>
        <v>14</v>
      </c>
      <c r="K1045" s="1">
        <f t="shared" si="27"/>
        <v>45745</v>
      </c>
      <c r="P1045" s="1">
        <f t="shared" si="28"/>
        <v>45745</v>
      </c>
    </row>
    <row r="1046" spans="1:16">
      <c r="A1046" t="s">
        <v>252</v>
      </c>
      <c r="B1046" t="s">
        <v>163</v>
      </c>
      <c r="C1046" t="s">
        <v>1796</v>
      </c>
      <c r="D1046" s="14">
        <v>35</v>
      </c>
      <c r="E1046" s="14">
        <v>45</v>
      </c>
      <c r="F1046" s="1" t="s">
        <v>1797</v>
      </c>
      <c r="G1046" t="s">
        <v>2</v>
      </c>
      <c r="H1046" t="s">
        <v>62</v>
      </c>
      <c r="I1046" t="str">
        <f>IF(B1046=IFERROR(VLOOKUP(B1046,base!$L$1:$L$9,1,0),""),"Produtos",IF(B1046=IFERROR(VLOOKUP(B1046,base!$K$2:$K$8,1,0),""),"Serviços","Combos"))</f>
        <v>Serviços</v>
      </c>
      <c r="J1046">
        <f t="shared" si="26"/>
        <v>15.75</v>
      </c>
      <c r="K1046" s="1">
        <f t="shared" si="27"/>
        <v>45745</v>
      </c>
      <c r="P1046" s="1">
        <f t="shared" si="28"/>
        <v>45745</v>
      </c>
    </row>
    <row r="1047" spans="1:16">
      <c r="A1047" t="s">
        <v>252</v>
      </c>
      <c r="B1047" t="s">
        <v>167</v>
      </c>
      <c r="C1047" t="s">
        <v>1796</v>
      </c>
      <c r="D1047" s="14">
        <v>10</v>
      </c>
      <c r="E1047" t="s">
        <v>1604</v>
      </c>
      <c r="F1047" s="1" t="s">
        <v>1797</v>
      </c>
      <c r="G1047" t="s">
        <v>2</v>
      </c>
      <c r="H1047" t="s">
        <v>62</v>
      </c>
      <c r="I1047" t="str">
        <f>IF(B1047=IFERROR(VLOOKUP(B1047,base!$L$1:$L$9,1,0),""),"Produtos",IF(B1047=IFERROR(VLOOKUP(B1047,base!$K$2:$K$8,1,0),""),"Serviços","Combos"))</f>
        <v>Serviços</v>
      </c>
      <c r="J1047">
        <f t="shared" si="26"/>
        <v>4.5</v>
      </c>
      <c r="K1047" s="1">
        <f t="shared" si="27"/>
        <v>45745</v>
      </c>
      <c r="P1047" s="1">
        <f t="shared" si="28"/>
        <v>45745</v>
      </c>
    </row>
    <row r="1048" spans="1:16">
      <c r="A1048" t="s">
        <v>252</v>
      </c>
      <c r="B1048" t="s">
        <v>163</v>
      </c>
      <c r="C1048" t="s">
        <v>1798</v>
      </c>
      <c r="D1048" s="14">
        <v>35</v>
      </c>
      <c r="E1048" s="14">
        <v>35</v>
      </c>
      <c r="F1048" s="1" t="s">
        <v>1799</v>
      </c>
      <c r="G1048" t="s">
        <v>2</v>
      </c>
      <c r="H1048" t="s">
        <v>1800</v>
      </c>
      <c r="I1048" t="str">
        <f>IF(B1048=IFERROR(VLOOKUP(B1048,base!$L$1:$L$9,1,0),""),"Produtos",IF(B1048=IFERROR(VLOOKUP(B1048,base!$K$2:$K$8,1,0),""),"Serviços","Combos"))</f>
        <v>Serviços</v>
      </c>
      <c r="J1048">
        <f t="shared" si="26"/>
        <v>15.75</v>
      </c>
      <c r="K1048" s="1">
        <f t="shared" si="27"/>
        <v>45744</v>
      </c>
      <c r="P1048" s="1">
        <f t="shared" si="28"/>
        <v>45744</v>
      </c>
    </row>
    <row r="1049" spans="1:16">
      <c r="A1049" t="s">
        <v>519</v>
      </c>
      <c r="B1049" t="s">
        <v>163</v>
      </c>
      <c r="C1049" t="s">
        <v>1801</v>
      </c>
      <c r="D1049" s="14">
        <v>35</v>
      </c>
      <c r="E1049" s="14">
        <v>35</v>
      </c>
      <c r="F1049" s="1" t="s">
        <v>1797</v>
      </c>
      <c r="G1049" t="s">
        <v>1</v>
      </c>
      <c r="H1049" t="s">
        <v>85</v>
      </c>
      <c r="I1049" t="str">
        <f>IF(B1049=IFERROR(VLOOKUP(B1049,base!$L$1:$L$9,1,0),""),"Produtos",IF(B1049=IFERROR(VLOOKUP(B1049,base!$K$2:$K$8,1,0),""),"Serviços","Combos"))</f>
        <v>Serviços</v>
      </c>
      <c r="J1049">
        <f t="shared" si="26"/>
        <v>15.75</v>
      </c>
      <c r="K1049" s="1">
        <f t="shared" si="27"/>
        <v>45745</v>
      </c>
      <c r="P1049" s="1">
        <f t="shared" si="28"/>
        <v>45745</v>
      </c>
    </row>
    <row r="1050" spans="1:16">
      <c r="A1050" t="s">
        <v>519</v>
      </c>
      <c r="B1050" t="s">
        <v>163</v>
      </c>
      <c r="C1050" t="s">
        <v>1802</v>
      </c>
      <c r="D1050" s="14">
        <v>35</v>
      </c>
      <c r="E1050" s="14">
        <v>45</v>
      </c>
      <c r="F1050" s="1" t="s">
        <v>1803</v>
      </c>
      <c r="G1050" t="s">
        <v>2</v>
      </c>
      <c r="H1050" t="s">
        <v>299</v>
      </c>
      <c r="I1050" t="str">
        <f>IF(B1050=IFERROR(VLOOKUP(B1050,base!$L$1:$L$9,1,0),""),"Produtos",IF(B1050=IFERROR(VLOOKUP(B1050,base!$K$2:$K$8,1,0),""),"Serviços","Combos"))</f>
        <v>Serviços</v>
      </c>
      <c r="J1050">
        <f t="shared" si="26"/>
        <v>15.75</v>
      </c>
      <c r="K1050" s="1">
        <f t="shared" si="27"/>
        <v>45745</v>
      </c>
      <c r="P1050" s="1">
        <f t="shared" si="28"/>
        <v>45745</v>
      </c>
    </row>
    <row r="1051" spans="1:16">
      <c r="A1051" t="s">
        <v>519</v>
      </c>
      <c r="B1051" t="s">
        <v>167</v>
      </c>
      <c r="C1051" t="s">
        <v>1802</v>
      </c>
      <c r="D1051" s="14">
        <v>10</v>
      </c>
      <c r="E1051" t="s">
        <v>1604</v>
      </c>
      <c r="F1051" s="1" t="s">
        <v>1803</v>
      </c>
      <c r="G1051" t="s">
        <v>2</v>
      </c>
      <c r="H1051" t="s">
        <v>299</v>
      </c>
      <c r="I1051" t="str">
        <f>IF(B1051=IFERROR(VLOOKUP(B1051,base!$L$1:$L$9,1,0),""),"Produtos",IF(B1051=IFERROR(VLOOKUP(B1051,base!$K$2:$K$8,1,0),""),"Serviços","Combos"))</f>
        <v>Serviços</v>
      </c>
      <c r="J1051">
        <f t="shared" si="26"/>
        <v>4.5</v>
      </c>
      <c r="K1051" s="1">
        <f t="shared" si="27"/>
        <v>45745</v>
      </c>
      <c r="P1051" s="1">
        <f t="shared" si="28"/>
        <v>45745</v>
      </c>
    </row>
    <row r="1052" spans="1:16">
      <c r="A1052" t="s">
        <v>519</v>
      </c>
      <c r="B1052" t="s">
        <v>163</v>
      </c>
      <c r="C1052" t="s">
        <v>1804</v>
      </c>
      <c r="D1052" s="14">
        <v>35</v>
      </c>
      <c r="E1052" s="14">
        <v>35</v>
      </c>
      <c r="F1052" s="1" t="s">
        <v>1805</v>
      </c>
      <c r="G1052" t="s">
        <v>1</v>
      </c>
      <c r="H1052" t="s">
        <v>16</v>
      </c>
      <c r="I1052" t="str">
        <f>IF(B1052=IFERROR(VLOOKUP(B1052,base!$L$1:$L$9,1,0),""),"Produtos",IF(B1052=IFERROR(VLOOKUP(B1052,base!$K$2:$K$8,1,0),""),"Serviços","Combos"))</f>
        <v>Serviços</v>
      </c>
      <c r="J1052">
        <f t="shared" si="26"/>
        <v>15.75</v>
      </c>
      <c r="K1052" s="1">
        <f t="shared" si="27"/>
        <v>45745</v>
      </c>
      <c r="P1052" s="1">
        <f t="shared" si="28"/>
        <v>45745</v>
      </c>
    </row>
    <row r="1053" spans="1:16">
      <c r="A1053" t="s">
        <v>536</v>
      </c>
      <c r="B1053" t="s">
        <v>353</v>
      </c>
      <c r="C1053" t="s">
        <v>1806</v>
      </c>
      <c r="D1053" s="14">
        <v>60</v>
      </c>
      <c r="E1053" s="14">
        <v>60</v>
      </c>
      <c r="F1053" s="1" t="s">
        <v>1787</v>
      </c>
      <c r="G1053" t="s">
        <v>310</v>
      </c>
      <c r="H1053" t="s">
        <v>184</v>
      </c>
      <c r="I1053" t="str">
        <f>IF(B1053=IFERROR(VLOOKUP(B1053,base!$L$1:$L$9,1,0),""),"Produtos",IF(B1053=IFERROR(VLOOKUP(B1053,base!$K$2:$K$8,1,0),""),"Serviços","Combos"))</f>
        <v>Combos</v>
      </c>
      <c r="J1053">
        <f t="shared" si="26"/>
        <v>27</v>
      </c>
      <c r="K1053" s="1">
        <f t="shared" si="27"/>
        <v>45745</v>
      </c>
      <c r="P1053" s="1">
        <f t="shared" si="28"/>
        <v>45745</v>
      </c>
    </row>
    <row r="1054" spans="1:16">
      <c r="A1054" t="s">
        <v>252</v>
      </c>
      <c r="B1054" t="s">
        <v>163</v>
      </c>
      <c r="C1054" t="s">
        <v>1807</v>
      </c>
      <c r="D1054" s="14">
        <v>35</v>
      </c>
      <c r="E1054" s="14">
        <v>20</v>
      </c>
      <c r="F1054" s="1" t="s">
        <v>1808</v>
      </c>
      <c r="G1054" t="s">
        <v>1</v>
      </c>
      <c r="H1054" t="s">
        <v>367</v>
      </c>
      <c r="I1054" t="str">
        <f>IF(B1054=IFERROR(VLOOKUP(B1054,base!$L$1:$L$9,1,0),""),"Produtos",IF(B1054=IFERROR(VLOOKUP(B1054,base!$K$2:$K$8,1,0),""),"Serviços","Combos"))</f>
        <v>Serviços</v>
      </c>
      <c r="J1054">
        <f t="shared" si="26"/>
        <v>15.75</v>
      </c>
      <c r="K1054" s="1">
        <f t="shared" si="27"/>
        <v>45745</v>
      </c>
      <c r="P1054" s="1">
        <f t="shared" si="28"/>
        <v>45745</v>
      </c>
    </row>
    <row r="1055" spans="1:16">
      <c r="A1055" t="s">
        <v>519</v>
      </c>
      <c r="B1055" t="s">
        <v>163</v>
      </c>
      <c r="C1055" t="s">
        <v>1809</v>
      </c>
      <c r="D1055" s="14">
        <v>35</v>
      </c>
      <c r="E1055" s="14">
        <v>35</v>
      </c>
      <c r="F1055" s="1" t="s">
        <v>1810</v>
      </c>
      <c r="G1055" t="s">
        <v>354</v>
      </c>
      <c r="H1055" t="s">
        <v>485</v>
      </c>
      <c r="I1055" t="str">
        <f>IF(B1055=IFERROR(VLOOKUP(B1055,base!$L$1:$L$9,1,0),""),"Produtos",IF(B1055=IFERROR(VLOOKUP(B1055,base!$K$2:$K$8,1,0),""),"Serviços","Combos"))</f>
        <v>Serviços</v>
      </c>
      <c r="J1055">
        <f t="shared" si="26"/>
        <v>15.75</v>
      </c>
      <c r="K1055" s="1">
        <f t="shared" si="27"/>
        <v>45745</v>
      </c>
      <c r="P1055" s="1">
        <f t="shared" si="28"/>
        <v>45745</v>
      </c>
    </row>
    <row r="1056" spans="1:16">
      <c r="A1056" t="s">
        <v>519</v>
      </c>
      <c r="B1056" t="s">
        <v>163</v>
      </c>
      <c r="C1056" t="s">
        <v>1811</v>
      </c>
      <c r="D1056" s="14">
        <v>35</v>
      </c>
      <c r="E1056" s="14">
        <v>35</v>
      </c>
      <c r="F1056" s="1" t="s">
        <v>1812</v>
      </c>
      <c r="G1056" t="s">
        <v>2</v>
      </c>
      <c r="H1056" t="s">
        <v>115</v>
      </c>
      <c r="I1056" t="str">
        <f>IF(B1056=IFERROR(VLOOKUP(B1056,base!$L$1:$L$9,1,0),""),"Produtos",IF(B1056=IFERROR(VLOOKUP(B1056,base!$K$2:$K$8,1,0),""),"Serviços","Combos"))</f>
        <v>Serviços</v>
      </c>
      <c r="J1056">
        <f t="shared" si="26"/>
        <v>15.75</v>
      </c>
      <c r="K1056" s="1">
        <f t="shared" si="27"/>
        <v>45745</v>
      </c>
      <c r="P1056" s="1">
        <f t="shared" si="28"/>
        <v>45745</v>
      </c>
    </row>
    <row r="1057" spans="1:16">
      <c r="A1057" t="s">
        <v>536</v>
      </c>
      <c r="B1057" t="s">
        <v>163</v>
      </c>
      <c r="C1057" t="s">
        <v>1813</v>
      </c>
      <c r="D1057" s="14">
        <v>35</v>
      </c>
      <c r="E1057" s="14">
        <v>35</v>
      </c>
      <c r="F1057" s="1" t="s">
        <v>1797</v>
      </c>
      <c r="G1057" t="s">
        <v>1</v>
      </c>
      <c r="H1057" t="s">
        <v>471</v>
      </c>
      <c r="I1057" t="str">
        <f>IF(B1057=IFERROR(VLOOKUP(B1057,base!$L$1:$L$9,1,0),""),"Produtos",IF(B1057=IFERROR(VLOOKUP(B1057,base!$K$2:$K$8,1,0),""),"Serviços","Combos"))</f>
        <v>Serviços</v>
      </c>
      <c r="J1057">
        <f t="shared" si="26"/>
        <v>15.75</v>
      </c>
      <c r="K1057" s="1">
        <f t="shared" si="27"/>
        <v>45745</v>
      </c>
      <c r="P1057" s="1">
        <f t="shared" si="28"/>
        <v>45745</v>
      </c>
    </row>
    <row r="1058" spans="1:16">
      <c r="A1058" t="s">
        <v>252</v>
      </c>
      <c r="B1058" t="s">
        <v>353</v>
      </c>
      <c r="C1058" t="s">
        <v>1814</v>
      </c>
      <c r="D1058" s="14">
        <v>60</v>
      </c>
      <c r="E1058" s="14">
        <v>55</v>
      </c>
      <c r="F1058" s="1" t="s">
        <v>1803</v>
      </c>
      <c r="G1058" t="s">
        <v>310</v>
      </c>
      <c r="H1058" t="s">
        <v>294</v>
      </c>
      <c r="I1058" t="str">
        <f>IF(B1058=IFERROR(VLOOKUP(B1058,base!$L$1:$L$9,1,0),""),"Produtos",IF(B1058=IFERROR(VLOOKUP(B1058,base!$K$2:$K$8,1,0),""),"Serviços","Combos"))</f>
        <v>Combos</v>
      </c>
      <c r="J1058">
        <f t="shared" si="26"/>
        <v>27</v>
      </c>
      <c r="K1058" s="1">
        <f t="shared" si="27"/>
        <v>45745</v>
      </c>
      <c r="P1058" s="1">
        <f t="shared" si="28"/>
        <v>45745</v>
      </c>
    </row>
    <row r="1059" spans="1:16">
      <c r="A1059" t="s">
        <v>536</v>
      </c>
      <c r="B1059" t="s">
        <v>163</v>
      </c>
      <c r="C1059" t="s">
        <v>1815</v>
      </c>
      <c r="D1059" s="14">
        <v>35</v>
      </c>
      <c r="E1059" s="14">
        <v>35</v>
      </c>
      <c r="F1059" s="1" t="s">
        <v>1816</v>
      </c>
      <c r="G1059" t="s">
        <v>2</v>
      </c>
      <c r="H1059" t="s">
        <v>1817</v>
      </c>
      <c r="I1059" t="str">
        <f>IF(B1059=IFERROR(VLOOKUP(B1059,base!$L$1:$L$9,1,0),""),"Produtos",IF(B1059=IFERROR(VLOOKUP(B1059,base!$K$2:$K$8,1,0),""),"Serviços","Combos"))</f>
        <v>Serviços</v>
      </c>
      <c r="J1059">
        <f t="shared" si="26"/>
        <v>15.75</v>
      </c>
      <c r="K1059" s="1">
        <f t="shared" si="27"/>
        <v>45745</v>
      </c>
      <c r="P1059" s="1">
        <f t="shared" si="28"/>
        <v>45745</v>
      </c>
    </row>
    <row r="1060" spans="1:16">
      <c r="A1060" t="s">
        <v>519</v>
      </c>
      <c r="B1060" t="s">
        <v>353</v>
      </c>
      <c r="C1060" t="s">
        <v>1818</v>
      </c>
      <c r="D1060" s="14">
        <v>50</v>
      </c>
      <c r="E1060" s="14">
        <v>100</v>
      </c>
      <c r="F1060" s="1" t="s">
        <v>1819</v>
      </c>
      <c r="G1060" t="s">
        <v>354</v>
      </c>
      <c r="H1060" t="s">
        <v>1820</v>
      </c>
      <c r="I1060" t="str">
        <f>IF(B1060=IFERROR(VLOOKUP(B1060,base!$L$1:$L$9,1,0),""),"Produtos",IF(B1060=IFERROR(VLOOKUP(B1060,base!$K$2:$K$8,1,0),""),"Serviços","Combos"))</f>
        <v>Combos</v>
      </c>
      <c r="J1060">
        <f t="shared" si="26"/>
        <v>22.5</v>
      </c>
      <c r="K1060" s="1">
        <f t="shared" si="27"/>
        <v>45745</v>
      </c>
      <c r="P1060" s="1">
        <f t="shared" si="28"/>
        <v>45745</v>
      </c>
    </row>
    <row r="1061" spans="1:16">
      <c r="A1061" t="s">
        <v>519</v>
      </c>
      <c r="B1061" t="s">
        <v>513</v>
      </c>
      <c r="C1061" t="s">
        <v>1818</v>
      </c>
      <c r="D1061" s="14">
        <v>30</v>
      </c>
      <c r="E1061" t="s">
        <v>1604</v>
      </c>
      <c r="F1061" s="1" t="s">
        <v>1819</v>
      </c>
      <c r="G1061" t="s">
        <v>354</v>
      </c>
      <c r="H1061" t="s">
        <v>1820</v>
      </c>
      <c r="I1061" t="str">
        <f>IF(B1061=IFERROR(VLOOKUP(B1061,base!$L$1:$L$9,1,0),""),"Produtos",IF(B1061=IFERROR(VLOOKUP(B1061,base!$K$2:$K$8,1,0),""),"Serviços","Combos"))</f>
        <v>Produtos</v>
      </c>
      <c r="J1061">
        <f t="shared" si="26"/>
        <v>12</v>
      </c>
      <c r="K1061" s="1">
        <f t="shared" si="27"/>
        <v>45745</v>
      </c>
      <c r="P1061" s="1">
        <f t="shared" si="28"/>
        <v>45745</v>
      </c>
    </row>
    <row r="1062" spans="1:16">
      <c r="A1062" t="s">
        <v>519</v>
      </c>
      <c r="B1062" t="s">
        <v>509</v>
      </c>
      <c r="C1062" t="s">
        <v>1818</v>
      </c>
      <c r="D1062" s="14">
        <v>20</v>
      </c>
      <c r="E1062" t="s">
        <v>1604</v>
      </c>
      <c r="F1062" s="1" t="s">
        <v>1819</v>
      </c>
      <c r="G1062" t="s">
        <v>354</v>
      </c>
      <c r="H1062" t="s">
        <v>1820</v>
      </c>
      <c r="I1062" t="str">
        <f>IF(B1062=IFERROR(VLOOKUP(B1062,base!$L$1:$L$9,1,0),""),"Produtos",IF(B1062=IFERROR(VLOOKUP(B1062,base!$K$2:$K$8,1,0),""),"Serviços","Combos"))</f>
        <v>Produtos</v>
      </c>
      <c r="J1062">
        <f t="shared" si="26"/>
        <v>8</v>
      </c>
      <c r="K1062" s="1">
        <f t="shared" si="27"/>
        <v>45745</v>
      </c>
      <c r="P1062" s="1">
        <f t="shared" si="28"/>
        <v>45745</v>
      </c>
    </row>
    <row r="1063" spans="1:16">
      <c r="A1063" t="s">
        <v>252</v>
      </c>
      <c r="B1063" t="s">
        <v>353</v>
      </c>
      <c r="C1063" t="s">
        <v>1821</v>
      </c>
      <c r="D1063" s="14">
        <v>60</v>
      </c>
      <c r="E1063" s="14">
        <v>95</v>
      </c>
      <c r="F1063" s="1" t="s">
        <v>1822</v>
      </c>
      <c r="G1063" t="s">
        <v>310</v>
      </c>
      <c r="H1063" t="s">
        <v>1823</v>
      </c>
      <c r="I1063" t="str">
        <f>IF(B1063=IFERROR(VLOOKUP(B1063,base!$L$1:$L$9,1,0),""),"Produtos",IF(B1063=IFERROR(VLOOKUP(B1063,base!$K$2:$K$8,1,0),""),"Serviços","Combos"))</f>
        <v>Combos</v>
      </c>
      <c r="J1063">
        <f t="shared" si="26"/>
        <v>27</v>
      </c>
      <c r="K1063" s="1">
        <f t="shared" si="27"/>
        <v>45745</v>
      </c>
      <c r="P1063" s="1">
        <f t="shared" si="28"/>
        <v>45745</v>
      </c>
    </row>
    <row r="1064" spans="1:16">
      <c r="A1064" t="s">
        <v>252</v>
      </c>
      <c r="B1064" t="s">
        <v>513</v>
      </c>
      <c r="C1064" t="s">
        <v>1821</v>
      </c>
      <c r="D1064" s="14">
        <v>35</v>
      </c>
      <c r="E1064" t="s">
        <v>1604</v>
      </c>
      <c r="F1064" s="1" t="s">
        <v>1822</v>
      </c>
      <c r="G1064" t="s">
        <v>310</v>
      </c>
      <c r="H1064" t="s">
        <v>1823</v>
      </c>
      <c r="I1064" t="str">
        <f>IF(B1064=IFERROR(VLOOKUP(B1064,base!$L$1:$L$9,1,0),""),"Produtos",IF(B1064=IFERROR(VLOOKUP(B1064,base!$K$2:$K$8,1,0),""),"Serviços","Combos"))</f>
        <v>Produtos</v>
      </c>
      <c r="J1064">
        <f t="shared" si="26"/>
        <v>14</v>
      </c>
      <c r="K1064" s="1">
        <f t="shared" si="27"/>
        <v>45745</v>
      </c>
      <c r="P1064" s="1">
        <f t="shared" si="28"/>
        <v>45745</v>
      </c>
    </row>
    <row r="1065" spans="1:16">
      <c r="A1065" t="s">
        <v>252</v>
      </c>
      <c r="B1065" t="s">
        <v>163</v>
      </c>
      <c r="C1065" t="s">
        <v>1824</v>
      </c>
      <c r="D1065" s="14">
        <v>35</v>
      </c>
      <c r="E1065" s="14">
        <v>40</v>
      </c>
      <c r="F1065" s="1" t="s">
        <v>1810</v>
      </c>
      <c r="G1065" t="s">
        <v>1</v>
      </c>
      <c r="H1065" t="s">
        <v>1092</v>
      </c>
      <c r="I1065" t="str">
        <f>IF(B1065=IFERROR(VLOOKUP(B1065,base!$L$1:$L$9,1,0),""),"Produtos",IF(B1065=IFERROR(VLOOKUP(B1065,base!$K$2:$K$8,1,0),""),"Serviços","Combos"))</f>
        <v>Serviços</v>
      </c>
      <c r="J1065">
        <f t="shared" si="26"/>
        <v>15.75</v>
      </c>
      <c r="K1065" s="1">
        <f t="shared" si="27"/>
        <v>45745</v>
      </c>
      <c r="P1065" s="1">
        <f t="shared" si="28"/>
        <v>45745</v>
      </c>
    </row>
    <row r="1066" spans="1:16">
      <c r="A1066" t="s">
        <v>519</v>
      </c>
      <c r="B1066" t="s">
        <v>353</v>
      </c>
      <c r="C1066" t="s">
        <v>1825</v>
      </c>
      <c r="D1066" s="14">
        <v>50</v>
      </c>
      <c r="E1066" s="14">
        <v>50</v>
      </c>
      <c r="F1066" s="1" t="s">
        <v>1826</v>
      </c>
      <c r="G1066" t="s">
        <v>2</v>
      </c>
      <c r="H1066" t="s">
        <v>278</v>
      </c>
      <c r="I1066" t="str">
        <f>IF(B1066=IFERROR(VLOOKUP(B1066,base!$L$1:$L$9,1,0),""),"Produtos",IF(B1066=IFERROR(VLOOKUP(B1066,base!$K$2:$K$8,1,0),""),"Serviços","Combos"))</f>
        <v>Combos</v>
      </c>
      <c r="J1066">
        <f t="shared" si="26"/>
        <v>22.5</v>
      </c>
      <c r="K1066" s="1">
        <f t="shared" si="27"/>
        <v>45745</v>
      </c>
      <c r="P1066" s="1">
        <f t="shared" si="28"/>
        <v>45745</v>
      </c>
    </row>
    <row r="1067" spans="1:16">
      <c r="A1067" t="s">
        <v>536</v>
      </c>
      <c r="B1067" t="s">
        <v>353</v>
      </c>
      <c r="C1067" t="s">
        <v>1827</v>
      </c>
      <c r="D1067" s="14">
        <v>60</v>
      </c>
      <c r="E1067" s="14">
        <v>60</v>
      </c>
      <c r="F1067" s="1" t="s">
        <v>1826</v>
      </c>
      <c r="G1067" t="s">
        <v>1</v>
      </c>
      <c r="H1067" t="s">
        <v>1154</v>
      </c>
      <c r="I1067" t="str">
        <f>IF(B1067=IFERROR(VLOOKUP(B1067,base!$L$1:$L$9,1,0),""),"Produtos",IF(B1067=IFERROR(VLOOKUP(B1067,base!$K$2:$K$8,1,0),""),"Serviços","Combos"))</f>
        <v>Combos</v>
      </c>
      <c r="J1067">
        <f t="shared" si="26"/>
        <v>27</v>
      </c>
      <c r="K1067" s="1">
        <f t="shared" si="27"/>
        <v>45745</v>
      </c>
      <c r="P1067" s="1">
        <f t="shared" si="28"/>
        <v>45745</v>
      </c>
    </row>
    <row r="1068" spans="1:16">
      <c r="A1068" t="s">
        <v>536</v>
      </c>
      <c r="B1068" t="s">
        <v>163</v>
      </c>
      <c r="C1068" t="s">
        <v>1828</v>
      </c>
      <c r="D1068" s="14">
        <v>35</v>
      </c>
      <c r="E1068" s="14">
        <v>35</v>
      </c>
      <c r="F1068" s="1" t="s">
        <v>1829</v>
      </c>
      <c r="G1068" t="s">
        <v>1</v>
      </c>
      <c r="H1068" t="s">
        <v>42</v>
      </c>
      <c r="I1068" t="str">
        <f>IF(B1068=IFERROR(VLOOKUP(B1068,base!$L$1:$L$9,1,0),""),"Produtos",IF(B1068=IFERROR(VLOOKUP(B1068,base!$K$2:$K$8,1,0),""),"Serviços","Combos"))</f>
        <v>Serviços</v>
      </c>
      <c r="J1068">
        <f t="shared" si="26"/>
        <v>15.75</v>
      </c>
      <c r="K1068" s="1">
        <f t="shared" si="27"/>
        <v>45745</v>
      </c>
      <c r="P1068" s="1">
        <f t="shared" si="28"/>
        <v>45745</v>
      </c>
    </row>
    <row r="1069" spans="1:16">
      <c r="A1069" t="s">
        <v>519</v>
      </c>
      <c r="B1069" t="s">
        <v>160</v>
      </c>
      <c r="C1069" t="s">
        <v>1830</v>
      </c>
      <c r="D1069" s="14">
        <v>12</v>
      </c>
      <c r="E1069" s="14">
        <v>12</v>
      </c>
      <c r="F1069" s="1" t="s">
        <v>1831</v>
      </c>
      <c r="G1069" t="s">
        <v>1</v>
      </c>
      <c r="H1069" t="s">
        <v>13</v>
      </c>
      <c r="I1069" t="str">
        <f>IF(B1069=IFERROR(VLOOKUP(B1069,base!$L$1:$L$9,1,0),""),"Produtos",IF(B1069=IFERROR(VLOOKUP(B1069,base!$K$2:$K$8,1,0),""),"Serviços","Combos"))</f>
        <v>Serviços</v>
      </c>
      <c r="J1069">
        <f t="shared" si="26"/>
        <v>5.4</v>
      </c>
      <c r="K1069" s="1">
        <f t="shared" si="27"/>
        <v>45745</v>
      </c>
      <c r="P1069" s="1">
        <f t="shared" si="28"/>
        <v>45745</v>
      </c>
    </row>
    <row r="1070" spans="1:16">
      <c r="A1070" t="s">
        <v>519</v>
      </c>
      <c r="B1070" t="s">
        <v>163</v>
      </c>
      <c r="C1070" t="s">
        <v>1832</v>
      </c>
      <c r="D1070" s="14">
        <v>50</v>
      </c>
      <c r="E1070" s="14">
        <v>0</v>
      </c>
      <c r="F1070" s="1" t="s">
        <v>1833</v>
      </c>
      <c r="G1070" t="s">
        <v>1</v>
      </c>
      <c r="H1070" t="s">
        <v>414</v>
      </c>
      <c r="I1070" t="str">
        <f>IF(B1070=IFERROR(VLOOKUP(B1070,base!$L$1:$L$9,1,0),""),"Produtos",IF(B1070=IFERROR(VLOOKUP(B1070,base!$K$2:$K$8,1,0),""),"Serviços","Combos"))</f>
        <v>Serviços</v>
      </c>
      <c r="J1070">
        <f t="shared" si="26"/>
        <v>22.5</v>
      </c>
      <c r="K1070" s="1">
        <f t="shared" si="27"/>
        <v>45745</v>
      </c>
      <c r="P1070" s="1">
        <f t="shared" si="28"/>
        <v>45745</v>
      </c>
    </row>
    <row r="1071" spans="1:16">
      <c r="A1071" t="s">
        <v>252</v>
      </c>
      <c r="B1071" t="s">
        <v>163</v>
      </c>
      <c r="C1071" t="s">
        <v>1834</v>
      </c>
      <c r="D1071" s="14">
        <v>35</v>
      </c>
      <c r="E1071" s="14">
        <v>45</v>
      </c>
      <c r="F1071" s="1" t="s">
        <v>1835</v>
      </c>
      <c r="G1071" t="s">
        <v>1</v>
      </c>
      <c r="H1071" t="s">
        <v>1836</v>
      </c>
      <c r="I1071" t="str">
        <f>IF(B1071=IFERROR(VLOOKUP(B1071,base!$L$1:$L$9,1,0),""),"Produtos",IF(B1071=IFERROR(VLOOKUP(B1071,base!$K$2:$K$8,1,0),""),"Serviços","Combos"))</f>
        <v>Serviços</v>
      </c>
      <c r="J1071">
        <f t="shared" si="26"/>
        <v>15.75</v>
      </c>
      <c r="K1071" s="1">
        <f t="shared" si="27"/>
        <v>45745</v>
      </c>
      <c r="P1071" s="1">
        <f t="shared" si="28"/>
        <v>45745</v>
      </c>
    </row>
    <row r="1072" spans="1:16">
      <c r="A1072" t="s">
        <v>252</v>
      </c>
      <c r="B1072" t="s">
        <v>167</v>
      </c>
      <c r="C1072" t="s">
        <v>1834</v>
      </c>
      <c r="D1072" s="14">
        <v>10</v>
      </c>
      <c r="E1072" t="s">
        <v>1604</v>
      </c>
      <c r="F1072" s="1" t="s">
        <v>1835</v>
      </c>
      <c r="G1072" t="s">
        <v>1</v>
      </c>
      <c r="H1072" t="s">
        <v>1836</v>
      </c>
      <c r="I1072" t="str">
        <f>IF(B1072=IFERROR(VLOOKUP(B1072,base!$L$1:$L$9,1,0),""),"Produtos",IF(B1072=IFERROR(VLOOKUP(B1072,base!$K$2:$K$8,1,0),""),"Serviços","Combos"))</f>
        <v>Serviços</v>
      </c>
      <c r="J1072">
        <f t="shared" si="26"/>
        <v>4.5</v>
      </c>
      <c r="K1072" s="1">
        <f t="shared" si="27"/>
        <v>45745</v>
      </c>
      <c r="P1072" s="1">
        <f t="shared" si="28"/>
        <v>45745</v>
      </c>
    </row>
    <row r="1073" spans="1:16">
      <c r="A1073" t="s">
        <v>252</v>
      </c>
      <c r="B1073" t="s">
        <v>163</v>
      </c>
      <c r="C1073" t="s">
        <v>1837</v>
      </c>
      <c r="D1073" s="14">
        <v>35</v>
      </c>
      <c r="E1073" s="14">
        <v>20</v>
      </c>
      <c r="F1073" s="1" t="s">
        <v>1838</v>
      </c>
      <c r="G1073" t="s">
        <v>354</v>
      </c>
      <c r="H1073" t="s">
        <v>1839</v>
      </c>
      <c r="I1073" t="str">
        <f>IF(B1073=IFERROR(VLOOKUP(B1073,base!$L$1:$L$9,1,0),""),"Produtos",IF(B1073=IFERROR(VLOOKUP(B1073,base!$K$2:$K$8,1,0),""),"Serviços","Combos"))</f>
        <v>Serviços</v>
      </c>
      <c r="J1073">
        <f t="shared" si="26"/>
        <v>15.75</v>
      </c>
      <c r="K1073" s="1">
        <f t="shared" si="27"/>
        <v>45745</v>
      </c>
      <c r="P1073" s="1">
        <f t="shared" si="28"/>
        <v>45745</v>
      </c>
    </row>
    <row r="1074" spans="1:16">
      <c r="A1074" t="s">
        <v>536</v>
      </c>
      <c r="B1074" t="s">
        <v>163</v>
      </c>
      <c r="C1074" t="s">
        <v>1840</v>
      </c>
      <c r="D1074" s="14">
        <v>35</v>
      </c>
      <c r="E1074" s="14">
        <v>55</v>
      </c>
      <c r="F1074" s="1" t="s">
        <v>1841</v>
      </c>
      <c r="G1074" t="s">
        <v>1</v>
      </c>
      <c r="H1074" t="s">
        <v>1134</v>
      </c>
      <c r="I1074" t="str">
        <f>IF(B1074=IFERROR(VLOOKUP(B1074,base!$L$1:$L$9,1,0),""),"Produtos",IF(B1074=IFERROR(VLOOKUP(B1074,base!$K$2:$K$8,1,0),""),"Serviços","Combos"))</f>
        <v>Serviços</v>
      </c>
      <c r="J1074">
        <f t="shared" si="26"/>
        <v>15.75</v>
      </c>
      <c r="K1074" s="1">
        <f t="shared" si="27"/>
        <v>45745</v>
      </c>
      <c r="P1074" s="1">
        <f t="shared" si="28"/>
        <v>45745</v>
      </c>
    </row>
    <row r="1075" spans="1:16">
      <c r="A1075" t="s">
        <v>536</v>
      </c>
      <c r="B1075" t="s">
        <v>166</v>
      </c>
      <c r="C1075" t="s">
        <v>1840</v>
      </c>
      <c r="D1075" s="14">
        <v>20</v>
      </c>
      <c r="E1075" t="s">
        <v>1604</v>
      </c>
      <c r="F1075" s="1" t="s">
        <v>1841</v>
      </c>
      <c r="G1075" t="s">
        <v>1</v>
      </c>
      <c r="H1075" t="s">
        <v>1134</v>
      </c>
      <c r="I1075" t="str">
        <f>IF(B1075=IFERROR(VLOOKUP(B1075,base!$L$1:$L$9,1,0),""),"Produtos",IF(B1075=IFERROR(VLOOKUP(B1075,base!$K$2:$K$8,1,0),""),"Serviços","Combos"))</f>
        <v>Serviços</v>
      </c>
      <c r="J1075">
        <f t="shared" si="26"/>
        <v>9</v>
      </c>
      <c r="K1075" s="1">
        <f t="shared" si="27"/>
        <v>45745</v>
      </c>
      <c r="P1075" s="1">
        <f t="shared" si="28"/>
        <v>45745</v>
      </c>
    </row>
    <row r="1076" spans="1:16">
      <c r="A1076" t="s">
        <v>536</v>
      </c>
      <c r="B1076" t="s">
        <v>353</v>
      </c>
      <c r="C1076" t="s">
        <v>1842</v>
      </c>
      <c r="D1076" s="14">
        <v>50</v>
      </c>
      <c r="E1076" s="14">
        <v>50</v>
      </c>
      <c r="F1076" s="1" t="s">
        <v>1833</v>
      </c>
      <c r="G1076" t="s">
        <v>1</v>
      </c>
      <c r="H1076" t="s">
        <v>411</v>
      </c>
      <c r="I1076" t="str">
        <f>IF(B1076=IFERROR(VLOOKUP(B1076,base!$L$1:$L$9,1,0),""),"Produtos",IF(B1076=IFERROR(VLOOKUP(B1076,base!$K$2:$K$8,1,0),""),"Serviços","Combos"))</f>
        <v>Combos</v>
      </c>
      <c r="J1076">
        <f t="shared" si="26"/>
        <v>22.5</v>
      </c>
      <c r="K1076" s="1">
        <f t="shared" si="27"/>
        <v>45745</v>
      </c>
      <c r="P1076" s="1">
        <f t="shared" si="28"/>
        <v>45745</v>
      </c>
    </row>
    <row r="1077" spans="1:16">
      <c r="A1077" t="s">
        <v>252</v>
      </c>
      <c r="B1077" t="s">
        <v>163</v>
      </c>
      <c r="C1077" t="s">
        <v>1843</v>
      </c>
      <c r="D1077" s="14">
        <v>35</v>
      </c>
      <c r="E1077" s="14">
        <v>35</v>
      </c>
      <c r="F1077" s="1" t="s">
        <v>1844</v>
      </c>
      <c r="G1077" t="s">
        <v>1</v>
      </c>
      <c r="H1077" t="s">
        <v>18</v>
      </c>
      <c r="I1077" t="str">
        <f>IF(B1077=IFERROR(VLOOKUP(B1077,base!$L$1:$L$9,1,0),""),"Produtos",IF(B1077=IFERROR(VLOOKUP(B1077,base!$K$2:$K$8,1,0),""),"Serviços","Combos"))</f>
        <v>Serviços</v>
      </c>
      <c r="J1077">
        <f t="shared" ref="J1077:J1096" si="29">IF(AND(I1077="Serviços",E1077&gt;0),ROUND(D1077*45%,2),IF(I1077="Produtos",ROUND(D1077*40%,2),D1077*45%))</f>
        <v>15.75</v>
      </c>
      <c r="K1077" s="1">
        <f t="shared" ref="K1077:K1096" si="30">DATEVALUE(F1077)</f>
        <v>45745</v>
      </c>
      <c r="P1077" s="1">
        <f t="shared" ref="P1077:P1096" si="31">DATEVALUE(F1077)</f>
        <v>45745</v>
      </c>
    </row>
    <row r="1078" spans="1:16">
      <c r="A1078" t="s">
        <v>519</v>
      </c>
      <c r="B1078" t="s">
        <v>1046</v>
      </c>
      <c r="C1078" t="s">
        <v>1845</v>
      </c>
      <c r="D1078" s="14">
        <v>35</v>
      </c>
      <c r="E1078" s="14">
        <v>35</v>
      </c>
      <c r="F1078" s="1" t="s">
        <v>1846</v>
      </c>
      <c r="G1078" t="s">
        <v>1</v>
      </c>
      <c r="H1078" t="s">
        <v>126</v>
      </c>
      <c r="I1078" t="str">
        <f>IF(B1078=IFERROR(VLOOKUP(B1078,base!$L$1:$L$9,1,0),""),"Produtos",IF(B1078=IFERROR(VLOOKUP(B1078,base!$K$2:$K$8,1,0),""),"Serviços","Combos"))</f>
        <v>Combos</v>
      </c>
      <c r="J1078">
        <f t="shared" si="29"/>
        <v>15.75</v>
      </c>
      <c r="K1078" s="1">
        <f t="shared" si="30"/>
        <v>45745</v>
      </c>
      <c r="P1078" s="1">
        <f t="shared" si="31"/>
        <v>45745</v>
      </c>
    </row>
    <row r="1079" spans="1:16">
      <c r="A1079" t="s">
        <v>536</v>
      </c>
      <c r="B1079" t="s">
        <v>163</v>
      </c>
      <c r="C1079" t="s">
        <v>1847</v>
      </c>
      <c r="D1079" s="14">
        <v>35</v>
      </c>
      <c r="E1079" s="14">
        <v>35</v>
      </c>
      <c r="F1079" s="1" t="s">
        <v>1848</v>
      </c>
      <c r="G1079" t="s">
        <v>2</v>
      </c>
      <c r="H1079" t="s">
        <v>1058</v>
      </c>
      <c r="I1079" t="str">
        <f>IF(B1079=IFERROR(VLOOKUP(B1079,base!$L$1:$L$9,1,0),""),"Produtos",IF(B1079=IFERROR(VLOOKUP(B1079,base!$K$2:$K$8,1,0),""),"Serviços","Combos"))</f>
        <v>Serviços</v>
      </c>
      <c r="J1079">
        <f t="shared" si="29"/>
        <v>15.75</v>
      </c>
      <c r="K1079" s="1">
        <f t="shared" si="30"/>
        <v>45745</v>
      </c>
      <c r="P1079" s="1">
        <f t="shared" si="31"/>
        <v>45745</v>
      </c>
    </row>
    <row r="1080" spans="1:16">
      <c r="A1080" t="s">
        <v>519</v>
      </c>
      <c r="B1080" t="s">
        <v>163</v>
      </c>
      <c r="C1080" t="s">
        <v>1849</v>
      </c>
      <c r="D1080" s="14">
        <v>35</v>
      </c>
      <c r="E1080" s="14">
        <v>35</v>
      </c>
      <c r="F1080" s="1" t="s">
        <v>1841</v>
      </c>
      <c r="G1080" t="s">
        <v>1</v>
      </c>
      <c r="H1080" t="s">
        <v>35</v>
      </c>
      <c r="I1080" t="str">
        <f>IF(B1080=IFERROR(VLOOKUP(B1080,base!$L$1:$L$9,1,0),""),"Produtos",IF(B1080=IFERROR(VLOOKUP(B1080,base!$K$2:$K$8,1,0),""),"Serviços","Combos"))</f>
        <v>Serviços</v>
      </c>
      <c r="J1080">
        <f t="shared" si="29"/>
        <v>15.75</v>
      </c>
      <c r="K1080" s="1">
        <f t="shared" si="30"/>
        <v>45745</v>
      </c>
      <c r="P1080" s="1">
        <f t="shared" si="31"/>
        <v>45745</v>
      </c>
    </row>
    <row r="1081" spans="1:16">
      <c r="A1081" t="s">
        <v>536</v>
      </c>
      <c r="B1081" t="s">
        <v>163</v>
      </c>
      <c r="C1081" t="s">
        <v>1850</v>
      </c>
      <c r="D1081" s="14">
        <v>35</v>
      </c>
      <c r="E1081" s="14">
        <v>35</v>
      </c>
      <c r="F1081" s="1" t="s">
        <v>1851</v>
      </c>
      <c r="G1081" t="s">
        <v>2</v>
      </c>
      <c r="H1081" t="s">
        <v>410</v>
      </c>
      <c r="I1081" t="str">
        <f>IF(B1081=IFERROR(VLOOKUP(B1081,base!$L$1:$L$9,1,0),""),"Produtos",IF(B1081=IFERROR(VLOOKUP(B1081,base!$K$2:$K$8,1,0),""),"Serviços","Combos"))</f>
        <v>Serviços</v>
      </c>
      <c r="J1081">
        <f t="shared" si="29"/>
        <v>15.75</v>
      </c>
      <c r="K1081" s="1">
        <f t="shared" si="30"/>
        <v>45745</v>
      </c>
      <c r="P1081" s="1">
        <f t="shared" si="31"/>
        <v>45745</v>
      </c>
    </row>
    <row r="1082" spans="1:16">
      <c r="A1082" t="s">
        <v>252</v>
      </c>
      <c r="B1082" t="s">
        <v>353</v>
      </c>
      <c r="C1082" t="s">
        <v>1852</v>
      </c>
      <c r="D1082" s="14">
        <v>60</v>
      </c>
      <c r="E1082" s="14">
        <v>60</v>
      </c>
      <c r="F1082" s="1" t="s">
        <v>1851</v>
      </c>
      <c r="G1082" t="s">
        <v>1</v>
      </c>
      <c r="H1082" t="s">
        <v>203</v>
      </c>
      <c r="I1082" t="str">
        <f>IF(B1082=IFERROR(VLOOKUP(B1082,base!$L$1:$L$9,1,0),""),"Produtos",IF(B1082=IFERROR(VLOOKUP(B1082,base!$K$2:$K$8,1,0),""),"Serviços","Combos"))</f>
        <v>Combos</v>
      </c>
      <c r="J1082">
        <f t="shared" si="29"/>
        <v>27</v>
      </c>
      <c r="K1082" s="1">
        <f t="shared" si="30"/>
        <v>45745</v>
      </c>
      <c r="P1082" s="1">
        <f t="shared" si="31"/>
        <v>45745</v>
      </c>
    </row>
    <row r="1083" spans="1:16">
      <c r="A1083" t="s">
        <v>252</v>
      </c>
      <c r="B1083" t="s">
        <v>163</v>
      </c>
      <c r="C1083" t="s">
        <v>1853</v>
      </c>
      <c r="D1083" s="14">
        <v>35</v>
      </c>
      <c r="E1083" s="14">
        <v>35</v>
      </c>
      <c r="F1083" s="1" t="s">
        <v>1854</v>
      </c>
      <c r="G1083" t="s">
        <v>1</v>
      </c>
      <c r="H1083" t="s">
        <v>277</v>
      </c>
      <c r="I1083" t="str">
        <f>IF(B1083=IFERROR(VLOOKUP(B1083,base!$L$1:$L$9,1,0),""),"Produtos",IF(B1083=IFERROR(VLOOKUP(B1083,base!$K$2:$K$8,1,0),""),"Serviços","Combos"))</f>
        <v>Serviços</v>
      </c>
      <c r="J1083">
        <f t="shared" si="29"/>
        <v>15.75</v>
      </c>
      <c r="K1083" s="1">
        <f t="shared" si="30"/>
        <v>45747</v>
      </c>
      <c r="P1083" s="1">
        <f t="shared" si="31"/>
        <v>45747</v>
      </c>
    </row>
    <row r="1084" spans="1:16">
      <c r="A1084" t="s">
        <v>536</v>
      </c>
      <c r="B1084" t="s">
        <v>353</v>
      </c>
      <c r="C1084" t="s">
        <v>1855</v>
      </c>
      <c r="D1084" s="14">
        <v>60</v>
      </c>
      <c r="E1084" s="14">
        <v>55</v>
      </c>
      <c r="F1084" s="1" t="s">
        <v>1856</v>
      </c>
      <c r="G1084" t="s">
        <v>1</v>
      </c>
      <c r="H1084" t="s">
        <v>1857</v>
      </c>
      <c r="I1084" t="str">
        <f>IF(B1084=IFERROR(VLOOKUP(B1084,base!$L$1:$L$9,1,0),""),"Produtos",IF(B1084=IFERROR(VLOOKUP(B1084,base!$K$2:$K$8,1,0),""),"Serviços","Combos"))</f>
        <v>Combos</v>
      </c>
      <c r="J1084">
        <f t="shared" si="29"/>
        <v>27</v>
      </c>
      <c r="K1084" s="1">
        <f t="shared" si="30"/>
        <v>45747</v>
      </c>
      <c r="P1084" s="1">
        <f t="shared" si="31"/>
        <v>45747</v>
      </c>
    </row>
    <row r="1085" spans="1:16">
      <c r="A1085" t="s">
        <v>252</v>
      </c>
      <c r="B1085" t="s">
        <v>163</v>
      </c>
      <c r="C1085" t="s">
        <v>1858</v>
      </c>
      <c r="D1085" s="14">
        <v>35</v>
      </c>
      <c r="E1085" s="14">
        <v>35</v>
      </c>
      <c r="F1085" s="1" t="s">
        <v>1859</v>
      </c>
      <c r="G1085" t="s">
        <v>310</v>
      </c>
      <c r="H1085" t="s">
        <v>1561</v>
      </c>
      <c r="I1085" t="str">
        <f>IF(B1085=IFERROR(VLOOKUP(B1085,base!$L$1:$L$9,1,0),""),"Produtos",IF(B1085=IFERROR(VLOOKUP(B1085,base!$K$2:$K$8,1,0),""),"Serviços","Combos"))</f>
        <v>Serviços</v>
      </c>
      <c r="J1085">
        <f t="shared" si="29"/>
        <v>15.75</v>
      </c>
      <c r="K1085" s="1">
        <f t="shared" si="30"/>
        <v>45747</v>
      </c>
      <c r="P1085" s="1">
        <f t="shared" si="31"/>
        <v>45747</v>
      </c>
    </row>
    <row r="1086" spans="1:16">
      <c r="A1086" t="s">
        <v>252</v>
      </c>
      <c r="B1086" t="s">
        <v>163</v>
      </c>
      <c r="C1086" t="s">
        <v>1860</v>
      </c>
      <c r="D1086" s="14">
        <v>35</v>
      </c>
      <c r="E1086" s="14">
        <v>35</v>
      </c>
      <c r="F1086" s="1" t="s">
        <v>1861</v>
      </c>
      <c r="G1086" t="s">
        <v>1</v>
      </c>
      <c r="H1086" t="s">
        <v>1177</v>
      </c>
      <c r="I1086" t="str">
        <f>IF(B1086=IFERROR(VLOOKUP(B1086,base!$L$1:$L$9,1,0),""),"Produtos",IF(B1086=IFERROR(VLOOKUP(B1086,base!$K$2:$K$8,1,0),""),"Serviços","Combos"))</f>
        <v>Serviços</v>
      </c>
      <c r="J1086">
        <f t="shared" si="29"/>
        <v>15.75</v>
      </c>
      <c r="K1086" s="1">
        <f t="shared" si="30"/>
        <v>45747</v>
      </c>
      <c r="P1086" s="1">
        <f t="shared" si="31"/>
        <v>45747</v>
      </c>
    </row>
    <row r="1087" spans="1:16">
      <c r="A1087" t="s">
        <v>252</v>
      </c>
      <c r="B1087" t="s">
        <v>163</v>
      </c>
      <c r="C1087" t="s">
        <v>1862</v>
      </c>
      <c r="D1087" s="14">
        <v>35</v>
      </c>
      <c r="E1087" s="14">
        <v>35</v>
      </c>
      <c r="F1087" s="1" t="s">
        <v>1863</v>
      </c>
      <c r="G1087" t="s">
        <v>1</v>
      </c>
      <c r="H1087" t="s">
        <v>372</v>
      </c>
      <c r="I1087" t="str">
        <f>IF(B1087=IFERROR(VLOOKUP(B1087,base!$L$1:$L$9,1,0),""),"Produtos",IF(B1087=IFERROR(VLOOKUP(B1087,base!$K$2:$K$8,1,0),""),"Serviços","Combos"))</f>
        <v>Serviços</v>
      </c>
      <c r="J1087">
        <f t="shared" si="29"/>
        <v>15.75</v>
      </c>
      <c r="K1087" s="1">
        <f t="shared" si="30"/>
        <v>45747</v>
      </c>
      <c r="P1087" s="1">
        <f t="shared" si="31"/>
        <v>45747</v>
      </c>
    </row>
    <row r="1088" spans="1:16">
      <c r="A1088" t="s">
        <v>252</v>
      </c>
      <c r="B1088" t="s">
        <v>163</v>
      </c>
      <c r="C1088" t="s">
        <v>1864</v>
      </c>
      <c r="D1088" s="14">
        <v>35</v>
      </c>
      <c r="E1088" s="14">
        <v>35</v>
      </c>
      <c r="F1088" s="1" t="s">
        <v>1865</v>
      </c>
      <c r="G1088" t="s">
        <v>1</v>
      </c>
      <c r="H1088" t="s">
        <v>107</v>
      </c>
      <c r="I1088" t="str">
        <f>IF(B1088=IFERROR(VLOOKUP(B1088,base!$L$1:$L$9,1,0),""),"Produtos",IF(B1088=IFERROR(VLOOKUP(B1088,base!$K$2:$K$8,1,0),""),"Serviços","Combos"))</f>
        <v>Serviços</v>
      </c>
      <c r="J1088">
        <f t="shared" si="29"/>
        <v>15.75</v>
      </c>
      <c r="K1088" s="1">
        <f t="shared" si="30"/>
        <v>45747</v>
      </c>
      <c r="P1088" s="1">
        <f t="shared" si="31"/>
        <v>45747</v>
      </c>
    </row>
    <row r="1089" spans="1:16">
      <c r="A1089" t="s">
        <v>252</v>
      </c>
      <c r="B1089" t="s">
        <v>353</v>
      </c>
      <c r="C1089" t="s">
        <v>1866</v>
      </c>
      <c r="D1089" s="14">
        <v>60</v>
      </c>
      <c r="E1089" s="14">
        <v>60</v>
      </c>
      <c r="F1089" s="1" t="s">
        <v>1867</v>
      </c>
      <c r="G1089" t="s">
        <v>1</v>
      </c>
      <c r="H1089" t="s">
        <v>1049</v>
      </c>
      <c r="I1089" t="str">
        <f>IF(B1089=IFERROR(VLOOKUP(B1089,base!$L$1:$L$9,1,0),""),"Produtos",IF(B1089=IFERROR(VLOOKUP(B1089,base!$K$2:$K$8,1,0),""),"Serviços","Combos"))</f>
        <v>Combos</v>
      </c>
      <c r="J1089">
        <f t="shared" si="29"/>
        <v>27</v>
      </c>
      <c r="K1089" s="1">
        <f t="shared" si="30"/>
        <v>45747</v>
      </c>
      <c r="P1089" s="1">
        <f t="shared" si="31"/>
        <v>45747</v>
      </c>
    </row>
    <row r="1090" spans="1:16">
      <c r="A1090" t="s">
        <v>519</v>
      </c>
      <c r="B1090" t="s">
        <v>163</v>
      </c>
      <c r="C1090" t="s">
        <v>1868</v>
      </c>
      <c r="D1090" s="14">
        <v>35</v>
      </c>
      <c r="E1090" s="14">
        <v>35</v>
      </c>
      <c r="F1090" s="1" t="s">
        <v>1869</v>
      </c>
      <c r="G1090" t="s">
        <v>354</v>
      </c>
      <c r="H1090" t="s">
        <v>930</v>
      </c>
      <c r="I1090" t="str">
        <f>IF(B1090=IFERROR(VLOOKUP(B1090,base!$L$1:$L$9,1,0),""),"Produtos",IF(B1090=IFERROR(VLOOKUP(B1090,base!$K$2:$K$8,1,0),""),"Serviços","Combos"))</f>
        <v>Serviços</v>
      </c>
      <c r="J1090">
        <f t="shared" si="29"/>
        <v>15.75</v>
      </c>
      <c r="K1090" s="1">
        <f t="shared" si="30"/>
        <v>45747</v>
      </c>
      <c r="P1090" s="1">
        <f t="shared" si="31"/>
        <v>45747</v>
      </c>
    </row>
    <row r="1091" spans="1:16">
      <c r="A1091" t="s">
        <v>252</v>
      </c>
      <c r="B1091" t="s">
        <v>163</v>
      </c>
      <c r="C1091" t="s">
        <v>1870</v>
      </c>
      <c r="D1091" s="14">
        <v>35</v>
      </c>
      <c r="E1091" s="14">
        <v>35</v>
      </c>
      <c r="F1091" s="1" t="s">
        <v>1871</v>
      </c>
      <c r="G1091" t="s">
        <v>354</v>
      </c>
      <c r="H1091" t="s">
        <v>1872</v>
      </c>
      <c r="I1091" t="str">
        <f>IF(B1091=IFERROR(VLOOKUP(B1091,base!$L$1:$L$9,1,0),""),"Produtos",IF(B1091=IFERROR(VLOOKUP(B1091,base!$K$2:$K$8,1,0),""),"Serviços","Combos"))</f>
        <v>Serviços</v>
      </c>
      <c r="J1091">
        <f t="shared" si="29"/>
        <v>15.75</v>
      </c>
      <c r="K1091" s="1">
        <f t="shared" si="30"/>
        <v>45747</v>
      </c>
      <c r="P1091" s="1">
        <f t="shared" si="31"/>
        <v>45747</v>
      </c>
    </row>
    <row r="1092" spans="1:16">
      <c r="A1092" t="s">
        <v>519</v>
      </c>
      <c r="B1092" t="s">
        <v>163</v>
      </c>
      <c r="C1092" t="s">
        <v>1873</v>
      </c>
      <c r="D1092" s="14">
        <v>35</v>
      </c>
      <c r="E1092" s="14">
        <v>35</v>
      </c>
      <c r="F1092" s="1" t="s">
        <v>1867</v>
      </c>
      <c r="G1092" t="s">
        <v>354</v>
      </c>
      <c r="H1092" t="s">
        <v>1874</v>
      </c>
      <c r="I1092" t="str">
        <f>IF(B1092=IFERROR(VLOOKUP(B1092,base!$L$1:$L$9,1,0),""),"Produtos",IF(B1092=IFERROR(VLOOKUP(B1092,base!$K$2:$K$8,1,0),""),"Serviços","Combos"))</f>
        <v>Serviços</v>
      </c>
      <c r="J1092">
        <f t="shared" si="29"/>
        <v>15.75</v>
      </c>
      <c r="K1092" s="1">
        <f t="shared" si="30"/>
        <v>45747</v>
      </c>
      <c r="P1092" s="1">
        <f t="shared" si="31"/>
        <v>45747</v>
      </c>
    </row>
    <row r="1093" spans="1:16">
      <c r="A1093" t="s">
        <v>252</v>
      </c>
      <c r="B1093" t="s">
        <v>163</v>
      </c>
      <c r="C1093" t="s">
        <v>1875</v>
      </c>
      <c r="D1093" s="14">
        <v>35</v>
      </c>
      <c r="E1093" s="14">
        <v>70</v>
      </c>
      <c r="F1093" s="1" t="s">
        <v>1876</v>
      </c>
      <c r="G1093" t="s">
        <v>354</v>
      </c>
      <c r="H1093" t="s">
        <v>936</v>
      </c>
      <c r="I1093" t="str">
        <f>IF(B1093=IFERROR(VLOOKUP(B1093,base!$L$1:$L$9,1,0),""),"Produtos",IF(B1093=IFERROR(VLOOKUP(B1093,base!$K$2:$K$8,1,0),""),"Serviços","Combos"))</f>
        <v>Serviços</v>
      </c>
      <c r="J1093">
        <f t="shared" si="29"/>
        <v>15.75</v>
      </c>
      <c r="K1093" s="1">
        <f t="shared" si="30"/>
        <v>45747</v>
      </c>
      <c r="P1093" s="1">
        <f t="shared" si="31"/>
        <v>45747</v>
      </c>
    </row>
    <row r="1094" spans="1:16">
      <c r="A1094" t="s">
        <v>519</v>
      </c>
      <c r="B1094" t="s">
        <v>163</v>
      </c>
      <c r="C1094" t="s">
        <v>1877</v>
      </c>
      <c r="D1094" s="14">
        <v>35</v>
      </c>
      <c r="E1094" s="14">
        <v>35</v>
      </c>
      <c r="F1094" s="1" t="s">
        <v>1878</v>
      </c>
      <c r="G1094" t="s">
        <v>1</v>
      </c>
      <c r="H1094" t="s">
        <v>1879</v>
      </c>
      <c r="I1094" t="str">
        <f>IF(B1094=IFERROR(VLOOKUP(B1094,base!$L$1:$L$9,1,0),""),"Produtos",IF(B1094=IFERROR(VLOOKUP(B1094,base!$K$2:$K$8,1,0),""),"Serviços","Combos"))</f>
        <v>Serviços</v>
      </c>
      <c r="J1094">
        <f t="shared" si="29"/>
        <v>15.75</v>
      </c>
      <c r="K1094" s="1">
        <f t="shared" si="30"/>
        <v>45747</v>
      </c>
      <c r="P1094" s="1">
        <f t="shared" si="31"/>
        <v>45747</v>
      </c>
    </row>
    <row r="1095" spans="1:16">
      <c r="A1095" t="s">
        <v>519</v>
      </c>
      <c r="B1095" t="s">
        <v>163</v>
      </c>
      <c r="C1095" t="s">
        <v>1880</v>
      </c>
      <c r="D1095" s="14">
        <v>35</v>
      </c>
      <c r="E1095" s="14">
        <v>35</v>
      </c>
      <c r="F1095" s="1" t="s">
        <v>1881</v>
      </c>
      <c r="G1095" t="s">
        <v>354</v>
      </c>
      <c r="H1095" t="s">
        <v>933</v>
      </c>
      <c r="I1095" t="str">
        <f>IF(B1095=IFERROR(VLOOKUP(B1095,base!$L$1:$L$9,1,0),""),"Produtos",IF(B1095=IFERROR(VLOOKUP(B1095,base!$K$2:$K$8,1,0),""),"Serviços","Combos"))</f>
        <v>Serviços</v>
      </c>
      <c r="J1095">
        <f t="shared" si="29"/>
        <v>15.75</v>
      </c>
      <c r="K1095" s="1">
        <f t="shared" si="30"/>
        <v>45747</v>
      </c>
      <c r="P1095" s="1">
        <f t="shared" si="31"/>
        <v>45747</v>
      </c>
    </row>
    <row r="1096" spans="1:16" s="25" customFormat="1">
      <c r="A1096" s="25" t="s">
        <v>519</v>
      </c>
      <c r="B1096" s="25" t="s">
        <v>163</v>
      </c>
      <c r="C1096" s="25" t="s">
        <v>1882</v>
      </c>
      <c r="D1096" s="26">
        <v>35</v>
      </c>
      <c r="E1096" s="26">
        <v>35</v>
      </c>
      <c r="F1096" s="50" t="s">
        <v>1881</v>
      </c>
      <c r="G1096" s="25" t="s">
        <v>354</v>
      </c>
      <c r="H1096" s="25" t="s">
        <v>928</v>
      </c>
      <c r="I1096" s="25" t="str">
        <f>IF(B1096=IFERROR(VLOOKUP(B1096,base!$L$1:$L$9,1,0),""),"Produtos",IF(B1096=IFERROR(VLOOKUP(B1096,base!$K$2:$K$8,1,0),""),"Serviços","Combos"))</f>
        <v>Serviços</v>
      </c>
      <c r="J1096" s="25">
        <f t="shared" si="29"/>
        <v>15.75</v>
      </c>
      <c r="K1096" s="50">
        <f t="shared" si="30"/>
        <v>45747</v>
      </c>
      <c r="P1096" s="50">
        <f t="shared" si="31"/>
        <v>45747</v>
      </c>
    </row>
    <row r="1097" spans="1:16">
      <c r="A1097" t="s">
        <v>536</v>
      </c>
      <c r="B1097" t="s">
        <v>163</v>
      </c>
      <c r="C1097" t="s">
        <v>1883</v>
      </c>
      <c r="D1097" s="14">
        <v>35</v>
      </c>
      <c r="E1097" s="14">
        <v>55</v>
      </c>
      <c r="F1097" s="1" t="s">
        <v>1884</v>
      </c>
      <c r="G1097" t="s">
        <v>1</v>
      </c>
      <c r="H1097" s="1" t="s">
        <v>202</v>
      </c>
      <c r="I1097" t="str">
        <f>IF(B1097=IFERROR(VLOOKUP(B1097,base!$L$1:$L$9,1,0),""),"Produtos",IF(B1097=IFERROR(VLOOKUP(B1097,base!$K$2:$K$8,1,0),""),"Serviços","Combos"))</f>
        <v>Serviços</v>
      </c>
      <c r="J1097">
        <f>IF(AND(I1097="Serviços",E1097&gt;0),ROUND(D1097*45%,2),IF(I1097="Produtos",ROUND(D1097*40%,2),D1097*45%))</f>
        <v>15.75</v>
      </c>
      <c r="K1097" s="1">
        <f>DATEVALUE(F1097)</f>
        <v>45748</v>
      </c>
      <c r="M1097" s="1"/>
      <c r="P1097"/>
    </row>
    <row r="1098" spans="1:16">
      <c r="A1098" t="s">
        <v>536</v>
      </c>
      <c r="B1098" t="s">
        <v>166</v>
      </c>
      <c r="C1098" t="s">
        <v>1883</v>
      </c>
      <c r="D1098" s="14">
        <v>20</v>
      </c>
      <c r="E1098" t="s">
        <v>1604</v>
      </c>
      <c r="F1098" s="1" t="s">
        <v>1884</v>
      </c>
      <c r="G1098" t="s">
        <v>1</v>
      </c>
      <c r="H1098" s="1" t="s">
        <v>202</v>
      </c>
      <c r="I1098" t="str">
        <f>IF(B1098=IFERROR(VLOOKUP(B1098,base!$L$1:$L$9,1,0),""),"Produtos",IF(B1098=IFERROR(VLOOKUP(B1098,base!$K$2:$K$8,1,0),""),"Serviços","Combos"))</f>
        <v>Serviços</v>
      </c>
      <c r="J1098">
        <f t="shared" ref="J1098:J1161" si="32">IF(AND(I1098="Serviços",E1098&gt;0),ROUND(D1098*45%,2),IF(I1098="Produtos",ROUND(D1098*40%,2),D1098*45%))</f>
        <v>9</v>
      </c>
      <c r="K1098" s="1">
        <f t="shared" ref="K1098:K1161" si="33">DATEVALUE(F1098)</f>
        <v>45748</v>
      </c>
      <c r="M1098" s="1"/>
      <c r="P1098"/>
    </row>
    <row r="1099" spans="1:16">
      <c r="A1099" t="s">
        <v>252</v>
      </c>
      <c r="B1099" t="s">
        <v>163</v>
      </c>
      <c r="C1099" t="s">
        <v>1885</v>
      </c>
      <c r="D1099" s="14">
        <v>35</v>
      </c>
      <c r="E1099" s="14">
        <v>35</v>
      </c>
      <c r="F1099" s="1" t="s">
        <v>1886</v>
      </c>
      <c r="G1099" t="s">
        <v>1</v>
      </c>
      <c r="H1099" s="1" t="s">
        <v>469</v>
      </c>
      <c r="I1099" t="str">
        <f>IF(B1099=IFERROR(VLOOKUP(B1099,base!$L$1:$L$9,1,0),""),"Produtos",IF(B1099=IFERROR(VLOOKUP(B1099,base!$K$2:$K$8,1,0),""),"Serviços","Combos"))</f>
        <v>Serviços</v>
      </c>
      <c r="J1099">
        <f t="shared" si="32"/>
        <v>15.75</v>
      </c>
      <c r="K1099" s="1">
        <f t="shared" si="33"/>
        <v>45748</v>
      </c>
      <c r="M1099" s="1"/>
      <c r="P1099"/>
    </row>
    <row r="1100" spans="1:16">
      <c r="A1100" t="s">
        <v>252</v>
      </c>
      <c r="B1100" t="s">
        <v>167</v>
      </c>
      <c r="C1100" t="s">
        <v>1887</v>
      </c>
      <c r="D1100" s="14">
        <v>10</v>
      </c>
      <c r="E1100" s="14">
        <v>15</v>
      </c>
      <c r="F1100" s="1" t="s">
        <v>1888</v>
      </c>
      <c r="G1100" t="s">
        <v>2</v>
      </c>
      <c r="H1100" s="1" t="s">
        <v>885</v>
      </c>
      <c r="I1100" t="str">
        <f>IF(B1100=IFERROR(VLOOKUP(B1100,base!$L$1:$L$9,1,0),""),"Produtos",IF(B1100=IFERROR(VLOOKUP(B1100,base!$K$2:$K$8,1,0),""),"Serviços","Combos"))</f>
        <v>Serviços</v>
      </c>
      <c r="J1100">
        <f t="shared" si="32"/>
        <v>4.5</v>
      </c>
      <c r="K1100" s="1">
        <f t="shared" si="33"/>
        <v>45748</v>
      </c>
      <c r="M1100" s="1"/>
      <c r="P1100"/>
    </row>
    <row r="1101" spans="1:16">
      <c r="A1101" t="s">
        <v>536</v>
      </c>
      <c r="B1101" t="s">
        <v>160</v>
      </c>
      <c r="C1101" t="s">
        <v>1889</v>
      </c>
      <c r="D1101" s="14">
        <v>12</v>
      </c>
      <c r="E1101" s="14">
        <v>25</v>
      </c>
      <c r="F1101" s="1" t="s">
        <v>1888</v>
      </c>
      <c r="G1101" t="s">
        <v>1</v>
      </c>
      <c r="H1101" s="1" t="s">
        <v>286</v>
      </c>
      <c r="I1101" t="str">
        <f>IF(B1101=IFERROR(VLOOKUP(B1101,base!$L$1:$L$9,1,0),""),"Produtos",IF(B1101=IFERROR(VLOOKUP(B1101,base!$K$2:$K$8,1,0),""),"Serviços","Combos"))</f>
        <v>Serviços</v>
      </c>
      <c r="J1101">
        <f t="shared" si="32"/>
        <v>5.4</v>
      </c>
      <c r="K1101" s="1">
        <f t="shared" si="33"/>
        <v>45748</v>
      </c>
      <c r="M1101" s="1"/>
      <c r="P1101"/>
    </row>
    <row r="1102" spans="1:16">
      <c r="A1102" t="s">
        <v>519</v>
      </c>
      <c r="B1102" t="s">
        <v>163</v>
      </c>
      <c r="C1102" t="s">
        <v>1890</v>
      </c>
      <c r="D1102" s="14">
        <v>35</v>
      </c>
      <c r="E1102" s="14">
        <v>35</v>
      </c>
      <c r="F1102" s="1" t="s">
        <v>1891</v>
      </c>
      <c r="G1102" t="s">
        <v>1</v>
      </c>
      <c r="H1102" s="1" t="s">
        <v>40</v>
      </c>
      <c r="I1102" t="str">
        <f>IF(B1102=IFERROR(VLOOKUP(B1102,base!$L$1:$L$9,1,0),""),"Produtos",IF(B1102=IFERROR(VLOOKUP(B1102,base!$K$2:$K$8,1,0),""),"Serviços","Combos"))</f>
        <v>Serviços</v>
      </c>
      <c r="J1102">
        <f t="shared" si="32"/>
        <v>15.75</v>
      </c>
      <c r="K1102" s="1">
        <f t="shared" si="33"/>
        <v>45748</v>
      </c>
      <c r="M1102" s="1"/>
      <c r="P1102"/>
    </row>
    <row r="1103" spans="1:16">
      <c r="A1103" t="s">
        <v>519</v>
      </c>
      <c r="B1103" t="s">
        <v>163</v>
      </c>
      <c r="C1103" t="s">
        <v>1924</v>
      </c>
      <c r="D1103" s="14">
        <v>35</v>
      </c>
      <c r="E1103" s="14">
        <v>35</v>
      </c>
      <c r="F1103" s="1" t="s">
        <v>1925</v>
      </c>
      <c r="G1103" t="s">
        <v>1</v>
      </c>
      <c r="H1103" s="1" t="s">
        <v>384</v>
      </c>
      <c r="I1103" t="str">
        <f>IF(B1103=IFERROR(VLOOKUP(B1103,base!$L$1:$L$9,1,0),""),"Produtos",IF(B1103=IFERROR(VLOOKUP(B1103,base!$K$2:$K$8,1,0),""),"Serviços","Combos"))</f>
        <v>Serviços</v>
      </c>
      <c r="J1103">
        <f t="shared" si="32"/>
        <v>15.75</v>
      </c>
      <c r="K1103" s="1">
        <f t="shared" si="33"/>
        <v>45751</v>
      </c>
      <c r="M1103" s="1"/>
      <c r="P1103"/>
    </row>
    <row r="1104" spans="1:16">
      <c r="A1104" t="s">
        <v>519</v>
      </c>
      <c r="B1104" t="s">
        <v>163</v>
      </c>
      <c r="C1104" t="s">
        <v>1892</v>
      </c>
      <c r="D1104" s="14">
        <v>35</v>
      </c>
      <c r="E1104" s="14">
        <v>50</v>
      </c>
      <c r="F1104" s="1" t="s">
        <v>1893</v>
      </c>
      <c r="G1104" t="s">
        <v>1</v>
      </c>
      <c r="H1104" s="1" t="s">
        <v>1894</v>
      </c>
      <c r="I1104" t="str">
        <f>IF(B1104=IFERROR(VLOOKUP(B1104,base!$L$1:$L$9,1,0),""),"Produtos",IF(B1104=IFERROR(VLOOKUP(B1104,base!$K$2:$K$8,1,0),""),"Serviços","Combos"))</f>
        <v>Serviços</v>
      </c>
      <c r="J1104">
        <f t="shared" si="32"/>
        <v>15.75</v>
      </c>
      <c r="K1104" s="1">
        <f t="shared" si="33"/>
        <v>45748</v>
      </c>
      <c r="M1104" s="1"/>
      <c r="P1104"/>
    </row>
    <row r="1105" spans="1:16">
      <c r="A1105" t="s">
        <v>519</v>
      </c>
      <c r="B1105" t="s">
        <v>1046</v>
      </c>
      <c r="C1105" t="s">
        <v>1892</v>
      </c>
      <c r="D1105" s="14">
        <v>15</v>
      </c>
      <c r="E1105" t="s">
        <v>1604</v>
      </c>
      <c r="F1105" s="1" t="s">
        <v>1893</v>
      </c>
      <c r="G1105" t="s">
        <v>1</v>
      </c>
      <c r="H1105" s="1" t="s">
        <v>1894</v>
      </c>
      <c r="I1105" t="str">
        <f>IF(B1105=IFERROR(VLOOKUP(B1105,base!$L$1:$L$9,1,0),""),"Produtos",IF(B1105=IFERROR(VLOOKUP(B1105,base!$K$2:$K$8,1,0),""),"Serviços","Combos"))</f>
        <v>Combos</v>
      </c>
      <c r="J1105">
        <f t="shared" si="32"/>
        <v>6.75</v>
      </c>
      <c r="K1105" s="1">
        <f t="shared" si="33"/>
        <v>45748</v>
      </c>
      <c r="M1105" s="1"/>
      <c r="P1105"/>
    </row>
    <row r="1106" spans="1:16">
      <c r="A1106" t="s">
        <v>252</v>
      </c>
      <c r="B1106" t="s">
        <v>163</v>
      </c>
      <c r="C1106" t="s">
        <v>1895</v>
      </c>
      <c r="D1106" s="14">
        <v>35</v>
      </c>
      <c r="E1106" s="14">
        <v>35</v>
      </c>
      <c r="F1106" s="1" t="s">
        <v>1896</v>
      </c>
      <c r="G1106" t="s">
        <v>310</v>
      </c>
      <c r="H1106" s="1" t="s">
        <v>95</v>
      </c>
      <c r="I1106" t="str">
        <f>IF(B1106=IFERROR(VLOOKUP(B1106,base!$L$1:$L$9,1,0),""),"Produtos",IF(B1106=IFERROR(VLOOKUP(B1106,base!$K$2:$K$8,1,0),""),"Serviços","Combos"))</f>
        <v>Serviços</v>
      </c>
      <c r="J1106">
        <f t="shared" si="32"/>
        <v>15.75</v>
      </c>
      <c r="K1106" s="1">
        <f t="shared" si="33"/>
        <v>45748</v>
      </c>
      <c r="M1106" s="1"/>
      <c r="P1106"/>
    </row>
    <row r="1107" spans="1:16">
      <c r="A1107" t="s">
        <v>519</v>
      </c>
      <c r="B1107" t="s">
        <v>163</v>
      </c>
      <c r="C1107" t="s">
        <v>1897</v>
      </c>
      <c r="D1107" s="14">
        <v>35</v>
      </c>
      <c r="E1107" s="14">
        <v>60</v>
      </c>
      <c r="F1107" s="1" t="s">
        <v>1898</v>
      </c>
      <c r="G1107" t="s">
        <v>354</v>
      </c>
      <c r="H1107" s="1" t="s">
        <v>1899</v>
      </c>
      <c r="I1107" t="str">
        <f>IF(B1107=IFERROR(VLOOKUP(B1107,base!$L$1:$L$9,1,0),""),"Produtos",IF(B1107=IFERROR(VLOOKUP(B1107,base!$K$2:$K$8,1,0),""),"Serviços","Combos"))</f>
        <v>Serviços</v>
      </c>
      <c r="J1107">
        <f t="shared" si="32"/>
        <v>15.75</v>
      </c>
      <c r="K1107" s="1">
        <f t="shared" si="33"/>
        <v>45748</v>
      </c>
      <c r="M1107" s="1"/>
      <c r="P1107"/>
    </row>
    <row r="1108" spans="1:16">
      <c r="A1108" t="s">
        <v>252</v>
      </c>
      <c r="B1108" t="s">
        <v>508</v>
      </c>
      <c r="C1108" t="s">
        <v>1897</v>
      </c>
      <c r="D1108" s="14">
        <v>25</v>
      </c>
      <c r="E1108" t="s">
        <v>1604</v>
      </c>
      <c r="F1108" s="1" t="s">
        <v>1898</v>
      </c>
      <c r="G1108" t="s">
        <v>354</v>
      </c>
      <c r="H1108" s="1" t="s">
        <v>1899</v>
      </c>
      <c r="I1108" t="str">
        <f>IF(B1108=IFERROR(VLOOKUP(B1108,base!$L$1:$L$9,1,0),""),"Produtos",IF(B1108=IFERROR(VLOOKUP(B1108,base!$K$2:$K$8,1,0),""),"Serviços","Combos"))</f>
        <v>Produtos</v>
      </c>
      <c r="J1108">
        <f t="shared" si="32"/>
        <v>10</v>
      </c>
      <c r="K1108" s="1">
        <f t="shared" si="33"/>
        <v>45748</v>
      </c>
      <c r="M1108" s="1"/>
      <c r="P1108"/>
    </row>
    <row r="1109" spans="1:16">
      <c r="A1109" t="s">
        <v>252</v>
      </c>
      <c r="B1109" t="s">
        <v>160</v>
      </c>
      <c r="C1109" t="s">
        <v>1900</v>
      </c>
      <c r="D1109" s="14">
        <v>12</v>
      </c>
      <c r="E1109" s="14">
        <v>10</v>
      </c>
      <c r="F1109" s="1" t="s">
        <v>1901</v>
      </c>
      <c r="G1109" t="s">
        <v>2</v>
      </c>
      <c r="H1109" s="1" t="s">
        <v>491</v>
      </c>
      <c r="I1109" t="str">
        <f>IF(B1109=IFERROR(VLOOKUP(B1109,base!$L$1:$L$9,1,0),""),"Produtos",IF(B1109=IFERROR(VLOOKUP(B1109,base!$K$2:$K$8,1,0),""),"Serviços","Combos"))</f>
        <v>Serviços</v>
      </c>
      <c r="J1109">
        <f t="shared" si="32"/>
        <v>5.4</v>
      </c>
      <c r="K1109" s="1">
        <f t="shared" si="33"/>
        <v>45748</v>
      </c>
      <c r="M1109" s="1"/>
      <c r="P1109"/>
    </row>
    <row r="1110" spans="1:16">
      <c r="A1110" t="s">
        <v>536</v>
      </c>
      <c r="B1110" t="s">
        <v>163</v>
      </c>
      <c r="C1110" t="s">
        <v>1902</v>
      </c>
      <c r="D1110" s="14">
        <v>35</v>
      </c>
      <c r="E1110" s="14">
        <v>35</v>
      </c>
      <c r="F1110" s="1" t="s">
        <v>1893</v>
      </c>
      <c r="G1110" t="s">
        <v>354</v>
      </c>
      <c r="H1110" s="1" t="s">
        <v>1903</v>
      </c>
      <c r="I1110" t="str">
        <f>IF(B1110=IFERROR(VLOOKUP(B1110,base!$L$1:$L$9,1,0),""),"Produtos",IF(B1110=IFERROR(VLOOKUP(B1110,base!$K$2:$K$8,1,0),""),"Serviços","Combos"))</f>
        <v>Serviços</v>
      </c>
      <c r="J1110">
        <f t="shared" si="32"/>
        <v>15.75</v>
      </c>
      <c r="K1110" s="1">
        <f t="shared" si="33"/>
        <v>45748</v>
      </c>
      <c r="M1110" s="1"/>
      <c r="P1110"/>
    </row>
    <row r="1111" spans="1:16">
      <c r="A1111" t="s">
        <v>252</v>
      </c>
      <c r="B1111" t="s">
        <v>353</v>
      </c>
      <c r="C1111" t="s">
        <v>1904</v>
      </c>
      <c r="D1111" s="14">
        <v>60</v>
      </c>
      <c r="E1111" s="14">
        <v>55</v>
      </c>
      <c r="F1111" s="1" t="s">
        <v>1905</v>
      </c>
      <c r="G1111" t="s">
        <v>1</v>
      </c>
      <c r="H1111" s="1" t="s">
        <v>783</v>
      </c>
      <c r="I1111" t="str">
        <f>IF(B1111=IFERROR(VLOOKUP(B1111,base!$L$1:$L$9,1,0),""),"Produtos",IF(B1111=IFERROR(VLOOKUP(B1111,base!$K$2:$K$8,1,0),""),"Serviços","Combos"))</f>
        <v>Combos</v>
      </c>
      <c r="J1111">
        <f t="shared" si="32"/>
        <v>27</v>
      </c>
      <c r="K1111" s="1">
        <f t="shared" si="33"/>
        <v>45748</v>
      </c>
      <c r="M1111" s="1"/>
      <c r="P1111"/>
    </row>
    <row r="1112" spans="1:16">
      <c r="A1112" t="s">
        <v>519</v>
      </c>
      <c r="B1112" t="s">
        <v>353</v>
      </c>
      <c r="C1112" t="s">
        <v>1906</v>
      </c>
      <c r="D1112" s="14">
        <v>60</v>
      </c>
      <c r="E1112" s="14">
        <v>90</v>
      </c>
      <c r="F1112" s="1" t="s">
        <v>1907</v>
      </c>
      <c r="G1112" t="s">
        <v>1</v>
      </c>
      <c r="H1112" s="1" t="s">
        <v>1908</v>
      </c>
      <c r="I1112" t="str">
        <f>IF(B1112=IFERROR(VLOOKUP(B1112,base!$L$1:$L$9,1,0),""),"Produtos",IF(B1112=IFERROR(VLOOKUP(B1112,base!$K$2:$K$8,1,0),""),"Serviços","Combos"))</f>
        <v>Combos</v>
      </c>
      <c r="J1112">
        <f t="shared" si="32"/>
        <v>27</v>
      </c>
      <c r="K1112" s="1">
        <f t="shared" si="33"/>
        <v>45748</v>
      </c>
      <c r="M1112" s="1"/>
      <c r="P1112"/>
    </row>
    <row r="1113" spans="1:16">
      <c r="A1113" t="s">
        <v>519</v>
      </c>
      <c r="B1113" t="s">
        <v>513</v>
      </c>
      <c r="C1113" t="s">
        <v>1906</v>
      </c>
      <c r="D1113" s="14">
        <v>30</v>
      </c>
      <c r="E1113" t="s">
        <v>1604</v>
      </c>
      <c r="F1113" s="1" t="s">
        <v>1907</v>
      </c>
      <c r="G1113" t="s">
        <v>1</v>
      </c>
      <c r="H1113" t="s">
        <v>1908</v>
      </c>
      <c r="I1113" t="str">
        <f>IF(B1113=IFERROR(VLOOKUP(B1113,base!$L$1:$L$9,1,0),""),"Produtos",IF(B1113=IFERROR(VLOOKUP(B1113,base!$K$2:$K$8,1,0),""),"Serviços","Combos"))</f>
        <v>Produtos</v>
      </c>
      <c r="J1113">
        <f t="shared" si="32"/>
        <v>12</v>
      </c>
      <c r="K1113" s="1">
        <f t="shared" si="33"/>
        <v>45748</v>
      </c>
      <c r="M1113" s="1"/>
      <c r="P1113"/>
    </row>
    <row r="1114" spans="1:16">
      <c r="A1114" t="s">
        <v>519</v>
      </c>
      <c r="B1114" t="s">
        <v>163</v>
      </c>
      <c r="C1114" t="s">
        <v>1926</v>
      </c>
      <c r="D1114" s="14">
        <v>35</v>
      </c>
      <c r="E1114" s="14">
        <v>35</v>
      </c>
      <c r="F1114" s="1" t="s">
        <v>1927</v>
      </c>
      <c r="G1114" t="s">
        <v>2</v>
      </c>
      <c r="H1114" t="s">
        <v>89</v>
      </c>
      <c r="I1114" t="str">
        <f>IF(B1114=IFERROR(VLOOKUP(B1114,base!$L$1:$L$9,1,0),""),"Produtos",IF(B1114=IFERROR(VLOOKUP(B1114,base!$K$2:$K$8,1,0),""),"Serviços","Combos"))</f>
        <v>Serviços</v>
      </c>
      <c r="J1114">
        <f t="shared" si="32"/>
        <v>15.75</v>
      </c>
      <c r="K1114" s="1">
        <f t="shared" si="33"/>
        <v>45749</v>
      </c>
      <c r="M1114" s="1"/>
      <c r="P1114"/>
    </row>
    <row r="1115" spans="1:16">
      <c r="A1115" t="s">
        <v>519</v>
      </c>
      <c r="B1115" t="s">
        <v>163</v>
      </c>
      <c r="C1115" t="s">
        <v>1928</v>
      </c>
      <c r="D1115" s="14">
        <v>35</v>
      </c>
      <c r="E1115" s="14">
        <v>50</v>
      </c>
      <c r="F1115" s="1" t="s">
        <v>1929</v>
      </c>
      <c r="G1115" t="s">
        <v>1</v>
      </c>
      <c r="H1115" t="s">
        <v>486</v>
      </c>
      <c r="I1115" t="str">
        <f>IF(B1115=IFERROR(VLOOKUP(B1115,base!$L$1:$L$9,1,0),""),"Produtos",IF(B1115=IFERROR(VLOOKUP(B1115,base!$K$2:$K$8,1,0),""),"Serviços","Combos"))</f>
        <v>Serviços</v>
      </c>
      <c r="J1115">
        <f t="shared" si="32"/>
        <v>15.75</v>
      </c>
      <c r="K1115" s="1">
        <f t="shared" si="33"/>
        <v>45751</v>
      </c>
      <c r="M1115" s="1"/>
      <c r="P1115"/>
    </row>
    <row r="1116" spans="1:16">
      <c r="A1116" t="s">
        <v>519</v>
      </c>
      <c r="B1116" t="s">
        <v>1046</v>
      </c>
      <c r="C1116" t="s">
        <v>1928</v>
      </c>
      <c r="D1116" s="14">
        <v>15</v>
      </c>
      <c r="E1116" t="s">
        <v>1604</v>
      </c>
      <c r="F1116" s="1" t="s">
        <v>1929</v>
      </c>
      <c r="G1116" t="s">
        <v>1</v>
      </c>
      <c r="H1116" t="s">
        <v>486</v>
      </c>
      <c r="I1116" t="str">
        <f>IF(B1116=IFERROR(VLOOKUP(B1116,base!$L$1:$L$9,1,0),""),"Produtos",IF(B1116=IFERROR(VLOOKUP(B1116,base!$K$2:$K$8,1,0),""),"Serviços","Combos"))</f>
        <v>Combos</v>
      </c>
      <c r="J1116">
        <f t="shared" si="32"/>
        <v>6.75</v>
      </c>
      <c r="K1116" s="1">
        <f t="shared" si="33"/>
        <v>45751</v>
      </c>
      <c r="M1116" s="1"/>
      <c r="P1116"/>
    </row>
    <row r="1117" spans="1:16">
      <c r="A1117" t="s">
        <v>519</v>
      </c>
      <c r="B1117" t="s">
        <v>163</v>
      </c>
      <c r="C1117" t="s">
        <v>1930</v>
      </c>
      <c r="D1117" s="14">
        <v>35</v>
      </c>
      <c r="E1117" s="14">
        <v>45</v>
      </c>
      <c r="F1117" s="1" t="s">
        <v>1931</v>
      </c>
      <c r="G1117" t="s">
        <v>354</v>
      </c>
      <c r="H1117" t="s">
        <v>466</v>
      </c>
      <c r="I1117" t="str">
        <f>IF(B1117=IFERROR(VLOOKUP(B1117,base!$L$1:$L$9,1,0),""),"Produtos",IF(B1117=IFERROR(VLOOKUP(B1117,base!$K$2:$K$8,1,0),""),"Serviços","Combos"))</f>
        <v>Serviços</v>
      </c>
      <c r="J1117">
        <f t="shared" si="32"/>
        <v>15.75</v>
      </c>
      <c r="K1117" s="1">
        <f t="shared" si="33"/>
        <v>45752</v>
      </c>
      <c r="M1117" s="1"/>
      <c r="P1117"/>
    </row>
    <row r="1118" spans="1:16">
      <c r="A1118" t="s">
        <v>519</v>
      </c>
      <c r="B1118" t="s">
        <v>167</v>
      </c>
      <c r="C1118" t="s">
        <v>1930</v>
      </c>
      <c r="D1118" s="14">
        <v>10</v>
      </c>
      <c r="E1118" t="s">
        <v>1604</v>
      </c>
      <c r="F1118" s="1" t="s">
        <v>1931</v>
      </c>
      <c r="G1118" t="s">
        <v>354</v>
      </c>
      <c r="H1118" t="s">
        <v>466</v>
      </c>
      <c r="I1118" t="str">
        <f>IF(B1118=IFERROR(VLOOKUP(B1118,base!$L$1:$L$9,1,0),""),"Produtos",IF(B1118=IFERROR(VLOOKUP(B1118,base!$K$2:$K$8,1,0),""),"Serviços","Combos"))</f>
        <v>Serviços</v>
      </c>
      <c r="J1118">
        <f t="shared" si="32"/>
        <v>4.5</v>
      </c>
      <c r="K1118" s="1">
        <f t="shared" si="33"/>
        <v>45752</v>
      </c>
      <c r="M1118" s="1"/>
      <c r="P1118"/>
    </row>
    <row r="1119" spans="1:16">
      <c r="A1119" t="s">
        <v>536</v>
      </c>
      <c r="B1119" t="s">
        <v>163</v>
      </c>
      <c r="C1119" t="s">
        <v>1932</v>
      </c>
      <c r="D1119" s="14">
        <v>35</v>
      </c>
      <c r="E1119" s="14">
        <v>35</v>
      </c>
      <c r="F1119" s="1" t="s">
        <v>1933</v>
      </c>
      <c r="G1119" t="s">
        <v>354</v>
      </c>
      <c r="H1119" t="s">
        <v>1457</v>
      </c>
      <c r="I1119" t="str">
        <f>IF(B1119=IFERROR(VLOOKUP(B1119,base!$L$1:$L$9,1,0),""),"Produtos",IF(B1119=IFERROR(VLOOKUP(B1119,base!$K$2:$K$8,1,0),""),"Serviços","Combos"))</f>
        <v>Serviços</v>
      </c>
      <c r="J1119">
        <f t="shared" si="32"/>
        <v>15.75</v>
      </c>
      <c r="K1119" s="1">
        <f t="shared" si="33"/>
        <v>45749</v>
      </c>
      <c r="M1119" s="1"/>
      <c r="P1119"/>
    </row>
    <row r="1120" spans="1:16">
      <c r="A1120" t="s">
        <v>519</v>
      </c>
      <c r="B1120" t="s">
        <v>306</v>
      </c>
      <c r="C1120" t="s">
        <v>1934</v>
      </c>
      <c r="D1120" s="14">
        <v>55</v>
      </c>
      <c r="E1120" s="14">
        <v>80</v>
      </c>
      <c r="F1120" s="1" t="s">
        <v>1935</v>
      </c>
      <c r="G1120" t="s">
        <v>310</v>
      </c>
      <c r="H1120" t="s">
        <v>1936</v>
      </c>
      <c r="I1120" t="str">
        <f>IF(B1120=IFERROR(VLOOKUP(B1120,base!$L$1:$L$9,1,0),""),"Produtos",IF(B1120=IFERROR(VLOOKUP(B1120,base!$K$2:$K$8,1,0),""),"Serviços","Combos"))</f>
        <v>Combos</v>
      </c>
      <c r="J1120">
        <f t="shared" si="32"/>
        <v>24.75</v>
      </c>
      <c r="K1120" s="1">
        <f t="shared" si="33"/>
        <v>45749</v>
      </c>
      <c r="M1120" s="1"/>
      <c r="P1120"/>
    </row>
    <row r="1121" spans="1:16">
      <c r="A1121" t="s">
        <v>519</v>
      </c>
      <c r="B1121" t="s">
        <v>1046</v>
      </c>
      <c r="C1121" t="s">
        <v>1934</v>
      </c>
      <c r="D1121" s="14">
        <v>25</v>
      </c>
      <c r="E1121" t="s">
        <v>1604</v>
      </c>
      <c r="F1121" s="1" t="s">
        <v>1935</v>
      </c>
      <c r="G1121" t="s">
        <v>310</v>
      </c>
      <c r="H1121" t="s">
        <v>1936</v>
      </c>
      <c r="I1121" t="str">
        <f>IF(B1121=IFERROR(VLOOKUP(B1121,base!$L$1:$L$9,1,0),""),"Produtos",IF(B1121=IFERROR(VLOOKUP(B1121,base!$K$2:$K$8,1,0),""),"Serviços","Combos"))</f>
        <v>Combos</v>
      </c>
      <c r="J1121">
        <f t="shared" si="32"/>
        <v>11.25</v>
      </c>
      <c r="K1121" s="1">
        <f t="shared" si="33"/>
        <v>45749</v>
      </c>
      <c r="M1121" s="1"/>
      <c r="P1121"/>
    </row>
    <row r="1122" spans="1:16">
      <c r="A1122" t="s">
        <v>252</v>
      </c>
      <c r="B1122" t="s">
        <v>163</v>
      </c>
      <c r="C1122" t="s">
        <v>1937</v>
      </c>
      <c r="D1122" s="14">
        <v>35</v>
      </c>
      <c r="E1122" s="14">
        <v>35</v>
      </c>
      <c r="F1122" s="1" t="s">
        <v>1938</v>
      </c>
      <c r="G1122" t="s">
        <v>1</v>
      </c>
      <c r="H1122" t="s">
        <v>798</v>
      </c>
      <c r="I1122" t="str">
        <f>IF(B1122=IFERROR(VLOOKUP(B1122,base!$L$1:$L$9,1,0),""),"Produtos",IF(B1122=IFERROR(VLOOKUP(B1122,base!$K$2:$K$8,1,0),""),"Serviços","Combos"))</f>
        <v>Serviços</v>
      </c>
      <c r="J1122">
        <f t="shared" si="32"/>
        <v>15.75</v>
      </c>
      <c r="K1122" s="1">
        <f t="shared" si="33"/>
        <v>45752</v>
      </c>
      <c r="M1122" s="1"/>
      <c r="P1122"/>
    </row>
    <row r="1123" spans="1:16">
      <c r="A1123" t="s">
        <v>519</v>
      </c>
      <c r="B1123" t="s">
        <v>163</v>
      </c>
      <c r="C1123" t="s">
        <v>1939</v>
      </c>
      <c r="D1123" s="14">
        <v>35</v>
      </c>
      <c r="E1123" s="14">
        <v>35</v>
      </c>
      <c r="F1123" s="1" t="s">
        <v>1940</v>
      </c>
      <c r="G1123" t="s">
        <v>1</v>
      </c>
      <c r="H1123" t="s">
        <v>487</v>
      </c>
      <c r="I1123" t="str">
        <f>IF(B1123=IFERROR(VLOOKUP(B1123,base!$L$1:$L$9,1,0),""),"Produtos",IF(B1123=IFERROR(VLOOKUP(B1123,base!$K$2:$K$8,1,0),""),"Serviços","Combos"))</f>
        <v>Serviços</v>
      </c>
      <c r="J1123">
        <f t="shared" si="32"/>
        <v>15.75</v>
      </c>
      <c r="K1123" s="1">
        <f t="shared" si="33"/>
        <v>45749</v>
      </c>
      <c r="M1123" s="1"/>
      <c r="P1123"/>
    </row>
    <row r="1124" spans="1:16">
      <c r="A1124" t="s">
        <v>536</v>
      </c>
      <c r="B1124" t="s">
        <v>353</v>
      </c>
      <c r="C1124" t="s">
        <v>1941</v>
      </c>
      <c r="D1124" s="14">
        <v>50</v>
      </c>
      <c r="E1124" s="14">
        <v>50</v>
      </c>
      <c r="F1124" s="1" t="s">
        <v>1942</v>
      </c>
      <c r="G1124" t="s">
        <v>1</v>
      </c>
      <c r="H1124" t="s">
        <v>483</v>
      </c>
      <c r="I1124" t="str">
        <f>IF(B1124=IFERROR(VLOOKUP(B1124,base!$L$1:$L$9,1,0),""),"Produtos",IF(B1124=IFERROR(VLOOKUP(B1124,base!$K$2:$K$8,1,0),""),"Serviços","Combos"))</f>
        <v>Combos</v>
      </c>
      <c r="J1124">
        <f t="shared" si="32"/>
        <v>22.5</v>
      </c>
      <c r="K1124" s="1">
        <f t="shared" si="33"/>
        <v>45749</v>
      </c>
      <c r="M1124" s="1"/>
      <c r="P1124"/>
    </row>
    <row r="1125" spans="1:16">
      <c r="A1125" t="s">
        <v>519</v>
      </c>
      <c r="B1125" t="s">
        <v>163</v>
      </c>
      <c r="C1125" t="s">
        <v>1943</v>
      </c>
      <c r="D1125" s="14">
        <v>35</v>
      </c>
      <c r="E1125" s="14">
        <v>35</v>
      </c>
      <c r="F1125" s="1" t="s">
        <v>1944</v>
      </c>
      <c r="G1125" t="s">
        <v>2</v>
      </c>
      <c r="H1125" t="s">
        <v>53</v>
      </c>
      <c r="I1125" t="str">
        <f>IF(B1125=IFERROR(VLOOKUP(B1125,base!$L$1:$L$9,1,0),""),"Produtos",IF(B1125=IFERROR(VLOOKUP(B1125,base!$K$2:$K$8,1,0),""),"Serviços","Combos"))</f>
        <v>Serviços</v>
      </c>
      <c r="J1125">
        <f t="shared" si="32"/>
        <v>15.75</v>
      </c>
      <c r="K1125" s="1">
        <f t="shared" si="33"/>
        <v>45749</v>
      </c>
      <c r="M1125" s="1"/>
      <c r="P1125"/>
    </row>
    <row r="1126" spans="1:16">
      <c r="A1126" t="s">
        <v>536</v>
      </c>
      <c r="B1126" t="s">
        <v>163</v>
      </c>
      <c r="C1126" t="s">
        <v>1945</v>
      </c>
      <c r="D1126" s="14">
        <v>35</v>
      </c>
      <c r="E1126" s="14">
        <v>35</v>
      </c>
      <c r="F1126" s="1" t="s">
        <v>1946</v>
      </c>
      <c r="G1126" t="s">
        <v>1</v>
      </c>
      <c r="H1126" t="s">
        <v>1947</v>
      </c>
      <c r="I1126" t="str">
        <f>IF(B1126=IFERROR(VLOOKUP(B1126,base!$L$1:$L$9,1,0),""),"Produtos",IF(B1126=IFERROR(VLOOKUP(B1126,base!$K$2:$K$8,1,0),""),"Serviços","Combos"))</f>
        <v>Serviços</v>
      </c>
      <c r="J1126">
        <f t="shared" si="32"/>
        <v>15.75</v>
      </c>
      <c r="K1126" s="1">
        <f t="shared" si="33"/>
        <v>45749</v>
      </c>
      <c r="M1126" s="1"/>
      <c r="P1126"/>
    </row>
    <row r="1127" spans="1:16">
      <c r="A1127" t="s">
        <v>519</v>
      </c>
      <c r="B1127" t="s">
        <v>353</v>
      </c>
      <c r="C1127" t="s">
        <v>1948</v>
      </c>
      <c r="D1127" s="14">
        <v>60</v>
      </c>
      <c r="E1127" s="14">
        <v>110</v>
      </c>
      <c r="F1127" s="1" t="s">
        <v>1949</v>
      </c>
      <c r="G1127" t="s">
        <v>310</v>
      </c>
      <c r="H1127" t="s">
        <v>1950</v>
      </c>
      <c r="I1127" t="str">
        <f>IF(B1127=IFERROR(VLOOKUP(B1127,base!$L$1:$L$9,1,0),""),"Produtos",IF(B1127=IFERROR(VLOOKUP(B1127,base!$K$2:$K$8,1,0),""),"Serviços","Combos"))</f>
        <v>Combos</v>
      </c>
      <c r="J1127">
        <f t="shared" si="32"/>
        <v>27</v>
      </c>
      <c r="K1127" s="1">
        <f t="shared" si="33"/>
        <v>45749</v>
      </c>
      <c r="M1127" s="1"/>
      <c r="P1127"/>
    </row>
    <row r="1128" spans="1:16">
      <c r="A1128" t="s">
        <v>519</v>
      </c>
      <c r="B1128" t="s">
        <v>1187</v>
      </c>
      <c r="C1128" t="s">
        <v>1948</v>
      </c>
      <c r="D1128" s="14">
        <v>15</v>
      </c>
      <c r="E1128" t="s">
        <v>1604</v>
      </c>
      <c r="F1128" s="1" t="s">
        <v>1949</v>
      </c>
      <c r="G1128" t="s">
        <v>310</v>
      </c>
      <c r="H1128" t="s">
        <v>1950</v>
      </c>
      <c r="I1128" t="str">
        <f>IF(B1128=IFERROR(VLOOKUP(B1128,base!$L$1:$L$9,1,0),""),"Produtos",IF(B1128=IFERROR(VLOOKUP(B1128,base!$K$2:$K$8,1,0),""),"Serviços","Combos"))</f>
        <v>Combos</v>
      </c>
      <c r="J1128">
        <f t="shared" si="32"/>
        <v>6.75</v>
      </c>
      <c r="K1128" s="1">
        <f t="shared" si="33"/>
        <v>45749</v>
      </c>
      <c r="M1128" s="1"/>
      <c r="P1128"/>
    </row>
    <row r="1129" spans="1:16">
      <c r="A1129" t="s">
        <v>519</v>
      </c>
      <c r="B1129" t="s">
        <v>513</v>
      </c>
      <c r="C1129" t="s">
        <v>1948</v>
      </c>
      <c r="D1129" s="14">
        <v>35</v>
      </c>
      <c r="E1129" t="s">
        <v>1604</v>
      </c>
      <c r="F1129" s="1" t="s">
        <v>1949</v>
      </c>
      <c r="G1129" t="s">
        <v>310</v>
      </c>
      <c r="H1129" t="s">
        <v>1950</v>
      </c>
      <c r="I1129" t="str">
        <f>IF(B1129=IFERROR(VLOOKUP(B1129,base!$L$1:$L$9,1,0),""),"Produtos",IF(B1129=IFERROR(VLOOKUP(B1129,base!$K$2:$K$8,1,0),""),"Serviços","Combos"))</f>
        <v>Produtos</v>
      </c>
      <c r="J1129">
        <f t="shared" si="32"/>
        <v>14</v>
      </c>
      <c r="K1129" s="1">
        <f t="shared" si="33"/>
        <v>45749</v>
      </c>
      <c r="M1129" s="1"/>
      <c r="P1129"/>
    </row>
    <row r="1130" spans="1:16">
      <c r="A1130" t="s">
        <v>536</v>
      </c>
      <c r="B1130" t="s">
        <v>1046</v>
      </c>
      <c r="C1130" t="s">
        <v>1951</v>
      </c>
      <c r="D1130" s="14">
        <v>35</v>
      </c>
      <c r="E1130" s="14">
        <v>35</v>
      </c>
      <c r="F1130" s="1" t="s">
        <v>1952</v>
      </c>
      <c r="G1130" t="s">
        <v>354</v>
      </c>
      <c r="H1130" t="s">
        <v>1154</v>
      </c>
      <c r="I1130" t="str">
        <f>IF(B1130=IFERROR(VLOOKUP(B1130,base!$L$1:$L$9,1,0),""),"Produtos",IF(B1130=IFERROR(VLOOKUP(B1130,base!$K$2:$K$8,1,0),""),"Serviços","Combos"))</f>
        <v>Combos</v>
      </c>
      <c r="J1130">
        <f t="shared" si="32"/>
        <v>15.75</v>
      </c>
      <c r="K1130" s="1">
        <f t="shared" si="33"/>
        <v>45749</v>
      </c>
      <c r="M1130" s="1"/>
      <c r="P1130"/>
    </row>
    <row r="1131" spans="1:16">
      <c r="A1131" t="s">
        <v>536</v>
      </c>
      <c r="B1131" t="s">
        <v>163</v>
      </c>
      <c r="C1131" t="s">
        <v>1953</v>
      </c>
      <c r="D1131" s="14">
        <v>35</v>
      </c>
      <c r="E1131" s="14">
        <v>80</v>
      </c>
      <c r="F1131" s="1" t="s">
        <v>1954</v>
      </c>
      <c r="G1131" t="s">
        <v>354</v>
      </c>
      <c r="H1131" t="s">
        <v>382</v>
      </c>
      <c r="I1131" t="str">
        <f>IF(B1131=IFERROR(VLOOKUP(B1131,base!$L$1:$L$9,1,0),""),"Produtos",IF(B1131=IFERROR(VLOOKUP(B1131,base!$K$2:$K$8,1,0),""),"Serviços","Combos"))</f>
        <v>Serviços</v>
      </c>
      <c r="J1131">
        <f t="shared" si="32"/>
        <v>15.75</v>
      </c>
      <c r="K1131" s="1">
        <f t="shared" si="33"/>
        <v>45749</v>
      </c>
      <c r="M1131" s="1"/>
      <c r="P1131"/>
    </row>
    <row r="1132" spans="1:16">
      <c r="A1132" t="s">
        <v>536</v>
      </c>
      <c r="B1132" t="s">
        <v>163</v>
      </c>
      <c r="C1132" t="s">
        <v>1953</v>
      </c>
      <c r="D1132" s="14">
        <v>35</v>
      </c>
      <c r="E1132" t="s">
        <v>1604</v>
      </c>
      <c r="F1132" s="1" t="s">
        <v>1954</v>
      </c>
      <c r="G1132" t="s">
        <v>354</v>
      </c>
      <c r="H1132" t="s">
        <v>382</v>
      </c>
      <c r="I1132" t="str">
        <f>IF(B1132=IFERROR(VLOOKUP(B1132,base!$L$1:$L$9,1,0),""),"Produtos",IF(B1132=IFERROR(VLOOKUP(B1132,base!$K$2:$K$8,1,0),""),"Serviços","Combos"))</f>
        <v>Serviços</v>
      </c>
      <c r="J1132">
        <f t="shared" si="32"/>
        <v>15.75</v>
      </c>
      <c r="K1132" s="1">
        <f t="shared" si="33"/>
        <v>45749</v>
      </c>
      <c r="M1132" s="1"/>
      <c r="P1132"/>
    </row>
    <row r="1133" spans="1:16">
      <c r="A1133" t="s">
        <v>536</v>
      </c>
      <c r="B1133" t="s">
        <v>167</v>
      </c>
      <c r="C1133" t="s">
        <v>1953</v>
      </c>
      <c r="D1133" s="14">
        <v>10</v>
      </c>
      <c r="E1133" t="s">
        <v>1604</v>
      </c>
      <c r="F1133" s="1" t="s">
        <v>1954</v>
      </c>
      <c r="G1133" t="s">
        <v>354</v>
      </c>
      <c r="H1133" t="s">
        <v>382</v>
      </c>
      <c r="I1133" t="str">
        <f>IF(B1133=IFERROR(VLOOKUP(B1133,base!$L$1:$L$9,1,0),""),"Produtos",IF(B1133=IFERROR(VLOOKUP(B1133,base!$K$2:$K$8,1,0),""),"Serviços","Combos"))</f>
        <v>Serviços</v>
      </c>
      <c r="J1133">
        <f t="shared" si="32"/>
        <v>4.5</v>
      </c>
      <c r="K1133" s="1">
        <f t="shared" si="33"/>
        <v>45749</v>
      </c>
      <c r="M1133" s="1"/>
      <c r="P1133"/>
    </row>
    <row r="1134" spans="1:16">
      <c r="A1134" t="s">
        <v>519</v>
      </c>
      <c r="B1134" t="s">
        <v>163</v>
      </c>
      <c r="C1134" t="s">
        <v>1955</v>
      </c>
      <c r="D1134" s="14">
        <v>35</v>
      </c>
      <c r="E1134" s="14">
        <v>60</v>
      </c>
      <c r="F1134" s="1" t="s">
        <v>1956</v>
      </c>
      <c r="G1134" t="s">
        <v>1</v>
      </c>
      <c r="H1134" t="s">
        <v>362</v>
      </c>
      <c r="I1134" t="str">
        <f>IF(B1134=IFERROR(VLOOKUP(B1134,base!$L$1:$L$9,1,0),""),"Produtos",IF(B1134=IFERROR(VLOOKUP(B1134,base!$K$2:$K$8,1,0),""),"Serviços","Combos"))</f>
        <v>Serviços</v>
      </c>
      <c r="J1134">
        <f t="shared" si="32"/>
        <v>15.75</v>
      </c>
      <c r="K1134" s="1">
        <f t="shared" si="33"/>
        <v>45749</v>
      </c>
      <c r="M1134" s="1"/>
      <c r="P1134"/>
    </row>
    <row r="1135" spans="1:16">
      <c r="A1135" t="s">
        <v>519</v>
      </c>
      <c r="B1135" t="s">
        <v>508</v>
      </c>
      <c r="C1135" t="s">
        <v>1955</v>
      </c>
      <c r="D1135" s="14">
        <v>25</v>
      </c>
      <c r="E1135" t="s">
        <v>1604</v>
      </c>
      <c r="F1135" s="1" t="s">
        <v>1956</v>
      </c>
      <c r="G1135" t="s">
        <v>1</v>
      </c>
      <c r="H1135" t="s">
        <v>362</v>
      </c>
      <c r="I1135" t="str">
        <f>IF(B1135=IFERROR(VLOOKUP(B1135,base!$L$1:$L$9,1,0),""),"Produtos",IF(B1135=IFERROR(VLOOKUP(B1135,base!$K$2:$K$8,1,0),""),"Serviços","Combos"))</f>
        <v>Produtos</v>
      </c>
      <c r="J1135">
        <f t="shared" si="32"/>
        <v>10</v>
      </c>
      <c r="K1135" s="1">
        <f t="shared" si="33"/>
        <v>45749</v>
      </c>
      <c r="M1135" s="1"/>
      <c r="P1135"/>
    </row>
    <row r="1136" spans="1:16">
      <c r="A1136" t="s">
        <v>536</v>
      </c>
      <c r="B1136" t="s">
        <v>163</v>
      </c>
      <c r="C1136" t="s">
        <v>1957</v>
      </c>
      <c r="D1136" s="14">
        <v>35</v>
      </c>
      <c r="E1136" s="14">
        <v>35</v>
      </c>
      <c r="F1136" s="1" t="s">
        <v>1958</v>
      </c>
      <c r="G1136" t="s">
        <v>1</v>
      </c>
      <c r="H1136" t="s">
        <v>1959</v>
      </c>
      <c r="I1136" t="str">
        <f>IF(B1136=IFERROR(VLOOKUP(B1136,base!$L$1:$L$9,1,0),""),"Produtos",IF(B1136=IFERROR(VLOOKUP(B1136,base!$K$2:$K$8,1,0),""),"Serviços","Combos"))</f>
        <v>Serviços</v>
      </c>
      <c r="J1136">
        <f t="shared" si="32"/>
        <v>15.75</v>
      </c>
      <c r="K1136" s="1">
        <f t="shared" si="33"/>
        <v>45749</v>
      </c>
      <c r="M1136" s="1"/>
      <c r="P1136"/>
    </row>
    <row r="1137" spans="1:16">
      <c r="A1137" t="s">
        <v>519</v>
      </c>
      <c r="B1137" t="s">
        <v>353</v>
      </c>
      <c r="C1137" t="s">
        <v>1960</v>
      </c>
      <c r="D1137" s="14">
        <v>50</v>
      </c>
      <c r="E1137" s="14">
        <v>50</v>
      </c>
      <c r="F1137" s="1" t="s">
        <v>1961</v>
      </c>
      <c r="G1137" t="s">
        <v>354</v>
      </c>
      <c r="H1137" t="s">
        <v>1962</v>
      </c>
      <c r="I1137" t="str">
        <f>IF(B1137=IFERROR(VLOOKUP(B1137,base!$L$1:$L$9,1,0),""),"Produtos",IF(B1137=IFERROR(VLOOKUP(B1137,base!$K$2:$K$8,1,0),""),"Serviços","Combos"))</f>
        <v>Combos</v>
      </c>
      <c r="J1137">
        <f t="shared" si="32"/>
        <v>22.5</v>
      </c>
      <c r="K1137" s="1">
        <f t="shared" si="33"/>
        <v>45749</v>
      </c>
      <c r="M1137" s="1"/>
      <c r="P1137"/>
    </row>
    <row r="1138" spans="1:16">
      <c r="A1138" t="s">
        <v>519</v>
      </c>
      <c r="B1138" t="s">
        <v>163</v>
      </c>
      <c r="C1138" t="s">
        <v>1963</v>
      </c>
      <c r="D1138" s="14">
        <v>35</v>
      </c>
      <c r="E1138" s="14">
        <v>35</v>
      </c>
      <c r="F1138" s="1" t="s">
        <v>1964</v>
      </c>
      <c r="G1138" t="s">
        <v>1</v>
      </c>
      <c r="H1138" t="s">
        <v>59</v>
      </c>
      <c r="I1138" t="str">
        <f>IF(B1138=IFERROR(VLOOKUP(B1138,base!$L$1:$L$9,1,0),""),"Produtos",IF(B1138=IFERROR(VLOOKUP(B1138,base!$K$2:$K$8,1,0),""),"Serviços","Combos"))</f>
        <v>Serviços</v>
      </c>
      <c r="J1138">
        <f t="shared" si="32"/>
        <v>15.75</v>
      </c>
      <c r="K1138" s="1">
        <f t="shared" si="33"/>
        <v>45749</v>
      </c>
      <c r="M1138" s="1"/>
      <c r="P1138"/>
    </row>
    <row r="1139" spans="1:16">
      <c r="A1139" t="s">
        <v>536</v>
      </c>
      <c r="B1139" t="s">
        <v>353</v>
      </c>
      <c r="C1139" t="s">
        <v>1965</v>
      </c>
      <c r="D1139" s="14">
        <v>60</v>
      </c>
      <c r="E1139" s="14">
        <v>60</v>
      </c>
      <c r="F1139" s="1" t="s">
        <v>1961</v>
      </c>
      <c r="G1139" t="s">
        <v>1</v>
      </c>
      <c r="H1139" t="s">
        <v>1198</v>
      </c>
      <c r="I1139" t="str">
        <f>IF(B1139=IFERROR(VLOOKUP(B1139,base!$L$1:$L$9,1,0),""),"Produtos",IF(B1139=IFERROR(VLOOKUP(B1139,base!$K$2:$K$8,1,0),""),"Serviços","Combos"))</f>
        <v>Combos</v>
      </c>
      <c r="J1139">
        <f t="shared" si="32"/>
        <v>27</v>
      </c>
      <c r="K1139" s="1">
        <f t="shared" si="33"/>
        <v>45749</v>
      </c>
      <c r="M1139" s="1"/>
      <c r="P1139"/>
    </row>
    <row r="1140" spans="1:16">
      <c r="A1140" t="s">
        <v>519</v>
      </c>
      <c r="B1140" t="s">
        <v>163</v>
      </c>
      <c r="C1140" t="s">
        <v>1966</v>
      </c>
      <c r="D1140" s="14">
        <v>35</v>
      </c>
      <c r="E1140" s="14">
        <v>35</v>
      </c>
      <c r="F1140" s="1" t="s">
        <v>1967</v>
      </c>
      <c r="G1140" t="s">
        <v>1</v>
      </c>
      <c r="H1140" t="s">
        <v>1968</v>
      </c>
      <c r="I1140" t="str">
        <f>IF(B1140=IFERROR(VLOOKUP(B1140,base!$L$1:$L$9,1,0),""),"Produtos",IF(B1140=IFERROR(VLOOKUP(B1140,base!$K$2:$K$8,1,0),""),"Serviços","Combos"))</f>
        <v>Serviços</v>
      </c>
      <c r="J1140">
        <f t="shared" si="32"/>
        <v>15.75</v>
      </c>
      <c r="K1140" s="1">
        <f t="shared" si="33"/>
        <v>45749</v>
      </c>
      <c r="M1140" s="1"/>
      <c r="P1140"/>
    </row>
    <row r="1141" spans="1:16">
      <c r="A1141" t="s">
        <v>252</v>
      </c>
      <c r="B1141" t="s">
        <v>163</v>
      </c>
      <c r="C1141" t="s">
        <v>1969</v>
      </c>
      <c r="D1141" s="14">
        <v>35</v>
      </c>
      <c r="E1141" s="14">
        <v>35</v>
      </c>
      <c r="F1141" s="1" t="s">
        <v>1970</v>
      </c>
      <c r="G1141" t="s">
        <v>1</v>
      </c>
      <c r="H1141" t="s">
        <v>73</v>
      </c>
      <c r="I1141" t="str">
        <f>IF(B1141=IFERROR(VLOOKUP(B1141,base!$L$1:$L$9,1,0),""),"Produtos",IF(B1141=IFERROR(VLOOKUP(B1141,base!$K$2:$K$8,1,0),""),"Serviços","Combos"))</f>
        <v>Serviços</v>
      </c>
      <c r="J1141">
        <f t="shared" si="32"/>
        <v>15.75</v>
      </c>
      <c r="K1141" s="1">
        <f t="shared" si="33"/>
        <v>45752</v>
      </c>
      <c r="M1141" s="1"/>
      <c r="P1141"/>
    </row>
    <row r="1142" spans="1:16">
      <c r="A1142" t="s">
        <v>536</v>
      </c>
      <c r="B1142" t="s">
        <v>163</v>
      </c>
      <c r="C1142" t="s">
        <v>1971</v>
      </c>
      <c r="D1142" s="14">
        <v>35</v>
      </c>
      <c r="E1142" s="14">
        <v>37</v>
      </c>
      <c r="F1142" s="1" t="s">
        <v>1972</v>
      </c>
      <c r="G1142" t="s">
        <v>2</v>
      </c>
      <c r="H1142" t="s">
        <v>497</v>
      </c>
      <c r="I1142" t="str">
        <f>IF(B1142=IFERROR(VLOOKUP(B1142,base!$L$1:$L$9,1,0),""),"Produtos",IF(B1142=IFERROR(VLOOKUP(B1142,base!$K$2:$K$8,1,0),""),"Serviços","Combos"))</f>
        <v>Serviços</v>
      </c>
      <c r="J1142">
        <f t="shared" si="32"/>
        <v>15.75</v>
      </c>
      <c r="K1142" s="1">
        <f t="shared" si="33"/>
        <v>45749</v>
      </c>
      <c r="M1142" s="1"/>
      <c r="P1142"/>
    </row>
    <row r="1143" spans="1:16">
      <c r="A1143" t="s">
        <v>536</v>
      </c>
      <c r="B1143" t="s">
        <v>910</v>
      </c>
      <c r="C1143" t="s">
        <v>1971</v>
      </c>
      <c r="D1143" s="14">
        <v>2</v>
      </c>
      <c r="E1143" t="s">
        <v>1604</v>
      </c>
      <c r="F1143" s="1" t="s">
        <v>1972</v>
      </c>
      <c r="G1143" t="s">
        <v>2</v>
      </c>
      <c r="H1143" t="s">
        <v>497</v>
      </c>
      <c r="I1143" t="str">
        <f>IF(B1143=IFERROR(VLOOKUP(B1143,base!$L$1:$L$9,1,0),""),"Produtos",IF(B1143=IFERROR(VLOOKUP(B1143,base!$K$2:$K$8,1,0),""),"Serviços","Combos"))</f>
        <v>Combos</v>
      </c>
      <c r="J1143">
        <f t="shared" si="32"/>
        <v>0.9</v>
      </c>
      <c r="K1143" s="1">
        <f t="shared" si="33"/>
        <v>45749</v>
      </c>
      <c r="M1143" s="1"/>
      <c r="P1143"/>
    </row>
    <row r="1144" spans="1:16">
      <c r="A1144" t="s">
        <v>252</v>
      </c>
      <c r="B1144" t="s">
        <v>163</v>
      </c>
      <c r="C1144" t="s">
        <v>1973</v>
      </c>
      <c r="D1144" s="14">
        <v>35</v>
      </c>
      <c r="E1144" s="14">
        <v>35</v>
      </c>
      <c r="F1144" s="1" t="s">
        <v>1974</v>
      </c>
      <c r="G1144" t="s">
        <v>1</v>
      </c>
      <c r="H1144" t="s">
        <v>364</v>
      </c>
      <c r="I1144" t="str">
        <f>IF(B1144=IFERROR(VLOOKUP(B1144,base!$L$1:$L$9,1,0),""),"Produtos",IF(B1144=IFERROR(VLOOKUP(B1144,base!$K$2:$K$8,1,0),""),"Serviços","Combos"))</f>
        <v>Serviços</v>
      </c>
      <c r="J1144">
        <f t="shared" si="32"/>
        <v>15.75</v>
      </c>
      <c r="K1144" s="1">
        <f t="shared" si="33"/>
        <v>45750</v>
      </c>
      <c r="M1144" s="1"/>
      <c r="P1144"/>
    </row>
    <row r="1145" spans="1:16">
      <c r="A1145" t="s">
        <v>519</v>
      </c>
      <c r="B1145" t="s">
        <v>163</v>
      </c>
      <c r="C1145" t="s">
        <v>1975</v>
      </c>
      <c r="D1145" s="14">
        <v>35</v>
      </c>
      <c r="E1145" s="14">
        <v>35</v>
      </c>
      <c r="F1145" s="1" t="s">
        <v>1976</v>
      </c>
      <c r="G1145" t="s">
        <v>1</v>
      </c>
      <c r="H1145" t="s">
        <v>1130</v>
      </c>
      <c r="I1145" t="str">
        <f>IF(B1145=IFERROR(VLOOKUP(B1145,base!$L$1:$L$9,1,0),""),"Produtos",IF(B1145=IFERROR(VLOOKUP(B1145,base!$K$2:$K$8,1,0),""),"Serviços","Combos"))</f>
        <v>Serviços</v>
      </c>
      <c r="J1145">
        <f t="shared" si="32"/>
        <v>15.75</v>
      </c>
      <c r="K1145" s="1">
        <f t="shared" si="33"/>
        <v>45750</v>
      </c>
      <c r="M1145" s="1"/>
      <c r="P1145"/>
    </row>
    <row r="1146" spans="1:16">
      <c r="A1146" t="s">
        <v>252</v>
      </c>
      <c r="B1146" t="s">
        <v>163</v>
      </c>
      <c r="C1146" t="s">
        <v>1977</v>
      </c>
      <c r="D1146" s="14">
        <v>35</v>
      </c>
      <c r="E1146" s="14">
        <v>35</v>
      </c>
      <c r="F1146" s="1" t="s">
        <v>1978</v>
      </c>
      <c r="G1146" t="s">
        <v>1</v>
      </c>
      <c r="H1146" t="s">
        <v>200</v>
      </c>
      <c r="I1146" t="str">
        <f>IF(B1146=IFERROR(VLOOKUP(B1146,base!$L$1:$L$9,1,0),""),"Produtos",IF(B1146=IFERROR(VLOOKUP(B1146,base!$K$2:$K$8,1,0),""),"Serviços","Combos"))</f>
        <v>Serviços</v>
      </c>
      <c r="J1146">
        <f t="shared" si="32"/>
        <v>15.75</v>
      </c>
      <c r="K1146" s="1">
        <f t="shared" si="33"/>
        <v>45750</v>
      </c>
      <c r="M1146" s="1"/>
      <c r="P1146"/>
    </row>
    <row r="1147" spans="1:16">
      <c r="A1147" t="s">
        <v>252</v>
      </c>
      <c r="B1147" t="s">
        <v>163</v>
      </c>
      <c r="C1147" t="s">
        <v>1979</v>
      </c>
      <c r="D1147" s="14">
        <v>35</v>
      </c>
      <c r="E1147" s="14">
        <v>35</v>
      </c>
      <c r="F1147" s="1" t="s">
        <v>1980</v>
      </c>
      <c r="G1147" t="s">
        <v>2</v>
      </c>
      <c r="H1147" t="s">
        <v>1981</v>
      </c>
      <c r="I1147" t="str">
        <f>IF(B1147=IFERROR(VLOOKUP(B1147,base!$L$1:$L$9,1,0),""),"Produtos",IF(B1147=IFERROR(VLOOKUP(B1147,base!$K$2:$K$8,1,0),""),"Serviços","Combos"))</f>
        <v>Serviços</v>
      </c>
      <c r="J1147">
        <f t="shared" si="32"/>
        <v>15.75</v>
      </c>
      <c r="K1147" s="1">
        <f t="shared" si="33"/>
        <v>45750</v>
      </c>
      <c r="M1147" s="1"/>
      <c r="P1147"/>
    </row>
    <row r="1148" spans="1:16">
      <c r="A1148" t="s">
        <v>252</v>
      </c>
      <c r="B1148" t="s">
        <v>163</v>
      </c>
      <c r="C1148" t="s">
        <v>1982</v>
      </c>
      <c r="D1148" s="14">
        <v>35</v>
      </c>
      <c r="E1148" s="14">
        <v>20</v>
      </c>
      <c r="F1148" s="1" t="s">
        <v>1983</v>
      </c>
      <c r="G1148" t="s">
        <v>1</v>
      </c>
      <c r="H1148" t="s">
        <v>1077</v>
      </c>
      <c r="I1148" t="str">
        <f>IF(B1148=IFERROR(VLOOKUP(B1148,base!$L$1:$L$9,1,0),""),"Produtos",IF(B1148=IFERROR(VLOOKUP(B1148,base!$K$2:$K$8,1,0),""),"Serviços","Combos"))</f>
        <v>Serviços</v>
      </c>
      <c r="J1148">
        <f t="shared" si="32"/>
        <v>15.75</v>
      </c>
      <c r="K1148" s="1">
        <f t="shared" si="33"/>
        <v>45750</v>
      </c>
      <c r="M1148" s="1"/>
      <c r="P1148"/>
    </row>
    <row r="1149" spans="1:16">
      <c r="A1149" t="s">
        <v>536</v>
      </c>
      <c r="B1149" t="s">
        <v>353</v>
      </c>
      <c r="C1149" t="s">
        <v>1984</v>
      </c>
      <c r="D1149" s="14">
        <v>50</v>
      </c>
      <c r="E1149" s="14">
        <v>50</v>
      </c>
      <c r="F1149" s="1" t="s">
        <v>1985</v>
      </c>
      <c r="G1149" t="s">
        <v>1</v>
      </c>
      <c r="H1149" t="s">
        <v>479</v>
      </c>
      <c r="I1149" t="str">
        <f>IF(B1149=IFERROR(VLOOKUP(B1149,base!$L$1:$L$9,1,0),""),"Produtos",IF(B1149=IFERROR(VLOOKUP(B1149,base!$K$2:$K$8,1,0),""),"Serviços","Combos"))</f>
        <v>Combos</v>
      </c>
      <c r="J1149">
        <f t="shared" si="32"/>
        <v>22.5</v>
      </c>
      <c r="K1149" s="1">
        <f t="shared" si="33"/>
        <v>45750</v>
      </c>
      <c r="M1149" s="1"/>
      <c r="P1149"/>
    </row>
    <row r="1150" spans="1:16">
      <c r="A1150" t="s">
        <v>252</v>
      </c>
      <c r="B1150" t="s">
        <v>163</v>
      </c>
      <c r="C1150" t="s">
        <v>1986</v>
      </c>
      <c r="D1150" s="14">
        <v>35</v>
      </c>
      <c r="E1150" s="14">
        <v>35</v>
      </c>
      <c r="F1150" s="1" t="s">
        <v>1987</v>
      </c>
      <c r="G1150" t="s">
        <v>1</v>
      </c>
      <c r="H1150" t="s">
        <v>1988</v>
      </c>
      <c r="I1150" t="str">
        <f>IF(B1150=IFERROR(VLOOKUP(B1150,base!$L$1:$L$9,1,0),""),"Produtos",IF(B1150=IFERROR(VLOOKUP(B1150,base!$K$2:$K$8,1,0),""),"Serviços","Combos"))</f>
        <v>Serviços</v>
      </c>
      <c r="J1150">
        <f t="shared" si="32"/>
        <v>15.75</v>
      </c>
      <c r="K1150" s="1">
        <f t="shared" si="33"/>
        <v>45750</v>
      </c>
      <c r="M1150" s="1"/>
      <c r="P1150"/>
    </row>
    <row r="1151" spans="1:16">
      <c r="A1151" t="s">
        <v>519</v>
      </c>
      <c r="B1151" t="s">
        <v>1046</v>
      </c>
      <c r="C1151" t="s">
        <v>1989</v>
      </c>
      <c r="D1151" s="14">
        <v>20</v>
      </c>
      <c r="E1151" s="14">
        <v>20</v>
      </c>
      <c r="F1151" s="1" t="s">
        <v>1987</v>
      </c>
      <c r="G1151" t="s">
        <v>1</v>
      </c>
      <c r="H1151" t="s">
        <v>120</v>
      </c>
      <c r="I1151" t="str">
        <f>IF(B1151=IFERROR(VLOOKUP(B1151,base!$L$1:$L$9,1,0),""),"Produtos",IF(B1151=IFERROR(VLOOKUP(B1151,base!$K$2:$K$8,1,0),""),"Serviços","Combos"))</f>
        <v>Combos</v>
      </c>
      <c r="J1151">
        <f t="shared" si="32"/>
        <v>9</v>
      </c>
      <c r="K1151" s="1">
        <f t="shared" si="33"/>
        <v>45750</v>
      </c>
      <c r="M1151" s="1"/>
      <c r="P1151"/>
    </row>
    <row r="1152" spans="1:16">
      <c r="A1152" t="s">
        <v>252</v>
      </c>
      <c r="B1152" t="s">
        <v>163</v>
      </c>
      <c r="C1152" t="s">
        <v>1990</v>
      </c>
      <c r="D1152" s="14">
        <v>35</v>
      </c>
      <c r="E1152" s="14">
        <v>35</v>
      </c>
      <c r="F1152" s="1" t="s">
        <v>1991</v>
      </c>
      <c r="G1152" t="s">
        <v>1</v>
      </c>
      <c r="H1152" t="s">
        <v>482</v>
      </c>
      <c r="I1152" t="str">
        <f>IF(B1152=IFERROR(VLOOKUP(B1152,base!$L$1:$L$9,1,0),""),"Produtos",IF(B1152=IFERROR(VLOOKUP(B1152,base!$K$2:$K$8,1,0),""),"Serviços","Combos"))</f>
        <v>Serviços</v>
      </c>
      <c r="J1152">
        <f t="shared" si="32"/>
        <v>15.75</v>
      </c>
      <c r="K1152" s="1">
        <f t="shared" si="33"/>
        <v>45750</v>
      </c>
      <c r="M1152" s="1"/>
      <c r="P1152"/>
    </row>
    <row r="1153" spans="1:16">
      <c r="A1153" t="s">
        <v>519</v>
      </c>
      <c r="B1153" t="s">
        <v>353</v>
      </c>
      <c r="C1153" t="s">
        <v>1992</v>
      </c>
      <c r="D1153" s="14">
        <v>60</v>
      </c>
      <c r="E1153" s="14">
        <v>60</v>
      </c>
      <c r="F1153" s="1" t="s">
        <v>1993</v>
      </c>
      <c r="G1153" t="s">
        <v>1</v>
      </c>
      <c r="H1153" t="s">
        <v>183</v>
      </c>
      <c r="I1153" t="str">
        <f>IF(B1153=IFERROR(VLOOKUP(B1153,base!$L$1:$L$9,1,0),""),"Produtos",IF(B1153=IFERROR(VLOOKUP(B1153,base!$K$2:$K$8,1,0),""),"Serviços","Combos"))</f>
        <v>Combos</v>
      </c>
      <c r="J1153">
        <f t="shared" si="32"/>
        <v>27</v>
      </c>
      <c r="K1153" s="1">
        <f t="shared" si="33"/>
        <v>45750</v>
      </c>
      <c r="M1153" s="1"/>
      <c r="P1153"/>
    </row>
    <row r="1154" spans="1:16">
      <c r="A1154" t="s">
        <v>536</v>
      </c>
      <c r="B1154" t="s">
        <v>163</v>
      </c>
      <c r="C1154" t="s">
        <v>1994</v>
      </c>
      <c r="D1154" s="14">
        <v>35</v>
      </c>
      <c r="E1154" s="14">
        <v>45</v>
      </c>
      <c r="F1154" s="1" t="s">
        <v>1995</v>
      </c>
      <c r="G1154" t="s">
        <v>1</v>
      </c>
      <c r="H1154" t="s">
        <v>1083</v>
      </c>
      <c r="I1154" t="str">
        <f>IF(B1154=IFERROR(VLOOKUP(B1154,base!$L$1:$L$9,1,0),""),"Produtos",IF(B1154=IFERROR(VLOOKUP(B1154,base!$K$2:$K$8,1,0),""),"Serviços","Combos"))</f>
        <v>Serviços</v>
      </c>
      <c r="J1154">
        <f t="shared" si="32"/>
        <v>15.75</v>
      </c>
      <c r="K1154" s="1">
        <f t="shared" si="33"/>
        <v>45750</v>
      </c>
      <c r="M1154" s="1"/>
      <c r="P1154"/>
    </row>
    <row r="1155" spans="1:16">
      <c r="A1155" t="s">
        <v>536</v>
      </c>
      <c r="B1155" t="s">
        <v>167</v>
      </c>
      <c r="C1155" t="s">
        <v>1994</v>
      </c>
      <c r="D1155" s="14">
        <v>10</v>
      </c>
      <c r="E1155" t="s">
        <v>1604</v>
      </c>
      <c r="F1155" s="1" t="s">
        <v>1995</v>
      </c>
      <c r="G1155" t="s">
        <v>1</v>
      </c>
      <c r="H1155" t="s">
        <v>1083</v>
      </c>
      <c r="I1155" t="str">
        <f>IF(B1155=IFERROR(VLOOKUP(B1155,base!$L$1:$L$9,1,0),""),"Produtos",IF(B1155=IFERROR(VLOOKUP(B1155,base!$K$2:$K$8,1,0),""),"Serviços","Combos"))</f>
        <v>Serviços</v>
      </c>
      <c r="J1155">
        <f t="shared" si="32"/>
        <v>4.5</v>
      </c>
      <c r="K1155" s="1">
        <f t="shared" si="33"/>
        <v>45750</v>
      </c>
      <c r="M1155" s="1"/>
      <c r="P1155"/>
    </row>
    <row r="1156" spans="1:16">
      <c r="A1156" t="s">
        <v>519</v>
      </c>
      <c r="B1156" t="s">
        <v>353</v>
      </c>
      <c r="C1156" t="s">
        <v>1996</v>
      </c>
      <c r="D1156" s="14">
        <v>60</v>
      </c>
      <c r="E1156" s="14">
        <v>60</v>
      </c>
      <c r="F1156" s="1" t="s">
        <v>1997</v>
      </c>
      <c r="G1156" t="s">
        <v>354</v>
      </c>
      <c r="H1156" t="s">
        <v>122</v>
      </c>
      <c r="I1156" t="str">
        <f>IF(B1156=IFERROR(VLOOKUP(B1156,base!$L$1:$L$9,1,0),""),"Produtos",IF(B1156=IFERROR(VLOOKUP(B1156,base!$K$2:$K$8,1,0),""),"Serviços","Combos"))</f>
        <v>Combos</v>
      </c>
      <c r="J1156">
        <f t="shared" si="32"/>
        <v>27</v>
      </c>
      <c r="K1156" s="1">
        <f t="shared" si="33"/>
        <v>45750</v>
      </c>
      <c r="M1156" s="1"/>
      <c r="P1156"/>
    </row>
    <row r="1157" spans="1:16">
      <c r="A1157" t="s">
        <v>252</v>
      </c>
      <c r="B1157" t="s">
        <v>163</v>
      </c>
      <c r="C1157" t="s">
        <v>1998</v>
      </c>
      <c r="D1157" s="14">
        <v>35</v>
      </c>
      <c r="E1157" s="14">
        <v>50</v>
      </c>
      <c r="F1157" s="1" t="s">
        <v>1999</v>
      </c>
      <c r="G1157" t="s">
        <v>1</v>
      </c>
      <c r="H1157" t="s">
        <v>110</v>
      </c>
      <c r="I1157" t="str">
        <f>IF(B1157=IFERROR(VLOOKUP(B1157,base!$L$1:$L$9,1,0),""),"Produtos",IF(B1157=IFERROR(VLOOKUP(B1157,base!$K$2:$K$8,1,0),""),"Serviços","Combos"))</f>
        <v>Serviços</v>
      </c>
      <c r="J1157">
        <f t="shared" si="32"/>
        <v>15.75</v>
      </c>
      <c r="K1157" s="1">
        <f t="shared" si="33"/>
        <v>45750</v>
      </c>
      <c r="M1157" s="1"/>
      <c r="P1157"/>
    </row>
    <row r="1158" spans="1:16">
      <c r="A1158" t="s">
        <v>252</v>
      </c>
      <c r="B1158" t="s">
        <v>167</v>
      </c>
      <c r="C1158" t="s">
        <v>1998</v>
      </c>
      <c r="D1158" s="14">
        <v>10</v>
      </c>
      <c r="E1158" t="s">
        <v>1604</v>
      </c>
      <c r="F1158" s="1" t="s">
        <v>1999</v>
      </c>
      <c r="G1158" t="s">
        <v>1</v>
      </c>
      <c r="H1158" t="s">
        <v>110</v>
      </c>
      <c r="I1158" t="str">
        <f>IF(B1158=IFERROR(VLOOKUP(B1158,base!$L$1:$L$9,1,0),""),"Produtos",IF(B1158=IFERROR(VLOOKUP(B1158,base!$K$2:$K$8,1,0),""),"Serviços","Combos"))</f>
        <v>Serviços</v>
      </c>
      <c r="J1158">
        <f t="shared" si="32"/>
        <v>4.5</v>
      </c>
      <c r="K1158" s="1">
        <f t="shared" si="33"/>
        <v>45750</v>
      </c>
      <c r="M1158" s="1"/>
      <c r="P1158"/>
    </row>
    <row r="1159" spans="1:16">
      <c r="A1159" t="s">
        <v>519</v>
      </c>
      <c r="B1159" t="s">
        <v>1046</v>
      </c>
      <c r="C1159" t="s">
        <v>2000</v>
      </c>
      <c r="D1159" s="14">
        <v>35</v>
      </c>
      <c r="E1159" s="14">
        <v>35</v>
      </c>
      <c r="F1159" s="1" t="s">
        <v>1999</v>
      </c>
      <c r="G1159" t="s">
        <v>1</v>
      </c>
      <c r="H1159" t="s">
        <v>1533</v>
      </c>
      <c r="I1159" t="str">
        <f>IF(B1159=IFERROR(VLOOKUP(B1159,base!$L$1:$L$9,1,0),""),"Produtos",IF(B1159=IFERROR(VLOOKUP(B1159,base!$K$2:$K$8,1,0),""),"Serviços","Combos"))</f>
        <v>Combos</v>
      </c>
      <c r="J1159">
        <f t="shared" si="32"/>
        <v>15.75</v>
      </c>
      <c r="K1159" s="1">
        <f t="shared" si="33"/>
        <v>45750</v>
      </c>
      <c r="M1159" s="1"/>
      <c r="P1159"/>
    </row>
    <row r="1160" spans="1:16">
      <c r="A1160" t="s">
        <v>536</v>
      </c>
      <c r="B1160" t="s">
        <v>1046</v>
      </c>
      <c r="C1160" t="s">
        <v>2001</v>
      </c>
      <c r="D1160" s="14">
        <v>35</v>
      </c>
      <c r="E1160" s="14">
        <v>45</v>
      </c>
      <c r="F1160" s="1" t="s">
        <v>2002</v>
      </c>
      <c r="G1160" t="s">
        <v>1</v>
      </c>
      <c r="H1160" t="s">
        <v>271</v>
      </c>
      <c r="I1160" t="str">
        <f>IF(B1160=IFERROR(VLOOKUP(B1160,base!$L$1:$L$9,1,0),""),"Produtos",IF(B1160=IFERROR(VLOOKUP(B1160,base!$K$2:$K$8,1,0),""),"Serviços","Combos"))</f>
        <v>Combos</v>
      </c>
      <c r="J1160">
        <f t="shared" si="32"/>
        <v>15.75</v>
      </c>
      <c r="K1160" s="1">
        <f t="shared" si="33"/>
        <v>45750</v>
      </c>
      <c r="M1160" s="1"/>
      <c r="P1160"/>
    </row>
    <row r="1161" spans="1:16">
      <c r="A1161" t="s">
        <v>536</v>
      </c>
      <c r="B1161" t="s">
        <v>167</v>
      </c>
      <c r="C1161" t="s">
        <v>2001</v>
      </c>
      <c r="D1161" s="14">
        <v>10</v>
      </c>
      <c r="E1161" t="s">
        <v>1604</v>
      </c>
      <c r="F1161" s="1" t="s">
        <v>2002</v>
      </c>
      <c r="G1161" t="s">
        <v>1</v>
      </c>
      <c r="H1161" t="s">
        <v>271</v>
      </c>
      <c r="I1161" t="str">
        <f>IF(B1161=IFERROR(VLOOKUP(B1161,base!$L$1:$L$9,1,0),""),"Produtos",IF(B1161=IFERROR(VLOOKUP(B1161,base!$K$2:$K$8,1,0),""),"Serviços","Combos"))</f>
        <v>Serviços</v>
      </c>
      <c r="J1161">
        <f t="shared" si="32"/>
        <v>4.5</v>
      </c>
      <c r="K1161" s="1">
        <f t="shared" si="33"/>
        <v>45750</v>
      </c>
      <c r="M1161" s="1"/>
      <c r="P1161"/>
    </row>
    <row r="1162" spans="1:16">
      <c r="A1162" t="s">
        <v>519</v>
      </c>
      <c r="B1162" t="s">
        <v>167</v>
      </c>
      <c r="C1162" t="s">
        <v>2003</v>
      </c>
      <c r="D1162" s="14">
        <v>15</v>
      </c>
      <c r="E1162" s="14">
        <v>15</v>
      </c>
      <c r="F1162" s="1" t="s">
        <v>2004</v>
      </c>
      <c r="G1162" t="s">
        <v>1</v>
      </c>
      <c r="H1162" t="s">
        <v>14</v>
      </c>
      <c r="I1162" t="str">
        <f>IF(B1162=IFERROR(VLOOKUP(B1162,base!$L$1:$L$9,1,0),""),"Produtos",IF(B1162=IFERROR(VLOOKUP(B1162,base!$K$2:$K$8,1,0),""),"Serviços","Combos"))</f>
        <v>Serviços</v>
      </c>
      <c r="J1162">
        <f t="shared" ref="J1162:J1225" si="34">IF(AND(I1162="Serviços",E1162&gt;0),ROUND(D1162*45%,2),IF(I1162="Produtos",ROUND(D1162*40%,2),D1162*45%))</f>
        <v>6.75</v>
      </c>
      <c r="K1162" s="1">
        <f t="shared" ref="K1162:K1225" si="35">DATEVALUE(F1162)</f>
        <v>45751</v>
      </c>
      <c r="M1162" s="1"/>
      <c r="P1162"/>
    </row>
    <row r="1163" spans="1:16">
      <c r="A1163" t="s">
        <v>252</v>
      </c>
      <c r="B1163" t="s">
        <v>163</v>
      </c>
      <c r="C1163" t="s">
        <v>2005</v>
      </c>
      <c r="D1163" s="14">
        <v>35</v>
      </c>
      <c r="E1163" s="14">
        <v>45</v>
      </c>
      <c r="F1163" s="1" t="s">
        <v>2006</v>
      </c>
      <c r="G1163" t="s">
        <v>1</v>
      </c>
      <c r="H1163" t="s">
        <v>68</v>
      </c>
      <c r="I1163" t="str">
        <f>IF(B1163=IFERROR(VLOOKUP(B1163,base!$L$1:$L$9,1,0),""),"Produtos",IF(B1163=IFERROR(VLOOKUP(B1163,base!$K$2:$K$8,1,0),""),"Serviços","Combos"))</f>
        <v>Serviços</v>
      </c>
      <c r="J1163">
        <f t="shared" si="34"/>
        <v>15.75</v>
      </c>
      <c r="K1163" s="1">
        <f t="shared" si="35"/>
        <v>45751</v>
      </c>
      <c r="M1163" s="1"/>
      <c r="P1163"/>
    </row>
    <row r="1164" spans="1:16">
      <c r="A1164" t="s">
        <v>252</v>
      </c>
      <c r="B1164" t="s">
        <v>167</v>
      </c>
      <c r="C1164" t="s">
        <v>2005</v>
      </c>
      <c r="D1164" s="14">
        <v>10</v>
      </c>
      <c r="E1164" t="s">
        <v>1604</v>
      </c>
      <c r="F1164" s="1" t="s">
        <v>2006</v>
      </c>
      <c r="G1164" t="s">
        <v>1</v>
      </c>
      <c r="H1164" t="s">
        <v>68</v>
      </c>
      <c r="I1164" t="str">
        <f>IF(B1164=IFERROR(VLOOKUP(B1164,base!$L$1:$L$9,1,0),""),"Produtos",IF(B1164=IFERROR(VLOOKUP(B1164,base!$K$2:$K$8,1,0),""),"Serviços","Combos"))</f>
        <v>Serviços</v>
      </c>
      <c r="J1164">
        <f t="shared" si="34"/>
        <v>4.5</v>
      </c>
      <c r="K1164" s="1">
        <f t="shared" si="35"/>
        <v>45751</v>
      </c>
      <c r="M1164" s="1"/>
      <c r="P1164"/>
    </row>
    <row r="1165" spans="1:16">
      <c r="A1165" t="s">
        <v>519</v>
      </c>
      <c r="B1165" t="s">
        <v>163</v>
      </c>
      <c r="C1165" t="s">
        <v>2007</v>
      </c>
      <c r="D1165" s="14">
        <v>35</v>
      </c>
      <c r="E1165" s="14">
        <v>35</v>
      </c>
      <c r="F1165" s="1" t="s">
        <v>2006</v>
      </c>
      <c r="G1165" t="s">
        <v>1</v>
      </c>
      <c r="H1165" t="s">
        <v>2008</v>
      </c>
      <c r="I1165" t="str">
        <f>IF(B1165=IFERROR(VLOOKUP(B1165,base!$L$1:$L$9,1,0),""),"Produtos",IF(B1165=IFERROR(VLOOKUP(B1165,base!$K$2:$K$8,1,0),""),"Serviços","Combos"))</f>
        <v>Serviços</v>
      </c>
      <c r="J1165">
        <f t="shared" si="34"/>
        <v>15.75</v>
      </c>
      <c r="K1165" s="1">
        <f t="shared" si="35"/>
        <v>45751</v>
      </c>
      <c r="M1165" s="1"/>
      <c r="P1165"/>
    </row>
    <row r="1166" spans="1:16">
      <c r="A1166" t="s">
        <v>519</v>
      </c>
      <c r="B1166" t="s">
        <v>163</v>
      </c>
      <c r="C1166" t="s">
        <v>2009</v>
      </c>
      <c r="D1166" s="14">
        <v>35</v>
      </c>
      <c r="E1166" s="14">
        <v>35</v>
      </c>
      <c r="F1166" s="1" t="s">
        <v>2010</v>
      </c>
      <c r="G1166" t="s">
        <v>1</v>
      </c>
      <c r="H1166" t="s">
        <v>12</v>
      </c>
      <c r="I1166" t="str">
        <f>IF(B1166=IFERROR(VLOOKUP(B1166,base!$L$1:$L$9,1,0),""),"Produtos",IF(B1166=IFERROR(VLOOKUP(B1166,base!$K$2:$K$8,1,0),""),"Serviços","Combos"))</f>
        <v>Serviços</v>
      </c>
      <c r="J1166">
        <f t="shared" si="34"/>
        <v>15.75</v>
      </c>
      <c r="K1166" s="1">
        <f t="shared" si="35"/>
        <v>45752</v>
      </c>
      <c r="M1166" s="1"/>
      <c r="P1166"/>
    </row>
    <row r="1167" spans="1:16">
      <c r="A1167" t="s">
        <v>536</v>
      </c>
      <c r="B1167" t="s">
        <v>353</v>
      </c>
      <c r="C1167" t="s">
        <v>2011</v>
      </c>
      <c r="D1167" s="14">
        <v>50</v>
      </c>
      <c r="E1167" s="14">
        <v>50</v>
      </c>
      <c r="F1167" s="1" t="s">
        <v>2012</v>
      </c>
      <c r="G1167" t="s">
        <v>1</v>
      </c>
      <c r="H1167" t="s">
        <v>383</v>
      </c>
      <c r="I1167" t="str">
        <f>IF(B1167=IFERROR(VLOOKUP(B1167,base!$L$1:$L$9,1,0),""),"Produtos",IF(B1167=IFERROR(VLOOKUP(B1167,base!$K$2:$K$8,1,0),""),"Serviços","Combos"))</f>
        <v>Combos</v>
      </c>
      <c r="J1167">
        <f t="shared" si="34"/>
        <v>22.5</v>
      </c>
      <c r="K1167" s="1">
        <f t="shared" si="35"/>
        <v>45751</v>
      </c>
      <c r="M1167" s="1"/>
      <c r="P1167"/>
    </row>
    <row r="1168" spans="1:16">
      <c r="A1168" t="s">
        <v>519</v>
      </c>
      <c r="B1168" t="s">
        <v>163</v>
      </c>
      <c r="C1168" t="s">
        <v>2013</v>
      </c>
      <c r="D1168" s="14">
        <v>35</v>
      </c>
      <c r="E1168" s="14">
        <v>35</v>
      </c>
      <c r="F1168" s="1" t="s">
        <v>2014</v>
      </c>
      <c r="G1168" t="s">
        <v>1</v>
      </c>
      <c r="H1168" t="s">
        <v>127</v>
      </c>
      <c r="I1168" t="str">
        <f>IF(B1168=IFERROR(VLOOKUP(B1168,base!$L$1:$L$9,1,0),""),"Produtos",IF(B1168=IFERROR(VLOOKUP(B1168,base!$K$2:$K$8,1,0),""),"Serviços","Combos"))</f>
        <v>Serviços</v>
      </c>
      <c r="J1168">
        <f t="shared" si="34"/>
        <v>15.75</v>
      </c>
      <c r="K1168" s="1">
        <f t="shared" si="35"/>
        <v>45751</v>
      </c>
      <c r="M1168" s="1"/>
      <c r="P1168"/>
    </row>
    <row r="1169" spans="1:16">
      <c r="A1169" t="s">
        <v>536</v>
      </c>
      <c r="B1169" t="s">
        <v>353</v>
      </c>
      <c r="C1169" t="s">
        <v>2015</v>
      </c>
      <c r="D1169" s="14">
        <v>60</v>
      </c>
      <c r="E1169" s="14">
        <v>70</v>
      </c>
      <c r="F1169" s="1" t="s">
        <v>2016</v>
      </c>
      <c r="G1169" t="s">
        <v>1</v>
      </c>
      <c r="H1169" t="s">
        <v>275</v>
      </c>
      <c r="I1169" t="str">
        <f>IF(B1169=IFERROR(VLOOKUP(B1169,base!$L$1:$L$9,1,0),""),"Produtos",IF(B1169=IFERROR(VLOOKUP(B1169,base!$K$2:$K$8,1,0),""),"Serviços","Combos"))</f>
        <v>Combos</v>
      </c>
      <c r="J1169">
        <f t="shared" si="34"/>
        <v>27</v>
      </c>
      <c r="K1169" s="1">
        <f t="shared" si="35"/>
        <v>45751</v>
      </c>
      <c r="M1169" s="1"/>
      <c r="P1169"/>
    </row>
    <row r="1170" spans="1:16">
      <c r="A1170" t="s">
        <v>536</v>
      </c>
      <c r="B1170" t="s">
        <v>166</v>
      </c>
      <c r="C1170" t="s">
        <v>2015</v>
      </c>
      <c r="D1170" s="14">
        <v>10</v>
      </c>
      <c r="E1170" t="s">
        <v>1604</v>
      </c>
      <c r="F1170" s="1" t="s">
        <v>2016</v>
      </c>
      <c r="G1170" t="s">
        <v>1</v>
      </c>
      <c r="H1170" t="s">
        <v>275</v>
      </c>
      <c r="I1170" t="str">
        <f>IF(B1170=IFERROR(VLOOKUP(B1170,base!$L$1:$L$9,1,0),""),"Produtos",IF(B1170=IFERROR(VLOOKUP(B1170,base!$K$2:$K$8,1,0),""),"Serviços","Combos"))</f>
        <v>Serviços</v>
      </c>
      <c r="J1170">
        <f t="shared" si="34"/>
        <v>4.5</v>
      </c>
      <c r="K1170" s="1">
        <f t="shared" si="35"/>
        <v>45751</v>
      </c>
      <c r="M1170" s="1"/>
      <c r="P1170"/>
    </row>
    <row r="1171" spans="1:16">
      <c r="A1171" t="s">
        <v>519</v>
      </c>
      <c r="B1171" t="s">
        <v>163</v>
      </c>
      <c r="C1171" t="s">
        <v>2017</v>
      </c>
      <c r="D1171" s="14">
        <v>35</v>
      </c>
      <c r="E1171" s="14">
        <v>75</v>
      </c>
      <c r="F1171" s="1" t="s">
        <v>2018</v>
      </c>
      <c r="G1171" t="s">
        <v>1</v>
      </c>
      <c r="H1171" t="s">
        <v>1523</v>
      </c>
      <c r="I1171" t="str">
        <f>IF(B1171=IFERROR(VLOOKUP(B1171,base!$L$1:$L$9,1,0),""),"Produtos",IF(B1171=IFERROR(VLOOKUP(B1171,base!$K$2:$K$8,1,0),""),"Serviços","Combos"))</f>
        <v>Serviços</v>
      </c>
      <c r="J1171">
        <f t="shared" si="34"/>
        <v>15.75</v>
      </c>
      <c r="K1171" s="1">
        <f t="shared" si="35"/>
        <v>45751</v>
      </c>
      <c r="M1171" s="1"/>
      <c r="P1171"/>
    </row>
    <row r="1172" spans="1:16">
      <c r="A1172" t="s">
        <v>519</v>
      </c>
      <c r="B1172" t="s">
        <v>1046</v>
      </c>
      <c r="C1172" t="s">
        <v>2017</v>
      </c>
      <c r="D1172" s="14">
        <v>15</v>
      </c>
      <c r="E1172" t="s">
        <v>1604</v>
      </c>
      <c r="F1172" s="1" t="s">
        <v>2018</v>
      </c>
      <c r="G1172" t="s">
        <v>1</v>
      </c>
      <c r="H1172" t="s">
        <v>1523</v>
      </c>
      <c r="I1172" t="str">
        <f>IF(B1172=IFERROR(VLOOKUP(B1172,base!$L$1:$L$9,1,0),""),"Produtos",IF(B1172=IFERROR(VLOOKUP(B1172,base!$K$2:$K$8,1,0),""),"Serviços","Combos"))</f>
        <v>Combos</v>
      </c>
      <c r="J1172">
        <f t="shared" si="34"/>
        <v>6.75</v>
      </c>
      <c r="K1172" s="1">
        <f t="shared" si="35"/>
        <v>45751</v>
      </c>
      <c r="M1172" s="1"/>
      <c r="P1172"/>
    </row>
    <row r="1173" spans="1:16">
      <c r="A1173" t="s">
        <v>519</v>
      </c>
      <c r="B1173" t="s">
        <v>509</v>
      </c>
      <c r="C1173" t="s">
        <v>2017</v>
      </c>
      <c r="D1173" s="14">
        <v>25</v>
      </c>
      <c r="E1173" t="s">
        <v>1604</v>
      </c>
      <c r="F1173" s="1" t="s">
        <v>2018</v>
      </c>
      <c r="G1173" t="s">
        <v>1</v>
      </c>
      <c r="H1173" t="s">
        <v>1523</v>
      </c>
      <c r="I1173" t="str">
        <f>IF(B1173=IFERROR(VLOOKUP(B1173,base!$L$1:$L$9,1,0),""),"Produtos",IF(B1173=IFERROR(VLOOKUP(B1173,base!$K$2:$K$8,1,0),""),"Serviços","Combos"))</f>
        <v>Produtos</v>
      </c>
      <c r="J1173">
        <f t="shared" si="34"/>
        <v>10</v>
      </c>
      <c r="K1173" s="1">
        <f t="shared" si="35"/>
        <v>45751</v>
      </c>
      <c r="M1173" s="1"/>
      <c r="P1173"/>
    </row>
    <row r="1174" spans="1:16">
      <c r="A1174" t="s">
        <v>536</v>
      </c>
      <c r="B1174" t="s">
        <v>353</v>
      </c>
      <c r="C1174" t="s">
        <v>2019</v>
      </c>
      <c r="D1174" s="14">
        <v>55</v>
      </c>
      <c r="E1174" s="14">
        <v>55</v>
      </c>
      <c r="F1174" s="1" t="s">
        <v>2020</v>
      </c>
      <c r="G1174" t="s">
        <v>1</v>
      </c>
      <c r="H1174" t="s">
        <v>376</v>
      </c>
      <c r="I1174" t="str">
        <f>IF(B1174=IFERROR(VLOOKUP(B1174,base!$L$1:$L$9,1,0),""),"Produtos",IF(B1174=IFERROR(VLOOKUP(B1174,base!$K$2:$K$8,1,0),""),"Serviços","Combos"))</f>
        <v>Combos</v>
      </c>
      <c r="J1174">
        <f t="shared" si="34"/>
        <v>24.75</v>
      </c>
      <c r="K1174" s="1">
        <f t="shared" si="35"/>
        <v>45751</v>
      </c>
      <c r="M1174" s="1"/>
      <c r="P1174"/>
    </row>
    <row r="1175" spans="1:16">
      <c r="A1175" t="s">
        <v>519</v>
      </c>
      <c r="B1175" t="s">
        <v>163</v>
      </c>
      <c r="C1175" t="s">
        <v>2021</v>
      </c>
      <c r="D1175" s="14">
        <v>35</v>
      </c>
      <c r="E1175" s="14">
        <v>35</v>
      </c>
      <c r="F1175" s="1" t="s">
        <v>2022</v>
      </c>
      <c r="G1175" t="s">
        <v>1</v>
      </c>
      <c r="H1175" t="s">
        <v>63</v>
      </c>
      <c r="I1175" t="str">
        <f>IF(B1175=IFERROR(VLOOKUP(B1175,base!$L$1:$L$9,1,0),""),"Produtos",IF(B1175=IFERROR(VLOOKUP(B1175,base!$K$2:$K$8,1,0),""),"Serviços","Combos"))</f>
        <v>Serviços</v>
      </c>
      <c r="J1175">
        <f t="shared" si="34"/>
        <v>15.75</v>
      </c>
      <c r="K1175" s="1">
        <f t="shared" si="35"/>
        <v>45751</v>
      </c>
      <c r="M1175" s="1"/>
      <c r="P1175"/>
    </row>
    <row r="1176" spans="1:16">
      <c r="A1176" t="s">
        <v>252</v>
      </c>
      <c r="B1176" t="s">
        <v>163</v>
      </c>
      <c r="C1176" t="s">
        <v>2023</v>
      </c>
      <c r="D1176" s="14">
        <v>35</v>
      </c>
      <c r="E1176" s="14">
        <v>35</v>
      </c>
      <c r="F1176" s="1" t="s">
        <v>2024</v>
      </c>
      <c r="G1176" t="s">
        <v>1</v>
      </c>
      <c r="H1176" t="s">
        <v>2025</v>
      </c>
      <c r="I1176" t="str">
        <f>IF(B1176=IFERROR(VLOOKUP(B1176,base!$L$1:$L$9,1,0),""),"Produtos",IF(B1176=IFERROR(VLOOKUP(B1176,base!$K$2:$K$8,1,0),""),"Serviços","Combos"))</f>
        <v>Serviços</v>
      </c>
      <c r="J1176">
        <f t="shared" si="34"/>
        <v>15.75</v>
      </c>
      <c r="K1176" s="1">
        <f t="shared" si="35"/>
        <v>45751</v>
      </c>
      <c r="M1176" s="1"/>
      <c r="P1176"/>
    </row>
    <row r="1177" spans="1:16">
      <c r="A1177" t="s">
        <v>536</v>
      </c>
      <c r="B1177" t="s">
        <v>353</v>
      </c>
      <c r="C1177" t="s">
        <v>2026</v>
      </c>
      <c r="D1177" s="14">
        <v>50</v>
      </c>
      <c r="E1177" s="14">
        <v>50</v>
      </c>
      <c r="F1177" s="1" t="s">
        <v>1929</v>
      </c>
      <c r="G1177" t="s">
        <v>1</v>
      </c>
      <c r="H1177" t="s">
        <v>1184</v>
      </c>
      <c r="I1177" t="str">
        <f>IF(B1177=IFERROR(VLOOKUP(B1177,base!$L$1:$L$9,1,0),""),"Produtos",IF(B1177=IFERROR(VLOOKUP(B1177,base!$K$2:$K$8,1,0),""),"Serviços","Combos"))</f>
        <v>Combos</v>
      </c>
      <c r="J1177">
        <f t="shared" si="34"/>
        <v>22.5</v>
      </c>
      <c r="K1177" s="1">
        <f t="shared" si="35"/>
        <v>45751</v>
      </c>
      <c r="M1177" s="1"/>
      <c r="P1177"/>
    </row>
    <row r="1178" spans="1:16">
      <c r="A1178" t="s">
        <v>519</v>
      </c>
      <c r="B1178" t="s">
        <v>163</v>
      </c>
      <c r="C1178" t="s">
        <v>2027</v>
      </c>
      <c r="D1178" s="14">
        <v>35</v>
      </c>
      <c r="E1178" s="14">
        <v>45</v>
      </c>
      <c r="F1178" s="1" t="s">
        <v>2028</v>
      </c>
      <c r="G1178" t="s">
        <v>2</v>
      </c>
      <c r="H1178" t="s">
        <v>1109</v>
      </c>
      <c r="I1178" t="str">
        <f>IF(B1178=IFERROR(VLOOKUP(B1178,base!$L$1:$L$9,1,0),""),"Produtos",IF(B1178=IFERROR(VLOOKUP(B1178,base!$K$2:$K$8,1,0),""),"Serviços","Combos"))</f>
        <v>Serviços</v>
      </c>
      <c r="J1178">
        <f t="shared" si="34"/>
        <v>15.75</v>
      </c>
      <c r="K1178" s="1">
        <f t="shared" si="35"/>
        <v>45751</v>
      </c>
      <c r="M1178" s="1"/>
      <c r="P1178"/>
    </row>
    <row r="1179" spans="1:16">
      <c r="A1179" t="s">
        <v>519</v>
      </c>
      <c r="B1179" t="s">
        <v>167</v>
      </c>
      <c r="C1179" t="s">
        <v>2027</v>
      </c>
      <c r="D1179" s="14">
        <v>10</v>
      </c>
      <c r="E1179" t="s">
        <v>1604</v>
      </c>
      <c r="F1179" s="1" t="s">
        <v>2028</v>
      </c>
      <c r="G1179" t="s">
        <v>2</v>
      </c>
      <c r="H1179" t="s">
        <v>1109</v>
      </c>
      <c r="I1179" t="str">
        <f>IF(B1179=IFERROR(VLOOKUP(B1179,base!$L$1:$L$9,1,0),""),"Produtos",IF(B1179=IFERROR(VLOOKUP(B1179,base!$K$2:$K$8,1,0),""),"Serviços","Combos"))</f>
        <v>Serviços</v>
      </c>
      <c r="J1179">
        <f t="shared" si="34"/>
        <v>4.5</v>
      </c>
      <c r="K1179" s="1">
        <f t="shared" si="35"/>
        <v>45751</v>
      </c>
      <c r="M1179" s="1"/>
      <c r="P1179"/>
    </row>
    <row r="1180" spans="1:16">
      <c r="A1180" t="s">
        <v>536</v>
      </c>
      <c r="B1180" t="s">
        <v>163</v>
      </c>
      <c r="C1180" t="s">
        <v>2029</v>
      </c>
      <c r="D1180" s="14">
        <v>35</v>
      </c>
      <c r="E1180" s="14">
        <v>35</v>
      </c>
      <c r="F1180" s="1" t="s">
        <v>2030</v>
      </c>
      <c r="G1180" t="s">
        <v>1</v>
      </c>
      <c r="H1180" t="s">
        <v>470</v>
      </c>
      <c r="I1180" t="str">
        <f>IF(B1180=IFERROR(VLOOKUP(B1180,base!$L$1:$L$9,1,0),""),"Produtos",IF(B1180=IFERROR(VLOOKUP(B1180,base!$K$2:$K$8,1,0),""),"Serviços","Combos"))</f>
        <v>Serviços</v>
      </c>
      <c r="J1180">
        <f t="shared" si="34"/>
        <v>15.75</v>
      </c>
      <c r="K1180" s="1">
        <f t="shared" si="35"/>
        <v>45751</v>
      </c>
      <c r="M1180" s="1"/>
      <c r="P1180"/>
    </row>
    <row r="1181" spans="1:16">
      <c r="A1181" t="s">
        <v>519</v>
      </c>
      <c r="B1181" t="s">
        <v>163</v>
      </c>
      <c r="C1181" t="s">
        <v>2031</v>
      </c>
      <c r="D1181" s="14">
        <v>35</v>
      </c>
      <c r="E1181" s="14">
        <v>35</v>
      </c>
      <c r="F1181" s="1" t="s">
        <v>2032</v>
      </c>
      <c r="G1181" t="s">
        <v>1</v>
      </c>
      <c r="H1181" t="s">
        <v>11</v>
      </c>
      <c r="I1181" t="str">
        <f>IF(B1181=IFERROR(VLOOKUP(B1181,base!$L$1:$L$9,1,0),""),"Produtos",IF(B1181=IFERROR(VLOOKUP(B1181,base!$K$2:$K$8,1,0),""),"Serviços","Combos"))</f>
        <v>Serviços</v>
      </c>
      <c r="J1181">
        <f t="shared" si="34"/>
        <v>15.75</v>
      </c>
      <c r="K1181" s="1">
        <f t="shared" si="35"/>
        <v>45752</v>
      </c>
      <c r="M1181" s="1"/>
      <c r="P1181"/>
    </row>
    <row r="1182" spans="1:16">
      <c r="A1182" t="s">
        <v>536</v>
      </c>
      <c r="B1182" t="s">
        <v>163</v>
      </c>
      <c r="C1182" t="s">
        <v>2033</v>
      </c>
      <c r="D1182" s="14">
        <v>35</v>
      </c>
      <c r="E1182" s="14">
        <v>45</v>
      </c>
      <c r="F1182" s="1" t="s">
        <v>2034</v>
      </c>
      <c r="G1182" t="s">
        <v>1</v>
      </c>
      <c r="H1182" t="s">
        <v>501</v>
      </c>
      <c r="I1182" t="str">
        <f>IF(B1182=IFERROR(VLOOKUP(B1182,base!$L$1:$L$9,1,0),""),"Produtos",IF(B1182=IFERROR(VLOOKUP(B1182,base!$K$2:$K$8,1,0),""),"Serviços","Combos"))</f>
        <v>Serviços</v>
      </c>
      <c r="J1182">
        <f t="shared" si="34"/>
        <v>15.75</v>
      </c>
      <c r="K1182" s="1">
        <f t="shared" si="35"/>
        <v>45751</v>
      </c>
      <c r="M1182" s="1"/>
      <c r="P1182"/>
    </row>
    <row r="1183" spans="1:16">
      <c r="A1183" t="s">
        <v>536</v>
      </c>
      <c r="B1183" t="s">
        <v>167</v>
      </c>
      <c r="C1183" t="s">
        <v>2033</v>
      </c>
      <c r="D1183" s="14">
        <v>10</v>
      </c>
      <c r="E1183" t="s">
        <v>1604</v>
      </c>
      <c r="F1183" s="1" t="s">
        <v>2034</v>
      </c>
      <c r="G1183" t="s">
        <v>1</v>
      </c>
      <c r="H1183" t="s">
        <v>501</v>
      </c>
      <c r="I1183" t="str">
        <f>IF(B1183=IFERROR(VLOOKUP(B1183,base!$L$1:$L$9,1,0),""),"Produtos",IF(B1183=IFERROR(VLOOKUP(B1183,base!$K$2:$K$8,1,0),""),"Serviços","Combos"))</f>
        <v>Serviços</v>
      </c>
      <c r="J1183">
        <f t="shared" si="34"/>
        <v>4.5</v>
      </c>
      <c r="K1183" s="1">
        <f t="shared" si="35"/>
        <v>45751</v>
      </c>
      <c r="M1183" s="1"/>
      <c r="P1183"/>
    </row>
    <row r="1184" spans="1:16">
      <c r="A1184" t="s">
        <v>252</v>
      </c>
      <c r="B1184" t="s">
        <v>353</v>
      </c>
      <c r="C1184" t="s">
        <v>2035</v>
      </c>
      <c r="D1184" s="14">
        <v>60</v>
      </c>
      <c r="E1184" s="14">
        <v>75</v>
      </c>
      <c r="F1184" s="1" t="s">
        <v>2036</v>
      </c>
      <c r="G1184" t="s">
        <v>2</v>
      </c>
      <c r="H1184" t="s">
        <v>1026</v>
      </c>
      <c r="I1184" t="str">
        <f>IF(B1184=IFERROR(VLOOKUP(B1184,base!$L$1:$L$9,1,0),""),"Produtos",IF(B1184=IFERROR(VLOOKUP(B1184,base!$K$2:$K$8,1,0),""),"Serviços","Combos"))</f>
        <v>Combos</v>
      </c>
      <c r="J1184">
        <f t="shared" si="34"/>
        <v>27</v>
      </c>
      <c r="K1184" s="1">
        <f t="shared" si="35"/>
        <v>45751</v>
      </c>
      <c r="M1184" s="1"/>
      <c r="P1184"/>
    </row>
    <row r="1185" spans="1:16">
      <c r="A1185" t="s">
        <v>252</v>
      </c>
      <c r="B1185" t="s">
        <v>1187</v>
      </c>
      <c r="C1185" t="s">
        <v>2035</v>
      </c>
      <c r="D1185" s="14">
        <v>15</v>
      </c>
      <c r="E1185" t="s">
        <v>1604</v>
      </c>
      <c r="F1185" s="1" t="s">
        <v>2036</v>
      </c>
      <c r="G1185" t="s">
        <v>2</v>
      </c>
      <c r="H1185" t="s">
        <v>1026</v>
      </c>
      <c r="I1185" t="str">
        <f>IF(B1185=IFERROR(VLOOKUP(B1185,base!$L$1:$L$9,1,0),""),"Produtos",IF(B1185=IFERROR(VLOOKUP(B1185,base!$K$2:$K$8,1,0),""),"Serviços","Combos"))</f>
        <v>Combos</v>
      </c>
      <c r="J1185">
        <f t="shared" si="34"/>
        <v>6.75</v>
      </c>
      <c r="K1185" s="1">
        <f t="shared" si="35"/>
        <v>45751</v>
      </c>
      <c r="M1185" s="1"/>
      <c r="P1185"/>
    </row>
    <row r="1186" spans="1:16">
      <c r="A1186" t="s">
        <v>519</v>
      </c>
      <c r="B1186" t="s">
        <v>163</v>
      </c>
      <c r="C1186" t="s">
        <v>2037</v>
      </c>
      <c r="D1186" s="14">
        <v>35</v>
      </c>
      <c r="E1186" s="14">
        <v>35</v>
      </c>
      <c r="F1186" s="1" t="s">
        <v>1938</v>
      </c>
      <c r="G1186" t="s">
        <v>1</v>
      </c>
      <c r="H1186" t="s">
        <v>37</v>
      </c>
      <c r="I1186" t="str">
        <f>IF(B1186=IFERROR(VLOOKUP(B1186,base!$L$1:$L$9,1,0),""),"Produtos",IF(B1186=IFERROR(VLOOKUP(B1186,base!$K$2:$K$8,1,0),""),"Serviços","Combos"))</f>
        <v>Serviços</v>
      </c>
      <c r="J1186">
        <f t="shared" si="34"/>
        <v>15.75</v>
      </c>
      <c r="K1186" s="1">
        <f t="shared" si="35"/>
        <v>45752</v>
      </c>
      <c r="M1186" s="1"/>
      <c r="P1186"/>
    </row>
    <row r="1187" spans="1:16">
      <c r="A1187" t="s">
        <v>519</v>
      </c>
      <c r="B1187" t="s">
        <v>163</v>
      </c>
      <c r="C1187" t="s">
        <v>2038</v>
      </c>
      <c r="D1187" s="14">
        <v>35</v>
      </c>
      <c r="E1187" s="14">
        <v>35</v>
      </c>
      <c r="F1187" s="1" t="s">
        <v>2039</v>
      </c>
      <c r="G1187" t="s">
        <v>1</v>
      </c>
      <c r="H1187" t="s">
        <v>133</v>
      </c>
      <c r="I1187" t="str">
        <f>IF(B1187=IFERROR(VLOOKUP(B1187,base!$L$1:$L$9,1,0),""),"Produtos",IF(B1187=IFERROR(VLOOKUP(B1187,base!$K$2:$K$8,1,0),""),"Serviços","Combos"))</f>
        <v>Serviços</v>
      </c>
      <c r="J1187">
        <f t="shared" si="34"/>
        <v>15.75</v>
      </c>
      <c r="K1187" s="1">
        <f t="shared" si="35"/>
        <v>45752</v>
      </c>
      <c r="M1187" s="1"/>
      <c r="P1187"/>
    </row>
    <row r="1188" spans="1:16">
      <c r="A1188" t="s">
        <v>252</v>
      </c>
      <c r="B1188" t="s">
        <v>163</v>
      </c>
      <c r="C1188" t="s">
        <v>2040</v>
      </c>
      <c r="D1188" s="14">
        <v>35</v>
      </c>
      <c r="E1188" s="14">
        <v>35</v>
      </c>
      <c r="F1188" s="1" t="s">
        <v>2041</v>
      </c>
      <c r="G1188" t="s">
        <v>310</v>
      </c>
      <c r="H1188" t="s">
        <v>856</v>
      </c>
      <c r="I1188" t="str">
        <f>IF(B1188=IFERROR(VLOOKUP(B1188,base!$L$1:$L$9,1,0),""),"Produtos",IF(B1188=IFERROR(VLOOKUP(B1188,base!$K$2:$K$8,1,0),""),"Serviços","Combos"))</f>
        <v>Serviços</v>
      </c>
      <c r="J1188">
        <f t="shared" si="34"/>
        <v>15.75</v>
      </c>
      <c r="K1188" s="1">
        <f t="shared" si="35"/>
        <v>45752</v>
      </c>
      <c r="M1188" s="1"/>
      <c r="P1188"/>
    </row>
    <row r="1189" spans="1:16">
      <c r="A1189" t="s">
        <v>252</v>
      </c>
      <c r="B1189" t="s">
        <v>163</v>
      </c>
      <c r="C1189" t="s">
        <v>2042</v>
      </c>
      <c r="D1189" s="14">
        <v>35</v>
      </c>
      <c r="E1189" s="14">
        <v>60</v>
      </c>
      <c r="F1189" s="1" t="s">
        <v>2043</v>
      </c>
      <c r="G1189" t="s">
        <v>2</v>
      </c>
      <c r="H1189" t="s">
        <v>22</v>
      </c>
      <c r="I1189" t="str">
        <f>IF(B1189=IFERROR(VLOOKUP(B1189,base!$L$1:$L$9,1,0),""),"Produtos",IF(B1189=IFERROR(VLOOKUP(B1189,base!$K$2:$K$8,1,0),""),"Serviços","Combos"))</f>
        <v>Serviços</v>
      </c>
      <c r="J1189">
        <f t="shared" si="34"/>
        <v>15.75</v>
      </c>
      <c r="K1189" s="1">
        <f t="shared" si="35"/>
        <v>45752</v>
      </c>
      <c r="M1189" s="1"/>
      <c r="P1189"/>
    </row>
    <row r="1190" spans="1:16">
      <c r="A1190" t="s">
        <v>252</v>
      </c>
      <c r="B1190" t="s">
        <v>510</v>
      </c>
      <c r="C1190" t="s">
        <v>2042</v>
      </c>
      <c r="D1190" s="14">
        <v>25</v>
      </c>
      <c r="E1190" t="s">
        <v>1604</v>
      </c>
      <c r="F1190" s="1" t="s">
        <v>2043</v>
      </c>
      <c r="G1190" t="s">
        <v>2</v>
      </c>
      <c r="H1190" t="s">
        <v>22</v>
      </c>
      <c r="I1190" t="str">
        <f>IF(B1190=IFERROR(VLOOKUP(B1190,base!$L$1:$L$9,1,0),""),"Produtos",IF(B1190=IFERROR(VLOOKUP(B1190,base!$K$2:$K$8,1,0),""),"Serviços","Combos"))</f>
        <v>Produtos</v>
      </c>
      <c r="J1190">
        <f t="shared" si="34"/>
        <v>10</v>
      </c>
      <c r="K1190" s="1">
        <f t="shared" si="35"/>
        <v>45752</v>
      </c>
      <c r="M1190" s="1"/>
      <c r="P1190"/>
    </row>
    <row r="1191" spans="1:16">
      <c r="A1191" t="s">
        <v>519</v>
      </c>
      <c r="B1191" t="s">
        <v>163</v>
      </c>
      <c r="C1191" t="s">
        <v>2044</v>
      </c>
      <c r="D1191" s="14">
        <v>35</v>
      </c>
      <c r="E1191" s="14">
        <v>35</v>
      </c>
      <c r="F1191" s="1" t="s">
        <v>2045</v>
      </c>
      <c r="G1191" t="s">
        <v>1</v>
      </c>
      <c r="H1191" t="s">
        <v>1517</v>
      </c>
      <c r="I1191" t="str">
        <f>IF(B1191=IFERROR(VLOOKUP(B1191,base!$L$1:$L$9,1,0),""),"Produtos",IF(B1191=IFERROR(VLOOKUP(B1191,base!$K$2:$K$8,1,0),""),"Serviços","Combos"))</f>
        <v>Serviços</v>
      </c>
      <c r="J1191">
        <f t="shared" si="34"/>
        <v>15.75</v>
      </c>
      <c r="K1191" s="1">
        <f t="shared" si="35"/>
        <v>45752</v>
      </c>
      <c r="M1191" s="1"/>
      <c r="P1191"/>
    </row>
    <row r="1192" spans="1:16">
      <c r="A1192" t="s">
        <v>252</v>
      </c>
      <c r="B1192" t="s">
        <v>163</v>
      </c>
      <c r="C1192" t="s">
        <v>2046</v>
      </c>
      <c r="D1192" s="14">
        <v>35</v>
      </c>
      <c r="E1192" s="14">
        <v>45</v>
      </c>
      <c r="F1192" s="1" t="s">
        <v>1931</v>
      </c>
      <c r="G1192" t="s">
        <v>2</v>
      </c>
      <c r="H1192" t="s">
        <v>45</v>
      </c>
      <c r="I1192" t="str">
        <f>IF(B1192=IFERROR(VLOOKUP(B1192,base!$L$1:$L$9,1,0),""),"Produtos",IF(B1192=IFERROR(VLOOKUP(B1192,base!$K$2:$K$8,1,0),""),"Serviços","Combos"))</f>
        <v>Serviços</v>
      </c>
      <c r="J1192">
        <f t="shared" si="34"/>
        <v>15.75</v>
      </c>
      <c r="K1192" s="1">
        <f t="shared" si="35"/>
        <v>45752</v>
      </c>
      <c r="M1192" s="1"/>
      <c r="P1192"/>
    </row>
    <row r="1193" spans="1:16">
      <c r="A1193" t="s">
        <v>252</v>
      </c>
      <c r="B1193" t="s">
        <v>167</v>
      </c>
      <c r="C1193" t="s">
        <v>2046</v>
      </c>
      <c r="D1193" s="14">
        <v>10</v>
      </c>
      <c r="E1193" t="s">
        <v>1604</v>
      </c>
      <c r="F1193" s="1" t="s">
        <v>1931</v>
      </c>
      <c r="G1193" t="s">
        <v>2</v>
      </c>
      <c r="H1193" t="s">
        <v>45</v>
      </c>
      <c r="I1193" t="str">
        <f>IF(B1193=IFERROR(VLOOKUP(B1193,base!$L$1:$L$9,1,0),""),"Produtos",IF(B1193=IFERROR(VLOOKUP(B1193,base!$K$2:$K$8,1,0),""),"Serviços","Combos"))</f>
        <v>Serviços</v>
      </c>
      <c r="J1193">
        <f t="shared" si="34"/>
        <v>4.5</v>
      </c>
      <c r="K1193" s="1">
        <f t="shared" si="35"/>
        <v>45752</v>
      </c>
      <c r="M1193" s="1"/>
      <c r="P1193"/>
    </row>
    <row r="1194" spans="1:16">
      <c r="A1194" t="s">
        <v>519</v>
      </c>
      <c r="B1194" t="s">
        <v>163</v>
      </c>
      <c r="C1194" t="s">
        <v>2047</v>
      </c>
      <c r="D1194" s="14">
        <v>35</v>
      </c>
      <c r="E1194" s="14">
        <v>100</v>
      </c>
      <c r="F1194" s="1" t="s">
        <v>2048</v>
      </c>
      <c r="G1194" t="s">
        <v>310</v>
      </c>
      <c r="H1194" t="s">
        <v>79</v>
      </c>
      <c r="I1194" t="str">
        <f>IF(B1194=IFERROR(VLOOKUP(B1194,base!$L$1:$L$9,1,0),""),"Produtos",IF(B1194=IFERROR(VLOOKUP(B1194,base!$K$2:$K$8,1,0),""),"Serviços","Combos"))</f>
        <v>Serviços</v>
      </c>
      <c r="J1194">
        <f t="shared" si="34"/>
        <v>15.75</v>
      </c>
      <c r="K1194" s="1">
        <f t="shared" si="35"/>
        <v>45752</v>
      </c>
      <c r="M1194" s="1"/>
      <c r="P1194"/>
    </row>
    <row r="1195" spans="1:16">
      <c r="A1195" t="s">
        <v>519</v>
      </c>
      <c r="B1195" t="s">
        <v>166</v>
      </c>
      <c r="C1195" t="s">
        <v>2047</v>
      </c>
      <c r="D1195" s="14">
        <v>20</v>
      </c>
      <c r="E1195" t="s">
        <v>1604</v>
      </c>
      <c r="F1195" s="1" t="s">
        <v>2048</v>
      </c>
      <c r="G1195" t="s">
        <v>310</v>
      </c>
      <c r="H1195" t="s">
        <v>79</v>
      </c>
      <c r="I1195" t="str">
        <f>IF(B1195=IFERROR(VLOOKUP(B1195,base!$L$1:$L$9,1,0),""),"Produtos",IF(B1195=IFERROR(VLOOKUP(B1195,base!$K$2:$K$8,1,0),""),"Serviços","Combos"))</f>
        <v>Serviços</v>
      </c>
      <c r="J1195">
        <f t="shared" si="34"/>
        <v>9</v>
      </c>
      <c r="K1195" s="1">
        <f t="shared" si="35"/>
        <v>45752</v>
      </c>
      <c r="M1195" s="1"/>
      <c r="P1195"/>
    </row>
    <row r="1196" spans="1:16">
      <c r="A1196" t="s">
        <v>519</v>
      </c>
      <c r="B1196" t="s">
        <v>163</v>
      </c>
      <c r="C1196" t="s">
        <v>2047</v>
      </c>
      <c r="D1196" s="14">
        <v>35</v>
      </c>
      <c r="E1196" t="s">
        <v>1604</v>
      </c>
      <c r="F1196" s="1" t="s">
        <v>2048</v>
      </c>
      <c r="G1196" t="s">
        <v>310</v>
      </c>
      <c r="H1196" t="s">
        <v>79</v>
      </c>
      <c r="I1196" t="str">
        <f>IF(B1196=IFERROR(VLOOKUP(B1196,base!$L$1:$L$9,1,0),""),"Produtos",IF(B1196=IFERROR(VLOOKUP(B1196,base!$K$2:$K$8,1,0),""),"Serviços","Combos"))</f>
        <v>Serviços</v>
      </c>
      <c r="J1196">
        <f t="shared" si="34"/>
        <v>15.75</v>
      </c>
      <c r="K1196" s="1">
        <f t="shared" si="35"/>
        <v>45752</v>
      </c>
      <c r="M1196" s="1"/>
      <c r="P1196"/>
    </row>
    <row r="1197" spans="1:16">
      <c r="A1197" t="s">
        <v>519</v>
      </c>
      <c r="B1197" t="s">
        <v>167</v>
      </c>
      <c r="C1197" t="s">
        <v>2047</v>
      </c>
      <c r="D1197" s="14">
        <v>10</v>
      </c>
      <c r="E1197" t="s">
        <v>1604</v>
      </c>
      <c r="F1197" s="1" t="s">
        <v>2048</v>
      </c>
      <c r="G1197" t="s">
        <v>310</v>
      </c>
      <c r="H1197" t="s">
        <v>79</v>
      </c>
      <c r="I1197" t="str">
        <f>IF(B1197=IFERROR(VLOOKUP(B1197,base!$L$1:$L$9,1,0),""),"Produtos",IF(B1197=IFERROR(VLOOKUP(B1197,base!$K$2:$K$8,1,0),""),"Serviços","Combos"))</f>
        <v>Serviços</v>
      </c>
      <c r="J1197">
        <f t="shared" si="34"/>
        <v>4.5</v>
      </c>
      <c r="K1197" s="1">
        <f t="shared" si="35"/>
        <v>45752</v>
      </c>
      <c r="M1197" s="1"/>
      <c r="P1197"/>
    </row>
    <row r="1198" spans="1:16">
      <c r="A1198" t="s">
        <v>519</v>
      </c>
      <c r="B1198" t="s">
        <v>163</v>
      </c>
      <c r="C1198" t="s">
        <v>2049</v>
      </c>
      <c r="D1198" s="14">
        <v>35</v>
      </c>
      <c r="E1198" s="14">
        <v>35</v>
      </c>
      <c r="F1198" s="1" t="s">
        <v>2050</v>
      </c>
      <c r="G1198" t="s">
        <v>2</v>
      </c>
      <c r="H1198" t="s">
        <v>76</v>
      </c>
      <c r="I1198" t="str">
        <f>IF(B1198=IFERROR(VLOOKUP(B1198,base!$L$1:$L$9,1,0),""),"Produtos",IF(B1198=IFERROR(VLOOKUP(B1198,base!$K$2:$K$8,1,0),""),"Serviços","Combos"))</f>
        <v>Serviços</v>
      </c>
      <c r="J1198">
        <f t="shared" si="34"/>
        <v>15.75</v>
      </c>
      <c r="K1198" s="1">
        <f t="shared" si="35"/>
        <v>45752</v>
      </c>
      <c r="M1198" s="1"/>
      <c r="P1198"/>
    </row>
    <row r="1199" spans="1:16">
      <c r="A1199" t="s">
        <v>536</v>
      </c>
      <c r="B1199" t="s">
        <v>163</v>
      </c>
      <c r="C1199" t="s">
        <v>2051</v>
      </c>
      <c r="D1199" s="14">
        <v>35</v>
      </c>
      <c r="E1199" s="14">
        <v>35</v>
      </c>
      <c r="F1199" s="1" t="s">
        <v>2048</v>
      </c>
      <c r="G1199" t="s">
        <v>310</v>
      </c>
      <c r="H1199" t="s">
        <v>2052</v>
      </c>
      <c r="I1199" t="str">
        <f>IF(B1199=IFERROR(VLOOKUP(B1199,base!$L$1:$L$9,1,0),""),"Produtos",IF(B1199=IFERROR(VLOOKUP(B1199,base!$K$2:$K$8,1,0),""),"Serviços","Combos"))</f>
        <v>Serviços</v>
      </c>
      <c r="J1199">
        <f t="shared" si="34"/>
        <v>15.75</v>
      </c>
      <c r="K1199" s="1">
        <f t="shared" si="35"/>
        <v>45752</v>
      </c>
      <c r="M1199" s="1"/>
      <c r="P1199"/>
    </row>
    <row r="1200" spans="1:16">
      <c r="A1200" t="s">
        <v>536</v>
      </c>
      <c r="B1200" t="s">
        <v>163</v>
      </c>
      <c r="C1200" t="s">
        <v>2053</v>
      </c>
      <c r="D1200" s="14">
        <v>35</v>
      </c>
      <c r="E1200" s="14">
        <v>35</v>
      </c>
      <c r="F1200" s="1" t="s">
        <v>2041</v>
      </c>
      <c r="G1200" t="s">
        <v>310</v>
      </c>
      <c r="H1200" t="s">
        <v>1216</v>
      </c>
      <c r="I1200" t="str">
        <f>IF(B1200=IFERROR(VLOOKUP(B1200,base!$L$1:$L$9,1,0),""),"Produtos",IF(B1200=IFERROR(VLOOKUP(B1200,base!$K$2:$K$8,1,0),""),"Serviços","Combos"))</f>
        <v>Serviços</v>
      </c>
      <c r="J1200">
        <f t="shared" si="34"/>
        <v>15.75</v>
      </c>
      <c r="K1200" s="1">
        <f t="shared" si="35"/>
        <v>45752</v>
      </c>
      <c r="M1200" s="1"/>
      <c r="P1200"/>
    </row>
    <row r="1201" spans="1:16">
      <c r="A1201" t="s">
        <v>252</v>
      </c>
      <c r="B1201" t="s">
        <v>163</v>
      </c>
      <c r="C1201" t="s">
        <v>2054</v>
      </c>
      <c r="D1201" s="14">
        <v>35</v>
      </c>
      <c r="E1201" s="14">
        <v>35</v>
      </c>
      <c r="F1201" s="1" t="s">
        <v>2055</v>
      </c>
      <c r="G1201" t="s">
        <v>1</v>
      </c>
      <c r="H1201" t="s">
        <v>2056</v>
      </c>
      <c r="I1201" t="str">
        <f>IF(B1201=IFERROR(VLOOKUP(B1201,base!$L$1:$L$9,1,0),""),"Produtos",IF(B1201=IFERROR(VLOOKUP(B1201,base!$K$2:$K$8,1,0),""),"Serviços","Combos"))</f>
        <v>Serviços</v>
      </c>
      <c r="J1201">
        <f t="shared" si="34"/>
        <v>15.75</v>
      </c>
      <c r="K1201" s="1">
        <f t="shared" si="35"/>
        <v>45752</v>
      </c>
      <c r="M1201" s="1"/>
      <c r="P1201"/>
    </row>
    <row r="1202" spans="1:16">
      <c r="A1202" t="s">
        <v>536</v>
      </c>
      <c r="B1202" t="s">
        <v>163</v>
      </c>
      <c r="C1202" t="s">
        <v>2057</v>
      </c>
      <c r="D1202" s="14">
        <v>35</v>
      </c>
      <c r="E1202" s="14">
        <v>35</v>
      </c>
      <c r="F1202" s="1" t="s">
        <v>2058</v>
      </c>
      <c r="G1202" t="s">
        <v>1</v>
      </c>
      <c r="H1202" t="s">
        <v>496</v>
      </c>
      <c r="I1202" t="str">
        <f>IF(B1202=IFERROR(VLOOKUP(B1202,base!$L$1:$L$9,1,0),""),"Produtos",IF(B1202=IFERROR(VLOOKUP(B1202,base!$K$2:$K$8,1,0),""),"Serviços","Combos"))</f>
        <v>Serviços</v>
      </c>
      <c r="J1202">
        <f t="shared" si="34"/>
        <v>15.75</v>
      </c>
      <c r="K1202" s="1">
        <f t="shared" si="35"/>
        <v>45752</v>
      </c>
      <c r="M1202" s="1"/>
      <c r="P1202"/>
    </row>
    <row r="1203" spans="1:16">
      <c r="A1203" t="s">
        <v>519</v>
      </c>
      <c r="B1203" t="s">
        <v>163</v>
      </c>
      <c r="C1203" t="s">
        <v>2059</v>
      </c>
      <c r="D1203" s="14">
        <v>35</v>
      </c>
      <c r="E1203" s="14">
        <v>35</v>
      </c>
      <c r="F1203" s="1" t="s">
        <v>2055</v>
      </c>
      <c r="G1203" t="s">
        <v>1</v>
      </c>
      <c r="H1203" t="s">
        <v>2060</v>
      </c>
      <c r="I1203" t="str">
        <f>IF(B1203=IFERROR(VLOOKUP(B1203,base!$L$1:$L$9,1,0),""),"Produtos",IF(B1203=IFERROR(VLOOKUP(B1203,base!$K$2:$K$8,1,0),""),"Serviços","Combos"))</f>
        <v>Serviços</v>
      </c>
      <c r="J1203">
        <f t="shared" si="34"/>
        <v>15.75</v>
      </c>
      <c r="K1203" s="1">
        <f t="shared" si="35"/>
        <v>45752</v>
      </c>
      <c r="M1203" s="1"/>
      <c r="P1203"/>
    </row>
    <row r="1204" spans="1:16">
      <c r="A1204" t="s">
        <v>519</v>
      </c>
      <c r="B1204" t="s">
        <v>163</v>
      </c>
      <c r="C1204" t="s">
        <v>2061</v>
      </c>
      <c r="D1204" s="14">
        <v>35</v>
      </c>
      <c r="E1204" s="14">
        <v>35</v>
      </c>
      <c r="F1204" s="1" t="s">
        <v>2062</v>
      </c>
      <c r="G1204" t="s">
        <v>1</v>
      </c>
      <c r="H1204" t="s">
        <v>133</v>
      </c>
      <c r="I1204" t="str">
        <f>IF(B1204=IFERROR(VLOOKUP(B1204,base!$L$1:$L$9,1,0),""),"Produtos",IF(B1204=IFERROR(VLOOKUP(B1204,base!$K$2:$K$8,1,0),""),"Serviços","Combos"))</f>
        <v>Serviços</v>
      </c>
      <c r="J1204">
        <f t="shared" si="34"/>
        <v>15.75</v>
      </c>
      <c r="K1204" s="1">
        <f t="shared" si="35"/>
        <v>45752</v>
      </c>
      <c r="M1204" s="1"/>
      <c r="P1204"/>
    </row>
    <row r="1205" spans="1:16">
      <c r="A1205" t="s">
        <v>252</v>
      </c>
      <c r="B1205" t="s">
        <v>163</v>
      </c>
      <c r="C1205" t="s">
        <v>2063</v>
      </c>
      <c r="D1205" s="14">
        <v>35</v>
      </c>
      <c r="E1205" s="14">
        <v>50</v>
      </c>
      <c r="F1205" s="1" t="s">
        <v>2064</v>
      </c>
      <c r="G1205" t="s">
        <v>2</v>
      </c>
      <c r="H1205" t="s">
        <v>24</v>
      </c>
      <c r="I1205" t="str">
        <f>IF(B1205=IFERROR(VLOOKUP(B1205,base!$L$1:$L$9,1,0),""),"Produtos",IF(B1205=IFERROR(VLOOKUP(B1205,base!$K$2:$K$8,1,0),""),"Serviços","Combos"))</f>
        <v>Serviços</v>
      </c>
      <c r="J1205">
        <f t="shared" si="34"/>
        <v>15.75</v>
      </c>
      <c r="K1205" s="1">
        <f t="shared" si="35"/>
        <v>45752</v>
      </c>
      <c r="M1205" s="1"/>
      <c r="P1205"/>
    </row>
    <row r="1206" spans="1:16">
      <c r="A1206" t="s">
        <v>252</v>
      </c>
      <c r="B1206" t="s">
        <v>167</v>
      </c>
      <c r="C1206" t="s">
        <v>2063</v>
      </c>
      <c r="D1206" s="14">
        <v>10</v>
      </c>
      <c r="E1206" t="s">
        <v>1604</v>
      </c>
      <c r="F1206" s="1" t="s">
        <v>2064</v>
      </c>
      <c r="G1206" t="s">
        <v>2</v>
      </c>
      <c r="H1206" t="s">
        <v>24</v>
      </c>
      <c r="I1206" t="str">
        <f>IF(B1206=IFERROR(VLOOKUP(B1206,base!$L$1:$L$9,1,0),""),"Produtos",IF(B1206=IFERROR(VLOOKUP(B1206,base!$K$2:$K$8,1,0),""),"Serviços","Combos"))</f>
        <v>Serviços</v>
      </c>
      <c r="J1206">
        <f t="shared" si="34"/>
        <v>4.5</v>
      </c>
      <c r="K1206" s="1">
        <f t="shared" si="35"/>
        <v>45752</v>
      </c>
      <c r="M1206" s="1"/>
      <c r="P1206"/>
    </row>
    <row r="1207" spans="1:16">
      <c r="A1207" t="s">
        <v>252</v>
      </c>
      <c r="B1207" t="s">
        <v>910</v>
      </c>
      <c r="C1207" t="s">
        <v>2063</v>
      </c>
      <c r="D1207" s="14">
        <v>5</v>
      </c>
      <c r="E1207" t="s">
        <v>1604</v>
      </c>
      <c r="F1207" s="1" t="s">
        <v>2064</v>
      </c>
      <c r="G1207" t="s">
        <v>2</v>
      </c>
      <c r="H1207" t="s">
        <v>24</v>
      </c>
      <c r="I1207" t="str">
        <f>IF(B1207=IFERROR(VLOOKUP(B1207,base!$L$1:$L$9,1,0),""),"Produtos",IF(B1207=IFERROR(VLOOKUP(B1207,base!$K$2:$K$8,1,0),""),"Serviços","Combos"))</f>
        <v>Combos</v>
      </c>
      <c r="J1207">
        <f t="shared" si="34"/>
        <v>2.25</v>
      </c>
      <c r="K1207" s="1">
        <f t="shared" si="35"/>
        <v>45752</v>
      </c>
      <c r="M1207" s="1"/>
      <c r="P1207"/>
    </row>
    <row r="1208" spans="1:16">
      <c r="A1208" t="s">
        <v>519</v>
      </c>
      <c r="B1208" t="s">
        <v>163</v>
      </c>
      <c r="C1208" t="s">
        <v>2065</v>
      </c>
      <c r="D1208" s="14">
        <v>35</v>
      </c>
      <c r="E1208" s="14">
        <v>85</v>
      </c>
      <c r="F1208" s="1" t="s">
        <v>2066</v>
      </c>
      <c r="G1208" t="s">
        <v>1</v>
      </c>
      <c r="H1208" t="s">
        <v>28</v>
      </c>
      <c r="I1208" t="str">
        <f>IF(B1208=IFERROR(VLOOKUP(B1208,base!$L$1:$L$9,1,0),""),"Produtos",IF(B1208=IFERROR(VLOOKUP(B1208,base!$K$2:$K$8,1,0),""),"Serviços","Combos"))</f>
        <v>Serviços</v>
      </c>
      <c r="J1208">
        <f t="shared" si="34"/>
        <v>15.75</v>
      </c>
      <c r="K1208" s="1">
        <f t="shared" si="35"/>
        <v>45752</v>
      </c>
      <c r="M1208" s="1"/>
      <c r="P1208"/>
    </row>
    <row r="1209" spans="1:16">
      <c r="A1209" t="s">
        <v>519</v>
      </c>
      <c r="B1209" t="s">
        <v>1046</v>
      </c>
      <c r="C1209" t="s">
        <v>2065</v>
      </c>
      <c r="D1209" s="14">
        <v>15</v>
      </c>
      <c r="E1209" t="s">
        <v>1604</v>
      </c>
      <c r="F1209" s="1" t="s">
        <v>2066</v>
      </c>
      <c r="G1209" t="s">
        <v>1</v>
      </c>
      <c r="H1209" t="s">
        <v>28</v>
      </c>
      <c r="I1209" t="str">
        <f>IF(B1209=IFERROR(VLOOKUP(B1209,base!$L$1:$L$9,1,0),""),"Produtos",IF(B1209=IFERROR(VLOOKUP(B1209,base!$K$2:$K$8,1,0),""),"Serviços","Combos"))</f>
        <v>Combos</v>
      </c>
      <c r="J1209">
        <f t="shared" si="34"/>
        <v>6.75</v>
      </c>
      <c r="K1209" s="1">
        <f t="shared" si="35"/>
        <v>45752</v>
      </c>
      <c r="M1209" s="1"/>
      <c r="P1209"/>
    </row>
    <row r="1210" spans="1:16">
      <c r="A1210" t="s">
        <v>519</v>
      </c>
      <c r="B1210" t="s">
        <v>163</v>
      </c>
      <c r="C1210" t="s">
        <v>2067</v>
      </c>
      <c r="D1210" s="14">
        <v>35</v>
      </c>
      <c r="E1210" s="14">
        <v>45</v>
      </c>
      <c r="F1210" s="1" t="s">
        <v>2068</v>
      </c>
      <c r="G1210" t="s">
        <v>1</v>
      </c>
      <c r="H1210" t="s">
        <v>2069</v>
      </c>
      <c r="I1210" t="str">
        <f>IF(B1210=IFERROR(VLOOKUP(B1210,base!$L$1:$L$9,1,0),""),"Produtos",IF(B1210=IFERROR(VLOOKUP(B1210,base!$K$2:$K$8,1,0),""),"Serviços","Combos"))</f>
        <v>Serviços</v>
      </c>
      <c r="J1210">
        <f t="shared" si="34"/>
        <v>15.75</v>
      </c>
      <c r="K1210" s="1">
        <f t="shared" si="35"/>
        <v>45752</v>
      </c>
      <c r="M1210" s="1"/>
      <c r="P1210"/>
    </row>
    <row r="1211" spans="1:16">
      <c r="A1211" t="s">
        <v>519</v>
      </c>
      <c r="B1211" t="s">
        <v>167</v>
      </c>
      <c r="C1211" t="s">
        <v>2067</v>
      </c>
      <c r="D1211" s="14">
        <v>10</v>
      </c>
      <c r="E1211" t="s">
        <v>1604</v>
      </c>
      <c r="F1211" s="1" t="s">
        <v>2068</v>
      </c>
      <c r="G1211" t="s">
        <v>1</v>
      </c>
      <c r="H1211" t="s">
        <v>2069</v>
      </c>
      <c r="I1211" t="str">
        <f>IF(B1211=IFERROR(VLOOKUP(B1211,base!$L$1:$L$9,1,0),""),"Produtos",IF(B1211=IFERROR(VLOOKUP(B1211,base!$K$2:$K$8,1,0),""),"Serviços","Combos"))</f>
        <v>Serviços</v>
      </c>
      <c r="J1211">
        <f t="shared" si="34"/>
        <v>4.5</v>
      </c>
      <c r="K1211" s="1">
        <f t="shared" si="35"/>
        <v>45752</v>
      </c>
      <c r="M1211" s="1"/>
      <c r="P1211"/>
    </row>
    <row r="1212" spans="1:16">
      <c r="A1212" t="s">
        <v>252</v>
      </c>
      <c r="B1212" t="s">
        <v>163</v>
      </c>
      <c r="C1212" t="s">
        <v>2070</v>
      </c>
      <c r="D1212" s="14">
        <v>35</v>
      </c>
      <c r="E1212" s="14">
        <v>35</v>
      </c>
      <c r="F1212" s="1" t="s">
        <v>2071</v>
      </c>
      <c r="G1212" t="s">
        <v>1</v>
      </c>
      <c r="H1212" t="s">
        <v>83</v>
      </c>
      <c r="I1212" t="str">
        <f>IF(B1212=IFERROR(VLOOKUP(B1212,base!$L$1:$L$9,1,0),""),"Produtos",IF(B1212=IFERROR(VLOOKUP(B1212,base!$K$2:$K$8,1,0),""),"Serviços","Combos"))</f>
        <v>Serviços</v>
      </c>
      <c r="J1212">
        <f t="shared" si="34"/>
        <v>15.75</v>
      </c>
      <c r="K1212" s="1">
        <f t="shared" si="35"/>
        <v>45752</v>
      </c>
      <c r="M1212" s="1"/>
      <c r="P1212"/>
    </row>
    <row r="1213" spans="1:16">
      <c r="A1213" t="s">
        <v>536</v>
      </c>
      <c r="B1213" t="s">
        <v>163</v>
      </c>
      <c r="C1213" t="s">
        <v>2072</v>
      </c>
      <c r="D1213" s="14">
        <v>35</v>
      </c>
      <c r="E1213" s="14">
        <v>35</v>
      </c>
      <c r="F1213" s="1" t="s">
        <v>2073</v>
      </c>
      <c r="G1213" t="s">
        <v>2</v>
      </c>
      <c r="H1213" t="s">
        <v>495</v>
      </c>
      <c r="I1213" t="str">
        <f>IF(B1213=IFERROR(VLOOKUP(B1213,base!$L$1:$L$9,1,0),""),"Produtos",IF(B1213=IFERROR(VLOOKUP(B1213,base!$K$2:$K$8,1,0),""),"Serviços","Combos"))</f>
        <v>Serviços</v>
      </c>
      <c r="J1213">
        <f t="shared" si="34"/>
        <v>15.75</v>
      </c>
      <c r="K1213" s="1">
        <f t="shared" si="35"/>
        <v>45752</v>
      </c>
      <c r="M1213" s="1"/>
      <c r="P1213"/>
    </row>
    <row r="1214" spans="1:16">
      <c r="A1214" t="s">
        <v>252</v>
      </c>
      <c r="B1214" t="s">
        <v>163</v>
      </c>
      <c r="C1214" t="s">
        <v>2074</v>
      </c>
      <c r="D1214" s="14">
        <v>35</v>
      </c>
      <c r="E1214" s="14">
        <v>35</v>
      </c>
      <c r="F1214" s="1" t="s">
        <v>2075</v>
      </c>
      <c r="G1214" t="s">
        <v>1</v>
      </c>
      <c r="H1214" t="s">
        <v>296</v>
      </c>
      <c r="I1214" t="str">
        <f>IF(B1214=IFERROR(VLOOKUP(B1214,base!$L$1:$L$9,1,0),""),"Produtos",IF(B1214=IFERROR(VLOOKUP(B1214,base!$K$2:$K$8,1,0),""),"Serviços","Combos"))</f>
        <v>Serviços</v>
      </c>
      <c r="J1214">
        <f t="shared" si="34"/>
        <v>15.75</v>
      </c>
      <c r="K1214" s="1">
        <f t="shared" si="35"/>
        <v>45752</v>
      </c>
      <c r="M1214" s="1"/>
      <c r="P1214"/>
    </row>
    <row r="1215" spans="1:16">
      <c r="A1215" t="s">
        <v>519</v>
      </c>
      <c r="B1215" t="s">
        <v>163</v>
      </c>
      <c r="C1215" t="s">
        <v>2076</v>
      </c>
      <c r="D1215" s="14">
        <v>35</v>
      </c>
      <c r="E1215" s="14">
        <v>60</v>
      </c>
      <c r="F1215" s="1" t="s">
        <v>2077</v>
      </c>
      <c r="G1215" t="s">
        <v>1</v>
      </c>
      <c r="H1215" t="s">
        <v>492</v>
      </c>
      <c r="I1215" t="str">
        <f>IF(B1215=IFERROR(VLOOKUP(B1215,base!$L$1:$L$9,1,0),""),"Produtos",IF(B1215=IFERROR(VLOOKUP(B1215,base!$K$2:$K$8,1,0),""),"Serviços","Combos"))</f>
        <v>Serviços</v>
      </c>
      <c r="J1215">
        <f t="shared" si="34"/>
        <v>15.75</v>
      </c>
      <c r="K1215" s="1">
        <f t="shared" si="35"/>
        <v>45752</v>
      </c>
      <c r="M1215" s="1"/>
      <c r="P1215"/>
    </row>
    <row r="1216" spans="1:16">
      <c r="A1216" t="s">
        <v>519</v>
      </c>
      <c r="B1216" t="s">
        <v>167</v>
      </c>
      <c r="C1216" t="s">
        <v>2076</v>
      </c>
      <c r="D1216" s="14">
        <v>10</v>
      </c>
      <c r="E1216" t="s">
        <v>1604</v>
      </c>
      <c r="F1216" s="1" t="s">
        <v>2077</v>
      </c>
      <c r="G1216" t="s">
        <v>1</v>
      </c>
      <c r="H1216" t="s">
        <v>492</v>
      </c>
      <c r="I1216" t="str">
        <f>IF(B1216=IFERROR(VLOOKUP(B1216,base!$L$1:$L$9,1,0),""),"Produtos",IF(B1216=IFERROR(VLOOKUP(B1216,base!$K$2:$K$8,1,0),""),"Serviços","Combos"))</f>
        <v>Serviços</v>
      </c>
      <c r="J1216">
        <f t="shared" si="34"/>
        <v>4.5</v>
      </c>
      <c r="K1216" s="1">
        <f t="shared" si="35"/>
        <v>45752</v>
      </c>
      <c r="M1216" s="1"/>
      <c r="P1216"/>
    </row>
    <row r="1217" spans="1:16">
      <c r="A1217" t="s">
        <v>519</v>
      </c>
      <c r="B1217" t="s">
        <v>1446</v>
      </c>
      <c r="C1217" t="s">
        <v>2076</v>
      </c>
      <c r="D1217" s="14">
        <v>15</v>
      </c>
      <c r="E1217" t="s">
        <v>1604</v>
      </c>
      <c r="F1217" s="1" t="s">
        <v>2077</v>
      </c>
      <c r="G1217" t="s">
        <v>1</v>
      </c>
      <c r="H1217" t="s">
        <v>492</v>
      </c>
      <c r="I1217" t="str">
        <f>IF(B1217=IFERROR(VLOOKUP(B1217,base!$L$1:$L$9,1,0),""),"Produtos",IF(B1217=IFERROR(VLOOKUP(B1217,base!$K$2:$K$8,1,0),""),"Serviços","Combos"))</f>
        <v>Combos</v>
      </c>
      <c r="J1217">
        <f t="shared" si="34"/>
        <v>6.75</v>
      </c>
      <c r="K1217" s="1">
        <f t="shared" si="35"/>
        <v>45752</v>
      </c>
      <c r="M1217" s="1"/>
      <c r="P1217"/>
    </row>
    <row r="1218" spans="1:16">
      <c r="A1218" t="s">
        <v>536</v>
      </c>
      <c r="B1218" t="s">
        <v>163</v>
      </c>
      <c r="C1218" t="s">
        <v>2078</v>
      </c>
      <c r="D1218" s="14">
        <v>35</v>
      </c>
      <c r="E1218" s="14">
        <v>35</v>
      </c>
      <c r="F1218" s="1" t="s">
        <v>2079</v>
      </c>
      <c r="G1218" t="s">
        <v>1</v>
      </c>
      <c r="H1218" t="s">
        <v>1348</v>
      </c>
      <c r="I1218" t="str">
        <f>IF(B1218=IFERROR(VLOOKUP(B1218,base!$L$1:$L$9,1,0),""),"Produtos",IF(B1218=IFERROR(VLOOKUP(B1218,base!$K$2:$K$8,1,0),""),"Serviços","Combos"))</f>
        <v>Serviços</v>
      </c>
      <c r="J1218">
        <f t="shared" si="34"/>
        <v>15.75</v>
      </c>
      <c r="K1218" s="1">
        <f t="shared" si="35"/>
        <v>45752</v>
      </c>
      <c r="M1218" s="1"/>
      <c r="P1218"/>
    </row>
    <row r="1219" spans="1:16">
      <c r="A1219" t="s">
        <v>252</v>
      </c>
      <c r="B1219" t="s">
        <v>163</v>
      </c>
      <c r="C1219" t="s">
        <v>2080</v>
      </c>
      <c r="D1219" s="14">
        <v>35</v>
      </c>
      <c r="E1219" s="14">
        <v>20</v>
      </c>
      <c r="F1219" s="1" t="s">
        <v>2050</v>
      </c>
      <c r="G1219" t="s">
        <v>2</v>
      </c>
      <c r="H1219" t="s">
        <v>2081</v>
      </c>
      <c r="I1219" t="str">
        <f>IF(B1219=IFERROR(VLOOKUP(B1219,base!$L$1:$L$9,1,0),""),"Produtos",IF(B1219=IFERROR(VLOOKUP(B1219,base!$K$2:$K$8,1,0),""),"Serviços","Combos"))</f>
        <v>Serviços</v>
      </c>
      <c r="J1219">
        <f t="shared" si="34"/>
        <v>15.75</v>
      </c>
      <c r="K1219" s="1">
        <f t="shared" si="35"/>
        <v>45752</v>
      </c>
      <c r="M1219" s="1"/>
      <c r="P1219"/>
    </row>
    <row r="1220" spans="1:16">
      <c r="A1220" t="s">
        <v>536</v>
      </c>
      <c r="B1220" t="s">
        <v>353</v>
      </c>
      <c r="C1220" t="s">
        <v>2082</v>
      </c>
      <c r="D1220" s="14">
        <v>50</v>
      </c>
      <c r="E1220" s="14">
        <v>50</v>
      </c>
      <c r="F1220" s="1" t="s">
        <v>2083</v>
      </c>
      <c r="G1220" t="s">
        <v>1</v>
      </c>
      <c r="H1220" t="s">
        <v>1499</v>
      </c>
      <c r="I1220" t="str">
        <f>IF(B1220=IFERROR(VLOOKUP(B1220,base!$L$1:$L$9,1,0),""),"Produtos",IF(B1220=IFERROR(VLOOKUP(B1220,base!$K$2:$K$8,1,0),""),"Serviços","Combos"))</f>
        <v>Combos</v>
      </c>
      <c r="J1220">
        <f t="shared" si="34"/>
        <v>22.5</v>
      </c>
      <c r="K1220" s="1">
        <f t="shared" si="35"/>
        <v>45752</v>
      </c>
      <c r="M1220" s="1"/>
      <c r="P1220"/>
    </row>
    <row r="1221" spans="1:16">
      <c r="A1221" t="s">
        <v>519</v>
      </c>
      <c r="B1221" t="s">
        <v>163</v>
      </c>
      <c r="C1221" t="s">
        <v>2084</v>
      </c>
      <c r="D1221" s="14">
        <v>35</v>
      </c>
      <c r="E1221" s="14">
        <v>70</v>
      </c>
      <c r="F1221" s="1" t="s">
        <v>2085</v>
      </c>
      <c r="G1221" t="s">
        <v>354</v>
      </c>
      <c r="H1221" t="s">
        <v>112</v>
      </c>
      <c r="I1221" t="str">
        <f>IF(B1221=IFERROR(VLOOKUP(B1221,base!$L$1:$L$9,1,0),""),"Produtos",IF(B1221=IFERROR(VLOOKUP(B1221,base!$K$2:$K$8,1,0),""),"Serviços","Combos"))</f>
        <v>Serviços</v>
      </c>
      <c r="J1221">
        <f t="shared" si="34"/>
        <v>15.75</v>
      </c>
      <c r="K1221" s="1">
        <f t="shared" si="35"/>
        <v>45752</v>
      </c>
      <c r="M1221" s="1"/>
      <c r="P1221"/>
    </row>
    <row r="1222" spans="1:16">
      <c r="A1222" t="s">
        <v>252</v>
      </c>
      <c r="B1222" t="s">
        <v>163</v>
      </c>
      <c r="C1222" t="s">
        <v>2084</v>
      </c>
      <c r="D1222" s="14">
        <v>35</v>
      </c>
      <c r="E1222" t="s">
        <v>1604</v>
      </c>
      <c r="F1222" s="1" t="s">
        <v>2085</v>
      </c>
      <c r="G1222" t="s">
        <v>354</v>
      </c>
      <c r="H1222" t="s">
        <v>112</v>
      </c>
      <c r="I1222" t="str">
        <f>IF(B1222=IFERROR(VLOOKUP(B1222,base!$L$1:$L$9,1,0),""),"Produtos",IF(B1222=IFERROR(VLOOKUP(B1222,base!$K$2:$K$8,1,0),""),"Serviços","Combos"))</f>
        <v>Serviços</v>
      </c>
      <c r="J1222">
        <f t="shared" si="34"/>
        <v>15.75</v>
      </c>
      <c r="K1222" s="1">
        <f t="shared" si="35"/>
        <v>45752</v>
      </c>
      <c r="M1222" s="1"/>
      <c r="P1222"/>
    </row>
    <row r="1223" spans="1:16">
      <c r="A1223" t="s">
        <v>519</v>
      </c>
      <c r="B1223" t="s">
        <v>306</v>
      </c>
      <c r="C1223" t="s">
        <v>2086</v>
      </c>
      <c r="D1223" s="14">
        <v>55</v>
      </c>
      <c r="E1223" s="14">
        <v>70</v>
      </c>
      <c r="F1223" s="1" t="s">
        <v>2087</v>
      </c>
      <c r="G1223" t="s">
        <v>2</v>
      </c>
      <c r="H1223" t="s">
        <v>2088</v>
      </c>
      <c r="I1223" t="str">
        <f>IF(B1223=IFERROR(VLOOKUP(B1223,base!$L$1:$L$9,1,0),""),"Produtos",IF(B1223=IFERROR(VLOOKUP(B1223,base!$K$2:$K$8,1,0),""),"Serviços","Combos"))</f>
        <v>Combos</v>
      </c>
      <c r="J1223">
        <f t="shared" si="34"/>
        <v>24.75</v>
      </c>
      <c r="K1223" s="1">
        <f t="shared" si="35"/>
        <v>45752</v>
      </c>
      <c r="M1223" s="1"/>
      <c r="P1223"/>
    </row>
    <row r="1224" spans="1:16">
      <c r="A1224" t="s">
        <v>519</v>
      </c>
      <c r="B1224" t="s">
        <v>1046</v>
      </c>
      <c r="C1224" t="s">
        <v>2086</v>
      </c>
      <c r="D1224" s="14">
        <v>15</v>
      </c>
      <c r="E1224" t="s">
        <v>1604</v>
      </c>
      <c r="F1224" s="1" t="s">
        <v>2087</v>
      </c>
      <c r="G1224" t="s">
        <v>2</v>
      </c>
      <c r="H1224" t="s">
        <v>2088</v>
      </c>
      <c r="I1224" t="str">
        <f>IF(B1224=IFERROR(VLOOKUP(B1224,base!$L$1:$L$9,1,0),""),"Produtos",IF(B1224=IFERROR(VLOOKUP(B1224,base!$K$2:$K$8,1,0),""),"Serviços","Combos"))</f>
        <v>Combos</v>
      </c>
      <c r="J1224">
        <f t="shared" si="34"/>
        <v>6.75</v>
      </c>
      <c r="K1224" s="1">
        <f t="shared" si="35"/>
        <v>45752</v>
      </c>
      <c r="M1224" s="1"/>
      <c r="P1224"/>
    </row>
    <row r="1225" spans="1:16">
      <c r="A1225" t="s">
        <v>519</v>
      </c>
      <c r="B1225" t="s">
        <v>509</v>
      </c>
      <c r="C1225" t="s">
        <v>2089</v>
      </c>
      <c r="D1225" s="14">
        <v>25</v>
      </c>
      <c r="E1225" s="14">
        <v>25</v>
      </c>
      <c r="F1225" s="1" t="s">
        <v>2090</v>
      </c>
      <c r="G1225" t="s">
        <v>310</v>
      </c>
      <c r="H1225" t="s">
        <v>2091</v>
      </c>
      <c r="I1225" t="str">
        <f>IF(B1225=IFERROR(VLOOKUP(B1225,base!$L$1:$L$9,1,0),""),"Produtos",IF(B1225=IFERROR(VLOOKUP(B1225,base!$K$2:$K$8,1,0),""),"Serviços","Combos"))</f>
        <v>Produtos</v>
      </c>
      <c r="J1225">
        <f t="shared" si="34"/>
        <v>10</v>
      </c>
      <c r="K1225" s="1">
        <f t="shared" si="35"/>
        <v>45752</v>
      </c>
      <c r="M1225" s="1"/>
      <c r="P1225"/>
    </row>
    <row r="1226" spans="1:16">
      <c r="A1226" t="s">
        <v>536</v>
      </c>
      <c r="B1226" t="s">
        <v>163</v>
      </c>
      <c r="C1226" t="s">
        <v>2092</v>
      </c>
      <c r="D1226" s="14">
        <v>35</v>
      </c>
      <c r="E1226" s="14">
        <v>75</v>
      </c>
      <c r="F1226" s="1" t="s">
        <v>2093</v>
      </c>
      <c r="G1226" t="s">
        <v>354</v>
      </c>
      <c r="H1226" t="s">
        <v>2094</v>
      </c>
      <c r="I1226" t="str">
        <f>IF(B1226=IFERROR(VLOOKUP(B1226,base!$L$1:$L$9,1,0),""),"Produtos",IF(B1226=IFERROR(VLOOKUP(B1226,base!$K$2:$K$8,1,0),""),"Serviços","Combos"))</f>
        <v>Serviços</v>
      </c>
      <c r="J1226">
        <f t="shared" ref="J1226:J1289" si="36">IF(AND(I1226="Serviços",E1226&gt;0),ROUND(D1226*45%,2),IF(I1226="Produtos",ROUND(D1226*40%,2),D1226*45%))</f>
        <v>15.75</v>
      </c>
      <c r="K1226" s="1">
        <f t="shared" ref="K1226:K1289" si="37">DATEVALUE(F1226)</f>
        <v>45752</v>
      </c>
      <c r="M1226" s="1"/>
      <c r="P1226"/>
    </row>
    <row r="1227" spans="1:16">
      <c r="A1227" t="s">
        <v>536</v>
      </c>
      <c r="B1227" t="s">
        <v>472</v>
      </c>
      <c r="C1227" t="s">
        <v>2092</v>
      </c>
      <c r="D1227" s="14">
        <v>40</v>
      </c>
      <c r="E1227" t="s">
        <v>1604</v>
      </c>
      <c r="F1227" s="1" t="s">
        <v>2093</v>
      </c>
      <c r="G1227" t="s">
        <v>354</v>
      </c>
      <c r="H1227" t="s">
        <v>2094</v>
      </c>
      <c r="I1227" t="str">
        <f>IF(B1227=IFERROR(VLOOKUP(B1227,base!$L$1:$L$9,1,0),""),"Produtos",IF(B1227=IFERROR(VLOOKUP(B1227,base!$K$2:$K$8,1,0),""),"Serviços","Combos"))</f>
        <v>Produtos</v>
      </c>
      <c r="J1227">
        <f t="shared" si="36"/>
        <v>16</v>
      </c>
      <c r="K1227" s="1">
        <f t="shared" si="37"/>
        <v>45752</v>
      </c>
      <c r="M1227" s="1"/>
      <c r="P1227"/>
    </row>
    <row r="1228" spans="1:16">
      <c r="A1228" t="s">
        <v>519</v>
      </c>
      <c r="B1228" t="s">
        <v>163</v>
      </c>
      <c r="C1228" t="s">
        <v>2095</v>
      </c>
      <c r="D1228" s="14">
        <v>35</v>
      </c>
      <c r="E1228" s="14">
        <v>35</v>
      </c>
      <c r="F1228" s="1" t="s">
        <v>2096</v>
      </c>
      <c r="G1228" t="s">
        <v>310</v>
      </c>
      <c r="H1228" t="s">
        <v>44</v>
      </c>
      <c r="I1228" t="str">
        <f>IF(B1228=IFERROR(VLOOKUP(B1228,base!$L$1:$L$9,1,0),""),"Produtos",IF(B1228=IFERROR(VLOOKUP(B1228,base!$K$2:$K$8,1,0),""),"Serviços","Combos"))</f>
        <v>Serviços</v>
      </c>
      <c r="J1228">
        <f t="shared" si="36"/>
        <v>15.75</v>
      </c>
      <c r="K1228" s="1">
        <f t="shared" si="37"/>
        <v>45754</v>
      </c>
      <c r="M1228" s="1"/>
      <c r="P1228"/>
    </row>
    <row r="1229" spans="1:16">
      <c r="A1229" t="s">
        <v>519</v>
      </c>
      <c r="B1229" t="s">
        <v>163</v>
      </c>
      <c r="C1229" t="s">
        <v>2097</v>
      </c>
      <c r="D1229" s="14">
        <v>35</v>
      </c>
      <c r="E1229" s="14">
        <v>35</v>
      </c>
      <c r="F1229" s="1" t="s">
        <v>2098</v>
      </c>
      <c r="G1229" t="s">
        <v>1</v>
      </c>
      <c r="H1229" t="s">
        <v>288</v>
      </c>
      <c r="I1229" t="str">
        <f>IF(B1229=IFERROR(VLOOKUP(B1229,base!$L$1:$L$9,1,0),""),"Produtos",IF(B1229=IFERROR(VLOOKUP(B1229,base!$K$2:$K$8,1,0),""),"Serviços","Combos"))</f>
        <v>Serviços</v>
      </c>
      <c r="J1229">
        <f t="shared" si="36"/>
        <v>15.75</v>
      </c>
      <c r="K1229" s="1">
        <f t="shared" si="37"/>
        <v>45754</v>
      </c>
      <c r="M1229" s="1"/>
      <c r="P1229"/>
    </row>
    <row r="1230" spans="1:16">
      <c r="A1230" t="s">
        <v>519</v>
      </c>
      <c r="B1230" t="s">
        <v>163</v>
      </c>
      <c r="C1230" t="s">
        <v>2099</v>
      </c>
      <c r="D1230" s="14">
        <v>35</v>
      </c>
      <c r="E1230" s="14">
        <v>35</v>
      </c>
      <c r="F1230" s="1" t="s">
        <v>2100</v>
      </c>
      <c r="G1230" t="s">
        <v>1</v>
      </c>
      <c r="H1230" t="s">
        <v>1099</v>
      </c>
      <c r="I1230" t="str">
        <f>IF(B1230=IFERROR(VLOOKUP(B1230,base!$L$1:$L$9,1,0),""),"Produtos",IF(B1230=IFERROR(VLOOKUP(B1230,base!$K$2:$K$8,1,0),""),"Serviços","Combos"))</f>
        <v>Serviços</v>
      </c>
      <c r="J1230">
        <f t="shared" si="36"/>
        <v>15.75</v>
      </c>
      <c r="K1230" s="1">
        <f t="shared" si="37"/>
        <v>45754</v>
      </c>
      <c r="M1230" s="1"/>
      <c r="P1230"/>
    </row>
    <row r="1231" spans="1:16">
      <c r="A1231" t="s">
        <v>519</v>
      </c>
      <c r="B1231" t="s">
        <v>513</v>
      </c>
      <c r="C1231" t="s">
        <v>2101</v>
      </c>
      <c r="D1231" s="14">
        <v>35</v>
      </c>
      <c r="E1231" s="14">
        <v>35</v>
      </c>
      <c r="F1231" s="1" t="s">
        <v>2102</v>
      </c>
      <c r="G1231" t="s">
        <v>1</v>
      </c>
      <c r="H1231" t="s">
        <v>1746</v>
      </c>
      <c r="I1231" t="str">
        <f>IF(B1231=IFERROR(VLOOKUP(B1231,base!$L$1:$L$9,1,0),""),"Produtos",IF(B1231=IFERROR(VLOOKUP(B1231,base!$K$2:$K$8,1,0),""),"Serviços","Combos"))</f>
        <v>Produtos</v>
      </c>
      <c r="J1231">
        <f t="shared" si="36"/>
        <v>14</v>
      </c>
      <c r="K1231" s="1">
        <f t="shared" si="37"/>
        <v>45754</v>
      </c>
      <c r="M1231" s="1"/>
      <c r="P1231"/>
    </row>
    <row r="1232" spans="1:16">
      <c r="A1232" t="s">
        <v>519</v>
      </c>
      <c r="B1232" t="s">
        <v>163</v>
      </c>
      <c r="C1232" t="s">
        <v>2103</v>
      </c>
      <c r="D1232" s="14">
        <v>35</v>
      </c>
      <c r="E1232" s="14">
        <v>35</v>
      </c>
      <c r="F1232" s="1" t="s">
        <v>2104</v>
      </c>
      <c r="G1232" t="s">
        <v>2</v>
      </c>
      <c r="H1232" t="s">
        <v>1161</v>
      </c>
      <c r="I1232" t="str">
        <f>IF(B1232=IFERROR(VLOOKUP(B1232,base!$L$1:$L$9,1,0),""),"Produtos",IF(B1232=IFERROR(VLOOKUP(B1232,base!$K$2:$K$8,1,0),""),"Serviços","Combos"))</f>
        <v>Serviços</v>
      </c>
      <c r="J1232">
        <f t="shared" si="36"/>
        <v>15.75</v>
      </c>
      <c r="K1232" s="1">
        <f t="shared" si="37"/>
        <v>45754</v>
      </c>
      <c r="M1232" s="1"/>
      <c r="P1232"/>
    </row>
    <row r="1233" spans="1:16">
      <c r="A1233" t="s">
        <v>252</v>
      </c>
      <c r="B1233" t="s">
        <v>163</v>
      </c>
      <c r="C1233" t="s">
        <v>2105</v>
      </c>
      <c r="D1233" s="14">
        <v>35</v>
      </c>
      <c r="E1233" s="14">
        <v>35</v>
      </c>
      <c r="F1233" s="1" t="s">
        <v>2106</v>
      </c>
      <c r="G1233" t="s">
        <v>1</v>
      </c>
      <c r="H1233" t="s">
        <v>2107</v>
      </c>
      <c r="I1233" t="str">
        <f>IF(B1233=IFERROR(VLOOKUP(B1233,base!$L$1:$L$9,1,0),""),"Produtos",IF(B1233=IFERROR(VLOOKUP(B1233,base!$K$2:$K$8,1,0),""),"Serviços","Combos"))</f>
        <v>Serviços</v>
      </c>
      <c r="J1233">
        <f t="shared" si="36"/>
        <v>15.75</v>
      </c>
      <c r="K1233" s="1">
        <f t="shared" si="37"/>
        <v>45755</v>
      </c>
      <c r="M1233" s="1"/>
      <c r="P1233"/>
    </row>
    <row r="1234" spans="1:16">
      <c r="A1234" t="s">
        <v>519</v>
      </c>
      <c r="B1234" t="s">
        <v>163</v>
      </c>
      <c r="C1234" t="s">
        <v>2108</v>
      </c>
      <c r="D1234" s="14">
        <v>35</v>
      </c>
      <c r="E1234" s="14">
        <v>35</v>
      </c>
      <c r="F1234" s="1" t="s">
        <v>2109</v>
      </c>
      <c r="G1234" t="s">
        <v>310</v>
      </c>
      <c r="H1234" t="s">
        <v>106</v>
      </c>
      <c r="I1234" t="str">
        <f>IF(B1234=IFERROR(VLOOKUP(B1234,base!$L$1:$L$9,1,0),""),"Produtos",IF(B1234=IFERROR(VLOOKUP(B1234,base!$K$2:$K$8,1,0),""),"Serviços","Combos"))</f>
        <v>Serviços</v>
      </c>
      <c r="J1234">
        <f t="shared" si="36"/>
        <v>15.75</v>
      </c>
      <c r="K1234" s="1">
        <f t="shared" si="37"/>
        <v>45759</v>
      </c>
      <c r="M1234" s="1"/>
      <c r="P1234"/>
    </row>
    <row r="1235" spans="1:16">
      <c r="A1235" t="s">
        <v>252</v>
      </c>
      <c r="B1235" t="s">
        <v>163</v>
      </c>
      <c r="C1235" t="s">
        <v>2110</v>
      </c>
      <c r="D1235" s="14">
        <v>35</v>
      </c>
      <c r="E1235" s="14">
        <v>35</v>
      </c>
      <c r="F1235" s="1" t="s">
        <v>2111</v>
      </c>
      <c r="G1235" t="s">
        <v>354</v>
      </c>
      <c r="H1235" t="s">
        <v>96</v>
      </c>
      <c r="I1235" t="str">
        <f>IF(B1235=IFERROR(VLOOKUP(B1235,base!$L$1:$L$9,1,0),""),"Produtos",IF(B1235=IFERROR(VLOOKUP(B1235,base!$K$2:$K$8,1,0),""),"Serviços","Combos"))</f>
        <v>Serviços</v>
      </c>
      <c r="J1235">
        <f t="shared" si="36"/>
        <v>15.75</v>
      </c>
      <c r="K1235" s="1">
        <f t="shared" si="37"/>
        <v>45755</v>
      </c>
      <c r="M1235" s="1"/>
      <c r="P1235"/>
    </row>
    <row r="1236" spans="1:16">
      <c r="A1236" t="s">
        <v>519</v>
      </c>
      <c r="B1236" t="s">
        <v>163</v>
      </c>
      <c r="C1236" t="s">
        <v>2112</v>
      </c>
      <c r="D1236" s="14">
        <v>35</v>
      </c>
      <c r="E1236" s="14">
        <v>35</v>
      </c>
      <c r="F1236" s="1" t="s">
        <v>2113</v>
      </c>
      <c r="G1236" t="s">
        <v>1</v>
      </c>
      <c r="H1236" t="s">
        <v>66</v>
      </c>
      <c r="I1236" t="str">
        <f>IF(B1236=IFERROR(VLOOKUP(B1236,base!$L$1:$L$9,1,0),""),"Produtos",IF(B1236=IFERROR(VLOOKUP(B1236,base!$K$2:$K$8,1,0),""),"Serviços","Combos"))</f>
        <v>Serviços</v>
      </c>
      <c r="J1236">
        <f t="shared" si="36"/>
        <v>15.75</v>
      </c>
      <c r="K1236" s="1">
        <f t="shared" si="37"/>
        <v>45755</v>
      </c>
      <c r="M1236" s="1"/>
      <c r="P1236"/>
    </row>
    <row r="1237" spans="1:16">
      <c r="A1237" t="s">
        <v>519</v>
      </c>
      <c r="B1237" t="s">
        <v>163</v>
      </c>
      <c r="C1237" t="s">
        <v>2114</v>
      </c>
      <c r="D1237" s="14">
        <v>35</v>
      </c>
      <c r="E1237" s="14">
        <v>35</v>
      </c>
      <c r="F1237" s="1" t="s">
        <v>2115</v>
      </c>
      <c r="G1237" t="s">
        <v>2</v>
      </c>
      <c r="H1237" t="s">
        <v>71</v>
      </c>
      <c r="I1237" t="str">
        <f>IF(B1237=IFERROR(VLOOKUP(B1237,base!$L$1:$L$9,1,0),""),"Produtos",IF(B1237=IFERROR(VLOOKUP(B1237,base!$K$2:$K$8,1,0),""),"Serviços","Combos"))</f>
        <v>Serviços</v>
      </c>
      <c r="J1237">
        <f t="shared" si="36"/>
        <v>15.75</v>
      </c>
      <c r="K1237" s="1">
        <f t="shared" si="37"/>
        <v>45755</v>
      </c>
      <c r="M1237" s="1"/>
      <c r="P1237"/>
    </row>
    <row r="1238" spans="1:16">
      <c r="A1238" t="s">
        <v>536</v>
      </c>
      <c r="B1238" t="s">
        <v>163</v>
      </c>
      <c r="C1238" t="s">
        <v>2116</v>
      </c>
      <c r="D1238" s="14">
        <v>35</v>
      </c>
      <c r="E1238" s="14">
        <v>35</v>
      </c>
      <c r="F1238" s="1" t="s">
        <v>2117</v>
      </c>
      <c r="G1238" t="s">
        <v>2</v>
      </c>
      <c r="H1238" t="s">
        <v>2118</v>
      </c>
      <c r="I1238" t="str">
        <f>IF(B1238=IFERROR(VLOOKUP(B1238,base!$L$1:$L$9,1,0),""),"Produtos",IF(B1238=IFERROR(VLOOKUP(B1238,base!$K$2:$K$8,1,0),""),"Serviços","Combos"))</f>
        <v>Serviços</v>
      </c>
      <c r="J1238">
        <f t="shared" si="36"/>
        <v>15.75</v>
      </c>
      <c r="K1238" s="1">
        <f t="shared" si="37"/>
        <v>45755</v>
      </c>
      <c r="M1238" s="1"/>
      <c r="P1238"/>
    </row>
    <row r="1239" spans="1:16">
      <c r="A1239" t="s">
        <v>536</v>
      </c>
      <c r="B1239" t="s">
        <v>160</v>
      </c>
      <c r="C1239" t="s">
        <v>2119</v>
      </c>
      <c r="D1239" s="14">
        <v>15</v>
      </c>
      <c r="E1239" s="14">
        <v>15</v>
      </c>
      <c r="F1239" s="1" t="s">
        <v>2106</v>
      </c>
      <c r="G1239" t="s">
        <v>1</v>
      </c>
      <c r="H1239" t="s">
        <v>295</v>
      </c>
      <c r="I1239" t="str">
        <f>IF(B1239=IFERROR(VLOOKUP(B1239,base!$L$1:$L$9,1,0),""),"Produtos",IF(B1239=IFERROR(VLOOKUP(B1239,base!$K$2:$K$8,1,0),""),"Serviços","Combos"))</f>
        <v>Serviços</v>
      </c>
      <c r="J1239">
        <f t="shared" si="36"/>
        <v>6.75</v>
      </c>
      <c r="K1239" s="1">
        <f t="shared" si="37"/>
        <v>45755</v>
      </c>
      <c r="M1239" s="1"/>
      <c r="P1239"/>
    </row>
    <row r="1240" spans="1:16">
      <c r="A1240" t="s">
        <v>519</v>
      </c>
      <c r="B1240" t="s">
        <v>163</v>
      </c>
      <c r="C1240" t="s">
        <v>2120</v>
      </c>
      <c r="D1240" s="14">
        <v>30</v>
      </c>
      <c r="E1240" s="14">
        <v>30</v>
      </c>
      <c r="F1240" s="1" t="s">
        <v>2121</v>
      </c>
      <c r="G1240" t="s">
        <v>1</v>
      </c>
      <c r="H1240" t="s">
        <v>10</v>
      </c>
      <c r="I1240" t="str">
        <f>IF(B1240=IFERROR(VLOOKUP(B1240,base!$L$1:$L$9,1,0),""),"Produtos",IF(B1240=IFERROR(VLOOKUP(B1240,base!$K$2:$K$8,1,0),""),"Serviços","Combos"))</f>
        <v>Serviços</v>
      </c>
      <c r="J1240">
        <f t="shared" si="36"/>
        <v>13.5</v>
      </c>
      <c r="K1240" s="1">
        <f t="shared" si="37"/>
        <v>45755</v>
      </c>
      <c r="M1240" s="1"/>
      <c r="P1240"/>
    </row>
    <row r="1241" spans="1:16">
      <c r="A1241" t="s">
        <v>252</v>
      </c>
      <c r="B1241" t="s">
        <v>353</v>
      </c>
      <c r="C1241" t="s">
        <v>2122</v>
      </c>
      <c r="D1241" s="14">
        <v>60</v>
      </c>
      <c r="E1241" s="14">
        <v>95</v>
      </c>
      <c r="F1241" s="1" t="s">
        <v>2123</v>
      </c>
      <c r="G1241" t="s">
        <v>354</v>
      </c>
      <c r="H1241" t="s">
        <v>2124</v>
      </c>
      <c r="I1241" t="str">
        <f>IF(B1241=IFERROR(VLOOKUP(B1241,base!$L$1:$L$9,1,0),""),"Produtos",IF(B1241=IFERROR(VLOOKUP(B1241,base!$K$2:$K$8,1,0),""),"Serviços","Combos"))</f>
        <v>Combos</v>
      </c>
      <c r="J1241">
        <f t="shared" si="36"/>
        <v>27</v>
      </c>
      <c r="K1241" s="1">
        <f t="shared" si="37"/>
        <v>45755</v>
      </c>
      <c r="M1241" s="1"/>
      <c r="P1241"/>
    </row>
    <row r="1242" spans="1:16">
      <c r="A1242" t="s">
        <v>252</v>
      </c>
      <c r="B1242" t="s">
        <v>513</v>
      </c>
      <c r="C1242" t="s">
        <v>2122</v>
      </c>
      <c r="D1242" s="14">
        <v>35</v>
      </c>
      <c r="E1242" t="s">
        <v>1604</v>
      </c>
      <c r="F1242" s="1" t="s">
        <v>2123</v>
      </c>
      <c r="G1242" t="s">
        <v>354</v>
      </c>
      <c r="H1242" t="s">
        <v>2124</v>
      </c>
      <c r="I1242" t="str">
        <f>IF(B1242=IFERROR(VLOOKUP(B1242,base!$L$1:$L$9,1,0),""),"Produtos",IF(B1242=IFERROR(VLOOKUP(B1242,base!$K$2:$K$8,1,0),""),"Serviços","Combos"))</f>
        <v>Produtos</v>
      </c>
      <c r="J1242">
        <f t="shared" si="36"/>
        <v>14</v>
      </c>
      <c r="K1242" s="1">
        <f t="shared" si="37"/>
        <v>45755</v>
      </c>
      <c r="M1242" s="1"/>
      <c r="P1242"/>
    </row>
    <row r="1243" spans="1:16">
      <c r="A1243" t="s">
        <v>519</v>
      </c>
      <c r="B1243" t="s">
        <v>353</v>
      </c>
      <c r="C1243" t="s">
        <v>2125</v>
      </c>
      <c r="D1243" s="14">
        <v>50</v>
      </c>
      <c r="E1243" s="14">
        <v>50</v>
      </c>
      <c r="F1243" s="1" t="s">
        <v>2126</v>
      </c>
      <c r="G1243" t="s">
        <v>1120</v>
      </c>
      <c r="H1243" t="s">
        <v>52</v>
      </c>
      <c r="I1243" t="str">
        <f>IF(B1243=IFERROR(VLOOKUP(B1243,base!$L$1:$L$9,1,0),""),"Produtos",IF(B1243=IFERROR(VLOOKUP(B1243,base!$K$2:$K$8,1,0),""),"Serviços","Combos"))</f>
        <v>Combos</v>
      </c>
      <c r="J1243">
        <f t="shared" si="36"/>
        <v>22.5</v>
      </c>
      <c r="K1243" s="1">
        <f t="shared" si="37"/>
        <v>45755</v>
      </c>
      <c r="M1243" s="1"/>
      <c r="P1243"/>
    </row>
    <row r="1244" spans="1:16">
      <c r="A1244" t="s">
        <v>536</v>
      </c>
      <c r="B1244" t="s">
        <v>163</v>
      </c>
      <c r="C1244" t="s">
        <v>2127</v>
      </c>
      <c r="D1244" s="14">
        <v>35</v>
      </c>
      <c r="E1244" s="14">
        <v>35</v>
      </c>
      <c r="F1244" s="1" t="s">
        <v>2128</v>
      </c>
      <c r="G1244" t="s">
        <v>354</v>
      </c>
      <c r="H1244" t="s">
        <v>2129</v>
      </c>
      <c r="I1244" t="str">
        <f>IF(B1244=IFERROR(VLOOKUP(B1244,base!$L$1:$L$9,1,0),""),"Produtos",IF(B1244=IFERROR(VLOOKUP(B1244,base!$K$2:$K$8,1,0),""),"Serviços","Combos"))</f>
        <v>Serviços</v>
      </c>
      <c r="J1244">
        <f t="shared" si="36"/>
        <v>15.75</v>
      </c>
      <c r="K1244" s="1">
        <f t="shared" si="37"/>
        <v>45755</v>
      </c>
      <c r="M1244" s="1"/>
      <c r="P1244"/>
    </row>
    <row r="1245" spans="1:16">
      <c r="A1245" t="s">
        <v>536</v>
      </c>
      <c r="B1245" t="s">
        <v>163</v>
      </c>
      <c r="C1245" t="s">
        <v>2130</v>
      </c>
      <c r="D1245" s="14">
        <v>35</v>
      </c>
      <c r="E1245" s="14">
        <v>35</v>
      </c>
      <c r="F1245" s="1" t="s">
        <v>2131</v>
      </c>
      <c r="G1245" t="s">
        <v>2</v>
      </c>
      <c r="H1245" t="s">
        <v>2132</v>
      </c>
      <c r="I1245" t="str">
        <f>IF(B1245=IFERROR(VLOOKUP(B1245,base!$L$1:$L$9,1,0),""),"Produtos",IF(B1245=IFERROR(VLOOKUP(B1245,base!$K$2:$K$8,1,0),""),"Serviços","Combos"))</f>
        <v>Serviços</v>
      </c>
      <c r="J1245">
        <f t="shared" si="36"/>
        <v>15.75</v>
      </c>
      <c r="K1245" s="1">
        <f t="shared" si="37"/>
        <v>45755</v>
      </c>
      <c r="M1245" s="1"/>
      <c r="P1245"/>
    </row>
    <row r="1246" spans="1:16">
      <c r="A1246" t="s">
        <v>519</v>
      </c>
      <c r="B1246" t="s">
        <v>353</v>
      </c>
      <c r="C1246" t="s">
        <v>2133</v>
      </c>
      <c r="D1246" s="14">
        <v>60</v>
      </c>
      <c r="E1246" s="14">
        <v>60</v>
      </c>
      <c r="F1246" s="1" t="s">
        <v>2134</v>
      </c>
      <c r="G1246" t="s">
        <v>1</v>
      </c>
      <c r="H1246" t="s">
        <v>41</v>
      </c>
      <c r="I1246" t="str">
        <f>IF(B1246=IFERROR(VLOOKUP(B1246,base!$L$1:$L$9,1,0),""),"Produtos",IF(B1246=IFERROR(VLOOKUP(B1246,base!$K$2:$K$8,1,0),""),"Serviços","Combos"))</f>
        <v>Combos</v>
      </c>
      <c r="J1246">
        <f t="shared" si="36"/>
        <v>27</v>
      </c>
      <c r="K1246" s="1">
        <f t="shared" si="37"/>
        <v>45756</v>
      </c>
      <c r="M1246" s="1"/>
      <c r="P1246"/>
    </row>
    <row r="1247" spans="1:16">
      <c r="A1247" t="s">
        <v>252</v>
      </c>
      <c r="B1247" t="s">
        <v>163</v>
      </c>
      <c r="C1247" t="s">
        <v>2135</v>
      </c>
      <c r="D1247" s="14">
        <v>35</v>
      </c>
      <c r="E1247" s="14">
        <v>35</v>
      </c>
      <c r="F1247" s="1" t="s">
        <v>2136</v>
      </c>
      <c r="G1247" t="s">
        <v>1</v>
      </c>
      <c r="H1247" t="s">
        <v>2137</v>
      </c>
      <c r="I1247" t="str">
        <f>IF(B1247=IFERROR(VLOOKUP(B1247,base!$L$1:$L$9,1,0),""),"Produtos",IF(B1247=IFERROR(VLOOKUP(B1247,base!$K$2:$K$8,1,0),""),"Serviços","Combos"))</f>
        <v>Serviços</v>
      </c>
      <c r="J1247">
        <f t="shared" si="36"/>
        <v>15.75</v>
      </c>
      <c r="K1247" s="1">
        <f t="shared" si="37"/>
        <v>45755</v>
      </c>
      <c r="M1247" s="1"/>
      <c r="P1247"/>
    </row>
    <row r="1248" spans="1:16">
      <c r="A1248" t="s">
        <v>519</v>
      </c>
      <c r="B1248" t="s">
        <v>163</v>
      </c>
      <c r="C1248" t="s">
        <v>2138</v>
      </c>
      <c r="D1248" s="14">
        <v>35</v>
      </c>
      <c r="E1248" s="14">
        <v>35</v>
      </c>
      <c r="F1248" s="1" t="s">
        <v>2139</v>
      </c>
      <c r="G1248" t="s">
        <v>1</v>
      </c>
      <c r="H1248" t="s">
        <v>1209</v>
      </c>
      <c r="I1248" t="str">
        <f>IF(B1248=IFERROR(VLOOKUP(B1248,base!$L$1:$L$9,1,0),""),"Produtos",IF(B1248=IFERROR(VLOOKUP(B1248,base!$K$2:$K$8,1,0),""),"Serviços","Combos"))</f>
        <v>Serviços</v>
      </c>
      <c r="J1248">
        <f t="shared" si="36"/>
        <v>15.75</v>
      </c>
      <c r="K1248" s="1">
        <f t="shared" si="37"/>
        <v>45756</v>
      </c>
      <c r="M1248" s="1"/>
      <c r="P1248"/>
    </row>
    <row r="1249" spans="1:16">
      <c r="A1249" t="s">
        <v>252</v>
      </c>
      <c r="B1249" t="s">
        <v>163</v>
      </c>
      <c r="C1249" t="s">
        <v>2140</v>
      </c>
      <c r="D1249" s="14">
        <v>35</v>
      </c>
      <c r="E1249" s="14">
        <v>35</v>
      </c>
      <c r="F1249" s="1" t="s">
        <v>2141</v>
      </c>
      <c r="G1249" t="s">
        <v>310</v>
      </c>
      <c r="H1249" t="s">
        <v>276</v>
      </c>
      <c r="I1249" t="str">
        <f>IF(B1249=IFERROR(VLOOKUP(B1249,base!$L$1:$L$9,1,0),""),"Produtos",IF(B1249=IFERROR(VLOOKUP(B1249,base!$K$2:$K$8,1,0),""),"Serviços","Combos"))</f>
        <v>Serviços</v>
      </c>
      <c r="J1249">
        <f t="shared" si="36"/>
        <v>15.75</v>
      </c>
      <c r="K1249" s="1">
        <f t="shared" si="37"/>
        <v>45756</v>
      </c>
      <c r="M1249" s="1"/>
      <c r="P1249"/>
    </row>
    <row r="1250" spans="1:16">
      <c r="A1250" t="s">
        <v>519</v>
      </c>
      <c r="B1250" t="s">
        <v>163</v>
      </c>
      <c r="C1250" t="s">
        <v>2142</v>
      </c>
      <c r="D1250" s="14">
        <v>35</v>
      </c>
      <c r="E1250" s="14">
        <v>35</v>
      </c>
      <c r="F1250" s="1" t="s">
        <v>2143</v>
      </c>
      <c r="G1250" t="s">
        <v>2</v>
      </c>
      <c r="H1250" t="s">
        <v>191</v>
      </c>
      <c r="I1250" t="str">
        <f>IF(B1250=IFERROR(VLOOKUP(B1250,base!$L$1:$L$9,1,0),""),"Produtos",IF(B1250=IFERROR(VLOOKUP(B1250,base!$K$2:$K$8,1,0),""),"Serviços","Combos"))</f>
        <v>Serviços</v>
      </c>
      <c r="J1250">
        <f t="shared" si="36"/>
        <v>15.75</v>
      </c>
      <c r="K1250" s="1">
        <f t="shared" si="37"/>
        <v>45756</v>
      </c>
      <c r="M1250" s="1"/>
      <c r="P1250"/>
    </row>
    <row r="1251" spans="1:16">
      <c r="A1251" t="s">
        <v>252</v>
      </c>
      <c r="B1251" t="s">
        <v>163</v>
      </c>
      <c r="C1251" t="s">
        <v>2144</v>
      </c>
      <c r="D1251" s="14">
        <v>35</v>
      </c>
      <c r="E1251" s="14">
        <v>45</v>
      </c>
      <c r="F1251" s="1" t="s">
        <v>2145</v>
      </c>
      <c r="G1251" t="s">
        <v>1</v>
      </c>
      <c r="H1251" t="s">
        <v>364</v>
      </c>
      <c r="I1251" t="str">
        <f>IF(B1251=IFERROR(VLOOKUP(B1251,base!$L$1:$L$9,1,0),""),"Produtos",IF(B1251=IFERROR(VLOOKUP(B1251,base!$K$2:$K$8,1,0),""),"Serviços","Combos"))</f>
        <v>Serviços</v>
      </c>
      <c r="J1251">
        <f t="shared" si="36"/>
        <v>15.75</v>
      </c>
      <c r="K1251" s="1">
        <f t="shared" si="37"/>
        <v>45756</v>
      </c>
      <c r="M1251" s="1"/>
      <c r="P1251"/>
    </row>
    <row r="1252" spans="1:16">
      <c r="A1252" t="s">
        <v>252</v>
      </c>
      <c r="B1252" t="s">
        <v>167</v>
      </c>
      <c r="C1252" t="s">
        <v>2144</v>
      </c>
      <c r="D1252" s="14">
        <v>10</v>
      </c>
      <c r="E1252" t="s">
        <v>1604</v>
      </c>
      <c r="F1252" s="1" t="s">
        <v>2145</v>
      </c>
      <c r="G1252" t="s">
        <v>1</v>
      </c>
      <c r="H1252" t="s">
        <v>364</v>
      </c>
      <c r="I1252" t="str">
        <f>IF(B1252=IFERROR(VLOOKUP(B1252,base!$L$1:$L$9,1,0),""),"Produtos",IF(B1252=IFERROR(VLOOKUP(B1252,base!$K$2:$K$8,1,0),""),"Serviços","Combos"))</f>
        <v>Serviços</v>
      </c>
      <c r="J1252">
        <f t="shared" si="36"/>
        <v>4.5</v>
      </c>
      <c r="K1252" s="1">
        <f t="shared" si="37"/>
        <v>45756</v>
      </c>
      <c r="M1252" s="1"/>
      <c r="P1252"/>
    </row>
    <row r="1253" spans="1:16">
      <c r="A1253" t="s">
        <v>536</v>
      </c>
      <c r="B1253" t="s">
        <v>163</v>
      </c>
      <c r="C1253" t="s">
        <v>2146</v>
      </c>
      <c r="D1253" s="14">
        <v>35</v>
      </c>
      <c r="E1253" s="14">
        <v>35</v>
      </c>
      <c r="F1253" s="1" t="s">
        <v>2147</v>
      </c>
      <c r="G1253" t="s">
        <v>310</v>
      </c>
      <c r="H1253" t="s">
        <v>2148</v>
      </c>
      <c r="I1253" t="str">
        <f>IF(B1253=IFERROR(VLOOKUP(B1253,base!$L$1:$L$9,1,0),""),"Produtos",IF(B1253=IFERROR(VLOOKUP(B1253,base!$K$2:$K$8,1,0),""),"Serviços","Combos"))</f>
        <v>Serviços</v>
      </c>
      <c r="J1253">
        <f t="shared" si="36"/>
        <v>15.75</v>
      </c>
      <c r="K1253" s="1">
        <f t="shared" si="37"/>
        <v>45756</v>
      </c>
      <c r="M1253" s="1"/>
      <c r="P1253"/>
    </row>
    <row r="1254" spans="1:16">
      <c r="A1254" t="s">
        <v>252</v>
      </c>
      <c r="B1254" t="s">
        <v>163</v>
      </c>
      <c r="C1254" t="s">
        <v>2149</v>
      </c>
      <c r="D1254" s="14">
        <v>35</v>
      </c>
      <c r="E1254" s="14">
        <v>55</v>
      </c>
      <c r="F1254" s="1" t="s">
        <v>2150</v>
      </c>
      <c r="G1254" t="s">
        <v>882</v>
      </c>
      <c r="H1254" t="s">
        <v>480</v>
      </c>
      <c r="I1254" t="str">
        <f>IF(B1254=IFERROR(VLOOKUP(B1254,base!$L$1:$L$9,1,0),""),"Produtos",IF(B1254=IFERROR(VLOOKUP(B1254,base!$K$2:$K$8,1,0),""),"Serviços","Combos"))</f>
        <v>Serviços</v>
      </c>
      <c r="J1254">
        <f t="shared" si="36"/>
        <v>15.75</v>
      </c>
      <c r="K1254" s="1">
        <f t="shared" si="37"/>
        <v>45758</v>
      </c>
      <c r="M1254" s="1"/>
      <c r="P1254"/>
    </row>
    <row r="1255" spans="1:16">
      <c r="A1255" t="s">
        <v>252</v>
      </c>
      <c r="B1255" t="s">
        <v>166</v>
      </c>
      <c r="C1255" t="s">
        <v>2149</v>
      </c>
      <c r="D1255" s="14">
        <v>20</v>
      </c>
      <c r="E1255" t="s">
        <v>1604</v>
      </c>
      <c r="F1255" s="1" t="s">
        <v>2150</v>
      </c>
      <c r="G1255" t="s">
        <v>882</v>
      </c>
      <c r="H1255" t="s">
        <v>480</v>
      </c>
      <c r="I1255" t="str">
        <f>IF(B1255=IFERROR(VLOOKUP(B1255,base!$L$1:$L$9,1,0),""),"Produtos",IF(B1255=IFERROR(VLOOKUP(B1255,base!$K$2:$K$8,1,0),""),"Serviços","Combos"))</f>
        <v>Serviços</v>
      </c>
      <c r="J1255">
        <f t="shared" si="36"/>
        <v>9</v>
      </c>
      <c r="K1255" s="1">
        <f t="shared" si="37"/>
        <v>45758</v>
      </c>
      <c r="M1255" s="1"/>
      <c r="P1255"/>
    </row>
    <row r="1256" spans="1:16">
      <c r="A1256" t="s">
        <v>252</v>
      </c>
      <c r="B1256" t="s">
        <v>163</v>
      </c>
      <c r="C1256" t="s">
        <v>2151</v>
      </c>
      <c r="D1256" s="14">
        <v>35</v>
      </c>
      <c r="E1256" s="14">
        <v>80</v>
      </c>
      <c r="F1256" s="1" t="s">
        <v>2152</v>
      </c>
      <c r="G1256" t="s">
        <v>310</v>
      </c>
      <c r="H1256" t="s">
        <v>372</v>
      </c>
      <c r="I1256" t="str">
        <f>IF(B1256=IFERROR(VLOOKUP(B1256,base!$L$1:$L$9,1,0),""),"Produtos",IF(B1256=IFERROR(VLOOKUP(B1256,base!$K$2:$K$8,1,0),""),"Serviços","Combos"))</f>
        <v>Serviços</v>
      </c>
      <c r="J1256">
        <f t="shared" si="36"/>
        <v>15.75</v>
      </c>
      <c r="K1256" s="1">
        <f t="shared" si="37"/>
        <v>45757</v>
      </c>
      <c r="M1256" s="1"/>
      <c r="P1256"/>
    </row>
    <row r="1257" spans="1:16">
      <c r="A1257" t="s">
        <v>519</v>
      </c>
      <c r="B1257" t="s">
        <v>163</v>
      </c>
      <c r="C1257" t="s">
        <v>2151</v>
      </c>
      <c r="D1257" s="14">
        <v>35</v>
      </c>
      <c r="E1257" t="s">
        <v>1604</v>
      </c>
      <c r="F1257" s="1" t="s">
        <v>2152</v>
      </c>
      <c r="G1257" t="s">
        <v>310</v>
      </c>
      <c r="H1257" t="s">
        <v>372</v>
      </c>
      <c r="I1257" t="str">
        <f>IF(B1257=IFERROR(VLOOKUP(B1257,base!$L$1:$L$9,1,0),""),"Produtos",IF(B1257=IFERROR(VLOOKUP(B1257,base!$K$2:$K$8,1,0),""),"Serviços","Combos"))</f>
        <v>Serviços</v>
      </c>
      <c r="J1257">
        <f t="shared" si="36"/>
        <v>15.75</v>
      </c>
      <c r="K1257" s="1">
        <f t="shared" si="37"/>
        <v>45757</v>
      </c>
      <c r="M1257" s="1"/>
      <c r="P1257"/>
    </row>
    <row r="1258" spans="1:16">
      <c r="A1258" t="s">
        <v>252</v>
      </c>
      <c r="B1258" t="s">
        <v>167</v>
      </c>
      <c r="C1258" t="s">
        <v>2151</v>
      </c>
      <c r="D1258" s="14">
        <v>10</v>
      </c>
      <c r="E1258" t="s">
        <v>1604</v>
      </c>
      <c r="F1258" s="1" t="s">
        <v>2152</v>
      </c>
      <c r="G1258" t="s">
        <v>310</v>
      </c>
      <c r="H1258" t="s">
        <v>372</v>
      </c>
      <c r="I1258" t="str">
        <f>IF(B1258=IFERROR(VLOOKUP(B1258,base!$L$1:$L$9,1,0),""),"Produtos",IF(B1258=IFERROR(VLOOKUP(B1258,base!$K$2:$K$8,1,0),""),"Serviços","Combos"))</f>
        <v>Serviços</v>
      </c>
      <c r="J1258">
        <f t="shared" si="36"/>
        <v>4.5</v>
      </c>
      <c r="K1258" s="1">
        <f t="shared" si="37"/>
        <v>45757</v>
      </c>
      <c r="M1258" s="1"/>
      <c r="P1258"/>
    </row>
    <row r="1259" spans="1:16">
      <c r="A1259" t="s">
        <v>252</v>
      </c>
      <c r="B1259" t="s">
        <v>163</v>
      </c>
      <c r="C1259" t="s">
        <v>2153</v>
      </c>
      <c r="D1259" s="14">
        <v>35</v>
      </c>
      <c r="E1259" s="14">
        <v>35</v>
      </c>
      <c r="F1259" s="1" t="s">
        <v>2154</v>
      </c>
      <c r="G1259" t="s">
        <v>2</v>
      </c>
      <c r="H1259" t="s">
        <v>185</v>
      </c>
      <c r="I1259" t="str">
        <f>IF(B1259=IFERROR(VLOOKUP(B1259,base!$L$1:$L$9,1,0),""),"Produtos",IF(B1259=IFERROR(VLOOKUP(B1259,base!$K$2:$K$8,1,0),""),"Serviços","Combos"))</f>
        <v>Serviços</v>
      </c>
      <c r="J1259">
        <f t="shared" si="36"/>
        <v>15.75</v>
      </c>
      <c r="K1259" s="1">
        <f t="shared" si="37"/>
        <v>45756</v>
      </c>
      <c r="M1259" s="1"/>
      <c r="P1259"/>
    </row>
    <row r="1260" spans="1:16">
      <c r="A1260" t="s">
        <v>519</v>
      </c>
      <c r="B1260" t="s">
        <v>163</v>
      </c>
      <c r="C1260" t="s">
        <v>2155</v>
      </c>
      <c r="D1260" s="14">
        <v>35</v>
      </c>
      <c r="E1260" s="14">
        <v>35</v>
      </c>
      <c r="F1260" s="1" t="s">
        <v>2156</v>
      </c>
      <c r="G1260" t="s">
        <v>2</v>
      </c>
      <c r="H1260" t="s">
        <v>2157</v>
      </c>
      <c r="I1260" t="str">
        <f>IF(B1260=IFERROR(VLOOKUP(B1260,base!$L$1:$L$9,1,0),""),"Produtos",IF(B1260=IFERROR(VLOOKUP(B1260,base!$K$2:$K$8,1,0),""),"Serviços","Combos"))</f>
        <v>Serviços</v>
      </c>
      <c r="J1260">
        <f t="shared" si="36"/>
        <v>15.75</v>
      </c>
      <c r="K1260" s="1">
        <f t="shared" si="37"/>
        <v>45757</v>
      </c>
      <c r="M1260" s="1"/>
      <c r="P1260"/>
    </row>
    <row r="1261" spans="1:16">
      <c r="A1261" t="s">
        <v>519</v>
      </c>
      <c r="B1261" t="s">
        <v>163</v>
      </c>
      <c r="C1261" t="s">
        <v>2158</v>
      </c>
      <c r="D1261" s="14">
        <v>35</v>
      </c>
      <c r="E1261" s="14">
        <v>70</v>
      </c>
      <c r="F1261" s="1" t="s">
        <v>2159</v>
      </c>
      <c r="G1261" t="s">
        <v>354</v>
      </c>
      <c r="H1261" t="s">
        <v>122</v>
      </c>
      <c r="I1261" t="str">
        <f>IF(B1261=IFERROR(VLOOKUP(B1261,base!$L$1:$L$9,1,0),""),"Produtos",IF(B1261=IFERROR(VLOOKUP(B1261,base!$K$2:$K$8,1,0),""),"Serviços","Combos"))</f>
        <v>Serviços</v>
      </c>
      <c r="J1261">
        <f t="shared" si="36"/>
        <v>15.75</v>
      </c>
      <c r="K1261" s="1">
        <f t="shared" si="37"/>
        <v>45757</v>
      </c>
      <c r="M1261" s="1"/>
      <c r="P1261"/>
    </row>
    <row r="1262" spans="1:16">
      <c r="A1262" t="s">
        <v>519</v>
      </c>
      <c r="B1262" t="s">
        <v>1046</v>
      </c>
      <c r="C1262" t="s">
        <v>2158</v>
      </c>
      <c r="D1262" s="14">
        <v>35</v>
      </c>
      <c r="E1262" t="s">
        <v>1604</v>
      </c>
      <c r="F1262" s="1" t="s">
        <v>2159</v>
      </c>
      <c r="G1262" t="s">
        <v>354</v>
      </c>
      <c r="H1262" t="s">
        <v>122</v>
      </c>
      <c r="I1262" t="str">
        <f>IF(B1262=IFERROR(VLOOKUP(B1262,base!$L$1:$L$9,1,0),""),"Produtos",IF(B1262=IFERROR(VLOOKUP(B1262,base!$K$2:$K$8,1,0),""),"Serviços","Combos"))</f>
        <v>Combos</v>
      </c>
      <c r="J1262">
        <f t="shared" si="36"/>
        <v>15.75</v>
      </c>
      <c r="K1262" s="1">
        <f t="shared" si="37"/>
        <v>45757</v>
      </c>
      <c r="M1262" s="1"/>
      <c r="P1262"/>
    </row>
    <row r="1263" spans="1:16">
      <c r="A1263" t="s">
        <v>536</v>
      </c>
      <c r="B1263" t="s">
        <v>353</v>
      </c>
      <c r="C1263" t="s">
        <v>2160</v>
      </c>
      <c r="D1263" s="14">
        <v>60</v>
      </c>
      <c r="E1263" s="14">
        <v>60</v>
      </c>
      <c r="F1263" s="1" t="s">
        <v>2161</v>
      </c>
      <c r="G1263" t="s">
        <v>1</v>
      </c>
      <c r="H1263" t="s">
        <v>2162</v>
      </c>
      <c r="I1263" t="str">
        <f>IF(B1263=IFERROR(VLOOKUP(B1263,base!$L$1:$L$9,1,0),""),"Produtos",IF(B1263=IFERROR(VLOOKUP(B1263,base!$K$2:$K$8,1,0),""),"Serviços","Combos"))</f>
        <v>Combos</v>
      </c>
      <c r="J1263">
        <f t="shared" si="36"/>
        <v>27</v>
      </c>
      <c r="K1263" s="1">
        <f t="shared" si="37"/>
        <v>45757</v>
      </c>
      <c r="M1263" s="1"/>
      <c r="P1263"/>
    </row>
    <row r="1264" spans="1:16">
      <c r="A1264" t="s">
        <v>252</v>
      </c>
      <c r="B1264" t="s">
        <v>353</v>
      </c>
      <c r="C1264" t="s">
        <v>2163</v>
      </c>
      <c r="D1264" s="14">
        <v>60</v>
      </c>
      <c r="E1264" s="14">
        <v>60</v>
      </c>
      <c r="F1264" s="1" t="s">
        <v>2164</v>
      </c>
      <c r="G1264" t="s">
        <v>310</v>
      </c>
      <c r="H1264" t="s">
        <v>854</v>
      </c>
      <c r="I1264" t="str">
        <f>IF(B1264=IFERROR(VLOOKUP(B1264,base!$L$1:$L$9,1,0),""),"Produtos",IF(B1264=IFERROR(VLOOKUP(B1264,base!$K$2:$K$8,1,0),""),"Serviços","Combos"))</f>
        <v>Combos</v>
      </c>
      <c r="J1264">
        <f t="shared" si="36"/>
        <v>27</v>
      </c>
      <c r="K1264" s="1">
        <f t="shared" si="37"/>
        <v>45757</v>
      </c>
      <c r="M1264" s="1"/>
      <c r="P1264"/>
    </row>
    <row r="1265" spans="1:16">
      <c r="A1265" t="s">
        <v>519</v>
      </c>
      <c r="B1265" t="s">
        <v>1046</v>
      </c>
      <c r="C1265" t="s">
        <v>2165</v>
      </c>
      <c r="D1265" s="14">
        <v>35</v>
      </c>
      <c r="E1265" s="14">
        <v>50</v>
      </c>
      <c r="F1265" s="1" t="s">
        <v>2166</v>
      </c>
      <c r="G1265" t="s">
        <v>1</v>
      </c>
      <c r="H1265" t="s">
        <v>1981</v>
      </c>
      <c r="I1265" t="str">
        <f>IF(B1265=IFERROR(VLOOKUP(B1265,base!$L$1:$L$9,1,0),""),"Produtos",IF(B1265=IFERROR(VLOOKUP(B1265,base!$K$2:$K$8,1,0),""),"Serviços","Combos"))</f>
        <v>Combos</v>
      </c>
      <c r="J1265">
        <f t="shared" si="36"/>
        <v>15.75</v>
      </c>
      <c r="K1265" s="1">
        <f t="shared" si="37"/>
        <v>45757</v>
      </c>
      <c r="M1265" s="1"/>
      <c r="P1265"/>
    </row>
    <row r="1266" spans="1:16">
      <c r="A1266" t="s">
        <v>519</v>
      </c>
      <c r="B1266" t="s">
        <v>1446</v>
      </c>
      <c r="C1266" t="s">
        <v>2165</v>
      </c>
      <c r="D1266" s="14">
        <v>15</v>
      </c>
      <c r="E1266" t="s">
        <v>1604</v>
      </c>
      <c r="F1266" s="1" t="s">
        <v>2166</v>
      </c>
      <c r="G1266" t="s">
        <v>1</v>
      </c>
      <c r="H1266" t="s">
        <v>1981</v>
      </c>
      <c r="I1266" t="str">
        <f>IF(B1266=IFERROR(VLOOKUP(B1266,base!$L$1:$L$9,1,0),""),"Produtos",IF(B1266=IFERROR(VLOOKUP(B1266,base!$K$2:$K$8,1,0),""),"Serviços","Combos"))</f>
        <v>Combos</v>
      </c>
      <c r="J1266">
        <f t="shared" si="36"/>
        <v>6.75</v>
      </c>
      <c r="K1266" s="1">
        <f t="shared" si="37"/>
        <v>45757</v>
      </c>
      <c r="M1266" s="1"/>
      <c r="P1266"/>
    </row>
    <row r="1267" spans="1:16">
      <c r="A1267" t="s">
        <v>536</v>
      </c>
      <c r="B1267" t="s">
        <v>163</v>
      </c>
      <c r="C1267" t="s">
        <v>2167</v>
      </c>
      <c r="D1267" s="14">
        <v>35</v>
      </c>
      <c r="E1267" s="14">
        <v>35</v>
      </c>
      <c r="F1267" s="1" t="s">
        <v>2168</v>
      </c>
      <c r="G1267" t="s">
        <v>1</v>
      </c>
      <c r="H1267" t="s">
        <v>382</v>
      </c>
      <c r="I1267" t="str">
        <f>IF(B1267=IFERROR(VLOOKUP(B1267,base!$L$1:$L$9,1,0),""),"Produtos",IF(B1267=IFERROR(VLOOKUP(B1267,base!$K$2:$K$8,1,0),""),"Serviços","Combos"))</f>
        <v>Serviços</v>
      </c>
      <c r="J1267">
        <f t="shared" si="36"/>
        <v>15.75</v>
      </c>
      <c r="K1267" s="1">
        <f t="shared" si="37"/>
        <v>45757</v>
      </c>
      <c r="M1267" s="1"/>
      <c r="P1267"/>
    </row>
    <row r="1268" spans="1:16">
      <c r="A1268" t="s">
        <v>519</v>
      </c>
      <c r="B1268" t="s">
        <v>163</v>
      </c>
      <c r="C1268" t="s">
        <v>2169</v>
      </c>
      <c r="D1268" s="14">
        <v>35</v>
      </c>
      <c r="E1268" s="14">
        <v>45</v>
      </c>
      <c r="F1268" s="1" t="s">
        <v>2170</v>
      </c>
      <c r="G1268" t="s">
        <v>1</v>
      </c>
      <c r="H1268" t="s">
        <v>1416</v>
      </c>
      <c r="I1268" t="str">
        <f>IF(B1268=IFERROR(VLOOKUP(B1268,base!$L$1:$L$9,1,0),""),"Produtos",IF(B1268=IFERROR(VLOOKUP(B1268,base!$K$2:$K$8,1,0),""),"Serviços","Combos"))</f>
        <v>Serviços</v>
      </c>
      <c r="J1268">
        <f t="shared" si="36"/>
        <v>15.75</v>
      </c>
      <c r="K1268" s="1">
        <f t="shared" si="37"/>
        <v>45757</v>
      </c>
      <c r="M1268" s="1"/>
      <c r="P1268"/>
    </row>
    <row r="1269" spans="1:16">
      <c r="A1269" t="s">
        <v>519</v>
      </c>
      <c r="B1269" t="s">
        <v>167</v>
      </c>
      <c r="C1269" t="s">
        <v>2169</v>
      </c>
      <c r="D1269" s="14">
        <v>10</v>
      </c>
      <c r="E1269" t="s">
        <v>1604</v>
      </c>
      <c r="F1269" s="1" t="s">
        <v>2170</v>
      </c>
      <c r="G1269" t="s">
        <v>1</v>
      </c>
      <c r="H1269" t="s">
        <v>1416</v>
      </c>
      <c r="I1269" t="str">
        <f>IF(B1269=IFERROR(VLOOKUP(B1269,base!$L$1:$L$9,1,0),""),"Produtos",IF(B1269=IFERROR(VLOOKUP(B1269,base!$K$2:$K$8,1,0),""),"Serviços","Combos"))</f>
        <v>Serviços</v>
      </c>
      <c r="J1269">
        <f t="shared" si="36"/>
        <v>4.5</v>
      </c>
      <c r="K1269" s="1">
        <f t="shared" si="37"/>
        <v>45757</v>
      </c>
      <c r="M1269" s="1"/>
      <c r="P1269"/>
    </row>
    <row r="1270" spans="1:16">
      <c r="A1270" t="s">
        <v>252</v>
      </c>
      <c r="B1270" t="s">
        <v>353</v>
      </c>
      <c r="C1270" t="s">
        <v>2171</v>
      </c>
      <c r="D1270" s="14">
        <v>60</v>
      </c>
      <c r="E1270" s="14">
        <v>60</v>
      </c>
      <c r="F1270" s="1" t="s">
        <v>2172</v>
      </c>
      <c r="G1270" t="s">
        <v>310</v>
      </c>
      <c r="H1270" t="s">
        <v>290</v>
      </c>
      <c r="I1270" t="str">
        <f>IF(B1270=IFERROR(VLOOKUP(B1270,base!$L$1:$L$9,1,0),""),"Produtos",IF(B1270=IFERROR(VLOOKUP(B1270,base!$K$2:$K$8,1,0),""),"Serviços","Combos"))</f>
        <v>Combos</v>
      </c>
      <c r="J1270">
        <f t="shared" si="36"/>
        <v>27</v>
      </c>
      <c r="K1270" s="1">
        <f t="shared" si="37"/>
        <v>45757</v>
      </c>
      <c r="M1270" s="1"/>
      <c r="P1270"/>
    </row>
    <row r="1271" spans="1:16">
      <c r="A1271" t="s">
        <v>536</v>
      </c>
      <c r="B1271" t="s">
        <v>163</v>
      </c>
      <c r="C1271" t="s">
        <v>2173</v>
      </c>
      <c r="D1271" s="14">
        <v>35</v>
      </c>
      <c r="E1271" s="14">
        <v>35</v>
      </c>
      <c r="F1271" s="1" t="s">
        <v>2174</v>
      </c>
      <c r="G1271" t="s">
        <v>2</v>
      </c>
      <c r="H1271" t="s">
        <v>1089</v>
      </c>
      <c r="I1271" t="str">
        <f>IF(B1271=IFERROR(VLOOKUP(B1271,base!$L$1:$L$9,1,0),""),"Produtos",IF(B1271=IFERROR(VLOOKUP(B1271,base!$K$2:$K$8,1,0),""),"Serviços","Combos"))</f>
        <v>Serviços</v>
      </c>
      <c r="J1271">
        <f t="shared" si="36"/>
        <v>15.75</v>
      </c>
      <c r="K1271" s="1">
        <f t="shared" si="37"/>
        <v>45757</v>
      </c>
      <c r="M1271" s="1"/>
      <c r="P1271"/>
    </row>
    <row r="1272" spans="1:16">
      <c r="A1272" t="s">
        <v>519</v>
      </c>
      <c r="B1272" t="s">
        <v>163</v>
      </c>
      <c r="C1272" t="s">
        <v>2175</v>
      </c>
      <c r="D1272" s="14">
        <v>35</v>
      </c>
      <c r="E1272" s="14">
        <v>55</v>
      </c>
      <c r="F1272" s="1" t="s">
        <v>2176</v>
      </c>
      <c r="G1272" t="s">
        <v>310</v>
      </c>
      <c r="H1272" t="s">
        <v>281</v>
      </c>
      <c r="I1272" t="str">
        <f>IF(B1272=IFERROR(VLOOKUP(B1272,base!$L$1:$L$9,1,0),""),"Produtos",IF(B1272=IFERROR(VLOOKUP(B1272,base!$K$2:$K$8,1,0),""),"Serviços","Combos"))</f>
        <v>Serviços</v>
      </c>
      <c r="J1272">
        <f t="shared" si="36"/>
        <v>15.75</v>
      </c>
      <c r="K1272" s="1">
        <f t="shared" si="37"/>
        <v>45757</v>
      </c>
      <c r="M1272" s="1"/>
      <c r="P1272"/>
    </row>
    <row r="1273" spans="1:16">
      <c r="A1273" t="s">
        <v>519</v>
      </c>
      <c r="B1273" t="s">
        <v>166</v>
      </c>
      <c r="C1273" t="s">
        <v>2175</v>
      </c>
      <c r="D1273" s="14">
        <v>20</v>
      </c>
      <c r="E1273" t="s">
        <v>1604</v>
      </c>
      <c r="F1273" s="1" t="s">
        <v>2176</v>
      </c>
      <c r="G1273" t="s">
        <v>310</v>
      </c>
      <c r="H1273" t="s">
        <v>281</v>
      </c>
      <c r="I1273" t="str">
        <f>IF(B1273=IFERROR(VLOOKUP(B1273,base!$L$1:$L$9,1,0),""),"Produtos",IF(B1273=IFERROR(VLOOKUP(B1273,base!$K$2:$K$8,1,0),""),"Serviços","Combos"))</f>
        <v>Serviços</v>
      </c>
      <c r="J1273">
        <f t="shared" si="36"/>
        <v>9</v>
      </c>
      <c r="K1273" s="1">
        <f t="shared" si="37"/>
        <v>45757</v>
      </c>
      <c r="M1273" s="1"/>
      <c r="P1273"/>
    </row>
    <row r="1274" spans="1:16">
      <c r="A1274" t="s">
        <v>252</v>
      </c>
      <c r="B1274" t="s">
        <v>163</v>
      </c>
      <c r="C1274" t="s">
        <v>2177</v>
      </c>
      <c r="D1274" s="14">
        <v>35</v>
      </c>
      <c r="E1274" s="14">
        <v>35</v>
      </c>
      <c r="F1274" s="1" t="s">
        <v>2178</v>
      </c>
      <c r="G1274" t="s">
        <v>1</v>
      </c>
      <c r="H1274" t="s">
        <v>20</v>
      </c>
      <c r="I1274" t="str">
        <f>IF(B1274=IFERROR(VLOOKUP(B1274,base!$L$1:$L$9,1,0),""),"Produtos",IF(B1274=IFERROR(VLOOKUP(B1274,base!$K$2:$K$8,1,0),""),"Serviços","Combos"))</f>
        <v>Serviços</v>
      </c>
      <c r="J1274">
        <f t="shared" si="36"/>
        <v>15.75</v>
      </c>
      <c r="K1274" s="1">
        <f t="shared" si="37"/>
        <v>45757</v>
      </c>
      <c r="M1274" s="1"/>
      <c r="P1274"/>
    </row>
    <row r="1275" spans="1:16">
      <c r="A1275" t="s">
        <v>536</v>
      </c>
      <c r="B1275" t="s">
        <v>163</v>
      </c>
      <c r="C1275" t="s">
        <v>2179</v>
      </c>
      <c r="D1275" s="14">
        <v>35</v>
      </c>
      <c r="E1275" s="14">
        <v>40</v>
      </c>
      <c r="F1275" s="1" t="s">
        <v>2180</v>
      </c>
      <c r="G1275" t="s">
        <v>1</v>
      </c>
      <c r="H1275" t="s">
        <v>495</v>
      </c>
      <c r="I1275" t="str">
        <f>IF(B1275=IFERROR(VLOOKUP(B1275,base!$L$1:$L$9,1,0),""),"Produtos",IF(B1275=IFERROR(VLOOKUP(B1275,base!$K$2:$K$8,1,0),""),"Serviços","Combos"))</f>
        <v>Serviços</v>
      </c>
      <c r="J1275">
        <f t="shared" si="36"/>
        <v>15.75</v>
      </c>
      <c r="K1275" s="1">
        <f t="shared" si="37"/>
        <v>45757</v>
      </c>
      <c r="M1275" s="1"/>
      <c r="P1275"/>
    </row>
    <row r="1276" spans="1:16">
      <c r="A1276" t="s">
        <v>536</v>
      </c>
      <c r="B1276" t="s">
        <v>910</v>
      </c>
      <c r="C1276" t="s">
        <v>2179</v>
      </c>
      <c r="D1276" s="14">
        <v>5</v>
      </c>
      <c r="E1276" t="s">
        <v>1604</v>
      </c>
      <c r="F1276" s="1" t="s">
        <v>2180</v>
      </c>
      <c r="G1276" t="s">
        <v>1</v>
      </c>
      <c r="H1276" t="s">
        <v>495</v>
      </c>
      <c r="I1276" t="str">
        <f>IF(B1276=IFERROR(VLOOKUP(B1276,base!$L$1:$L$9,1,0),""),"Produtos",IF(B1276=IFERROR(VLOOKUP(B1276,base!$K$2:$K$8,1,0),""),"Serviços","Combos"))</f>
        <v>Combos</v>
      </c>
      <c r="J1276">
        <f t="shared" si="36"/>
        <v>2.25</v>
      </c>
      <c r="K1276" s="1">
        <f t="shared" si="37"/>
        <v>45757</v>
      </c>
      <c r="M1276" s="1"/>
      <c r="P1276"/>
    </row>
    <row r="1277" spans="1:16">
      <c r="A1277" t="s">
        <v>519</v>
      </c>
      <c r="B1277" t="s">
        <v>163</v>
      </c>
      <c r="C1277" t="s">
        <v>2181</v>
      </c>
      <c r="D1277" s="14">
        <v>35</v>
      </c>
      <c r="E1277" s="14">
        <v>45</v>
      </c>
      <c r="F1277" s="1" t="s">
        <v>2182</v>
      </c>
      <c r="G1277" t="s">
        <v>354</v>
      </c>
      <c r="H1277" t="s">
        <v>284</v>
      </c>
      <c r="I1277" t="str">
        <f>IF(B1277=IFERROR(VLOOKUP(B1277,base!$L$1:$L$9,1,0),""),"Produtos",IF(B1277=IFERROR(VLOOKUP(B1277,base!$K$2:$K$8,1,0),""),"Serviços","Combos"))</f>
        <v>Serviços</v>
      </c>
      <c r="J1277">
        <f t="shared" si="36"/>
        <v>15.75</v>
      </c>
      <c r="K1277" s="1">
        <f t="shared" si="37"/>
        <v>45758</v>
      </c>
      <c r="M1277" s="1"/>
      <c r="P1277"/>
    </row>
    <row r="1278" spans="1:16">
      <c r="A1278" t="s">
        <v>519</v>
      </c>
      <c r="B1278" t="s">
        <v>167</v>
      </c>
      <c r="C1278" t="s">
        <v>2181</v>
      </c>
      <c r="D1278" s="14">
        <v>10</v>
      </c>
      <c r="E1278" t="s">
        <v>1604</v>
      </c>
      <c r="F1278" s="1" t="s">
        <v>2182</v>
      </c>
      <c r="G1278" t="s">
        <v>354</v>
      </c>
      <c r="H1278" t="s">
        <v>284</v>
      </c>
      <c r="I1278" t="str">
        <f>IF(B1278=IFERROR(VLOOKUP(B1278,base!$L$1:$L$9,1,0),""),"Produtos",IF(B1278=IFERROR(VLOOKUP(B1278,base!$K$2:$K$8,1,0),""),"Serviços","Combos"))</f>
        <v>Serviços</v>
      </c>
      <c r="J1278">
        <f t="shared" si="36"/>
        <v>4.5</v>
      </c>
      <c r="K1278" s="1">
        <f t="shared" si="37"/>
        <v>45758</v>
      </c>
      <c r="M1278" s="1"/>
      <c r="P1278"/>
    </row>
    <row r="1279" spans="1:16">
      <c r="A1279" t="s">
        <v>519</v>
      </c>
      <c r="B1279" t="s">
        <v>353</v>
      </c>
      <c r="C1279" t="s">
        <v>2183</v>
      </c>
      <c r="D1279" s="14">
        <v>55</v>
      </c>
      <c r="E1279" s="14">
        <v>55</v>
      </c>
      <c r="F1279" s="1" t="s">
        <v>2184</v>
      </c>
      <c r="G1279" t="s">
        <v>1</v>
      </c>
      <c r="H1279" t="s">
        <v>126</v>
      </c>
      <c r="I1279" t="str">
        <f>IF(B1279=IFERROR(VLOOKUP(B1279,base!$L$1:$L$9,1,0),""),"Produtos",IF(B1279=IFERROR(VLOOKUP(B1279,base!$K$2:$K$8,1,0),""),"Serviços","Combos"))</f>
        <v>Combos</v>
      </c>
      <c r="J1279">
        <f t="shared" si="36"/>
        <v>24.75</v>
      </c>
      <c r="K1279" s="1">
        <f t="shared" si="37"/>
        <v>45757</v>
      </c>
      <c r="M1279" s="1"/>
      <c r="P1279"/>
    </row>
    <row r="1280" spans="1:16">
      <c r="A1280" t="s">
        <v>519</v>
      </c>
      <c r="B1280" t="s">
        <v>353</v>
      </c>
      <c r="C1280" t="s">
        <v>2185</v>
      </c>
      <c r="D1280" s="14">
        <v>50</v>
      </c>
      <c r="E1280" s="14">
        <v>50</v>
      </c>
      <c r="F1280" s="1" t="s">
        <v>2186</v>
      </c>
      <c r="G1280" t="s">
        <v>354</v>
      </c>
      <c r="H1280" t="s">
        <v>467</v>
      </c>
      <c r="I1280" t="str">
        <f>IF(B1280=IFERROR(VLOOKUP(B1280,base!$L$1:$L$9,1,0),""),"Produtos",IF(B1280=IFERROR(VLOOKUP(B1280,base!$K$2:$K$8,1,0),""),"Serviços","Combos"))</f>
        <v>Combos</v>
      </c>
      <c r="J1280">
        <f t="shared" si="36"/>
        <v>22.5</v>
      </c>
      <c r="K1280" s="1">
        <f t="shared" si="37"/>
        <v>45757</v>
      </c>
      <c r="M1280" s="1"/>
      <c r="P1280"/>
    </row>
    <row r="1281" spans="1:16">
      <c r="A1281" t="s">
        <v>252</v>
      </c>
      <c r="B1281" t="s">
        <v>163</v>
      </c>
      <c r="C1281" t="s">
        <v>2187</v>
      </c>
      <c r="D1281" s="14">
        <v>35</v>
      </c>
      <c r="E1281" s="14">
        <v>35</v>
      </c>
      <c r="F1281" s="1" t="s">
        <v>2188</v>
      </c>
      <c r="G1281" t="s">
        <v>1</v>
      </c>
      <c r="H1281" t="s">
        <v>24</v>
      </c>
      <c r="I1281" t="str">
        <f>IF(B1281=IFERROR(VLOOKUP(B1281,base!$L$1:$L$9,1,0),""),"Produtos",IF(B1281=IFERROR(VLOOKUP(B1281,base!$K$2:$K$8,1,0),""),"Serviços","Combos"))</f>
        <v>Serviços</v>
      </c>
      <c r="J1281">
        <f t="shared" si="36"/>
        <v>15.75</v>
      </c>
      <c r="K1281" s="1">
        <f t="shared" si="37"/>
        <v>45757</v>
      </c>
      <c r="M1281" s="1"/>
      <c r="P1281"/>
    </row>
    <row r="1282" spans="1:16">
      <c r="A1282" t="s">
        <v>519</v>
      </c>
      <c r="B1282" t="s">
        <v>163</v>
      </c>
      <c r="C1282" t="s">
        <v>2189</v>
      </c>
      <c r="D1282" s="14">
        <v>35</v>
      </c>
      <c r="E1282" s="14">
        <v>95</v>
      </c>
      <c r="F1282" s="1" t="s">
        <v>2190</v>
      </c>
      <c r="G1282" t="s">
        <v>1</v>
      </c>
      <c r="H1282" t="s">
        <v>2191</v>
      </c>
      <c r="I1282" t="str">
        <f>IF(B1282=IFERROR(VLOOKUP(B1282,base!$L$1:$L$9,1,0),""),"Produtos",IF(B1282=IFERROR(VLOOKUP(B1282,base!$K$2:$K$8,1,0),""),"Serviços","Combos"))</f>
        <v>Serviços</v>
      </c>
      <c r="J1282">
        <f t="shared" si="36"/>
        <v>15.75</v>
      </c>
      <c r="K1282" s="1">
        <f t="shared" si="37"/>
        <v>45758</v>
      </c>
      <c r="M1282" s="1"/>
      <c r="P1282"/>
    </row>
    <row r="1283" spans="1:16">
      <c r="A1283" t="s">
        <v>519</v>
      </c>
      <c r="B1283" t="s">
        <v>163</v>
      </c>
      <c r="C1283" t="s">
        <v>2189</v>
      </c>
      <c r="D1283" s="14">
        <v>35</v>
      </c>
      <c r="E1283" t="s">
        <v>1604</v>
      </c>
      <c r="F1283" s="1" t="s">
        <v>2190</v>
      </c>
      <c r="G1283" t="s">
        <v>1</v>
      </c>
      <c r="H1283" t="s">
        <v>2191</v>
      </c>
      <c r="I1283" t="str">
        <f>IF(B1283=IFERROR(VLOOKUP(B1283,base!$L$1:$L$9,1,0),""),"Produtos",IF(B1283=IFERROR(VLOOKUP(B1283,base!$K$2:$K$8,1,0),""),"Serviços","Combos"))</f>
        <v>Serviços</v>
      </c>
      <c r="J1283">
        <f t="shared" si="36"/>
        <v>15.75</v>
      </c>
      <c r="K1283" s="1">
        <f t="shared" si="37"/>
        <v>45758</v>
      </c>
      <c r="M1283" s="1"/>
      <c r="P1283"/>
    </row>
    <row r="1284" spans="1:16">
      <c r="A1284" t="s">
        <v>519</v>
      </c>
      <c r="B1284" t="s">
        <v>509</v>
      </c>
      <c r="C1284" t="s">
        <v>2189</v>
      </c>
      <c r="D1284" s="14">
        <v>25</v>
      </c>
      <c r="E1284" t="s">
        <v>1604</v>
      </c>
      <c r="F1284" s="1" t="s">
        <v>2190</v>
      </c>
      <c r="G1284" t="s">
        <v>1</v>
      </c>
      <c r="H1284" t="s">
        <v>2191</v>
      </c>
      <c r="I1284" t="str">
        <f>IF(B1284=IFERROR(VLOOKUP(B1284,base!$L$1:$L$9,1,0),""),"Produtos",IF(B1284=IFERROR(VLOOKUP(B1284,base!$K$2:$K$8,1,0),""),"Serviços","Combos"))</f>
        <v>Produtos</v>
      </c>
      <c r="J1284">
        <f t="shared" si="36"/>
        <v>10</v>
      </c>
      <c r="K1284" s="1">
        <f t="shared" si="37"/>
        <v>45758</v>
      </c>
      <c r="M1284" s="1"/>
      <c r="P1284"/>
    </row>
    <row r="1285" spans="1:16">
      <c r="A1285" t="s">
        <v>519</v>
      </c>
      <c r="B1285" t="s">
        <v>163</v>
      </c>
      <c r="C1285" t="s">
        <v>2192</v>
      </c>
      <c r="D1285" s="14">
        <v>35</v>
      </c>
      <c r="E1285" s="14">
        <v>45</v>
      </c>
      <c r="F1285" s="1" t="s">
        <v>2193</v>
      </c>
      <c r="G1285" t="s">
        <v>1</v>
      </c>
      <c r="H1285" t="s">
        <v>14</v>
      </c>
      <c r="I1285" t="str">
        <f>IF(B1285=IFERROR(VLOOKUP(B1285,base!$L$1:$L$9,1,0),""),"Produtos",IF(B1285=IFERROR(VLOOKUP(B1285,base!$K$2:$K$8,1,0),""),"Serviços","Combos"))</f>
        <v>Serviços</v>
      </c>
      <c r="J1285">
        <f t="shared" si="36"/>
        <v>15.75</v>
      </c>
      <c r="K1285" s="1">
        <f t="shared" si="37"/>
        <v>45758</v>
      </c>
      <c r="M1285" s="1"/>
      <c r="P1285"/>
    </row>
    <row r="1286" spans="1:16">
      <c r="A1286" t="s">
        <v>519</v>
      </c>
      <c r="B1286" t="s">
        <v>167</v>
      </c>
      <c r="C1286" t="s">
        <v>2192</v>
      </c>
      <c r="D1286" s="14">
        <v>10</v>
      </c>
      <c r="E1286" t="s">
        <v>1604</v>
      </c>
      <c r="F1286" s="1" t="s">
        <v>2193</v>
      </c>
      <c r="G1286" t="s">
        <v>1</v>
      </c>
      <c r="H1286" t="s">
        <v>14</v>
      </c>
      <c r="I1286" t="str">
        <f>IF(B1286=IFERROR(VLOOKUP(B1286,base!$L$1:$L$9,1,0),""),"Produtos",IF(B1286=IFERROR(VLOOKUP(B1286,base!$K$2:$K$8,1,0),""),"Serviços","Combos"))</f>
        <v>Serviços</v>
      </c>
      <c r="J1286">
        <f t="shared" si="36"/>
        <v>4.5</v>
      </c>
      <c r="K1286" s="1">
        <f t="shared" si="37"/>
        <v>45758</v>
      </c>
      <c r="M1286" s="1"/>
      <c r="P1286"/>
    </row>
    <row r="1287" spans="1:16">
      <c r="A1287" t="s">
        <v>252</v>
      </c>
      <c r="B1287" t="s">
        <v>163</v>
      </c>
      <c r="C1287" t="s">
        <v>2194</v>
      </c>
      <c r="D1287" s="14">
        <v>35</v>
      </c>
      <c r="E1287" s="14">
        <v>35</v>
      </c>
      <c r="F1287" s="1" t="s">
        <v>2195</v>
      </c>
      <c r="G1287" t="s">
        <v>310</v>
      </c>
      <c r="H1287" t="s">
        <v>400</v>
      </c>
      <c r="I1287" t="str">
        <f>IF(B1287=IFERROR(VLOOKUP(B1287,base!$L$1:$L$9,1,0),""),"Produtos",IF(B1287=IFERROR(VLOOKUP(B1287,base!$K$2:$K$8,1,0),""),"Serviços","Combos"))</f>
        <v>Serviços</v>
      </c>
      <c r="J1287">
        <f t="shared" si="36"/>
        <v>15.75</v>
      </c>
      <c r="K1287" s="1">
        <f t="shared" si="37"/>
        <v>45758</v>
      </c>
      <c r="M1287" s="1"/>
      <c r="P1287"/>
    </row>
    <row r="1288" spans="1:16">
      <c r="A1288" t="s">
        <v>519</v>
      </c>
      <c r="B1288" t="s">
        <v>163</v>
      </c>
      <c r="C1288" t="s">
        <v>2196</v>
      </c>
      <c r="D1288" s="14">
        <v>35</v>
      </c>
      <c r="E1288" s="14">
        <v>60</v>
      </c>
      <c r="F1288" s="1" t="s">
        <v>2195</v>
      </c>
      <c r="G1288" t="s">
        <v>354</v>
      </c>
      <c r="H1288" t="s">
        <v>2197</v>
      </c>
      <c r="I1288" t="str">
        <f>IF(B1288=IFERROR(VLOOKUP(B1288,base!$L$1:$L$9,1,0),""),"Produtos",IF(B1288=IFERROR(VLOOKUP(B1288,base!$K$2:$K$8,1,0),""),"Serviços","Combos"))</f>
        <v>Serviços</v>
      </c>
      <c r="J1288">
        <f t="shared" si="36"/>
        <v>15.75</v>
      </c>
      <c r="K1288" s="1">
        <f t="shared" si="37"/>
        <v>45758</v>
      </c>
      <c r="M1288" s="1"/>
      <c r="P1288"/>
    </row>
    <row r="1289" spans="1:16">
      <c r="A1289" t="s">
        <v>519</v>
      </c>
      <c r="B1289" t="s">
        <v>1046</v>
      </c>
      <c r="C1289" t="s">
        <v>2196</v>
      </c>
      <c r="D1289" s="14">
        <v>25</v>
      </c>
      <c r="E1289" t="s">
        <v>1604</v>
      </c>
      <c r="F1289" s="1" t="s">
        <v>2195</v>
      </c>
      <c r="G1289" t="s">
        <v>354</v>
      </c>
      <c r="H1289" t="s">
        <v>2197</v>
      </c>
      <c r="I1289" t="str">
        <f>IF(B1289=IFERROR(VLOOKUP(B1289,base!$L$1:$L$9,1,0),""),"Produtos",IF(B1289=IFERROR(VLOOKUP(B1289,base!$K$2:$K$8,1,0),""),"Serviços","Combos"))</f>
        <v>Combos</v>
      </c>
      <c r="J1289">
        <f t="shared" si="36"/>
        <v>11.25</v>
      </c>
      <c r="K1289" s="1">
        <f t="shared" si="37"/>
        <v>45758</v>
      </c>
      <c r="M1289" s="1"/>
      <c r="P1289"/>
    </row>
    <row r="1290" spans="1:16">
      <c r="A1290" t="s">
        <v>519</v>
      </c>
      <c r="B1290" t="s">
        <v>163</v>
      </c>
      <c r="C1290" t="s">
        <v>2198</v>
      </c>
      <c r="D1290" s="14">
        <v>50</v>
      </c>
      <c r="E1290" s="14">
        <v>50</v>
      </c>
      <c r="F1290" s="1" t="s">
        <v>2199</v>
      </c>
      <c r="G1290" t="s">
        <v>1</v>
      </c>
      <c r="H1290" t="s">
        <v>28</v>
      </c>
      <c r="I1290" t="str">
        <f>IF(B1290=IFERROR(VLOOKUP(B1290,base!$L$1:$L$9,1,0),""),"Produtos",IF(B1290=IFERROR(VLOOKUP(B1290,base!$K$2:$K$8,1,0),""),"Serviços","Combos"))</f>
        <v>Serviços</v>
      </c>
      <c r="J1290">
        <f t="shared" ref="J1290:J1353" si="38">IF(AND(I1290="Serviços",E1290&gt;0),ROUND(D1290*45%,2),IF(I1290="Produtos",ROUND(D1290*40%,2),D1290*45%))</f>
        <v>22.5</v>
      </c>
      <c r="K1290" s="1">
        <f t="shared" ref="K1290:K1353" si="39">DATEVALUE(F1290)</f>
        <v>45758</v>
      </c>
      <c r="M1290" s="1"/>
      <c r="P1290"/>
    </row>
    <row r="1291" spans="1:16">
      <c r="A1291" t="s">
        <v>252</v>
      </c>
      <c r="B1291" t="s">
        <v>353</v>
      </c>
      <c r="C1291" t="s">
        <v>2200</v>
      </c>
      <c r="D1291" s="14">
        <v>60</v>
      </c>
      <c r="E1291" s="14">
        <v>50</v>
      </c>
      <c r="F1291" s="1" t="s">
        <v>2201</v>
      </c>
      <c r="G1291" t="s">
        <v>354</v>
      </c>
      <c r="H1291" t="s">
        <v>44</v>
      </c>
      <c r="I1291" t="str">
        <f>IF(B1291=IFERROR(VLOOKUP(B1291,base!$L$1:$L$9,1,0),""),"Produtos",IF(B1291=IFERROR(VLOOKUP(B1291,base!$K$2:$K$8,1,0),""),"Serviços","Combos"))</f>
        <v>Combos</v>
      </c>
      <c r="J1291">
        <f t="shared" si="38"/>
        <v>27</v>
      </c>
      <c r="K1291" s="1">
        <f t="shared" si="39"/>
        <v>45758</v>
      </c>
      <c r="M1291" s="1"/>
      <c r="P1291"/>
    </row>
    <row r="1292" spans="1:16">
      <c r="A1292" t="s">
        <v>519</v>
      </c>
      <c r="B1292" t="s">
        <v>163</v>
      </c>
      <c r="C1292" t="s">
        <v>2202</v>
      </c>
      <c r="D1292" s="14">
        <v>35</v>
      </c>
      <c r="E1292" s="14">
        <v>50</v>
      </c>
      <c r="F1292" s="1" t="s">
        <v>2201</v>
      </c>
      <c r="G1292" t="s">
        <v>1</v>
      </c>
      <c r="H1292" t="s">
        <v>8</v>
      </c>
      <c r="I1292" t="str">
        <f>IF(B1292=IFERROR(VLOOKUP(B1292,base!$L$1:$L$9,1,0),""),"Produtos",IF(B1292=IFERROR(VLOOKUP(B1292,base!$K$2:$K$8,1,0),""),"Serviços","Combos"))</f>
        <v>Serviços</v>
      </c>
      <c r="J1292">
        <f t="shared" si="38"/>
        <v>15.75</v>
      </c>
      <c r="K1292" s="1">
        <f t="shared" si="39"/>
        <v>45758</v>
      </c>
      <c r="M1292" s="1"/>
      <c r="P1292"/>
    </row>
    <row r="1293" spans="1:16">
      <c r="A1293" t="s">
        <v>519</v>
      </c>
      <c r="B1293" t="s">
        <v>1046</v>
      </c>
      <c r="C1293" t="s">
        <v>2202</v>
      </c>
      <c r="D1293" s="14">
        <v>15</v>
      </c>
      <c r="E1293" t="s">
        <v>1604</v>
      </c>
      <c r="F1293" s="1" t="s">
        <v>2201</v>
      </c>
      <c r="G1293" t="s">
        <v>1</v>
      </c>
      <c r="H1293" t="s">
        <v>8</v>
      </c>
      <c r="I1293" t="str">
        <f>IF(B1293=IFERROR(VLOOKUP(B1293,base!$L$1:$L$9,1,0),""),"Produtos",IF(B1293=IFERROR(VLOOKUP(B1293,base!$K$2:$K$8,1,0),""),"Serviços","Combos"))</f>
        <v>Combos</v>
      </c>
      <c r="J1293">
        <f t="shared" si="38"/>
        <v>6.75</v>
      </c>
      <c r="K1293" s="1">
        <f t="shared" si="39"/>
        <v>45758</v>
      </c>
      <c r="M1293" s="1"/>
      <c r="P1293"/>
    </row>
    <row r="1294" spans="1:16">
      <c r="A1294" t="s">
        <v>536</v>
      </c>
      <c r="B1294" t="s">
        <v>353</v>
      </c>
      <c r="C1294" t="s">
        <v>2203</v>
      </c>
      <c r="D1294" s="14">
        <v>60</v>
      </c>
      <c r="E1294" s="14">
        <v>60</v>
      </c>
      <c r="F1294" s="1" t="s">
        <v>2204</v>
      </c>
      <c r="G1294" t="s">
        <v>1</v>
      </c>
      <c r="H1294" t="s">
        <v>2205</v>
      </c>
      <c r="I1294" t="str">
        <f>IF(B1294=IFERROR(VLOOKUP(B1294,base!$L$1:$L$9,1,0),""),"Produtos",IF(B1294=IFERROR(VLOOKUP(B1294,base!$K$2:$K$8,1,0),""),"Serviços","Combos"))</f>
        <v>Combos</v>
      </c>
      <c r="J1294">
        <f t="shared" si="38"/>
        <v>27</v>
      </c>
      <c r="K1294" s="1">
        <f t="shared" si="39"/>
        <v>45758</v>
      </c>
      <c r="M1294" s="1"/>
      <c r="P1294"/>
    </row>
    <row r="1295" spans="1:16">
      <c r="A1295" t="s">
        <v>536</v>
      </c>
      <c r="B1295" t="s">
        <v>163</v>
      </c>
      <c r="C1295" t="s">
        <v>2206</v>
      </c>
      <c r="D1295" s="14">
        <v>35</v>
      </c>
      <c r="E1295" s="14">
        <v>30</v>
      </c>
      <c r="F1295" s="1" t="s">
        <v>2207</v>
      </c>
      <c r="G1295" t="s">
        <v>354</v>
      </c>
      <c r="H1295" t="s">
        <v>401</v>
      </c>
      <c r="I1295" t="str">
        <f>IF(B1295=IFERROR(VLOOKUP(B1295,base!$L$1:$L$9,1,0),""),"Produtos",IF(B1295=IFERROR(VLOOKUP(B1295,base!$K$2:$K$8,1,0),""),"Serviços","Combos"))</f>
        <v>Serviços</v>
      </c>
      <c r="J1295">
        <f t="shared" si="38"/>
        <v>15.75</v>
      </c>
      <c r="K1295" s="1">
        <f t="shared" si="39"/>
        <v>45759</v>
      </c>
      <c r="M1295" s="1"/>
      <c r="P1295"/>
    </row>
    <row r="1296" spans="1:16">
      <c r="A1296" t="s">
        <v>536</v>
      </c>
      <c r="B1296" t="s">
        <v>163</v>
      </c>
      <c r="C1296" t="s">
        <v>2208</v>
      </c>
      <c r="D1296" s="14">
        <v>35</v>
      </c>
      <c r="E1296" s="14">
        <v>90</v>
      </c>
      <c r="F1296" s="1" t="s">
        <v>2209</v>
      </c>
      <c r="G1296" t="s">
        <v>1</v>
      </c>
      <c r="H1296" t="s">
        <v>1023</v>
      </c>
      <c r="I1296" t="str">
        <f>IF(B1296=IFERROR(VLOOKUP(B1296,base!$L$1:$L$9,1,0),""),"Produtos",IF(B1296=IFERROR(VLOOKUP(B1296,base!$K$2:$K$8,1,0),""),"Serviços","Combos"))</f>
        <v>Serviços</v>
      </c>
      <c r="J1296">
        <f t="shared" si="38"/>
        <v>15.75</v>
      </c>
      <c r="K1296" s="1">
        <f t="shared" si="39"/>
        <v>45758</v>
      </c>
      <c r="M1296" s="1"/>
      <c r="P1296"/>
    </row>
    <row r="1297" spans="1:16">
      <c r="A1297" t="s">
        <v>536</v>
      </c>
      <c r="B1297" t="s">
        <v>167</v>
      </c>
      <c r="C1297" t="s">
        <v>2208</v>
      </c>
      <c r="D1297" s="14">
        <v>10</v>
      </c>
      <c r="E1297" t="s">
        <v>1604</v>
      </c>
      <c r="F1297" s="1" t="s">
        <v>2209</v>
      </c>
      <c r="G1297" t="s">
        <v>1</v>
      </c>
      <c r="H1297" t="s">
        <v>1023</v>
      </c>
      <c r="I1297" t="str">
        <f>IF(B1297=IFERROR(VLOOKUP(B1297,base!$L$1:$L$9,1,0),""),"Produtos",IF(B1297=IFERROR(VLOOKUP(B1297,base!$K$2:$K$8,1,0),""),"Serviços","Combos"))</f>
        <v>Serviços</v>
      </c>
      <c r="J1297">
        <f t="shared" si="38"/>
        <v>4.5</v>
      </c>
      <c r="K1297" s="1">
        <f t="shared" si="39"/>
        <v>45758</v>
      </c>
      <c r="M1297" s="1"/>
      <c r="P1297"/>
    </row>
    <row r="1298" spans="1:16">
      <c r="A1298" t="s">
        <v>252</v>
      </c>
      <c r="B1298" t="s">
        <v>163</v>
      </c>
      <c r="C1298" t="s">
        <v>2208</v>
      </c>
      <c r="D1298" s="14">
        <v>35</v>
      </c>
      <c r="E1298" t="s">
        <v>1604</v>
      </c>
      <c r="F1298" s="1" t="s">
        <v>2209</v>
      </c>
      <c r="G1298" t="s">
        <v>1</v>
      </c>
      <c r="H1298" t="s">
        <v>1023</v>
      </c>
      <c r="I1298" t="str">
        <f>IF(B1298=IFERROR(VLOOKUP(B1298,base!$L$1:$L$9,1,0),""),"Produtos",IF(B1298=IFERROR(VLOOKUP(B1298,base!$K$2:$K$8,1,0),""),"Serviços","Combos"))</f>
        <v>Serviços</v>
      </c>
      <c r="J1298">
        <f t="shared" si="38"/>
        <v>15.75</v>
      </c>
      <c r="K1298" s="1">
        <f t="shared" si="39"/>
        <v>45758</v>
      </c>
      <c r="M1298" s="1"/>
      <c r="P1298"/>
    </row>
    <row r="1299" spans="1:16">
      <c r="A1299" t="s">
        <v>252</v>
      </c>
      <c r="B1299" t="s">
        <v>167</v>
      </c>
      <c r="C1299" t="s">
        <v>2208</v>
      </c>
      <c r="D1299" s="14">
        <v>10</v>
      </c>
      <c r="E1299" t="s">
        <v>1604</v>
      </c>
      <c r="F1299" s="1" t="s">
        <v>2209</v>
      </c>
      <c r="G1299" t="s">
        <v>1</v>
      </c>
      <c r="H1299" t="s">
        <v>1023</v>
      </c>
      <c r="I1299" t="str">
        <f>IF(B1299=IFERROR(VLOOKUP(B1299,base!$L$1:$L$9,1,0),""),"Produtos",IF(B1299=IFERROR(VLOOKUP(B1299,base!$K$2:$K$8,1,0),""),"Serviços","Combos"))</f>
        <v>Serviços</v>
      </c>
      <c r="J1299">
        <f t="shared" si="38"/>
        <v>4.5</v>
      </c>
      <c r="K1299" s="1">
        <f t="shared" si="39"/>
        <v>45758</v>
      </c>
      <c r="M1299" s="1"/>
      <c r="P1299"/>
    </row>
    <row r="1300" spans="1:16">
      <c r="A1300" t="s">
        <v>252</v>
      </c>
      <c r="B1300" t="s">
        <v>163</v>
      </c>
      <c r="C1300" t="s">
        <v>2210</v>
      </c>
      <c r="D1300" s="14">
        <v>35</v>
      </c>
      <c r="E1300" s="14">
        <v>55</v>
      </c>
      <c r="F1300" s="1" t="s">
        <v>2211</v>
      </c>
      <c r="G1300" t="s">
        <v>354</v>
      </c>
      <c r="H1300" t="s">
        <v>482</v>
      </c>
      <c r="I1300" t="str">
        <f>IF(B1300=IFERROR(VLOOKUP(B1300,base!$L$1:$L$9,1,0),""),"Produtos",IF(B1300=IFERROR(VLOOKUP(B1300,base!$K$2:$K$8,1,0),""),"Serviços","Combos"))</f>
        <v>Serviços</v>
      </c>
      <c r="J1300">
        <f t="shared" si="38"/>
        <v>15.75</v>
      </c>
      <c r="K1300" s="1">
        <f t="shared" si="39"/>
        <v>45758</v>
      </c>
      <c r="M1300" s="1"/>
      <c r="P1300"/>
    </row>
    <row r="1301" spans="1:16">
      <c r="A1301" t="s">
        <v>252</v>
      </c>
      <c r="B1301" t="s">
        <v>352</v>
      </c>
      <c r="C1301" t="s">
        <v>2210</v>
      </c>
      <c r="D1301" s="14">
        <v>20</v>
      </c>
      <c r="E1301" t="s">
        <v>1604</v>
      </c>
      <c r="F1301" s="1" t="s">
        <v>2211</v>
      </c>
      <c r="G1301" t="s">
        <v>354</v>
      </c>
      <c r="H1301" t="s">
        <v>482</v>
      </c>
      <c r="I1301" t="str">
        <f>IF(B1301=IFERROR(VLOOKUP(B1301,base!$L$1:$L$9,1,0),""),"Produtos",IF(B1301=IFERROR(VLOOKUP(B1301,base!$K$2:$K$8,1,0),""),"Serviços","Combos"))</f>
        <v>Combos</v>
      </c>
      <c r="J1301">
        <f t="shared" si="38"/>
        <v>9</v>
      </c>
      <c r="K1301" s="1">
        <f t="shared" si="39"/>
        <v>45758</v>
      </c>
      <c r="M1301" s="1"/>
      <c r="P1301"/>
    </row>
    <row r="1302" spans="1:16">
      <c r="A1302" t="s">
        <v>252</v>
      </c>
      <c r="B1302" t="s">
        <v>163</v>
      </c>
      <c r="C1302" t="s">
        <v>2212</v>
      </c>
      <c r="D1302" s="14">
        <v>35</v>
      </c>
      <c r="E1302" s="14">
        <v>35</v>
      </c>
      <c r="F1302" s="1" t="s">
        <v>2213</v>
      </c>
      <c r="G1302" t="s">
        <v>1</v>
      </c>
      <c r="H1302" t="s">
        <v>16</v>
      </c>
      <c r="I1302" t="str">
        <f>IF(B1302=IFERROR(VLOOKUP(B1302,base!$L$1:$L$9,1,0),""),"Produtos",IF(B1302=IFERROR(VLOOKUP(B1302,base!$K$2:$K$8,1,0),""),"Serviços","Combos"))</f>
        <v>Serviços</v>
      </c>
      <c r="J1302">
        <f t="shared" si="38"/>
        <v>15.75</v>
      </c>
      <c r="K1302" s="1">
        <f t="shared" si="39"/>
        <v>45758</v>
      </c>
      <c r="M1302" s="1"/>
      <c r="P1302"/>
    </row>
    <row r="1303" spans="1:16">
      <c r="A1303" t="s">
        <v>536</v>
      </c>
      <c r="B1303" t="s">
        <v>353</v>
      </c>
      <c r="C1303" t="s">
        <v>2214</v>
      </c>
      <c r="D1303" s="14">
        <v>60</v>
      </c>
      <c r="E1303" s="14">
        <v>60</v>
      </c>
      <c r="F1303" s="1" t="s">
        <v>2215</v>
      </c>
      <c r="G1303" t="s">
        <v>354</v>
      </c>
      <c r="H1303" t="s">
        <v>1154</v>
      </c>
      <c r="I1303" t="str">
        <f>IF(B1303=IFERROR(VLOOKUP(B1303,base!$L$1:$L$9,1,0),""),"Produtos",IF(B1303=IFERROR(VLOOKUP(B1303,base!$K$2:$K$8,1,0),""),"Serviços","Combos"))</f>
        <v>Combos</v>
      </c>
      <c r="J1303">
        <f t="shared" si="38"/>
        <v>27</v>
      </c>
      <c r="K1303" s="1">
        <f t="shared" si="39"/>
        <v>45758</v>
      </c>
      <c r="M1303" s="1"/>
      <c r="P1303"/>
    </row>
    <row r="1304" spans="1:16">
      <c r="A1304" t="s">
        <v>252</v>
      </c>
      <c r="B1304" t="s">
        <v>163</v>
      </c>
      <c r="C1304" t="s">
        <v>2216</v>
      </c>
      <c r="D1304" s="14">
        <v>35</v>
      </c>
      <c r="E1304" s="14">
        <v>35</v>
      </c>
      <c r="F1304" s="1" t="s">
        <v>2217</v>
      </c>
      <c r="G1304" t="s">
        <v>310</v>
      </c>
      <c r="H1304" t="s">
        <v>503</v>
      </c>
      <c r="I1304" t="str">
        <f>IF(B1304=IFERROR(VLOOKUP(B1304,base!$L$1:$L$9,1,0),""),"Produtos",IF(B1304=IFERROR(VLOOKUP(B1304,base!$K$2:$K$8,1,0),""),"Serviços","Combos"))</f>
        <v>Serviços</v>
      </c>
      <c r="J1304">
        <f t="shared" si="38"/>
        <v>15.75</v>
      </c>
      <c r="K1304" s="1">
        <f t="shared" si="39"/>
        <v>45758</v>
      </c>
      <c r="M1304" s="1"/>
      <c r="P1304"/>
    </row>
    <row r="1305" spans="1:16">
      <c r="A1305" t="s">
        <v>519</v>
      </c>
      <c r="B1305" t="s">
        <v>163</v>
      </c>
      <c r="C1305" t="s">
        <v>2218</v>
      </c>
      <c r="D1305" s="14">
        <v>35</v>
      </c>
      <c r="E1305" s="14">
        <v>35</v>
      </c>
      <c r="F1305" s="1" t="s">
        <v>2219</v>
      </c>
      <c r="G1305" t="s">
        <v>1</v>
      </c>
      <c r="H1305" t="s">
        <v>16</v>
      </c>
      <c r="I1305" t="str">
        <f>IF(B1305=IFERROR(VLOOKUP(B1305,base!$L$1:$L$9,1,0),""),"Produtos",IF(B1305=IFERROR(VLOOKUP(B1305,base!$K$2:$K$8,1,0),""),"Serviços","Combos"))</f>
        <v>Serviços</v>
      </c>
      <c r="J1305">
        <f t="shared" si="38"/>
        <v>15.75</v>
      </c>
      <c r="K1305" s="1">
        <f t="shared" si="39"/>
        <v>45759</v>
      </c>
      <c r="M1305" s="1"/>
      <c r="P1305"/>
    </row>
    <row r="1306" spans="1:16">
      <c r="A1306" t="s">
        <v>519</v>
      </c>
      <c r="B1306" t="s">
        <v>163</v>
      </c>
      <c r="C1306" t="s">
        <v>2220</v>
      </c>
      <c r="D1306" s="14">
        <v>35</v>
      </c>
      <c r="E1306" s="14">
        <v>50</v>
      </c>
      <c r="F1306" s="1" t="s">
        <v>2150</v>
      </c>
      <c r="G1306" t="s">
        <v>310</v>
      </c>
      <c r="H1306" t="s">
        <v>1523</v>
      </c>
      <c r="I1306" t="str">
        <f>IF(B1306=IFERROR(VLOOKUP(B1306,base!$L$1:$L$9,1,0),""),"Produtos",IF(B1306=IFERROR(VLOOKUP(B1306,base!$K$2:$K$8,1,0),""),"Serviços","Combos"))</f>
        <v>Serviços</v>
      </c>
      <c r="J1306">
        <f t="shared" si="38"/>
        <v>15.75</v>
      </c>
      <c r="K1306" s="1">
        <f t="shared" si="39"/>
        <v>45758</v>
      </c>
      <c r="M1306" s="1"/>
      <c r="P1306"/>
    </row>
    <row r="1307" spans="1:16">
      <c r="A1307" t="s">
        <v>519</v>
      </c>
      <c r="B1307" t="s">
        <v>167</v>
      </c>
      <c r="C1307" t="s">
        <v>2220</v>
      </c>
      <c r="D1307" s="14">
        <v>15</v>
      </c>
      <c r="E1307" t="s">
        <v>1604</v>
      </c>
      <c r="F1307" s="1" t="s">
        <v>2150</v>
      </c>
      <c r="G1307" t="s">
        <v>310</v>
      </c>
      <c r="H1307" t="s">
        <v>1523</v>
      </c>
      <c r="I1307" t="str">
        <f>IF(B1307=IFERROR(VLOOKUP(B1307,base!$L$1:$L$9,1,0),""),"Produtos",IF(B1307=IFERROR(VLOOKUP(B1307,base!$K$2:$K$8,1,0),""),"Serviços","Combos"))</f>
        <v>Serviços</v>
      </c>
      <c r="J1307">
        <f t="shared" si="38"/>
        <v>6.75</v>
      </c>
      <c r="K1307" s="1">
        <f t="shared" si="39"/>
        <v>45758</v>
      </c>
      <c r="M1307" s="1"/>
      <c r="P1307"/>
    </row>
    <row r="1308" spans="1:16">
      <c r="A1308" t="s">
        <v>519</v>
      </c>
      <c r="B1308" t="s">
        <v>163</v>
      </c>
      <c r="C1308" t="s">
        <v>2221</v>
      </c>
      <c r="D1308" s="14">
        <v>35</v>
      </c>
      <c r="E1308" s="14">
        <v>35</v>
      </c>
      <c r="F1308" s="1" t="s">
        <v>2222</v>
      </c>
      <c r="G1308" t="s">
        <v>1</v>
      </c>
      <c r="H1308" t="s">
        <v>282</v>
      </c>
      <c r="I1308" t="str">
        <f>IF(B1308=IFERROR(VLOOKUP(B1308,base!$L$1:$L$9,1,0),""),"Produtos",IF(B1308=IFERROR(VLOOKUP(B1308,base!$K$2:$K$8,1,0),""),"Serviços","Combos"))</f>
        <v>Serviços</v>
      </c>
      <c r="J1308">
        <f t="shared" si="38"/>
        <v>15.75</v>
      </c>
      <c r="K1308" s="1">
        <f t="shared" si="39"/>
        <v>45758</v>
      </c>
      <c r="M1308" s="1"/>
      <c r="P1308"/>
    </row>
    <row r="1309" spans="1:16">
      <c r="A1309" t="s">
        <v>519</v>
      </c>
      <c r="B1309" t="s">
        <v>163</v>
      </c>
      <c r="C1309" t="s">
        <v>2223</v>
      </c>
      <c r="D1309" s="14">
        <v>35</v>
      </c>
      <c r="E1309" s="14">
        <v>35</v>
      </c>
      <c r="F1309" s="1" t="s">
        <v>2224</v>
      </c>
      <c r="G1309" t="s">
        <v>2</v>
      </c>
      <c r="H1309" t="s">
        <v>485</v>
      </c>
      <c r="I1309" t="str">
        <f>IF(B1309=IFERROR(VLOOKUP(B1309,base!$L$1:$L$9,1,0),""),"Produtos",IF(B1309=IFERROR(VLOOKUP(B1309,base!$K$2:$K$8,1,0),""),"Serviços","Combos"))</f>
        <v>Serviços</v>
      </c>
      <c r="J1309">
        <f t="shared" si="38"/>
        <v>15.75</v>
      </c>
      <c r="K1309" s="1">
        <f t="shared" si="39"/>
        <v>45758</v>
      </c>
      <c r="M1309" s="1"/>
      <c r="P1309"/>
    </row>
    <row r="1310" spans="1:16">
      <c r="A1310" t="s">
        <v>252</v>
      </c>
      <c r="B1310" t="s">
        <v>353</v>
      </c>
      <c r="C1310" t="s">
        <v>2225</v>
      </c>
      <c r="D1310" s="14">
        <v>60</v>
      </c>
      <c r="E1310" s="14">
        <v>60</v>
      </c>
      <c r="F1310" s="1" t="s">
        <v>2226</v>
      </c>
      <c r="G1310" t="s">
        <v>1</v>
      </c>
      <c r="H1310" t="s">
        <v>131</v>
      </c>
      <c r="I1310" t="str">
        <f>IF(B1310=IFERROR(VLOOKUP(B1310,base!$L$1:$L$9,1,0),""),"Produtos",IF(B1310=IFERROR(VLOOKUP(B1310,base!$K$2:$K$8,1,0),""),"Serviços","Combos"))</f>
        <v>Combos</v>
      </c>
      <c r="J1310">
        <f t="shared" si="38"/>
        <v>27</v>
      </c>
      <c r="K1310" s="1">
        <f t="shared" si="39"/>
        <v>45758</v>
      </c>
      <c r="M1310" s="1"/>
      <c r="P1310"/>
    </row>
    <row r="1311" spans="1:16">
      <c r="A1311" t="s">
        <v>536</v>
      </c>
      <c r="B1311" t="s">
        <v>353</v>
      </c>
      <c r="C1311" t="s">
        <v>2227</v>
      </c>
      <c r="D1311" s="14">
        <v>60</v>
      </c>
      <c r="E1311" s="14">
        <v>60</v>
      </c>
      <c r="F1311" s="1" t="s">
        <v>2228</v>
      </c>
      <c r="G1311" t="s">
        <v>354</v>
      </c>
      <c r="H1311" t="s">
        <v>2229</v>
      </c>
      <c r="I1311" t="str">
        <f>IF(B1311=IFERROR(VLOOKUP(B1311,base!$L$1:$L$9,1,0),""),"Produtos",IF(B1311=IFERROR(VLOOKUP(B1311,base!$K$2:$K$8,1,0),""),"Serviços","Combos"))</f>
        <v>Combos</v>
      </c>
      <c r="J1311">
        <f t="shared" si="38"/>
        <v>27</v>
      </c>
      <c r="K1311" s="1">
        <f t="shared" si="39"/>
        <v>45758</v>
      </c>
      <c r="M1311" s="1"/>
      <c r="P1311"/>
    </row>
    <row r="1312" spans="1:16">
      <c r="A1312" t="s">
        <v>536</v>
      </c>
      <c r="B1312" t="s">
        <v>163</v>
      </c>
      <c r="C1312" t="s">
        <v>2230</v>
      </c>
      <c r="D1312" s="14">
        <v>35</v>
      </c>
      <c r="E1312" s="14">
        <v>35</v>
      </c>
      <c r="F1312" s="1" t="s">
        <v>2231</v>
      </c>
      <c r="G1312" t="s">
        <v>1</v>
      </c>
      <c r="H1312" t="s">
        <v>1348</v>
      </c>
      <c r="I1312" t="str">
        <f>IF(B1312=IFERROR(VLOOKUP(B1312,base!$L$1:$L$9,1,0),""),"Produtos",IF(B1312=IFERROR(VLOOKUP(B1312,base!$K$2:$K$8,1,0),""),"Serviços","Combos"))</f>
        <v>Serviços</v>
      </c>
      <c r="J1312">
        <f t="shared" si="38"/>
        <v>15.75</v>
      </c>
      <c r="K1312" s="1">
        <f t="shared" si="39"/>
        <v>45758</v>
      </c>
      <c r="M1312" s="1"/>
      <c r="P1312"/>
    </row>
    <row r="1313" spans="1:16">
      <c r="A1313" t="s">
        <v>519</v>
      </c>
      <c r="B1313" t="s">
        <v>163</v>
      </c>
      <c r="C1313" t="s">
        <v>2232</v>
      </c>
      <c r="D1313" s="14">
        <v>35</v>
      </c>
      <c r="E1313" s="14">
        <v>35</v>
      </c>
      <c r="F1313" s="1" t="s">
        <v>2217</v>
      </c>
      <c r="G1313" t="s">
        <v>1</v>
      </c>
      <c r="H1313" t="s">
        <v>2233</v>
      </c>
      <c r="I1313" t="str">
        <f>IF(B1313=IFERROR(VLOOKUP(B1313,base!$L$1:$L$9,1,0),""),"Produtos",IF(B1313=IFERROR(VLOOKUP(B1313,base!$K$2:$K$8,1,0),""),"Serviços","Combos"))</f>
        <v>Serviços</v>
      </c>
      <c r="J1313">
        <f t="shared" si="38"/>
        <v>15.75</v>
      </c>
      <c r="K1313" s="1">
        <f t="shared" si="39"/>
        <v>45758</v>
      </c>
      <c r="M1313" s="1"/>
      <c r="P1313"/>
    </row>
    <row r="1314" spans="1:16">
      <c r="A1314" t="s">
        <v>519</v>
      </c>
      <c r="B1314" t="s">
        <v>163</v>
      </c>
      <c r="C1314" t="s">
        <v>2234</v>
      </c>
      <c r="D1314" s="14">
        <v>35</v>
      </c>
      <c r="E1314" s="14">
        <v>35</v>
      </c>
      <c r="F1314" s="1" t="s">
        <v>2235</v>
      </c>
      <c r="G1314" t="s">
        <v>354</v>
      </c>
      <c r="H1314" t="s">
        <v>1081</v>
      </c>
      <c r="I1314" t="str">
        <f>IF(B1314=IFERROR(VLOOKUP(B1314,base!$L$1:$L$9,1,0),""),"Produtos",IF(B1314=IFERROR(VLOOKUP(B1314,base!$K$2:$K$8,1,0),""),"Serviços","Combos"))</f>
        <v>Serviços</v>
      </c>
      <c r="J1314">
        <f t="shared" si="38"/>
        <v>15.75</v>
      </c>
      <c r="K1314" s="1">
        <f t="shared" si="39"/>
        <v>45758</v>
      </c>
      <c r="M1314" s="1"/>
      <c r="P1314"/>
    </row>
    <row r="1315" spans="1:16">
      <c r="A1315" t="s">
        <v>519</v>
      </c>
      <c r="B1315" t="s">
        <v>163</v>
      </c>
      <c r="C1315" t="s">
        <v>2236</v>
      </c>
      <c r="D1315" s="14">
        <v>35</v>
      </c>
      <c r="E1315" s="14">
        <v>35</v>
      </c>
      <c r="F1315" s="1" t="s">
        <v>2237</v>
      </c>
      <c r="G1315" t="s">
        <v>354</v>
      </c>
      <c r="H1315" t="s">
        <v>2238</v>
      </c>
      <c r="I1315" t="str">
        <f>IF(B1315=IFERROR(VLOOKUP(B1315,base!$L$1:$L$9,1,0),""),"Produtos",IF(B1315=IFERROR(VLOOKUP(B1315,base!$K$2:$K$8,1,0),""),"Serviços","Combos"))</f>
        <v>Serviços</v>
      </c>
      <c r="J1315">
        <f t="shared" si="38"/>
        <v>15.75</v>
      </c>
      <c r="K1315" s="1">
        <f t="shared" si="39"/>
        <v>45758</v>
      </c>
      <c r="M1315" s="1"/>
      <c r="P1315"/>
    </row>
    <row r="1316" spans="1:16">
      <c r="A1316" t="s">
        <v>536</v>
      </c>
      <c r="B1316" t="s">
        <v>160</v>
      </c>
      <c r="C1316" t="s">
        <v>2239</v>
      </c>
      <c r="D1316" s="14">
        <v>12</v>
      </c>
      <c r="E1316" s="14">
        <v>12</v>
      </c>
      <c r="F1316" s="1" t="s">
        <v>2237</v>
      </c>
      <c r="G1316" t="s">
        <v>2</v>
      </c>
      <c r="H1316" t="s">
        <v>207</v>
      </c>
      <c r="I1316" t="str">
        <f>IF(B1316=IFERROR(VLOOKUP(B1316,base!$L$1:$L$9,1,0),""),"Produtos",IF(B1316=IFERROR(VLOOKUP(B1316,base!$K$2:$K$8,1,0),""),"Serviços","Combos"))</f>
        <v>Serviços</v>
      </c>
      <c r="J1316">
        <f t="shared" si="38"/>
        <v>5.4</v>
      </c>
      <c r="K1316" s="1">
        <f t="shared" si="39"/>
        <v>45758</v>
      </c>
      <c r="M1316" s="1"/>
      <c r="P1316"/>
    </row>
    <row r="1317" spans="1:16">
      <c r="A1317" t="s">
        <v>252</v>
      </c>
      <c r="B1317" t="s">
        <v>163</v>
      </c>
      <c r="C1317" t="s">
        <v>2240</v>
      </c>
      <c r="D1317" s="14">
        <v>35</v>
      </c>
      <c r="E1317" s="14">
        <v>80</v>
      </c>
      <c r="F1317" s="1" t="s">
        <v>2241</v>
      </c>
      <c r="G1317" t="s">
        <v>1</v>
      </c>
      <c r="H1317" t="s">
        <v>93</v>
      </c>
      <c r="I1317" t="str">
        <f>IF(B1317=IFERROR(VLOOKUP(B1317,base!$L$1:$L$9,1,0),""),"Produtos",IF(B1317=IFERROR(VLOOKUP(B1317,base!$K$2:$K$8,1,0),""),"Serviços","Combos"))</f>
        <v>Serviços</v>
      </c>
      <c r="J1317">
        <f t="shared" si="38"/>
        <v>15.75</v>
      </c>
      <c r="K1317" s="1">
        <f t="shared" si="39"/>
        <v>45759</v>
      </c>
      <c r="M1317" s="1"/>
      <c r="P1317"/>
    </row>
    <row r="1318" spans="1:16">
      <c r="A1318" t="s">
        <v>252</v>
      </c>
      <c r="B1318" t="s">
        <v>163</v>
      </c>
      <c r="C1318" t="s">
        <v>2240</v>
      </c>
      <c r="D1318" s="14">
        <v>20</v>
      </c>
      <c r="E1318" t="s">
        <v>1604</v>
      </c>
      <c r="F1318" s="1" t="s">
        <v>2241</v>
      </c>
      <c r="G1318" t="s">
        <v>1</v>
      </c>
      <c r="H1318" t="s">
        <v>93</v>
      </c>
      <c r="I1318" t="str">
        <f>IF(B1318=IFERROR(VLOOKUP(B1318,base!$L$1:$L$9,1,0),""),"Produtos",IF(B1318=IFERROR(VLOOKUP(B1318,base!$K$2:$K$8,1,0),""),"Serviços","Combos"))</f>
        <v>Serviços</v>
      </c>
      <c r="J1318">
        <f t="shared" si="38"/>
        <v>9</v>
      </c>
      <c r="K1318" s="1">
        <f t="shared" si="39"/>
        <v>45759</v>
      </c>
      <c r="M1318" s="1"/>
      <c r="P1318"/>
    </row>
    <row r="1319" spans="1:16">
      <c r="A1319" t="s">
        <v>252</v>
      </c>
      <c r="B1319" t="s">
        <v>509</v>
      </c>
      <c r="C1319" t="s">
        <v>2240</v>
      </c>
      <c r="D1319" s="14">
        <v>25</v>
      </c>
      <c r="E1319" t="s">
        <v>1604</v>
      </c>
      <c r="F1319" s="1" t="s">
        <v>2241</v>
      </c>
      <c r="G1319" t="s">
        <v>1</v>
      </c>
      <c r="H1319" t="s">
        <v>93</v>
      </c>
      <c r="I1319" t="str">
        <f>IF(B1319=IFERROR(VLOOKUP(B1319,base!$L$1:$L$9,1,0),""),"Produtos",IF(B1319=IFERROR(VLOOKUP(B1319,base!$K$2:$K$8,1,0),""),"Serviços","Combos"))</f>
        <v>Produtos</v>
      </c>
      <c r="J1319">
        <f t="shared" si="38"/>
        <v>10</v>
      </c>
      <c r="K1319" s="1">
        <f t="shared" si="39"/>
        <v>45759</v>
      </c>
      <c r="M1319" s="1"/>
      <c r="P1319"/>
    </row>
    <row r="1320" spans="1:16">
      <c r="A1320" t="s">
        <v>519</v>
      </c>
      <c r="B1320" t="s">
        <v>163</v>
      </c>
      <c r="C1320" t="s">
        <v>2242</v>
      </c>
      <c r="D1320" s="14">
        <v>35</v>
      </c>
      <c r="E1320" s="14">
        <v>55</v>
      </c>
      <c r="F1320" s="1" t="s">
        <v>2243</v>
      </c>
      <c r="G1320" t="s">
        <v>1</v>
      </c>
      <c r="H1320" t="s">
        <v>88</v>
      </c>
      <c r="I1320" t="str">
        <f>IF(B1320=IFERROR(VLOOKUP(B1320,base!$L$1:$L$9,1,0),""),"Produtos",IF(B1320=IFERROR(VLOOKUP(B1320,base!$K$2:$K$8,1,0),""),"Serviços","Combos"))</f>
        <v>Serviços</v>
      </c>
      <c r="J1320">
        <f t="shared" si="38"/>
        <v>15.75</v>
      </c>
      <c r="K1320" s="1">
        <f t="shared" si="39"/>
        <v>45759</v>
      </c>
      <c r="M1320" s="1"/>
      <c r="P1320"/>
    </row>
    <row r="1321" spans="1:16">
      <c r="A1321" t="s">
        <v>519</v>
      </c>
      <c r="B1321" t="s">
        <v>1046</v>
      </c>
      <c r="C1321" t="s">
        <v>2242</v>
      </c>
      <c r="D1321" s="14">
        <v>20</v>
      </c>
      <c r="E1321" t="s">
        <v>1604</v>
      </c>
      <c r="F1321" s="1" t="s">
        <v>2243</v>
      </c>
      <c r="G1321" t="s">
        <v>1</v>
      </c>
      <c r="H1321" t="s">
        <v>88</v>
      </c>
      <c r="I1321" t="str">
        <f>IF(B1321=IFERROR(VLOOKUP(B1321,base!$L$1:$L$9,1,0),""),"Produtos",IF(B1321=IFERROR(VLOOKUP(B1321,base!$K$2:$K$8,1,0),""),"Serviços","Combos"))</f>
        <v>Combos</v>
      </c>
      <c r="J1321">
        <f t="shared" si="38"/>
        <v>9</v>
      </c>
      <c r="K1321" s="1">
        <f t="shared" si="39"/>
        <v>45759</v>
      </c>
      <c r="M1321" s="1"/>
      <c r="P1321"/>
    </row>
    <row r="1322" spans="1:16">
      <c r="A1322" t="s">
        <v>252</v>
      </c>
      <c r="B1322" t="s">
        <v>353</v>
      </c>
      <c r="C1322" t="s">
        <v>2244</v>
      </c>
      <c r="D1322" s="14">
        <v>60</v>
      </c>
      <c r="E1322" s="14">
        <v>60</v>
      </c>
      <c r="F1322" s="1" t="s">
        <v>2245</v>
      </c>
      <c r="G1322" t="s">
        <v>310</v>
      </c>
      <c r="H1322" t="s">
        <v>1823</v>
      </c>
      <c r="I1322" t="str">
        <f>IF(B1322=IFERROR(VLOOKUP(B1322,base!$L$1:$L$9,1,0),""),"Produtos",IF(B1322=IFERROR(VLOOKUP(B1322,base!$K$2:$K$8,1,0),""),"Serviços","Combos"))</f>
        <v>Combos</v>
      </c>
      <c r="J1322">
        <f t="shared" si="38"/>
        <v>27</v>
      </c>
      <c r="K1322" s="1">
        <f t="shared" si="39"/>
        <v>45758</v>
      </c>
      <c r="M1322" s="1"/>
      <c r="P1322"/>
    </row>
    <row r="1323" spans="1:16">
      <c r="A1323" t="s">
        <v>536</v>
      </c>
      <c r="B1323" t="s">
        <v>163</v>
      </c>
      <c r="C1323" t="s">
        <v>2246</v>
      </c>
      <c r="D1323" s="14">
        <v>35</v>
      </c>
      <c r="E1323" s="14">
        <v>35</v>
      </c>
      <c r="F1323" s="1" t="s">
        <v>2199</v>
      </c>
      <c r="G1323" t="s">
        <v>1</v>
      </c>
      <c r="H1323" t="s">
        <v>2247</v>
      </c>
      <c r="I1323" t="str">
        <f>IF(B1323=IFERROR(VLOOKUP(B1323,base!$L$1:$L$9,1,0),""),"Produtos",IF(B1323=IFERROR(VLOOKUP(B1323,base!$K$2:$K$8,1,0),""),"Serviços","Combos"))</f>
        <v>Serviços</v>
      </c>
      <c r="J1323">
        <f t="shared" si="38"/>
        <v>15.75</v>
      </c>
      <c r="K1323" s="1">
        <f t="shared" si="39"/>
        <v>45758</v>
      </c>
      <c r="M1323" s="1"/>
      <c r="P1323"/>
    </row>
    <row r="1324" spans="1:16">
      <c r="A1324" t="s">
        <v>536</v>
      </c>
      <c r="B1324" t="s">
        <v>353</v>
      </c>
      <c r="C1324" t="s">
        <v>2248</v>
      </c>
      <c r="D1324" s="14">
        <v>55</v>
      </c>
      <c r="E1324" s="14">
        <v>55</v>
      </c>
      <c r="F1324" s="1" t="s">
        <v>2199</v>
      </c>
      <c r="G1324" t="s">
        <v>1</v>
      </c>
      <c r="H1324" t="s">
        <v>1184</v>
      </c>
      <c r="I1324" t="str">
        <f>IF(B1324=IFERROR(VLOOKUP(B1324,base!$L$1:$L$9,1,0),""),"Produtos",IF(B1324=IFERROR(VLOOKUP(B1324,base!$K$2:$K$8,1,0),""),"Serviços","Combos"))</f>
        <v>Combos</v>
      </c>
      <c r="J1324">
        <f t="shared" si="38"/>
        <v>24.75</v>
      </c>
      <c r="K1324" s="1">
        <f t="shared" si="39"/>
        <v>45758</v>
      </c>
      <c r="M1324" s="1"/>
      <c r="P1324"/>
    </row>
    <row r="1325" spans="1:16">
      <c r="A1325" t="s">
        <v>519</v>
      </c>
      <c r="B1325" t="s">
        <v>353</v>
      </c>
      <c r="C1325" t="s">
        <v>2249</v>
      </c>
      <c r="D1325" s="14">
        <v>55</v>
      </c>
      <c r="E1325" s="14">
        <v>55</v>
      </c>
      <c r="F1325" s="1" t="s">
        <v>2250</v>
      </c>
      <c r="G1325" t="s">
        <v>310</v>
      </c>
      <c r="H1325" t="s">
        <v>376</v>
      </c>
      <c r="I1325" t="str">
        <f>IF(B1325=IFERROR(VLOOKUP(B1325,base!$L$1:$L$9,1,0),""),"Produtos",IF(B1325=IFERROR(VLOOKUP(B1325,base!$K$2:$K$8,1,0),""),"Serviços","Combos"))</f>
        <v>Combos</v>
      </c>
      <c r="J1325">
        <f t="shared" si="38"/>
        <v>24.75</v>
      </c>
      <c r="K1325" s="1">
        <f t="shared" si="39"/>
        <v>45758</v>
      </c>
      <c r="M1325" s="1"/>
      <c r="P1325"/>
    </row>
    <row r="1326" spans="1:16">
      <c r="A1326" t="s">
        <v>536</v>
      </c>
      <c r="B1326" t="s">
        <v>163</v>
      </c>
      <c r="C1326" t="s">
        <v>2251</v>
      </c>
      <c r="D1326" s="14">
        <v>35</v>
      </c>
      <c r="E1326" s="14">
        <v>35</v>
      </c>
      <c r="F1326" s="1" t="s">
        <v>2252</v>
      </c>
      <c r="G1326" t="s">
        <v>354</v>
      </c>
      <c r="H1326" t="s">
        <v>1337</v>
      </c>
      <c r="I1326" t="str">
        <f>IF(B1326=IFERROR(VLOOKUP(B1326,base!$L$1:$L$9,1,0),""),"Produtos",IF(B1326=IFERROR(VLOOKUP(B1326,base!$K$2:$K$8,1,0),""),"Serviços","Combos"))</f>
        <v>Serviços</v>
      </c>
      <c r="J1326">
        <f t="shared" si="38"/>
        <v>15.75</v>
      </c>
      <c r="K1326" s="1">
        <f t="shared" si="39"/>
        <v>45759</v>
      </c>
      <c r="M1326" s="1"/>
      <c r="P1326"/>
    </row>
    <row r="1327" spans="1:16">
      <c r="A1327" t="s">
        <v>536</v>
      </c>
      <c r="B1327" t="s">
        <v>1046</v>
      </c>
      <c r="C1327" t="s">
        <v>2253</v>
      </c>
      <c r="D1327" s="14">
        <v>35</v>
      </c>
      <c r="E1327" s="14">
        <v>60</v>
      </c>
      <c r="F1327" s="1" t="s">
        <v>2254</v>
      </c>
      <c r="G1327" t="s">
        <v>2</v>
      </c>
      <c r="H1327" t="s">
        <v>1533</v>
      </c>
      <c r="I1327" t="str">
        <f>IF(B1327=IFERROR(VLOOKUP(B1327,base!$L$1:$L$9,1,0),""),"Produtos",IF(B1327=IFERROR(VLOOKUP(B1327,base!$K$2:$K$8,1,0),""),"Serviços","Combos"))</f>
        <v>Combos</v>
      </c>
      <c r="J1327">
        <f t="shared" si="38"/>
        <v>15.75</v>
      </c>
      <c r="K1327" s="1">
        <f t="shared" si="39"/>
        <v>45758</v>
      </c>
      <c r="M1327" s="1"/>
      <c r="P1327"/>
    </row>
    <row r="1328" spans="1:16">
      <c r="A1328" t="s">
        <v>536</v>
      </c>
      <c r="B1328" t="s">
        <v>352</v>
      </c>
      <c r="C1328" t="s">
        <v>2253</v>
      </c>
      <c r="D1328" s="14">
        <v>20</v>
      </c>
      <c r="E1328" t="s">
        <v>1604</v>
      </c>
      <c r="F1328" s="1" t="s">
        <v>2254</v>
      </c>
      <c r="G1328" t="s">
        <v>2</v>
      </c>
      <c r="H1328" t="s">
        <v>1533</v>
      </c>
      <c r="I1328" t="str">
        <f>IF(B1328=IFERROR(VLOOKUP(B1328,base!$L$1:$L$9,1,0),""),"Produtos",IF(B1328=IFERROR(VLOOKUP(B1328,base!$K$2:$K$8,1,0),""),"Serviços","Combos"))</f>
        <v>Combos</v>
      </c>
      <c r="J1328">
        <f t="shared" si="38"/>
        <v>9</v>
      </c>
      <c r="K1328" s="1">
        <f t="shared" si="39"/>
        <v>45758</v>
      </c>
      <c r="M1328" s="1"/>
      <c r="P1328"/>
    </row>
    <row r="1329" spans="1:16">
      <c r="A1329" t="s">
        <v>536</v>
      </c>
      <c r="B1329" t="s">
        <v>910</v>
      </c>
      <c r="C1329" t="s">
        <v>2253</v>
      </c>
      <c r="D1329" s="14">
        <v>5</v>
      </c>
      <c r="E1329" t="s">
        <v>1604</v>
      </c>
      <c r="F1329" s="1" t="s">
        <v>2254</v>
      </c>
      <c r="G1329" t="s">
        <v>2</v>
      </c>
      <c r="H1329" t="s">
        <v>1533</v>
      </c>
      <c r="I1329" t="str">
        <f>IF(B1329=IFERROR(VLOOKUP(B1329,base!$L$1:$L$9,1,0),""),"Produtos",IF(B1329=IFERROR(VLOOKUP(B1329,base!$K$2:$K$8,1,0),""),"Serviços","Combos"))</f>
        <v>Combos</v>
      </c>
      <c r="J1329">
        <f t="shared" si="38"/>
        <v>2.25</v>
      </c>
      <c r="K1329" s="1">
        <f t="shared" si="39"/>
        <v>45758</v>
      </c>
      <c r="M1329" s="1"/>
      <c r="P1329"/>
    </row>
    <row r="1330" spans="1:16">
      <c r="A1330" t="s">
        <v>252</v>
      </c>
      <c r="B1330" t="s">
        <v>160</v>
      </c>
      <c r="C1330" t="s">
        <v>2255</v>
      </c>
      <c r="D1330" s="14">
        <v>12</v>
      </c>
      <c r="E1330" s="14">
        <v>12</v>
      </c>
      <c r="F1330" s="1" t="s">
        <v>2256</v>
      </c>
      <c r="G1330" t="s">
        <v>2</v>
      </c>
      <c r="H1330" t="s">
        <v>491</v>
      </c>
      <c r="I1330" t="str">
        <f>IF(B1330=IFERROR(VLOOKUP(B1330,base!$L$1:$L$9,1,0),""),"Produtos",IF(B1330=IFERROR(VLOOKUP(B1330,base!$K$2:$K$8,1,0),""),"Serviços","Combos"))</f>
        <v>Serviços</v>
      </c>
      <c r="J1330">
        <f t="shared" si="38"/>
        <v>5.4</v>
      </c>
      <c r="K1330" s="1">
        <f t="shared" si="39"/>
        <v>45758</v>
      </c>
      <c r="M1330" s="1"/>
      <c r="P1330"/>
    </row>
    <row r="1331" spans="1:16">
      <c r="A1331" t="s">
        <v>519</v>
      </c>
      <c r="B1331" t="s">
        <v>163</v>
      </c>
      <c r="C1331" t="s">
        <v>2257</v>
      </c>
      <c r="D1331" s="14">
        <v>35</v>
      </c>
      <c r="E1331" s="14">
        <v>47</v>
      </c>
      <c r="F1331" s="1" t="s">
        <v>2241</v>
      </c>
      <c r="G1331" t="s">
        <v>1</v>
      </c>
      <c r="H1331" t="s">
        <v>2060</v>
      </c>
      <c r="I1331" t="str">
        <f>IF(B1331=IFERROR(VLOOKUP(B1331,base!$L$1:$L$9,1,0),""),"Produtos",IF(B1331=IFERROR(VLOOKUP(B1331,base!$K$2:$K$8,1,0),""),"Serviços","Combos"))</f>
        <v>Serviços</v>
      </c>
      <c r="J1331">
        <f t="shared" si="38"/>
        <v>15.75</v>
      </c>
      <c r="K1331" s="1">
        <f t="shared" si="39"/>
        <v>45759</v>
      </c>
      <c r="M1331" s="1"/>
      <c r="P1331"/>
    </row>
    <row r="1332" spans="1:16">
      <c r="A1332" t="s">
        <v>519</v>
      </c>
      <c r="B1332" t="s">
        <v>160</v>
      </c>
      <c r="C1332" t="s">
        <v>2257</v>
      </c>
      <c r="D1332" s="14">
        <v>12</v>
      </c>
      <c r="E1332" t="s">
        <v>1604</v>
      </c>
      <c r="F1332" s="1" t="s">
        <v>2241</v>
      </c>
      <c r="G1332" t="s">
        <v>1</v>
      </c>
      <c r="H1332" t="s">
        <v>2060</v>
      </c>
      <c r="I1332" t="str">
        <f>IF(B1332=IFERROR(VLOOKUP(B1332,base!$L$1:$L$9,1,0),""),"Produtos",IF(B1332=IFERROR(VLOOKUP(B1332,base!$K$2:$K$8,1,0),""),"Serviços","Combos"))</f>
        <v>Serviços</v>
      </c>
      <c r="J1332">
        <f t="shared" si="38"/>
        <v>5.4</v>
      </c>
      <c r="K1332" s="1">
        <f t="shared" si="39"/>
        <v>45759</v>
      </c>
      <c r="M1332" s="1"/>
      <c r="P1332"/>
    </row>
    <row r="1333" spans="1:16">
      <c r="A1333" t="s">
        <v>519</v>
      </c>
      <c r="B1333" t="s">
        <v>163</v>
      </c>
      <c r="C1333" t="s">
        <v>2258</v>
      </c>
      <c r="D1333" s="14">
        <v>35</v>
      </c>
      <c r="E1333" s="14">
        <v>35</v>
      </c>
      <c r="F1333" s="1" t="s">
        <v>2259</v>
      </c>
      <c r="G1333" t="s">
        <v>1</v>
      </c>
      <c r="H1333" t="s">
        <v>127</v>
      </c>
      <c r="I1333" t="str">
        <f>IF(B1333=IFERROR(VLOOKUP(B1333,base!$L$1:$L$9,1,0),""),"Produtos",IF(B1333=IFERROR(VLOOKUP(B1333,base!$K$2:$K$8,1,0),""),"Serviços","Combos"))</f>
        <v>Serviços</v>
      </c>
      <c r="J1333">
        <f t="shared" si="38"/>
        <v>15.75</v>
      </c>
      <c r="K1333" s="1">
        <f t="shared" si="39"/>
        <v>45759</v>
      </c>
      <c r="M1333" s="1"/>
      <c r="P1333"/>
    </row>
    <row r="1334" spans="1:16">
      <c r="A1334" t="s">
        <v>252</v>
      </c>
      <c r="B1334" t="s">
        <v>163</v>
      </c>
      <c r="C1334" t="s">
        <v>2260</v>
      </c>
      <c r="D1334" s="14">
        <v>35</v>
      </c>
      <c r="E1334" s="14">
        <v>35</v>
      </c>
      <c r="F1334" s="1" t="s">
        <v>2207</v>
      </c>
      <c r="G1334" t="s">
        <v>1</v>
      </c>
      <c r="H1334" t="s">
        <v>473</v>
      </c>
      <c r="I1334" t="str">
        <f>IF(B1334=IFERROR(VLOOKUP(B1334,base!$L$1:$L$9,1,0),""),"Produtos",IF(B1334=IFERROR(VLOOKUP(B1334,base!$K$2:$K$8,1,0),""),"Serviços","Combos"))</f>
        <v>Serviços</v>
      </c>
      <c r="J1334">
        <f t="shared" si="38"/>
        <v>15.75</v>
      </c>
      <c r="K1334" s="1">
        <f t="shared" si="39"/>
        <v>45759</v>
      </c>
      <c r="M1334" s="1"/>
      <c r="P1334"/>
    </row>
    <row r="1335" spans="1:16">
      <c r="A1335" t="s">
        <v>252</v>
      </c>
      <c r="B1335" t="s">
        <v>163</v>
      </c>
      <c r="C1335" t="s">
        <v>2261</v>
      </c>
      <c r="D1335" s="14">
        <v>35</v>
      </c>
      <c r="E1335" s="14">
        <v>35</v>
      </c>
      <c r="F1335" s="1" t="s">
        <v>2262</v>
      </c>
      <c r="G1335" t="s">
        <v>1</v>
      </c>
      <c r="H1335" t="s">
        <v>2263</v>
      </c>
      <c r="I1335" t="str">
        <f>IF(B1335=IFERROR(VLOOKUP(B1335,base!$L$1:$L$9,1,0),""),"Produtos",IF(B1335=IFERROR(VLOOKUP(B1335,base!$K$2:$K$8,1,0),""),"Serviços","Combos"))</f>
        <v>Serviços</v>
      </c>
      <c r="J1335">
        <f t="shared" si="38"/>
        <v>15.75</v>
      </c>
      <c r="K1335" s="1">
        <f t="shared" si="39"/>
        <v>45759</v>
      </c>
      <c r="M1335" s="1"/>
      <c r="P1335"/>
    </row>
    <row r="1336" spans="1:16">
      <c r="A1336" t="s">
        <v>519</v>
      </c>
      <c r="B1336" t="s">
        <v>353</v>
      </c>
      <c r="C1336" t="s">
        <v>2264</v>
      </c>
      <c r="D1336" s="14">
        <v>50</v>
      </c>
      <c r="E1336" s="14">
        <v>200</v>
      </c>
      <c r="F1336" s="1" t="s">
        <v>2265</v>
      </c>
      <c r="G1336" t="s">
        <v>354</v>
      </c>
      <c r="H1336" t="s">
        <v>414</v>
      </c>
      <c r="I1336" t="str">
        <f>IF(B1336=IFERROR(VLOOKUP(B1336,base!$L$1:$L$9,1,0),""),"Produtos",IF(B1336=IFERROR(VLOOKUP(B1336,base!$K$2:$K$8,1,0),""),"Serviços","Combos"))</f>
        <v>Combos</v>
      </c>
      <c r="J1336">
        <f t="shared" si="38"/>
        <v>22.5</v>
      </c>
      <c r="K1336" s="1">
        <f t="shared" si="39"/>
        <v>45759</v>
      </c>
      <c r="M1336" s="1"/>
      <c r="P1336"/>
    </row>
    <row r="1337" spans="1:16">
      <c r="A1337" t="s">
        <v>519</v>
      </c>
      <c r="B1337" t="s">
        <v>163</v>
      </c>
      <c r="C1337" t="s">
        <v>2266</v>
      </c>
      <c r="D1337" s="14">
        <v>35</v>
      </c>
      <c r="E1337" s="14">
        <v>35</v>
      </c>
      <c r="F1337" s="1" t="s">
        <v>2267</v>
      </c>
      <c r="G1337" t="s">
        <v>2</v>
      </c>
      <c r="H1337" t="s">
        <v>210</v>
      </c>
      <c r="I1337" t="str">
        <f>IF(B1337=IFERROR(VLOOKUP(B1337,base!$L$1:$L$9,1,0),""),"Produtos",IF(B1337=IFERROR(VLOOKUP(B1337,base!$K$2:$K$8,1,0),""),"Serviços","Combos"))</f>
        <v>Serviços</v>
      </c>
      <c r="J1337">
        <f t="shared" si="38"/>
        <v>15.75</v>
      </c>
      <c r="K1337" s="1">
        <f t="shared" si="39"/>
        <v>45759</v>
      </c>
      <c r="M1337" s="1"/>
      <c r="P1337"/>
    </row>
    <row r="1338" spans="1:16">
      <c r="A1338" t="s">
        <v>536</v>
      </c>
      <c r="B1338" t="s">
        <v>353</v>
      </c>
      <c r="C1338" t="s">
        <v>2268</v>
      </c>
      <c r="D1338" s="14">
        <v>60</v>
      </c>
      <c r="E1338" s="14">
        <v>60</v>
      </c>
      <c r="F1338" s="1" t="s">
        <v>2269</v>
      </c>
      <c r="G1338" t="s">
        <v>1</v>
      </c>
      <c r="H1338" t="s">
        <v>2270</v>
      </c>
      <c r="I1338" t="str">
        <f>IF(B1338=IFERROR(VLOOKUP(B1338,base!$L$1:$L$9,1,0),""),"Produtos",IF(B1338=IFERROR(VLOOKUP(B1338,base!$K$2:$K$8,1,0),""),"Serviços","Combos"))</f>
        <v>Combos</v>
      </c>
      <c r="J1338">
        <f t="shared" si="38"/>
        <v>27</v>
      </c>
      <c r="K1338" s="1">
        <f t="shared" si="39"/>
        <v>45759</v>
      </c>
      <c r="M1338" s="1"/>
      <c r="P1338"/>
    </row>
    <row r="1339" spans="1:16">
      <c r="A1339" t="s">
        <v>536</v>
      </c>
      <c r="B1339" t="s">
        <v>163</v>
      </c>
      <c r="C1339" t="s">
        <v>2271</v>
      </c>
      <c r="D1339" s="14">
        <v>35</v>
      </c>
      <c r="E1339" s="14">
        <v>45</v>
      </c>
      <c r="F1339" s="1" t="s">
        <v>2272</v>
      </c>
      <c r="G1339" t="s">
        <v>310</v>
      </c>
      <c r="H1339" t="s">
        <v>1564</v>
      </c>
      <c r="I1339" t="str">
        <f>IF(B1339=IFERROR(VLOOKUP(B1339,base!$L$1:$L$9,1,0),""),"Produtos",IF(B1339=IFERROR(VLOOKUP(B1339,base!$K$2:$K$8,1,0),""),"Serviços","Combos"))</f>
        <v>Serviços</v>
      </c>
      <c r="J1339">
        <f t="shared" si="38"/>
        <v>15.75</v>
      </c>
      <c r="K1339" s="1">
        <f t="shared" si="39"/>
        <v>45759</v>
      </c>
      <c r="M1339" s="1"/>
      <c r="P1339"/>
    </row>
    <row r="1340" spans="1:16">
      <c r="A1340" t="s">
        <v>536</v>
      </c>
      <c r="B1340" t="s">
        <v>167</v>
      </c>
      <c r="C1340" t="s">
        <v>2271</v>
      </c>
      <c r="D1340" s="14">
        <v>10</v>
      </c>
      <c r="E1340" t="s">
        <v>1604</v>
      </c>
      <c r="F1340" s="1" t="s">
        <v>2272</v>
      </c>
      <c r="G1340" t="s">
        <v>310</v>
      </c>
      <c r="H1340" t="s">
        <v>1564</v>
      </c>
      <c r="I1340" t="str">
        <f>IF(B1340=IFERROR(VLOOKUP(B1340,base!$L$1:$L$9,1,0),""),"Produtos",IF(B1340=IFERROR(VLOOKUP(B1340,base!$K$2:$K$8,1,0),""),"Serviços","Combos"))</f>
        <v>Serviços</v>
      </c>
      <c r="J1340">
        <f t="shared" si="38"/>
        <v>4.5</v>
      </c>
      <c r="K1340" s="1">
        <f t="shared" si="39"/>
        <v>45759</v>
      </c>
      <c r="M1340" s="1"/>
      <c r="P1340"/>
    </row>
    <row r="1341" spans="1:16">
      <c r="A1341" t="s">
        <v>519</v>
      </c>
      <c r="B1341" t="s">
        <v>163</v>
      </c>
      <c r="C1341" t="s">
        <v>2273</v>
      </c>
      <c r="D1341" s="14">
        <v>35</v>
      </c>
      <c r="E1341" s="14">
        <v>35</v>
      </c>
      <c r="F1341" s="1" t="s">
        <v>2274</v>
      </c>
      <c r="G1341" t="s">
        <v>2</v>
      </c>
      <c r="H1341" t="s">
        <v>1056</v>
      </c>
      <c r="I1341" t="str">
        <f>IF(B1341=IFERROR(VLOOKUP(B1341,base!$L$1:$L$9,1,0),""),"Produtos",IF(B1341=IFERROR(VLOOKUP(B1341,base!$K$2:$K$8,1,0),""),"Serviços","Combos"))</f>
        <v>Serviços</v>
      </c>
      <c r="J1341">
        <f t="shared" si="38"/>
        <v>15.75</v>
      </c>
      <c r="K1341" s="1">
        <f t="shared" si="39"/>
        <v>45759</v>
      </c>
      <c r="M1341" s="1"/>
      <c r="P1341"/>
    </row>
    <row r="1342" spans="1:16">
      <c r="A1342" t="s">
        <v>252</v>
      </c>
      <c r="B1342" t="s">
        <v>163</v>
      </c>
      <c r="C1342" t="s">
        <v>2275</v>
      </c>
      <c r="D1342" s="14">
        <v>35</v>
      </c>
      <c r="E1342" s="14">
        <v>35</v>
      </c>
      <c r="F1342" s="1" t="s">
        <v>2276</v>
      </c>
      <c r="G1342" t="s">
        <v>310</v>
      </c>
      <c r="H1342" t="s">
        <v>1531</v>
      </c>
      <c r="I1342" t="str">
        <f>IF(B1342=IFERROR(VLOOKUP(B1342,base!$L$1:$L$9,1,0),""),"Produtos",IF(B1342=IFERROR(VLOOKUP(B1342,base!$K$2:$K$8,1,0),""),"Serviços","Combos"))</f>
        <v>Serviços</v>
      </c>
      <c r="J1342">
        <f t="shared" si="38"/>
        <v>15.75</v>
      </c>
      <c r="K1342" s="1">
        <f t="shared" si="39"/>
        <v>45759</v>
      </c>
      <c r="M1342" s="1"/>
      <c r="P1342"/>
    </row>
    <row r="1343" spans="1:16">
      <c r="A1343" t="s">
        <v>519</v>
      </c>
      <c r="B1343" t="s">
        <v>163</v>
      </c>
      <c r="C1343" t="s">
        <v>2277</v>
      </c>
      <c r="D1343" s="14">
        <v>35</v>
      </c>
      <c r="E1343" s="14">
        <v>35</v>
      </c>
      <c r="F1343" s="1" t="s">
        <v>2278</v>
      </c>
      <c r="G1343" t="s">
        <v>354</v>
      </c>
      <c r="H1343" t="s">
        <v>2279</v>
      </c>
      <c r="I1343" t="str">
        <f>IF(B1343=IFERROR(VLOOKUP(B1343,base!$L$1:$L$9,1,0),""),"Produtos",IF(B1343=IFERROR(VLOOKUP(B1343,base!$K$2:$K$8,1,0),""),"Serviços","Combos"))</f>
        <v>Serviços</v>
      </c>
      <c r="J1343">
        <f t="shared" si="38"/>
        <v>15.75</v>
      </c>
      <c r="K1343" s="1">
        <f t="shared" si="39"/>
        <v>45759</v>
      </c>
      <c r="M1343" s="1"/>
      <c r="P1343"/>
    </row>
    <row r="1344" spans="1:16">
      <c r="A1344" t="s">
        <v>536</v>
      </c>
      <c r="B1344" t="s">
        <v>163</v>
      </c>
      <c r="C1344" t="s">
        <v>2280</v>
      </c>
      <c r="D1344" s="14">
        <v>35</v>
      </c>
      <c r="E1344" s="14">
        <v>35</v>
      </c>
      <c r="F1344" s="1" t="s">
        <v>2281</v>
      </c>
      <c r="G1344" t="s">
        <v>310</v>
      </c>
      <c r="H1344" t="s">
        <v>845</v>
      </c>
      <c r="I1344" t="str">
        <f>IF(B1344=IFERROR(VLOOKUP(B1344,base!$L$1:$L$9,1,0),""),"Produtos",IF(B1344=IFERROR(VLOOKUP(B1344,base!$K$2:$K$8,1,0),""),"Serviços","Combos"))</f>
        <v>Serviços</v>
      </c>
      <c r="J1344">
        <f t="shared" si="38"/>
        <v>15.75</v>
      </c>
      <c r="K1344" s="1">
        <f t="shared" si="39"/>
        <v>45759</v>
      </c>
      <c r="M1344" s="1"/>
      <c r="P1344"/>
    </row>
    <row r="1345" spans="1:16">
      <c r="A1345" t="s">
        <v>536</v>
      </c>
      <c r="B1345" t="s">
        <v>1046</v>
      </c>
      <c r="C1345" t="s">
        <v>2282</v>
      </c>
      <c r="D1345" s="14">
        <v>35</v>
      </c>
      <c r="E1345" s="14">
        <v>35</v>
      </c>
      <c r="F1345" s="1" t="s">
        <v>2269</v>
      </c>
      <c r="G1345" t="s">
        <v>1</v>
      </c>
      <c r="H1345" t="s">
        <v>286</v>
      </c>
      <c r="I1345" t="str">
        <f>IF(B1345=IFERROR(VLOOKUP(B1345,base!$L$1:$L$9,1,0),""),"Produtos",IF(B1345=IFERROR(VLOOKUP(B1345,base!$K$2:$K$8,1,0),""),"Serviços","Combos"))</f>
        <v>Combos</v>
      </c>
      <c r="J1345">
        <f t="shared" si="38"/>
        <v>15.75</v>
      </c>
      <c r="K1345" s="1">
        <f t="shared" si="39"/>
        <v>45759</v>
      </c>
      <c r="M1345" s="1"/>
      <c r="P1345"/>
    </row>
    <row r="1346" spans="1:16">
      <c r="A1346" t="s">
        <v>536</v>
      </c>
      <c r="B1346" t="s">
        <v>163</v>
      </c>
      <c r="C1346" t="s">
        <v>2283</v>
      </c>
      <c r="D1346" s="14">
        <v>35</v>
      </c>
      <c r="E1346" s="14">
        <v>35</v>
      </c>
      <c r="F1346" s="1" t="s">
        <v>2284</v>
      </c>
      <c r="G1346" t="s">
        <v>354</v>
      </c>
      <c r="H1346" t="s">
        <v>2285</v>
      </c>
      <c r="I1346" t="str">
        <f>IF(B1346=IFERROR(VLOOKUP(B1346,base!$L$1:$L$9,1,0),""),"Produtos",IF(B1346=IFERROR(VLOOKUP(B1346,base!$K$2:$K$8,1,0),""),"Serviços","Combos"))</f>
        <v>Serviços</v>
      </c>
      <c r="J1346">
        <f t="shared" si="38"/>
        <v>15.75</v>
      </c>
      <c r="K1346" s="1">
        <f t="shared" si="39"/>
        <v>45759</v>
      </c>
      <c r="M1346" s="1"/>
      <c r="P1346"/>
    </row>
    <row r="1347" spans="1:16">
      <c r="A1347" t="s">
        <v>519</v>
      </c>
      <c r="B1347" t="s">
        <v>163</v>
      </c>
      <c r="C1347" t="s">
        <v>2286</v>
      </c>
      <c r="D1347" s="14">
        <v>35</v>
      </c>
      <c r="E1347" s="14">
        <v>35</v>
      </c>
      <c r="F1347" s="1" t="s">
        <v>2287</v>
      </c>
      <c r="G1347" t="s">
        <v>1</v>
      </c>
      <c r="H1347" t="s">
        <v>282</v>
      </c>
      <c r="I1347" t="str">
        <f>IF(B1347=IFERROR(VLOOKUP(B1347,base!$L$1:$L$9,1,0),""),"Produtos",IF(B1347=IFERROR(VLOOKUP(B1347,base!$K$2:$K$8,1,0),""),"Serviços","Combos"))</f>
        <v>Serviços</v>
      </c>
      <c r="J1347">
        <f t="shared" si="38"/>
        <v>15.75</v>
      </c>
      <c r="K1347" s="1">
        <f t="shared" si="39"/>
        <v>45759</v>
      </c>
      <c r="M1347" s="1"/>
      <c r="P1347"/>
    </row>
    <row r="1348" spans="1:16">
      <c r="A1348" t="s">
        <v>519</v>
      </c>
      <c r="B1348" t="s">
        <v>163</v>
      </c>
      <c r="C1348" t="s">
        <v>2288</v>
      </c>
      <c r="D1348" s="14">
        <v>35</v>
      </c>
      <c r="E1348" s="14">
        <v>35</v>
      </c>
      <c r="F1348" s="1" t="s">
        <v>2281</v>
      </c>
      <c r="G1348" t="s">
        <v>310</v>
      </c>
      <c r="H1348" t="s">
        <v>2289</v>
      </c>
      <c r="I1348" t="str">
        <f>IF(B1348=IFERROR(VLOOKUP(B1348,base!$L$1:$L$9,1,0),""),"Produtos",IF(B1348=IFERROR(VLOOKUP(B1348,base!$K$2:$K$8,1,0),""),"Serviços","Combos"))</f>
        <v>Serviços</v>
      </c>
      <c r="J1348">
        <f t="shared" si="38"/>
        <v>15.75</v>
      </c>
      <c r="K1348" s="1">
        <f t="shared" si="39"/>
        <v>45759</v>
      </c>
      <c r="M1348" s="1"/>
      <c r="P1348"/>
    </row>
    <row r="1349" spans="1:16">
      <c r="A1349" t="s">
        <v>252</v>
      </c>
      <c r="B1349" t="s">
        <v>163</v>
      </c>
      <c r="C1349" t="s">
        <v>2290</v>
      </c>
      <c r="D1349" s="14">
        <v>35</v>
      </c>
      <c r="E1349" s="14">
        <v>35</v>
      </c>
      <c r="F1349" s="1" t="s">
        <v>2291</v>
      </c>
      <c r="G1349" t="s">
        <v>1</v>
      </c>
      <c r="H1349" t="s">
        <v>1223</v>
      </c>
      <c r="I1349" t="str">
        <f>IF(B1349=IFERROR(VLOOKUP(B1349,base!$L$1:$L$9,1,0),""),"Produtos",IF(B1349=IFERROR(VLOOKUP(B1349,base!$K$2:$K$8,1,0),""),"Serviços","Combos"))</f>
        <v>Serviços</v>
      </c>
      <c r="J1349">
        <f t="shared" si="38"/>
        <v>15.75</v>
      </c>
      <c r="K1349" s="1">
        <f t="shared" si="39"/>
        <v>45759</v>
      </c>
      <c r="M1349" s="1"/>
      <c r="P1349"/>
    </row>
    <row r="1350" spans="1:16">
      <c r="A1350" t="s">
        <v>536</v>
      </c>
      <c r="B1350" t="s">
        <v>163</v>
      </c>
      <c r="C1350" t="s">
        <v>2292</v>
      </c>
      <c r="D1350" s="14">
        <v>35</v>
      </c>
      <c r="E1350" s="14">
        <v>35</v>
      </c>
      <c r="F1350" s="1" t="s">
        <v>2293</v>
      </c>
      <c r="G1350" t="s">
        <v>310</v>
      </c>
      <c r="H1350" t="s">
        <v>2294</v>
      </c>
      <c r="I1350" t="str">
        <f>IF(B1350=IFERROR(VLOOKUP(B1350,base!$L$1:$L$9,1,0),""),"Produtos",IF(B1350=IFERROR(VLOOKUP(B1350,base!$K$2:$K$8,1,0),""),"Serviços","Combos"))</f>
        <v>Serviços</v>
      </c>
      <c r="J1350">
        <f t="shared" si="38"/>
        <v>15.75</v>
      </c>
      <c r="K1350" s="1">
        <f t="shared" si="39"/>
        <v>45759</v>
      </c>
      <c r="M1350" s="1"/>
      <c r="P1350"/>
    </row>
    <row r="1351" spans="1:16">
      <c r="A1351" t="s">
        <v>252</v>
      </c>
      <c r="B1351" t="s">
        <v>163</v>
      </c>
      <c r="C1351" t="s">
        <v>2295</v>
      </c>
      <c r="D1351" s="14">
        <v>35</v>
      </c>
      <c r="E1351" s="14">
        <v>35</v>
      </c>
      <c r="F1351" s="1" t="s">
        <v>2296</v>
      </c>
      <c r="G1351" t="s">
        <v>310</v>
      </c>
      <c r="H1351" t="s">
        <v>1175</v>
      </c>
      <c r="I1351" t="str">
        <f>IF(B1351=IFERROR(VLOOKUP(B1351,base!$L$1:$L$9,1,0),""),"Produtos",IF(B1351=IFERROR(VLOOKUP(B1351,base!$K$2:$K$8,1,0),""),"Serviços","Combos"))</f>
        <v>Serviços</v>
      </c>
      <c r="J1351">
        <f t="shared" si="38"/>
        <v>15.75</v>
      </c>
      <c r="K1351" s="1">
        <f t="shared" si="39"/>
        <v>45759</v>
      </c>
      <c r="M1351" s="1"/>
      <c r="P1351"/>
    </row>
    <row r="1352" spans="1:16">
      <c r="A1352" t="s">
        <v>536</v>
      </c>
      <c r="B1352" t="s">
        <v>1046</v>
      </c>
      <c r="C1352" t="s">
        <v>2297</v>
      </c>
      <c r="D1352" s="14">
        <v>35</v>
      </c>
      <c r="E1352" s="14">
        <v>65</v>
      </c>
      <c r="F1352" s="1" t="s">
        <v>2298</v>
      </c>
      <c r="G1352" t="s">
        <v>1</v>
      </c>
      <c r="H1352" t="s">
        <v>502</v>
      </c>
      <c r="I1352" t="str">
        <f>IF(B1352=IFERROR(VLOOKUP(B1352,base!$L$1:$L$9,1,0),""),"Produtos",IF(B1352=IFERROR(VLOOKUP(B1352,base!$K$2:$K$8,1,0),""),"Serviços","Combos"))</f>
        <v>Combos</v>
      </c>
      <c r="J1352">
        <f t="shared" si="38"/>
        <v>15.75</v>
      </c>
      <c r="K1352" s="1">
        <f t="shared" si="39"/>
        <v>45759</v>
      </c>
      <c r="M1352" s="1"/>
      <c r="P1352"/>
    </row>
    <row r="1353" spans="1:16">
      <c r="A1353" t="s">
        <v>536</v>
      </c>
      <c r="B1353" t="s">
        <v>163</v>
      </c>
      <c r="C1353" t="s">
        <v>2297</v>
      </c>
      <c r="D1353" s="14">
        <v>20</v>
      </c>
      <c r="E1353" t="s">
        <v>1604</v>
      </c>
      <c r="F1353" s="1" t="s">
        <v>2298</v>
      </c>
      <c r="G1353" t="s">
        <v>1</v>
      </c>
      <c r="H1353" t="s">
        <v>502</v>
      </c>
      <c r="I1353" t="str">
        <f>IF(B1353=IFERROR(VLOOKUP(B1353,base!$L$1:$L$9,1,0),""),"Produtos",IF(B1353=IFERROR(VLOOKUP(B1353,base!$K$2:$K$8,1,0),""),"Serviços","Combos"))</f>
        <v>Serviços</v>
      </c>
      <c r="J1353">
        <f t="shared" si="38"/>
        <v>9</v>
      </c>
      <c r="K1353" s="1">
        <f t="shared" si="39"/>
        <v>45759</v>
      </c>
      <c r="M1353" s="1"/>
      <c r="P1353"/>
    </row>
    <row r="1354" spans="1:16">
      <c r="A1354" t="s">
        <v>536</v>
      </c>
      <c r="B1354" t="s">
        <v>910</v>
      </c>
      <c r="C1354" t="s">
        <v>2297</v>
      </c>
      <c r="D1354" s="14">
        <v>10</v>
      </c>
      <c r="E1354" t="s">
        <v>1604</v>
      </c>
      <c r="F1354" s="1" t="s">
        <v>2298</v>
      </c>
      <c r="G1354" t="s">
        <v>1</v>
      </c>
      <c r="H1354" t="s">
        <v>502</v>
      </c>
      <c r="I1354" t="str">
        <f>IF(B1354=IFERROR(VLOOKUP(B1354,base!$L$1:$L$9,1,0),""),"Produtos",IF(B1354=IFERROR(VLOOKUP(B1354,base!$K$2:$K$8,1,0),""),"Serviços","Combos"))</f>
        <v>Combos</v>
      </c>
      <c r="J1354">
        <f t="shared" ref="J1354:J1381" si="40">IF(AND(I1354="Serviços",E1354&gt;0),ROUND(D1354*45%,2),IF(I1354="Produtos",ROUND(D1354*40%,2),D1354*45%))</f>
        <v>4.5</v>
      </c>
      <c r="K1354" s="1">
        <f t="shared" ref="K1354:K1381" si="41">DATEVALUE(F1354)</f>
        <v>45759</v>
      </c>
      <c r="M1354" s="1"/>
      <c r="P1354"/>
    </row>
    <row r="1355" spans="1:16">
      <c r="A1355" t="s">
        <v>519</v>
      </c>
      <c r="B1355" t="s">
        <v>163</v>
      </c>
      <c r="C1355" t="s">
        <v>2299</v>
      </c>
      <c r="D1355" s="14">
        <v>35</v>
      </c>
      <c r="E1355" s="14">
        <v>35</v>
      </c>
      <c r="F1355" s="1" t="s">
        <v>2300</v>
      </c>
      <c r="G1355" t="s">
        <v>2</v>
      </c>
      <c r="H1355" t="s">
        <v>115</v>
      </c>
      <c r="I1355" t="str">
        <f>IF(B1355=IFERROR(VLOOKUP(B1355,base!$L$1:$L$9,1,0),""),"Produtos",IF(B1355=IFERROR(VLOOKUP(B1355,base!$K$2:$K$8,1,0),""),"Serviços","Combos"))</f>
        <v>Serviços</v>
      </c>
      <c r="J1355">
        <f t="shared" si="40"/>
        <v>15.75</v>
      </c>
      <c r="K1355" s="1">
        <f t="shared" si="41"/>
        <v>45759</v>
      </c>
      <c r="M1355" s="1"/>
      <c r="P1355"/>
    </row>
    <row r="1356" spans="1:16">
      <c r="A1356" t="s">
        <v>519</v>
      </c>
      <c r="B1356" t="s">
        <v>163</v>
      </c>
      <c r="C1356" t="s">
        <v>2301</v>
      </c>
      <c r="D1356" s="14">
        <v>35</v>
      </c>
      <c r="E1356" s="14">
        <v>35</v>
      </c>
      <c r="F1356" s="1" t="s">
        <v>2302</v>
      </c>
      <c r="G1356" t="s">
        <v>2</v>
      </c>
      <c r="H1356" t="s">
        <v>278</v>
      </c>
      <c r="I1356" t="str">
        <f>IF(B1356=IFERROR(VLOOKUP(B1356,base!$L$1:$L$9,1,0),""),"Produtos",IF(B1356=IFERROR(VLOOKUP(B1356,base!$K$2:$K$8,1,0),""),"Serviços","Combos"))</f>
        <v>Serviços</v>
      </c>
      <c r="J1356">
        <f t="shared" si="40"/>
        <v>15.75</v>
      </c>
      <c r="K1356" s="1">
        <f t="shared" si="41"/>
        <v>45759</v>
      </c>
      <c r="M1356" s="1"/>
      <c r="P1356"/>
    </row>
    <row r="1357" spans="1:16">
      <c r="A1357" t="s">
        <v>252</v>
      </c>
      <c r="B1357" t="s">
        <v>163</v>
      </c>
      <c r="C1357" t="s">
        <v>2303</v>
      </c>
      <c r="D1357" s="14">
        <v>35</v>
      </c>
      <c r="E1357" s="14">
        <v>70</v>
      </c>
      <c r="F1357" s="1" t="s">
        <v>2304</v>
      </c>
      <c r="G1357" t="s">
        <v>2</v>
      </c>
      <c r="H1357" t="s">
        <v>2305</v>
      </c>
      <c r="I1357" t="str">
        <f>IF(B1357=IFERROR(VLOOKUP(B1357,base!$L$1:$L$9,1,0),""),"Produtos",IF(B1357=IFERROR(VLOOKUP(B1357,base!$K$2:$K$8,1,0),""),"Serviços","Combos"))</f>
        <v>Serviços</v>
      </c>
      <c r="J1357">
        <f t="shared" si="40"/>
        <v>15.75</v>
      </c>
      <c r="K1357" s="1">
        <f t="shared" si="41"/>
        <v>45759</v>
      </c>
      <c r="M1357" s="1"/>
      <c r="P1357"/>
    </row>
    <row r="1358" spans="1:16">
      <c r="A1358" t="s">
        <v>252</v>
      </c>
      <c r="B1358" t="s">
        <v>167</v>
      </c>
      <c r="C1358" t="s">
        <v>2303</v>
      </c>
      <c r="D1358" s="14">
        <v>10</v>
      </c>
      <c r="E1358" t="s">
        <v>1604</v>
      </c>
      <c r="F1358" s="1" t="s">
        <v>2304</v>
      </c>
      <c r="G1358" t="s">
        <v>2</v>
      </c>
      <c r="H1358" t="s">
        <v>2305</v>
      </c>
      <c r="I1358" t="str">
        <f>IF(B1358=IFERROR(VLOOKUP(B1358,base!$L$1:$L$9,1,0),""),"Produtos",IF(B1358=IFERROR(VLOOKUP(B1358,base!$K$2:$K$8,1,0),""),"Serviços","Combos"))</f>
        <v>Serviços</v>
      </c>
      <c r="J1358">
        <f t="shared" si="40"/>
        <v>4.5</v>
      </c>
      <c r="K1358" s="1">
        <f t="shared" si="41"/>
        <v>45759</v>
      </c>
      <c r="M1358" s="1"/>
      <c r="P1358"/>
    </row>
    <row r="1359" spans="1:16">
      <c r="A1359" t="s">
        <v>252</v>
      </c>
      <c r="B1359" t="s">
        <v>509</v>
      </c>
      <c r="C1359" t="s">
        <v>2303</v>
      </c>
      <c r="D1359" s="14">
        <v>25</v>
      </c>
      <c r="E1359" t="s">
        <v>1604</v>
      </c>
      <c r="F1359" s="1" t="s">
        <v>2304</v>
      </c>
      <c r="G1359" t="s">
        <v>2</v>
      </c>
      <c r="H1359" t="s">
        <v>2305</v>
      </c>
      <c r="I1359" t="str">
        <f>IF(B1359=IFERROR(VLOOKUP(B1359,base!$L$1:$L$9,1,0),""),"Produtos",IF(B1359=IFERROR(VLOOKUP(B1359,base!$K$2:$K$8,1,0),""),"Serviços","Combos"))</f>
        <v>Produtos</v>
      </c>
      <c r="J1359">
        <f t="shared" si="40"/>
        <v>10</v>
      </c>
      <c r="K1359" s="1">
        <f t="shared" si="41"/>
        <v>45759</v>
      </c>
      <c r="M1359" s="1"/>
      <c r="P1359"/>
    </row>
    <row r="1360" spans="1:16">
      <c r="A1360" t="s">
        <v>519</v>
      </c>
      <c r="B1360" t="s">
        <v>163</v>
      </c>
      <c r="C1360" t="s">
        <v>2306</v>
      </c>
      <c r="D1360" s="14">
        <v>35</v>
      </c>
      <c r="E1360" s="14">
        <v>35</v>
      </c>
      <c r="F1360" s="1" t="s">
        <v>2307</v>
      </c>
      <c r="G1360" t="s">
        <v>1</v>
      </c>
      <c r="H1360" t="s">
        <v>277</v>
      </c>
      <c r="I1360" t="str">
        <f>IF(B1360=IFERROR(VLOOKUP(B1360,base!$L$1:$L$9,1,0),""),"Produtos",IF(B1360=IFERROR(VLOOKUP(B1360,base!$K$2:$K$8,1,0),""),"Serviços","Combos"))</f>
        <v>Serviços</v>
      </c>
      <c r="J1360">
        <f t="shared" si="40"/>
        <v>15.75</v>
      </c>
      <c r="K1360" s="1">
        <f t="shared" si="41"/>
        <v>45761</v>
      </c>
      <c r="M1360" s="1"/>
      <c r="P1360"/>
    </row>
    <row r="1361" spans="1:16">
      <c r="A1361" t="s">
        <v>519</v>
      </c>
      <c r="B1361" t="s">
        <v>163</v>
      </c>
      <c r="C1361" t="s">
        <v>2308</v>
      </c>
      <c r="D1361" s="14">
        <v>35</v>
      </c>
      <c r="E1361" s="14">
        <v>35</v>
      </c>
      <c r="F1361" s="1" t="s">
        <v>2309</v>
      </c>
      <c r="G1361" t="s">
        <v>1</v>
      </c>
      <c r="H1361" t="s">
        <v>107</v>
      </c>
      <c r="I1361" t="str">
        <f>IF(B1361=IFERROR(VLOOKUP(B1361,base!$L$1:$L$9,1,0),""),"Produtos",IF(B1361=IFERROR(VLOOKUP(B1361,base!$K$2:$K$8,1,0),""),"Serviços","Combos"))</f>
        <v>Serviços</v>
      </c>
      <c r="J1361">
        <f t="shared" si="40"/>
        <v>15.75</v>
      </c>
      <c r="K1361" s="1">
        <f t="shared" si="41"/>
        <v>45761</v>
      </c>
      <c r="M1361" s="1"/>
      <c r="P1361"/>
    </row>
    <row r="1362" spans="1:16">
      <c r="A1362" t="s">
        <v>519</v>
      </c>
      <c r="B1362" t="s">
        <v>163</v>
      </c>
      <c r="C1362" t="s">
        <v>2310</v>
      </c>
      <c r="D1362" s="14">
        <v>35</v>
      </c>
      <c r="E1362" s="14">
        <v>35</v>
      </c>
      <c r="F1362" s="1" t="s">
        <v>2311</v>
      </c>
      <c r="G1362" t="s">
        <v>1</v>
      </c>
      <c r="H1362" t="s">
        <v>2025</v>
      </c>
      <c r="I1362" t="str">
        <f>IF(B1362=IFERROR(VLOOKUP(B1362,base!$L$1:$L$9,1,0),""),"Produtos",IF(B1362=IFERROR(VLOOKUP(B1362,base!$K$2:$K$8,1,0),""),"Serviços","Combos"))</f>
        <v>Serviços</v>
      </c>
      <c r="J1362">
        <f t="shared" si="40"/>
        <v>15.75</v>
      </c>
      <c r="K1362" s="1">
        <f t="shared" si="41"/>
        <v>45761</v>
      </c>
      <c r="M1362" s="1"/>
      <c r="P1362"/>
    </row>
    <row r="1363" spans="1:16">
      <c r="A1363" t="s">
        <v>519</v>
      </c>
      <c r="B1363" t="s">
        <v>163</v>
      </c>
      <c r="C1363" t="s">
        <v>2312</v>
      </c>
      <c r="D1363" s="14">
        <v>35</v>
      </c>
      <c r="E1363" s="14">
        <v>35</v>
      </c>
      <c r="F1363" s="1" t="s">
        <v>2313</v>
      </c>
      <c r="G1363" t="s">
        <v>2</v>
      </c>
      <c r="H1363" t="s">
        <v>789</v>
      </c>
      <c r="I1363" t="str">
        <f>IF(B1363=IFERROR(VLOOKUP(B1363,base!$L$1:$L$9,1,0),""),"Produtos",IF(B1363=IFERROR(VLOOKUP(B1363,base!$K$2:$K$8,1,0),""),"Serviços","Combos"))</f>
        <v>Serviços</v>
      </c>
      <c r="J1363">
        <f t="shared" si="40"/>
        <v>15.75</v>
      </c>
      <c r="K1363" s="1">
        <f t="shared" si="41"/>
        <v>45761</v>
      </c>
      <c r="M1363" s="1"/>
      <c r="P1363"/>
    </row>
    <row r="1364" spans="1:16">
      <c r="A1364" t="s">
        <v>519</v>
      </c>
      <c r="B1364" t="s">
        <v>163</v>
      </c>
      <c r="C1364" t="s">
        <v>2314</v>
      </c>
      <c r="D1364" s="14">
        <v>35</v>
      </c>
      <c r="E1364" s="14">
        <v>35</v>
      </c>
      <c r="F1364" s="1" t="s">
        <v>2315</v>
      </c>
      <c r="G1364" t="s">
        <v>354</v>
      </c>
      <c r="H1364" t="s">
        <v>2316</v>
      </c>
      <c r="I1364" t="str">
        <f>IF(B1364=IFERROR(VLOOKUP(B1364,base!$L$1:$L$9,1,0),""),"Produtos",IF(B1364=IFERROR(VLOOKUP(B1364,base!$K$2:$K$8,1,0),""),"Serviços","Combos"))</f>
        <v>Serviços</v>
      </c>
      <c r="J1364">
        <f t="shared" si="40"/>
        <v>15.75</v>
      </c>
      <c r="K1364" s="1">
        <f t="shared" si="41"/>
        <v>45761</v>
      </c>
      <c r="M1364" s="1"/>
      <c r="P1364"/>
    </row>
    <row r="1365" spans="1:16">
      <c r="A1365" t="s">
        <v>519</v>
      </c>
      <c r="B1365" t="s">
        <v>163</v>
      </c>
      <c r="C1365" t="s">
        <v>2317</v>
      </c>
      <c r="D1365" s="14">
        <v>35</v>
      </c>
      <c r="E1365" s="14">
        <v>55</v>
      </c>
      <c r="F1365" s="1" t="s">
        <v>2318</v>
      </c>
      <c r="G1365" t="s">
        <v>1</v>
      </c>
      <c r="H1365" t="s">
        <v>268</v>
      </c>
      <c r="I1365" t="str">
        <f>IF(B1365=IFERROR(VLOOKUP(B1365,base!$L$1:$L$9,1,0),""),"Produtos",IF(B1365=IFERROR(VLOOKUP(B1365,base!$K$2:$K$8,1,0),""),"Serviços","Combos"))</f>
        <v>Serviços</v>
      </c>
      <c r="J1365">
        <f t="shared" si="40"/>
        <v>15.75</v>
      </c>
      <c r="K1365" s="1">
        <f t="shared" si="41"/>
        <v>45761</v>
      </c>
      <c r="M1365" s="1"/>
      <c r="P1365"/>
    </row>
    <row r="1366" spans="1:16">
      <c r="A1366" t="s">
        <v>519</v>
      </c>
      <c r="B1366" t="s">
        <v>166</v>
      </c>
      <c r="C1366" t="s">
        <v>2317</v>
      </c>
      <c r="D1366" s="14">
        <v>20</v>
      </c>
      <c r="E1366" t="s">
        <v>1604</v>
      </c>
      <c r="F1366" s="1" t="s">
        <v>2318</v>
      </c>
      <c r="G1366" t="s">
        <v>1</v>
      </c>
      <c r="H1366" t="s">
        <v>268</v>
      </c>
      <c r="I1366" t="str">
        <f>IF(B1366=IFERROR(VLOOKUP(B1366,base!$L$1:$L$9,1,0),""),"Produtos",IF(B1366=IFERROR(VLOOKUP(B1366,base!$K$2:$K$8,1,0),""),"Serviços","Combos"))</f>
        <v>Serviços</v>
      </c>
      <c r="J1366">
        <f t="shared" si="40"/>
        <v>9</v>
      </c>
      <c r="K1366" s="1">
        <f t="shared" si="41"/>
        <v>45761</v>
      </c>
      <c r="M1366" s="1"/>
      <c r="P1366"/>
    </row>
    <row r="1367" spans="1:16">
      <c r="A1367" t="s">
        <v>519</v>
      </c>
      <c r="B1367" t="s">
        <v>163</v>
      </c>
      <c r="C1367" t="s">
        <v>2319</v>
      </c>
      <c r="D1367" s="14">
        <v>35</v>
      </c>
      <c r="E1367" s="14">
        <v>35</v>
      </c>
      <c r="F1367" s="1" t="s">
        <v>2315</v>
      </c>
      <c r="G1367" t="s">
        <v>1</v>
      </c>
      <c r="H1367" t="s">
        <v>80</v>
      </c>
      <c r="I1367" t="str">
        <f>IF(B1367=IFERROR(VLOOKUP(B1367,base!$L$1:$L$9,1,0),""),"Produtos",IF(B1367=IFERROR(VLOOKUP(B1367,base!$K$2:$K$8,1,0),""),"Serviços","Combos"))</f>
        <v>Serviços</v>
      </c>
      <c r="J1367">
        <f t="shared" si="40"/>
        <v>15.75</v>
      </c>
      <c r="K1367" s="1">
        <f t="shared" si="41"/>
        <v>45761</v>
      </c>
      <c r="M1367" s="1"/>
      <c r="P1367"/>
    </row>
    <row r="1368" spans="1:16">
      <c r="A1368" t="s">
        <v>519</v>
      </c>
      <c r="B1368" t="s">
        <v>1046</v>
      </c>
      <c r="C1368" t="s">
        <v>2320</v>
      </c>
      <c r="D1368" s="14">
        <v>35</v>
      </c>
      <c r="E1368" s="14">
        <v>35</v>
      </c>
      <c r="F1368" s="1" t="s">
        <v>2321</v>
      </c>
      <c r="G1368" t="s">
        <v>1</v>
      </c>
      <c r="H1368" t="s">
        <v>2322</v>
      </c>
      <c r="I1368" t="str">
        <f>IF(B1368=IFERROR(VLOOKUP(B1368,base!$L$1:$L$9,1,0),""),"Produtos",IF(B1368=IFERROR(VLOOKUP(B1368,base!$K$2:$K$8,1,0),""),"Serviços","Combos"))</f>
        <v>Combos</v>
      </c>
      <c r="J1368">
        <f t="shared" si="40"/>
        <v>15.75</v>
      </c>
      <c r="K1368" s="1">
        <f t="shared" si="41"/>
        <v>45761</v>
      </c>
      <c r="M1368" s="1"/>
      <c r="P1368"/>
    </row>
    <row r="1369" spans="1:16">
      <c r="A1369" t="s">
        <v>519</v>
      </c>
      <c r="B1369" t="s">
        <v>163</v>
      </c>
      <c r="C1369" t="s">
        <v>2323</v>
      </c>
      <c r="D1369" s="14">
        <v>35</v>
      </c>
      <c r="E1369" s="14">
        <v>35</v>
      </c>
      <c r="F1369" s="1" t="s">
        <v>2324</v>
      </c>
      <c r="G1369" t="s">
        <v>1</v>
      </c>
      <c r="H1369" t="s">
        <v>268</v>
      </c>
      <c r="I1369" t="str">
        <f>IF(B1369=IFERROR(VLOOKUP(B1369,base!$L$1:$L$9,1,0),""),"Produtos",IF(B1369=IFERROR(VLOOKUP(B1369,base!$K$2:$K$8,1,0),""),"Serviços","Combos"))</f>
        <v>Serviços</v>
      </c>
      <c r="J1369">
        <f t="shared" si="40"/>
        <v>15.75</v>
      </c>
      <c r="K1369" s="1">
        <f t="shared" si="41"/>
        <v>45761</v>
      </c>
      <c r="M1369" s="1"/>
      <c r="P1369"/>
    </row>
    <row r="1370" spans="1:16">
      <c r="A1370" t="s">
        <v>252</v>
      </c>
      <c r="B1370" t="s">
        <v>163</v>
      </c>
      <c r="C1370" t="s">
        <v>2325</v>
      </c>
      <c r="D1370" s="14">
        <v>35</v>
      </c>
      <c r="E1370" s="14">
        <v>105</v>
      </c>
      <c r="F1370" s="1" t="s">
        <v>2326</v>
      </c>
      <c r="G1370" t="s">
        <v>354</v>
      </c>
      <c r="H1370" t="s">
        <v>1003</v>
      </c>
      <c r="I1370" t="str">
        <f>IF(B1370=IFERROR(VLOOKUP(B1370,base!$L$1:$L$9,1,0),""),"Produtos",IF(B1370=IFERROR(VLOOKUP(B1370,base!$K$2:$K$8,1,0),""),"Serviços","Combos"))</f>
        <v>Serviços</v>
      </c>
      <c r="J1370">
        <f t="shared" si="40"/>
        <v>15.75</v>
      </c>
      <c r="K1370" s="1">
        <f t="shared" si="41"/>
        <v>45762</v>
      </c>
      <c r="M1370" s="1"/>
      <c r="P1370"/>
    </row>
    <row r="1371" spans="1:16">
      <c r="A1371" t="s">
        <v>536</v>
      </c>
      <c r="B1371" t="s">
        <v>163</v>
      </c>
      <c r="C1371" t="s">
        <v>2325</v>
      </c>
      <c r="D1371" s="14">
        <v>35</v>
      </c>
      <c r="E1371" t="s">
        <v>1604</v>
      </c>
      <c r="F1371" s="1" t="s">
        <v>2326</v>
      </c>
      <c r="G1371" t="s">
        <v>354</v>
      </c>
      <c r="H1371" t="s">
        <v>1003</v>
      </c>
      <c r="I1371" t="str">
        <f>IF(B1371=IFERROR(VLOOKUP(B1371,base!$L$1:$L$9,1,0),""),"Produtos",IF(B1371=IFERROR(VLOOKUP(B1371,base!$K$2:$K$8,1,0),""),"Serviços","Combos"))</f>
        <v>Serviços</v>
      </c>
      <c r="J1371">
        <f t="shared" si="40"/>
        <v>15.75</v>
      </c>
      <c r="K1371" s="1">
        <f t="shared" si="41"/>
        <v>45762</v>
      </c>
      <c r="M1371" s="1"/>
      <c r="P1371"/>
    </row>
    <row r="1372" spans="1:16">
      <c r="A1372" t="s">
        <v>252</v>
      </c>
      <c r="B1372" t="s">
        <v>163</v>
      </c>
      <c r="C1372" t="s">
        <v>2325</v>
      </c>
      <c r="D1372" s="14">
        <v>35</v>
      </c>
      <c r="E1372" t="s">
        <v>1604</v>
      </c>
      <c r="F1372" s="1" t="s">
        <v>2326</v>
      </c>
      <c r="G1372" t="s">
        <v>354</v>
      </c>
      <c r="H1372" t="s">
        <v>1003</v>
      </c>
      <c r="I1372" t="str">
        <f>IF(B1372=IFERROR(VLOOKUP(B1372,base!$L$1:$L$9,1,0),""),"Produtos",IF(B1372=IFERROR(VLOOKUP(B1372,base!$K$2:$K$8,1,0),""),"Serviços","Combos"))</f>
        <v>Serviços</v>
      </c>
      <c r="J1372">
        <f t="shared" si="40"/>
        <v>15.75</v>
      </c>
      <c r="K1372" s="1">
        <f t="shared" si="41"/>
        <v>45762</v>
      </c>
      <c r="M1372" s="1"/>
      <c r="P1372"/>
    </row>
    <row r="1373" spans="1:16">
      <c r="A1373" t="s">
        <v>519</v>
      </c>
      <c r="B1373" t="s">
        <v>163</v>
      </c>
      <c r="C1373" t="s">
        <v>2327</v>
      </c>
      <c r="D1373" s="14">
        <v>35</v>
      </c>
      <c r="E1373" s="14">
        <v>50</v>
      </c>
      <c r="F1373" s="1" t="s">
        <v>2328</v>
      </c>
      <c r="G1373" t="s">
        <v>1</v>
      </c>
      <c r="H1373" t="s">
        <v>2329</v>
      </c>
      <c r="I1373" t="str">
        <f>IF(B1373=IFERROR(VLOOKUP(B1373,base!$L$1:$L$9,1,0),""),"Produtos",IF(B1373=IFERROR(VLOOKUP(B1373,base!$K$2:$K$8,1,0),""),"Serviços","Combos"))</f>
        <v>Serviços</v>
      </c>
      <c r="J1373">
        <f t="shared" si="40"/>
        <v>15.75</v>
      </c>
      <c r="K1373" s="1">
        <f t="shared" si="41"/>
        <v>45762</v>
      </c>
      <c r="M1373" s="1"/>
      <c r="P1373"/>
    </row>
    <row r="1374" spans="1:16">
      <c r="A1374" t="s">
        <v>519</v>
      </c>
      <c r="B1374" t="s">
        <v>1446</v>
      </c>
      <c r="C1374" t="s">
        <v>2327</v>
      </c>
      <c r="D1374" s="14">
        <v>15</v>
      </c>
      <c r="E1374" t="s">
        <v>1604</v>
      </c>
      <c r="F1374" s="1" t="s">
        <v>2328</v>
      </c>
      <c r="G1374" t="s">
        <v>1</v>
      </c>
      <c r="H1374" t="s">
        <v>2329</v>
      </c>
      <c r="I1374" t="str">
        <f>IF(B1374=IFERROR(VLOOKUP(B1374,base!$L$1:$L$9,1,0),""),"Produtos",IF(B1374=IFERROR(VLOOKUP(B1374,base!$K$2:$K$8,1,0),""),"Serviços","Combos"))</f>
        <v>Combos</v>
      </c>
      <c r="J1374">
        <f t="shared" si="40"/>
        <v>6.75</v>
      </c>
      <c r="K1374" s="1">
        <f t="shared" si="41"/>
        <v>45762</v>
      </c>
      <c r="M1374" s="1"/>
      <c r="P1374"/>
    </row>
    <row r="1375" spans="1:16">
      <c r="A1375" t="s">
        <v>519</v>
      </c>
      <c r="B1375" t="s">
        <v>163</v>
      </c>
      <c r="C1375" t="s">
        <v>2330</v>
      </c>
      <c r="D1375" s="14">
        <v>30</v>
      </c>
      <c r="E1375" s="14">
        <v>30</v>
      </c>
      <c r="F1375" s="1" t="s">
        <v>2331</v>
      </c>
      <c r="G1375" t="s">
        <v>310</v>
      </c>
      <c r="H1375" t="s">
        <v>2332</v>
      </c>
      <c r="I1375" t="str">
        <f>IF(B1375=IFERROR(VLOOKUP(B1375,base!$L$1:$L$9,1,0),""),"Produtos",IF(B1375=IFERROR(VLOOKUP(B1375,base!$K$2:$K$8,1,0),""),"Serviços","Combos"))</f>
        <v>Serviços</v>
      </c>
      <c r="J1375">
        <f t="shared" si="40"/>
        <v>13.5</v>
      </c>
      <c r="K1375" s="1">
        <f t="shared" si="41"/>
        <v>45762</v>
      </c>
      <c r="M1375" s="1"/>
      <c r="P1375"/>
    </row>
    <row r="1376" spans="1:16">
      <c r="A1376" t="s">
        <v>252</v>
      </c>
      <c r="B1376" t="s">
        <v>167</v>
      </c>
      <c r="C1376" t="s">
        <v>2333</v>
      </c>
      <c r="D1376" s="14">
        <v>10</v>
      </c>
      <c r="E1376" s="14">
        <v>15</v>
      </c>
      <c r="F1376" s="1" t="s">
        <v>2334</v>
      </c>
      <c r="G1376" t="s">
        <v>1</v>
      </c>
      <c r="H1376" t="s">
        <v>2335</v>
      </c>
      <c r="I1376" t="str">
        <f>IF(B1376=IFERROR(VLOOKUP(B1376,base!$L$1:$L$9,1,0),""),"Produtos",IF(B1376=IFERROR(VLOOKUP(B1376,base!$K$2:$K$8,1,0),""),"Serviços","Combos"))</f>
        <v>Serviços</v>
      </c>
      <c r="J1376">
        <f t="shared" si="40"/>
        <v>4.5</v>
      </c>
      <c r="K1376" s="1">
        <f t="shared" si="41"/>
        <v>45762</v>
      </c>
      <c r="M1376" s="1"/>
      <c r="P1376"/>
    </row>
    <row r="1377" spans="1:16">
      <c r="A1377" t="s">
        <v>536</v>
      </c>
      <c r="B1377" t="s">
        <v>1046</v>
      </c>
      <c r="C1377" t="s">
        <v>2336</v>
      </c>
      <c r="D1377" s="14">
        <v>35</v>
      </c>
      <c r="E1377" s="14">
        <v>45</v>
      </c>
      <c r="F1377" s="1" t="s">
        <v>2331</v>
      </c>
      <c r="G1377" t="s">
        <v>1</v>
      </c>
      <c r="H1377" t="s">
        <v>1431</v>
      </c>
      <c r="I1377" t="str">
        <f>IF(B1377=IFERROR(VLOOKUP(B1377,base!$L$1:$L$9,1,0),""),"Produtos",IF(B1377=IFERROR(VLOOKUP(B1377,base!$K$2:$K$8,1,0),""),"Serviços","Combos"))</f>
        <v>Combos</v>
      </c>
      <c r="J1377">
        <f t="shared" si="40"/>
        <v>15.75</v>
      </c>
      <c r="K1377" s="1">
        <f t="shared" si="41"/>
        <v>45762</v>
      </c>
      <c r="M1377" s="1"/>
      <c r="P1377"/>
    </row>
    <row r="1378" spans="1:16">
      <c r="A1378" t="s">
        <v>536</v>
      </c>
      <c r="B1378" t="s">
        <v>167</v>
      </c>
      <c r="C1378" t="s">
        <v>2336</v>
      </c>
      <c r="D1378" s="14">
        <v>10</v>
      </c>
      <c r="E1378" t="s">
        <v>1604</v>
      </c>
      <c r="F1378" s="1" t="s">
        <v>2331</v>
      </c>
      <c r="G1378" t="s">
        <v>1</v>
      </c>
      <c r="H1378" t="s">
        <v>1431</v>
      </c>
      <c r="I1378" t="str">
        <f>IF(B1378=IFERROR(VLOOKUP(B1378,base!$L$1:$L$9,1,0),""),"Produtos",IF(B1378=IFERROR(VLOOKUP(B1378,base!$K$2:$K$8,1,0),""),"Serviços","Combos"))</f>
        <v>Serviços</v>
      </c>
      <c r="J1378">
        <f t="shared" si="40"/>
        <v>4.5</v>
      </c>
      <c r="K1378" s="1">
        <f t="shared" si="41"/>
        <v>45762</v>
      </c>
      <c r="M1378" s="1"/>
      <c r="P1378"/>
    </row>
    <row r="1379" spans="1:16">
      <c r="A1379" t="s">
        <v>519</v>
      </c>
      <c r="B1379" t="s">
        <v>163</v>
      </c>
      <c r="C1379" t="s">
        <v>2337</v>
      </c>
      <c r="D1379" s="14">
        <v>35</v>
      </c>
      <c r="E1379" s="14">
        <v>35</v>
      </c>
      <c r="F1379" s="1" t="s">
        <v>2338</v>
      </c>
      <c r="G1379" t="s">
        <v>310</v>
      </c>
      <c r="H1379" t="s">
        <v>420</v>
      </c>
      <c r="I1379" t="str">
        <f>IF(B1379=IFERROR(VLOOKUP(B1379,base!$L$1:$L$9,1,0),""),"Produtos",IF(B1379=IFERROR(VLOOKUP(B1379,base!$K$2:$K$8,1,0),""),"Serviços","Combos"))</f>
        <v>Serviços</v>
      </c>
      <c r="J1379">
        <f t="shared" si="40"/>
        <v>15.75</v>
      </c>
      <c r="K1379" s="1">
        <f t="shared" si="41"/>
        <v>45762</v>
      </c>
      <c r="M1379" s="1"/>
      <c r="P1379"/>
    </row>
    <row r="1380" spans="1:16">
      <c r="A1380" t="s">
        <v>536</v>
      </c>
      <c r="B1380" t="s">
        <v>163</v>
      </c>
      <c r="C1380" t="s">
        <v>2339</v>
      </c>
      <c r="D1380" s="14">
        <v>35</v>
      </c>
      <c r="E1380" s="14">
        <v>55</v>
      </c>
      <c r="F1380" s="1" t="s">
        <v>2340</v>
      </c>
      <c r="G1380" t="s">
        <v>2</v>
      </c>
      <c r="H1380" t="s">
        <v>280</v>
      </c>
      <c r="I1380" t="str">
        <f>IF(B1380=IFERROR(VLOOKUP(B1380,base!$L$1:$L$9,1,0),""),"Produtos",IF(B1380=IFERROR(VLOOKUP(B1380,base!$K$2:$K$8,1,0),""),"Serviços","Combos"))</f>
        <v>Serviços</v>
      </c>
      <c r="J1380">
        <f t="shared" si="40"/>
        <v>15.75</v>
      </c>
      <c r="K1380" s="1">
        <f t="shared" si="41"/>
        <v>45762</v>
      </c>
      <c r="M1380" s="1"/>
      <c r="P1380"/>
    </row>
    <row r="1381" spans="1:16" s="25" customFormat="1">
      <c r="A1381" s="25" t="s">
        <v>536</v>
      </c>
      <c r="B1381" s="25" t="s">
        <v>166</v>
      </c>
      <c r="C1381" s="25" t="s">
        <v>2339</v>
      </c>
      <c r="D1381" s="26">
        <v>20</v>
      </c>
      <c r="E1381" s="25" t="s">
        <v>1604</v>
      </c>
      <c r="F1381" s="50" t="s">
        <v>2340</v>
      </c>
      <c r="G1381" s="25" t="s">
        <v>2</v>
      </c>
      <c r="H1381" s="25" t="s">
        <v>280</v>
      </c>
      <c r="I1381" s="25" t="str">
        <f>IF(B1381=IFERROR(VLOOKUP(B1381,base!$L$1:$L$9,1,0),""),"Produtos",IF(B1381=IFERROR(VLOOKUP(B1381,base!$K$2:$K$8,1,0),""),"Serviços","Combos"))</f>
        <v>Serviços</v>
      </c>
      <c r="J1381" s="25">
        <f t="shared" si="40"/>
        <v>9</v>
      </c>
      <c r="K1381" s="50">
        <f t="shared" si="41"/>
        <v>45762</v>
      </c>
      <c r="M1381" s="50"/>
    </row>
    <row r="1382" spans="1:16">
      <c r="A1382" t="s">
        <v>519</v>
      </c>
      <c r="B1382" t="s">
        <v>163</v>
      </c>
      <c r="C1382" t="s">
        <v>2370</v>
      </c>
      <c r="D1382" s="14">
        <v>35</v>
      </c>
      <c r="E1382" s="14">
        <v>35</v>
      </c>
      <c r="F1382" s="13">
        <v>45766.375</v>
      </c>
      <c r="G1382" t="s">
        <v>1</v>
      </c>
      <c r="H1382" t="s">
        <v>288</v>
      </c>
      <c r="I1382" t="str">
        <f>IF(B1382=IFERROR(VLOOKUP(B1382,base!$L$1:$L$12,1,0),""),"Produtos",IF(B1382=IFERROR(VLOOKUP(B1382,base!$K$2:$K$12,1,0),""),"Serviços",IF(B1382="Gorjeta","Gorjeta","Combos")))</f>
        <v>Serviços</v>
      </c>
      <c r="J1382">
        <f>IF(AND(I1382="Serviços",E1382&gt;0),ROUND(D1382*45%,2),IF(I1382="Produtos",ROUND(D1382*40%,2),D1382*45%))</f>
        <v>15.75</v>
      </c>
      <c r="K1382" s="1" t="e">
        <f>DATEVALUE(F1382)</f>
        <v>#VALUE!</v>
      </c>
      <c r="M1382" s="1"/>
      <c r="P1382"/>
    </row>
    <row r="1383" spans="1:16">
      <c r="A1383" t="s">
        <v>519</v>
      </c>
      <c r="B1383" t="s">
        <v>353</v>
      </c>
      <c r="C1383" t="s">
        <v>2371</v>
      </c>
      <c r="D1383" s="14">
        <v>60</v>
      </c>
      <c r="E1383" s="14">
        <v>60</v>
      </c>
      <c r="F1383" s="13">
        <v>45764.65625</v>
      </c>
      <c r="G1383" t="s">
        <v>354</v>
      </c>
      <c r="H1383" t="s">
        <v>122</v>
      </c>
      <c r="I1383" t="str">
        <f>IF(B1383=IFERROR(VLOOKUP(B1383,base!$L$1:$L$12,1,0),""),"Produtos",IF(B1383=IFERROR(VLOOKUP(B1383,base!$K$2:$K$12,1,0),""),"Serviços",IF(B1383="Gorjeta","Gorjeta","Combos")))</f>
        <v>Combos</v>
      </c>
      <c r="J1383">
        <f t="shared" ref="J1383:J1446" si="42">IF(AND(I1383="Serviços",E1383&gt;0),ROUND(D1383*45%,2),IF(I1383="Produtos",ROUND(D1383*40%,2),D1383*45%))</f>
        <v>27</v>
      </c>
      <c r="K1383" s="1" t="e">
        <f t="shared" ref="K1383:K1446" si="43">DATEVALUE(F1383)</f>
        <v>#VALUE!</v>
      </c>
      <c r="M1383" s="1"/>
      <c r="P1383"/>
    </row>
    <row r="1384" spans="1:16">
      <c r="A1384" t="s">
        <v>252</v>
      </c>
      <c r="B1384" t="s">
        <v>163</v>
      </c>
      <c r="C1384" t="s">
        <v>2372</v>
      </c>
      <c r="D1384" s="14">
        <v>35</v>
      </c>
      <c r="E1384" s="14">
        <v>35</v>
      </c>
      <c r="F1384" s="13">
        <v>45763.416666666664</v>
      </c>
      <c r="G1384" t="s">
        <v>1</v>
      </c>
      <c r="H1384" t="s">
        <v>364</v>
      </c>
      <c r="I1384" t="str">
        <f>IF(B1384=IFERROR(VLOOKUP(B1384,base!$L$1:$L$12,1,0),""),"Produtos",IF(B1384=IFERROR(VLOOKUP(B1384,base!$K$2:$K$12,1,0),""),"Serviços",IF(B1384="Gorjeta","Gorjeta","Combos")))</f>
        <v>Serviços</v>
      </c>
      <c r="J1384">
        <f t="shared" si="42"/>
        <v>15.75</v>
      </c>
      <c r="K1384" s="1" t="e">
        <f t="shared" si="43"/>
        <v>#VALUE!</v>
      </c>
      <c r="M1384" s="1"/>
      <c r="P1384"/>
    </row>
    <row r="1385" spans="1:16">
      <c r="A1385" t="s">
        <v>519</v>
      </c>
      <c r="B1385" t="s">
        <v>163</v>
      </c>
      <c r="C1385" t="s">
        <v>2373</v>
      </c>
      <c r="D1385" s="14">
        <v>35</v>
      </c>
      <c r="E1385" s="14">
        <v>35</v>
      </c>
      <c r="F1385" s="13">
        <v>45766.8125</v>
      </c>
      <c r="G1385" t="s">
        <v>1</v>
      </c>
      <c r="H1385" t="s">
        <v>1099</v>
      </c>
      <c r="I1385" t="str">
        <f>IF(B1385=IFERROR(VLOOKUP(B1385,base!$L$1:$L$12,1,0),""),"Produtos",IF(B1385=IFERROR(VLOOKUP(B1385,base!$K$2:$K$12,1,0),""),"Serviços",IF(B1385="Gorjeta","Gorjeta","Combos")))</f>
        <v>Serviços</v>
      </c>
      <c r="J1385">
        <f t="shared" si="42"/>
        <v>15.75</v>
      </c>
      <c r="K1385" s="1" t="e">
        <f t="shared" si="43"/>
        <v>#VALUE!</v>
      </c>
      <c r="M1385" s="1"/>
      <c r="P1385"/>
    </row>
    <row r="1386" spans="1:16">
      <c r="A1386" t="s">
        <v>252</v>
      </c>
      <c r="B1386" t="s">
        <v>163</v>
      </c>
      <c r="C1386" t="s">
        <v>2374</v>
      </c>
      <c r="D1386" s="14">
        <v>35</v>
      </c>
      <c r="E1386" s="14">
        <v>35</v>
      </c>
      <c r="F1386" s="13">
        <v>45764.760416666664</v>
      </c>
      <c r="G1386" t="s">
        <v>310</v>
      </c>
      <c r="H1386" t="s">
        <v>18</v>
      </c>
      <c r="I1386" t="str">
        <f>IF(B1386=IFERROR(VLOOKUP(B1386,base!$L$1:$L$12,1,0),""),"Produtos",IF(B1386=IFERROR(VLOOKUP(B1386,base!$K$2:$K$12,1,0),""),"Serviços",IF(B1386="Gorjeta","Gorjeta","Combos")))</f>
        <v>Serviços</v>
      </c>
      <c r="J1386">
        <f t="shared" si="42"/>
        <v>15.75</v>
      </c>
      <c r="K1386" s="1" t="e">
        <f t="shared" si="43"/>
        <v>#VALUE!</v>
      </c>
      <c r="M1386" s="1"/>
      <c r="P1386"/>
    </row>
    <row r="1387" spans="1:16">
      <c r="A1387" t="s">
        <v>519</v>
      </c>
      <c r="B1387" t="s">
        <v>163</v>
      </c>
      <c r="C1387" t="s">
        <v>2375</v>
      </c>
      <c r="D1387" s="14">
        <v>35</v>
      </c>
      <c r="E1387" s="14">
        <v>35</v>
      </c>
      <c r="F1387" s="13">
        <v>45763.770833333336</v>
      </c>
      <c r="G1387" t="s">
        <v>354</v>
      </c>
      <c r="H1387" t="s">
        <v>85</v>
      </c>
      <c r="I1387" t="str">
        <f>IF(B1387=IFERROR(VLOOKUP(B1387,base!$L$1:$L$12,1,0),""),"Produtos",IF(B1387=IFERROR(VLOOKUP(B1387,base!$K$2:$K$12,1,0),""),"Serviços",IF(B1387="Gorjeta","Gorjeta","Combos")))</f>
        <v>Serviços</v>
      </c>
      <c r="J1387">
        <f t="shared" si="42"/>
        <v>15.75</v>
      </c>
      <c r="K1387" s="1" t="e">
        <f t="shared" si="43"/>
        <v>#VALUE!</v>
      </c>
      <c r="M1387" s="1"/>
      <c r="P1387"/>
    </row>
    <row r="1388" spans="1:16">
      <c r="A1388" t="s">
        <v>536</v>
      </c>
      <c r="B1388" t="s">
        <v>163</v>
      </c>
      <c r="C1388" t="s">
        <v>2376</v>
      </c>
      <c r="D1388" s="14">
        <v>10</v>
      </c>
      <c r="E1388" s="14">
        <v>10</v>
      </c>
      <c r="F1388" s="13">
        <v>45763.427083333336</v>
      </c>
      <c r="G1388" t="s">
        <v>2</v>
      </c>
      <c r="H1388" t="s">
        <v>1067</v>
      </c>
      <c r="I1388" t="str">
        <f>IF(B1388=IFERROR(VLOOKUP(B1388,base!$L$1:$L$12,1,0),""),"Produtos",IF(B1388=IFERROR(VLOOKUP(B1388,base!$K$2:$K$12,1,0),""),"Serviços",IF(B1388="Gorjeta","Gorjeta","Combos")))</f>
        <v>Serviços</v>
      </c>
      <c r="J1388">
        <f t="shared" si="42"/>
        <v>4.5</v>
      </c>
      <c r="K1388" s="1" t="e">
        <f t="shared" si="43"/>
        <v>#VALUE!</v>
      </c>
      <c r="M1388" s="1"/>
      <c r="P1388"/>
    </row>
    <row r="1389" spans="1:16">
      <c r="A1389" t="s">
        <v>519</v>
      </c>
      <c r="B1389" t="s">
        <v>163</v>
      </c>
      <c r="C1389" t="s">
        <v>2377</v>
      </c>
      <c r="D1389" s="14">
        <v>35</v>
      </c>
      <c r="E1389" s="14">
        <v>60</v>
      </c>
      <c r="F1389" s="13">
        <v>45765.416666666664</v>
      </c>
      <c r="G1389" t="s">
        <v>1</v>
      </c>
      <c r="H1389" t="s">
        <v>37</v>
      </c>
      <c r="I1389" t="str">
        <f>IF(B1389=IFERROR(VLOOKUP(B1389,base!$L$1:$L$12,1,0),""),"Produtos",IF(B1389=IFERROR(VLOOKUP(B1389,base!$K$2:$K$12,1,0),""),"Serviços",IF(B1389="Gorjeta","Gorjeta","Combos")))</f>
        <v>Serviços</v>
      </c>
      <c r="J1389">
        <f t="shared" si="42"/>
        <v>15.75</v>
      </c>
      <c r="K1389" s="1" t="e">
        <f t="shared" si="43"/>
        <v>#VALUE!</v>
      </c>
      <c r="M1389" s="1"/>
      <c r="P1389"/>
    </row>
    <row r="1390" spans="1:16">
      <c r="A1390" t="s">
        <v>519</v>
      </c>
      <c r="B1390" t="s">
        <v>1046</v>
      </c>
      <c r="C1390" t="s">
        <v>2377</v>
      </c>
      <c r="D1390" s="14">
        <v>25</v>
      </c>
      <c r="F1390" s="13">
        <v>45765.416666666664</v>
      </c>
      <c r="G1390" t="s">
        <v>1</v>
      </c>
      <c r="H1390" t="s">
        <v>37</v>
      </c>
      <c r="I1390" t="str">
        <f>IF(B1390=IFERROR(VLOOKUP(B1390,base!$L$1:$L$12,1,0),""),"Produtos",IF(B1390=IFERROR(VLOOKUP(B1390,base!$K$2:$K$12,1,0),""),"Serviços",IF(B1390="Gorjeta","Gorjeta","Combos")))</f>
        <v>Serviços</v>
      </c>
      <c r="J1390">
        <f t="shared" si="42"/>
        <v>11.25</v>
      </c>
      <c r="K1390" s="1" t="e">
        <f t="shared" si="43"/>
        <v>#VALUE!</v>
      </c>
      <c r="M1390" s="1"/>
      <c r="P1390"/>
    </row>
    <row r="1391" spans="1:16">
      <c r="A1391" t="s">
        <v>519</v>
      </c>
      <c r="B1391" t="s">
        <v>163</v>
      </c>
      <c r="C1391" t="s">
        <v>2378</v>
      </c>
      <c r="D1391" s="14">
        <v>35</v>
      </c>
      <c r="E1391" s="14">
        <v>35</v>
      </c>
      <c r="F1391" s="13">
        <v>45763.791666666664</v>
      </c>
      <c r="G1391" t="s">
        <v>1</v>
      </c>
      <c r="H1391" t="s">
        <v>185</v>
      </c>
      <c r="I1391" t="str">
        <f>IF(B1391=IFERROR(VLOOKUP(B1391,base!$L$1:$L$12,1,0),""),"Produtos",IF(B1391=IFERROR(VLOOKUP(B1391,base!$K$2:$K$12,1,0),""),"Serviços",IF(B1391="Gorjeta","Gorjeta","Combos")))</f>
        <v>Serviços</v>
      </c>
      <c r="J1391">
        <f t="shared" si="42"/>
        <v>15.75</v>
      </c>
      <c r="K1391" s="1" t="e">
        <f t="shared" si="43"/>
        <v>#VALUE!</v>
      </c>
      <c r="M1391" s="1"/>
      <c r="P1391"/>
    </row>
    <row r="1392" spans="1:16">
      <c r="A1392" t="s">
        <v>519</v>
      </c>
      <c r="B1392" t="s">
        <v>163</v>
      </c>
      <c r="C1392" t="s">
        <v>2379</v>
      </c>
      <c r="D1392" s="14">
        <v>35</v>
      </c>
      <c r="E1392" s="14">
        <v>155</v>
      </c>
      <c r="F1392" s="13">
        <v>45763.645833333336</v>
      </c>
      <c r="G1392" t="s">
        <v>1</v>
      </c>
      <c r="H1392" t="s">
        <v>405</v>
      </c>
      <c r="I1392" t="str">
        <f>IF(B1392=IFERROR(VLOOKUP(B1392,base!$L$1:$L$12,1,0),""),"Produtos",IF(B1392=IFERROR(VLOOKUP(B1392,base!$K$2:$K$12,1,0),""),"Serviços",IF(B1392="Gorjeta","Gorjeta","Combos")))</f>
        <v>Serviços</v>
      </c>
      <c r="J1392">
        <f t="shared" si="42"/>
        <v>15.75</v>
      </c>
      <c r="K1392" s="1" t="e">
        <f t="shared" si="43"/>
        <v>#VALUE!</v>
      </c>
      <c r="M1392" s="1"/>
      <c r="P1392"/>
    </row>
    <row r="1393" spans="1:16">
      <c r="A1393" t="s">
        <v>519</v>
      </c>
      <c r="B1393" t="s">
        <v>163</v>
      </c>
      <c r="C1393" t="s">
        <v>2380</v>
      </c>
      <c r="D1393" s="14">
        <v>35</v>
      </c>
      <c r="E1393" s="14">
        <v>35</v>
      </c>
      <c r="F1393" s="13">
        <v>45763.8125</v>
      </c>
      <c r="G1393" t="s">
        <v>310</v>
      </c>
      <c r="H1393" t="s">
        <v>11</v>
      </c>
      <c r="I1393" t="str">
        <f>IF(B1393=IFERROR(VLOOKUP(B1393,base!$L$1:$L$12,1,0),""),"Produtos",IF(B1393=IFERROR(VLOOKUP(B1393,base!$K$2:$K$12,1,0),""),"Serviços",IF(B1393="Gorjeta","Gorjeta","Combos")))</f>
        <v>Serviços</v>
      </c>
      <c r="J1393">
        <f t="shared" si="42"/>
        <v>15.75</v>
      </c>
      <c r="K1393" s="1" t="e">
        <f t="shared" si="43"/>
        <v>#VALUE!</v>
      </c>
      <c r="M1393" s="1"/>
      <c r="P1393"/>
    </row>
    <row r="1394" spans="1:16">
      <c r="A1394" t="s">
        <v>536</v>
      </c>
      <c r="B1394" t="s">
        <v>163</v>
      </c>
      <c r="C1394" t="s">
        <v>2381</v>
      </c>
      <c r="D1394" s="14">
        <v>35</v>
      </c>
      <c r="E1394" s="14">
        <v>40</v>
      </c>
      <c r="F1394" s="13">
        <v>45763.677083333336</v>
      </c>
      <c r="G1394" t="s">
        <v>2</v>
      </c>
      <c r="H1394" t="s">
        <v>2060</v>
      </c>
      <c r="I1394" t="str">
        <f>IF(B1394=IFERROR(VLOOKUP(B1394,base!$L$1:$L$12,1,0),""),"Produtos",IF(B1394=IFERROR(VLOOKUP(B1394,base!$K$2:$K$12,1,0),""),"Serviços",IF(B1394="Gorjeta","Gorjeta","Combos")))</f>
        <v>Serviços</v>
      </c>
      <c r="J1394">
        <f t="shared" si="42"/>
        <v>15.75</v>
      </c>
      <c r="K1394" s="1" t="e">
        <f t="shared" si="43"/>
        <v>#VALUE!</v>
      </c>
      <c r="M1394" s="1"/>
      <c r="P1394"/>
    </row>
    <row r="1395" spans="1:16">
      <c r="A1395" t="s">
        <v>536</v>
      </c>
      <c r="B1395" t="s">
        <v>910</v>
      </c>
      <c r="C1395" t="s">
        <v>2381</v>
      </c>
      <c r="D1395" s="14">
        <v>5</v>
      </c>
      <c r="F1395" s="13">
        <v>45763.677083333336</v>
      </c>
      <c r="G1395" t="s">
        <v>2</v>
      </c>
      <c r="H1395" t="s">
        <v>2060</v>
      </c>
      <c r="I1395" t="str">
        <f>IF(B1395=IFERROR(VLOOKUP(B1395,base!$L$1:$L$12,1,0),""),"Produtos",IF(B1395=IFERROR(VLOOKUP(B1395,base!$K$2:$K$12,1,0),""),"Serviços",IF(B1395="Gorjeta","Gorjeta","Combos")))</f>
        <v>Gorjeta</v>
      </c>
      <c r="J1395">
        <f t="shared" si="42"/>
        <v>2.25</v>
      </c>
      <c r="K1395" s="1" t="e">
        <f t="shared" si="43"/>
        <v>#VALUE!</v>
      </c>
      <c r="M1395" s="1"/>
      <c r="P1395"/>
    </row>
    <row r="1396" spans="1:16">
      <c r="A1396" t="s">
        <v>519</v>
      </c>
      <c r="B1396" t="s">
        <v>163</v>
      </c>
      <c r="C1396" t="s">
        <v>2382</v>
      </c>
      <c r="D1396" s="14">
        <v>35</v>
      </c>
      <c r="E1396" s="14">
        <v>35</v>
      </c>
      <c r="F1396" s="13">
        <v>45763.708333333336</v>
      </c>
      <c r="G1396" t="s">
        <v>310</v>
      </c>
      <c r="H1396" t="s">
        <v>2383</v>
      </c>
      <c r="I1396" t="str">
        <f>IF(B1396=IFERROR(VLOOKUP(B1396,base!$L$1:$L$12,1,0),""),"Produtos",IF(B1396=IFERROR(VLOOKUP(B1396,base!$K$2:$K$12,1,0),""),"Serviços",IF(B1396="Gorjeta","Gorjeta","Combos")))</f>
        <v>Serviços</v>
      </c>
      <c r="J1396">
        <f t="shared" si="42"/>
        <v>15.75</v>
      </c>
      <c r="K1396" s="1" t="e">
        <f t="shared" si="43"/>
        <v>#VALUE!</v>
      </c>
      <c r="M1396" s="1"/>
      <c r="P1396"/>
    </row>
    <row r="1397" spans="1:16">
      <c r="A1397" t="s">
        <v>252</v>
      </c>
      <c r="B1397" t="s">
        <v>353</v>
      </c>
      <c r="C1397" t="s">
        <v>2384</v>
      </c>
      <c r="D1397" s="14">
        <v>60</v>
      </c>
      <c r="E1397" s="14">
        <v>75</v>
      </c>
      <c r="F1397" s="13">
        <v>45763.833333333336</v>
      </c>
      <c r="G1397" t="s">
        <v>310</v>
      </c>
      <c r="H1397" t="s">
        <v>297</v>
      </c>
      <c r="I1397" t="str">
        <f>IF(B1397=IFERROR(VLOOKUP(B1397,base!$L$1:$L$12,1,0),""),"Produtos",IF(B1397=IFERROR(VLOOKUP(B1397,base!$K$2:$K$12,1,0),""),"Serviços",IF(B1397="Gorjeta","Gorjeta","Combos")))</f>
        <v>Combos</v>
      </c>
      <c r="J1397">
        <f t="shared" si="42"/>
        <v>27</v>
      </c>
      <c r="K1397" s="1" t="e">
        <f t="shared" si="43"/>
        <v>#VALUE!</v>
      </c>
      <c r="M1397" s="1"/>
      <c r="P1397"/>
    </row>
    <row r="1398" spans="1:16">
      <c r="A1398" t="s">
        <v>252</v>
      </c>
      <c r="B1398" t="s">
        <v>1187</v>
      </c>
      <c r="C1398" t="s">
        <v>2384</v>
      </c>
      <c r="D1398" s="14">
        <v>15</v>
      </c>
      <c r="F1398" s="13">
        <v>45763.833333333336</v>
      </c>
      <c r="G1398" t="s">
        <v>310</v>
      </c>
      <c r="H1398" t="s">
        <v>297</v>
      </c>
      <c r="I1398" t="str">
        <f>IF(B1398=IFERROR(VLOOKUP(B1398,base!$L$1:$L$12,1,0),""),"Produtos",IF(B1398=IFERROR(VLOOKUP(B1398,base!$K$2:$K$12,1,0),""),"Serviços",IF(B1398="Gorjeta","Gorjeta","Combos")))</f>
        <v>Serviços</v>
      </c>
      <c r="J1398">
        <f t="shared" si="42"/>
        <v>6.75</v>
      </c>
      <c r="K1398" s="1" t="e">
        <f t="shared" si="43"/>
        <v>#VALUE!</v>
      </c>
      <c r="M1398" s="1"/>
      <c r="P1398"/>
    </row>
    <row r="1399" spans="1:16">
      <c r="A1399" t="s">
        <v>252</v>
      </c>
      <c r="B1399" t="s">
        <v>163</v>
      </c>
      <c r="C1399" t="s">
        <v>2385</v>
      </c>
      <c r="D1399" s="14">
        <v>35</v>
      </c>
      <c r="E1399" s="14">
        <v>70</v>
      </c>
      <c r="F1399" s="13">
        <v>45763.46875</v>
      </c>
      <c r="G1399" t="s">
        <v>1</v>
      </c>
      <c r="H1399" t="s">
        <v>493</v>
      </c>
      <c r="I1399" t="str">
        <f>IF(B1399=IFERROR(VLOOKUP(B1399,base!$L$1:$L$12,1,0),""),"Produtos",IF(B1399=IFERROR(VLOOKUP(B1399,base!$K$2:$K$12,1,0),""),"Serviços",IF(B1399="Gorjeta","Gorjeta","Combos")))</f>
        <v>Serviços</v>
      </c>
      <c r="J1399">
        <f t="shared" si="42"/>
        <v>15.75</v>
      </c>
      <c r="K1399" s="1" t="e">
        <f t="shared" si="43"/>
        <v>#VALUE!</v>
      </c>
      <c r="M1399" s="1"/>
      <c r="P1399"/>
    </row>
    <row r="1400" spans="1:16">
      <c r="A1400" t="s">
        <v>252</v>
      </c>
      <c r="B1400" t="s">
        <v>163</v>
      </c>
      <c r="C1400" t="s">
        <v>2385</v>
      </c>
      <c r="D1400" s="14">
        <v>35</v>
      </c>
      <c r="F1400" s="13">
        <v>45763.46875</v>
      </c>
      <c r="G1400" t="s">
        <v>1</v>
      </c>
      <c r="H1400" t="s">
        <v>493</v>
      </c>
      <c r="I1400" t="str">
        <f>IF(B1400=IFERROR(VLOOKUP(B1400,base!$L$1:$L$12,1,0),""),"Produtos",IF(B1400=IFERROR(VLOOKUP(B1400,base!$K$2:$K$12,1,0),""),"Serviços",IF(B1400="Gorjeta","Gorjeta","Combos")))</f>
        <v>Serviços</v>
      </c>
      <c r="J1400">
        <f t="shared" si="42"/>
        <v>15.75</v>
      </c>
      <c r="K1400" s="1" t="e">
        <f t="shared" si="43"/>
        <v>#VALUE!</v>
      </c>
      <c r="M1400" s="1"/>
      <c r="P1400"/>
    </row>
    <row r="1401" spans="1:16">
      <c r="A1401" t="s">
        <v>536</v>
      </c>
      <c r="B1401" t="s">
        <v>163</v>
      </c>
      <c r="C1401" t="s">
        <v>2386</v>
      </c>
      <c r="D1401" s="14">
        <v>30</v>
      </c>
      <c r="E1401" s="14">
        <v>30</v>
      </c>
      <c r="F1401" s="13">
        <v>45763.84375</v>
      </c>
      <c r="G1401" t="s">
        <v>1</v>
      </c>
      <c r="H1401" t="s">
        <v>271</v>
      </c>
      <c r="I1401" t="str">
        <f>IF(B1401=IFERROR(VLOOKUP(B1401,base!$L$1:$L$12,1,0),""),"Produtos",IF(B1401=IFERROR(VLOOKUP(B1401,base!$K$2:$K$12,1,0),""),"Serviços",IF(B1401="Gorjeta","Gorjeta","Combos")))</f>
        <v>Serviços</v>
      </c>
      <c r="J1401">
        <f t="shared" si="42"/>
        <v>13.5</v>
      </c>
      <c r="K1401" s="1" t="e">
        <f t="shared" si="43"/>
        <v>#VALUE!</v>
      </c>
      <c r="M1401" s="1"/>
      <c r="P1401"/>
    </row>
    <row r="1402" spans="1:16">
      <c r="A1402" t="s">
        <v>519</v>
      </c>
      <c r="B1402" t="s">
        <v>163</v>
      </c>
      <c r="C1402" t="s">
        <v>2387</v>
      </c>
      <c r="D1402" s="14">
        <v>35</v>
      </c>
      <c r="E1402" s="14">
        <v>50</v>
      </c>
      <c r="F1402" s="13">
        <v>45763.871527777781</v>
      </c>
      <c r="G1402" t="s">
        <v>1</v>
      </c>
      <c r="H1402" t="s">
        <v>475</v>
      </c>
      <c r="I1402" t="str">
        <f>IF(B1402=IFERROR(VLOOKUP(B1402,base!$L$1:$L$12,1,0),""),"Produtos",IF(B1402=IFERROR(VLOOKUP(B1402,base!$K$2:$K$12,1,0),""),"Serviços",IF(B1402="Gorjeta","Gorjeta","Combos")))</f>
        <v>Serviços</v>
      </c>
      <c r="J1402">
        <f t="shared" si="42"/>
        <v>15.75</v>
      </c>
      <c r="K1402" s="1" t="e">
        <f t="shared" si="43"/>
        <v>#VALUE!</v>
      </c>
      <c r="M1402" s="1"/>
      <c r="P1402"/>
    </row>
    <row r="1403" spans="1:16">
      <c r="A1403" t="s">
        <v>519</v>
      </c>
      <c r="B1403" t="s">
        <v>1046</v>
      </c>
      <c r="C1403" t="s">
        <v>2387</v>
      </c>
      <c r="D1403" s="14">
        <v>15</v>
      </c>
      <c r="F1403" s="13">
        <v>45763.871527777781</v>
      </c>
      <c r="G1403" t="s">
        <v>1</v>
      </c>
      <c r="H1403" t="s">
        <v>475</v>
      </c>
      <c r="I1403" t="str">
        <f>IF(B1403=IFERROR(VLOOKUP(B1403,base!$L$1:$L$12,1,0),""),"Produtos",IF(B1403=IFERROR(VLOOKUP(B1403,base!$K$2:$K$12,1,0),""),"Serviços",IF(B1403="Gorjeta","Gorjeta","Combos")))</f>
        <v>Serviços</v>
      </c>
      <c r="J1403">
        <f t="shared" si="42"/>
        <v>6.75</v>
      </c>
      <c r="K1403" s="1" t="e">
        <f t="shared" si="43"/>
        <v>#VALUE!</v>
      </c>
      <c r="M1403" s="1"/>
      <c r="P1403"/>
    </row>
    <row r="1404" spans="1:16">
      <c r="A1404" t="s">
        <v>536</v>
      </c>
      <c r="B1404" t="s">
        <v>353</v>
      </c>
      <c r="C1404" t="s">
        <v>2388</v>
      </c>
      <c r="D1404" s="14">
        <v>60</v>
      </c>
      <c r="E1404" s="14">
        <v>60</v>
      </c>
      <c r="F1404" s="13">
        <v>45764.416666666664</v>
      </c>
      <c r="G1404" t="s">
        <v>1</v>
      </c>
      <c r="H1404" t="s">
        <v>465</v>
      </c>
      <c r="I1404" t="str">
        <f>IF(B1404=IFERROR(VLOOKUP(B1404,base!$L$1:$L$12,1,0),""),"Produtos",IF(B1404=IFERROR(VLOOKUP(B1404,base!$K$2:$K$12,1,0),""),"Serviços",IF(B1404="Gorjeta","Gorjeta","Combos")))</f>
        <v>Combos</v>
      </c>
      <c r="J1404">
        <f t="shared" si="42"/>
        <v>27</v>
      </c>
      <c r="K1404" s="1" t="e">
        <f t="shared" si="43"/>
        <v>#VALUE!</v>
      </c>
      <c r="M1404" s="1"/>
      <c r="P1404"/>
    </row>
    <row r="1405" spans="1:16">
      <c r="A1405" t="s">
        <v>536</v>
      </c>
      <c r="B1405" t="s">
        <v>163</v>
      </c>
      <c r="C1405" t="s">
        <v>2389</v>
      </c>
      <c r="D1405" s="14">
        <v>35</v>
      </c>
      <c r="E1405" s="14">
        <v>50</v>
      </c>
      <c r="F1405" s="13">
        <v>45764.604166666664</v>
      </c>
      <c r="G1405" t="s">
        <v>1</v>
      </c>
      <c r="H1405" t="s">
        <v>213</v>
      </c>
      <c r="I1405" t="str">
        <f>IF(B1405=IFERROR(VLOOKUP(B1405,base!$L$1:$L$12,1,0),""),"Produtos",IF(B1405=IFERROR(VLOOKUP(B1405,base!$K$2:$K$12,1,0),""),"Serviços",IF(B1405="Gorjeta","Gorjeta","Combos")))</f>
        <v>Serviços</v>
      </c>
      <c r="J1405">
        <f t="shared" si="42"/>
        <v>15.75</v>
      </c>
      <c r="K1405" s="1" t="e">
        <f t="shared" si="43"/>
        <v>#VALUE!</v>
      </c>
      <c r="M1405" s="1"/>
      <c r="P1405"/>
    </row>
    <row r="1406" spans="1:16">
      <c r="A1406" t="s">
        <v>519</v>
      </c>
      <c r="B1406" t="s">
        <v>1187</v>
      </c>
      <c r="C1406" t="s">
        <v>2389</v>
      </c>
      <c r="D1406" s="14">
        <v>15</v>
      </c>
      <c r="F1406" s="13">
        <v>45764.604166666664</v>
      </c>
      <c r="G1406" t="s">
        <v>1</v>
      </c>
      <c r="H1406" t="s">
        <v>213</v>
      </c>
      <c r="I1406" t="str">
        <f>IF(B1406=IFERROR(VLOOKUP(B1406,base!$L$1:$L$12,1,0),""),"Produtos",IF(B1406=IFERROR(VLOOKUP(B1406,base!$K$2:$K$12,1,0),""),"Serviços",IF(B1406="Gorjeta","Gorjeta","Combos")))</f>
        <v>Serviços</v>
      </c>
      <c r="J1406">
        <f t="shared" si="42"/>
        <v>6.75</v>
      </c>
      <c r="K1406" s="1" t="e">
        <f t="shared" si="43"/>
        <v>#VALUE!</v>
      </c>
      <c r="M1406" s="1"/>
      <c r="P1406"/>
    </row>
    <row r="1407" spans="1:16">
      <c r="A1407" t="s">
        <v>536</v>
      </c>
      <c r="B1407" t="s">
        <v>163</v>
      </c>
      <c r="C1407" t="s">
        <v>2390</v>
      </c>
      <c r="D1407" s="14">
        <v>35</v>
      </c>
      <c r="E1407" s="14">
        <v>35</v>
      </c>
      <c r="F1407" s="13">
        <v>45764.510416666664</v>
      </c>
      <c r="G1407" t="s">
        <v>1</v>
      </c>
      <c r="H1407" t="s">
        <v>1712</v>
      </c>
      <c r="I1407" t="str">
        <f>IF(B1407=IFERROR(VLOOKUP(B1407,base!$L$1:$L$12,1,0),""),"Produtos",IF(B1407=IFERROR(VLOOKUP(B1407,base!$K$2:$K$12,1,0),""),"Serviços",IF(B1407="Gorjeta","Gorjeta","Combos")))</f>
        <v>Serviços</v>
      </c>
      <c r="J1407">
        <f t="shared" si="42"/>
        <v>15.75</v>
      </c>
      <c r="K1407" s="1" t="e">
        <f t="shared" si="43"/>
        <v>#VALUE!</v>
      </c>
      <c r="M1407" s="1"/>
      <c r="P1407"/>
    </row>
    <row r="1408" spans="1:16">
      <c r="A1408" t="s">
        <v>252</v>
      </c>
      <c r="B1408" t="s">
        <v>163</v>
      </c>
      <c r="C1408" t="s">
        <v>2391</v>
      </c>
      <c r="D1408" s="14">
        <v>35</v>
      </c>
      <c r="E1408" s="14">
        <v>35</v>
      </c>
      <c r="F1408" s="13">
        <v>45764.458333333336</v>
      </c>
      <c r="G1408" t="s">
        <v>2</v>
      </c>
      <c r="H1408" t="s">
        <v>2392</v>
      </c>
      <c r="I1408" t="str">
        <f>IF(B1408=IFERROR(VLOOKUP(B1408,base!$L$1:$L$12,1,0),""),"Produtos",IF(B1408=IFERROR(VLOOKUP(B1408,base!$K$2:$K$12,1,0),""),"Serviços",IF(B1408="Gorjeta","Gorjeta","Combos")))</f>
        <v>Serviços</v>
      </c>
      <c r="J1408">
        <f t="shared" si="42"/>
        <v>15.75</v>
      </c>
      <c r="K1408" s="1" t="e">
        <f t="shared" si="43"/>
        <v>#VALUE!</v>
      </c>
      <c r="M1408" s="1"/>
      <c r="P1408"/>
    </row>
    <row r="1409" spans="1:16">
      <c r="A1409" t="s">
        <v>519</v>
      </c>
      <c r="B1409" t="s">
        <v>163</v>
      </c>
      <c r="C1409" t="s">
        <v>2393</v>
      </c>
      <c r="D1409" s="14">
        <v>35</v>
      </c>
      <c r="E1409" s="14">
        <v>50</v>
      </c>
      <c r="F1409" s="13">
        <v>45764.75</v>
      </c>
      <c r="G1409" t="s">
        <v>1</v>
      </c>
      <c r="H1409" t="s">
        <v>12</v>
      </c>
      <c r="I1409" t="str">
        <f>IF(B1409=IFERROR(VLOOKUP(B1409,base!$L$1:$L$12,1,0),""),"Produtos",IF(B1409=IFERROR(VLOOKUP(B1409,base!$K$2:$K$12,1,0),""),"Serviços",IF(B1409="Gorjeta","Gorjeta","Combos")))</f>
        <v>Serviços</v>
      </c>
      <c r="J1409">
        <f t="shared" si="42"/>
        <v>15.75</v>
      </c>
      <c r="K1409" s="1" t="e">
        <f t="shared" si="43"/>
        <v>#VALUE!</v>
      </c>
      <c r="M1409" s="1"/>
      <c r="P1409"/>
    </row>
    <row r="1410" spans="1:16">
      <c r="A1410" t="s">
        <v>519</v>
      </c>
      <c r="B1410" t="s">
        <v>167</v>
      </c>
      <c r="C1410" t="s">
        <v>2393</v>
      </c>
      <c r="D1410" s="14">
        <v>15</v>
      </c>
      <c r="F1410" s="13">
        <v>45764.75</v>
      </c>
      <c r="G1410" t="s">
        <v>1</v>
      </c>
      <c r="H1410" t="s">
        <v>12</v>
      </c>
      <c r="I1410" t="str">
        <f>IF(B1410=IFERROR(VLOOKUP(B1410,base!$L$1:$L$12,1,0),""),"Produtos",IF(B1410=IFERROR(VLOOKUP(B1410,base!$K$2:$K$12,1,0),""),"Serviços",IF(B1410="Gorjeta","Gorjeta","Combos")))</f>
        <v>Serviços</v>
      </c>
      <c r="J1410">
        <f t="shared" si="42"/>
        <v>6.75</v>
      </c>
      <c r="K1410" s="1" t="e">
        <f t="shared" si="43"/>
        <v>#VALUE!</v>
      </c>
      <c r="M1410" s="1"/>
      <c r="P1410"/>
    </row>
    <row r="1411" spans="1:16">
      <c r="A1411" t="s">
        <v>536</v>
      </c>
      <c r="B1411" t="s">
        <v>353</v>
      </c>
      <c r="C1411" t="s">
        <v>2394</v>
      </c>
      <c r="D1411" s="14">
        <v>60</v>
      </c>
      <c r="E1411" s="14">
        <v>60</v>
      </c>
      <c r="F1411" s="13">
        <v>45764.46875</v>
      </c>
      <c r="G1411" t="s">
        <v>310</v>
      </c>
      <c r="H1411" t="s">
        <v>2395</v>
      </c>
      <c r="I1411" t="str">
        <f>IF(B1411=IFERROR(VLOOKUP(B1411,base!$L$1:$L$12,1,0),""),"Produtos",IF(B1411=IFERROR(VLOOKUP(B1411,base!$K$2:$K$12,1,0),""),"Serviços",IF(B1411="Gorjeta","Gorjeta","Combos")))</f>
        <v>Combos</v>
      </c>
      <c r="J1411">
        <f t="shared" si="42"/>
        <v>27</v>
      </c>
      <c r="K1411" s="1" t="e">
        <f t="shared" si="43"/>
        <v>#VALUE!</v>
      </c>
      <c r="M1411" s="1"/>
      <c r="P1411"/>
    </row>
    <row r="1412" spans="1:16">
      <c r="A1412" t="s">
        <v>252</v>
      </c>
      <c r="B1412" t="s">
        <v>163</v>
      </c>
      <c r="C1412" t="s">
        <v>2396</v>
      </c>
      <c r="D1412" s="14">
        <v>35</v>
      </c>
      <c r="E1412" s="14">
        <v>45</v>
      </c>
      <c r="F1412" s="13">
        <v>45764.541666666664</v>
      </c>
      <c r="G1412" t="s">
        <v>1</v>
      </c>
      <c r="H1412" t="s">
        <v>487</v>
      </c>
      <c r="I1412" t="str">
        <f>IF(B1412=IFERROR(VLOOKUP(B1412,base!$L$1:$L$12,1,0),""),"Produtos",IF(B1412=IFERROR(VLOOKUP(B1412,base!$K$2:$K$12,1,0),""),"Serviços",IF(B1412="Gorjeta","Gorjeta","Combos")))</f>
        <v>Serviços</v>
      </c>
      <c r="J1412">
        <f t="shared" si="42"/>
        <v>15.75</v>
      </c>
      <c r="K1412" s="1" t="e">
        <f t="shared" si="43"/>
        <v>#VALUE!</v>
      </c>
      <c r="M1412" s="1"/>
      <c r="P1412"/>
    </row>
    <row r="1413" spans="1:16">
      <c r="A1413" t="s">
        <v>252</v>
      </c>
      <c r="B1413" t="s">
        <v>167</v>
      </c>
      <c r="C1413" t="s">
        <v>2396</v>
      </c>
      <c r="D1413" s="14">
        <v>10</v>
      </c>
      <c r="F1413" s="13">
        <v>45764.541666666664</v>
      </c>
      <c r="G1413" t="s">
        <v>1</v>
      </c>
      <c r="H1413" t="s">
        <v>487</v>
      </c>
      <c r="I1413" t="str">
        <f>IF(B1413=IFERROR(VLOOKUP(B1413,base!$L$1:$L$12,1,0),""),"Produtos",IF(B1413=IFERROR(VLOOKUP(B1413,base!$K$2:$K$12,1,0),""),"Serviços",IF(B1413="Gorjeta","Gorjeta","Combos")))</f>
        <v>Serviços</v>
      </c>
      <c r="J1413">
        <f t="shared" si="42"/>
        <v>4.5</v>
      </c>
      <c r="K1413" s="1" t="e">
        <f t="shared" si="43"/>
        <v>#VALUE!</v>
      </c>
      <c r="M1413" s="1"/>
      <c r="P1413"/>
    </row>
    <row r="1414" spans="1:16">
      <c r="A1414" t="s">
        <v>252</v>
      </c>
      <c r="B1414" t="s">
        <v>1046</v>
      </c>
      <c r="C1414" t="s">
        <v>2397</v>
      </c>
      <c r="D1414" s="14">
        <v>35</v>
      </c>
      <c r="E1414" s="14">
        <v>40</v>
      </c>
      <c r="F1414" s="13">
        <v>45764.53125</v>
      </c>
      <c r="G1414" t="s">
        <v>354</v>
      </c>
      <c r="H1414" t="s">
        <v>1026</v>
      </c>
      <c r="I1414" t="str">
        <f>IF(B1414=IFERROR(VLOOKUP(B1414,base!$L$1:$L$12,1,0),""),"Produtos",IF(B1414=IFERROR(VLOOKUP(B1414,base!$K$2:$K$12,1,0),""),"Serviços",IF(B1414="Gorjeta","Gorjeta","Combos")))</f>
        <v>Serviços</v>
      </c>
      <c r="J1414">
        <f t="shared" si="42"/>
        <v>15.75</v>
      </c>
      <c r="K1414" s="1" t="e">
        <f t="shared" si="43"/>
        <v>#VALUE!</v>
      </c>
      <c r="M1414" s="1"/>
      <c r="P1414"/>
    </row>
    <row r="1415" spans="1:16">
      <c r="A1415" t="s">
        <v>252</v>
      </c>
      <c r="B1415" t="s">
        <v>163</v>
      </c>
      <c r="C1415" t="s">
        <v>2398</v>
      </c>
      <c r="D1415" s="14">
        <v>35</v>
      </c>
      <c r="E1415" s="14">
        <v>35</v>
      </c>
      <c r="F1415" s="13">
        <v>45765.4375</v>
      </c>
      <c r="G1415" t="s">
        <v>354</v>
      </c>
      <c r="H1415" t="s">
        <v>372</v>
      </c>
      <c r="I1415" t="str">
        <f>IF(B1415=IFERROR(VLOOKUP(B1415,base!$L$1:$L$12,1,0),""),"Produtos",IF(B1415=IFERROR(VLOOKUP(B1415,base!$K$2:$K$12,1,0),""),"Serviços",IF(B1415="Gorjeta","Gorjeta","Combos")))</f>
        <v>Serviços</v>
      </c>
      <c r="J1415">
        <f t="shared" si="42"/>
        <v>15.75</v>
      </c>
      <c r="K1415" s="1" t="e">
        <f t="shared" si="43"/>
        <v>#VALUE!</v>
      </c>
      <c r="M1415" s="1"/>
      <c r="P1415"/>
    </row>
    <row r="1416" spans="1:16">
      <c r="A1416" t="s">
        <v>252</v>
      </c>
      <c r="B1416" t="s">
        <v>163</v>
      </c>
      <c r="C1416" t="s">
        <v>2399</v>
      </c>
      <c r="D1416" s="14">
        <v>35</v>
      </c>
      <c r="E1416" s="14">
        <v>35</v>
      </c>
      <c r="F1416" s="13">
        <v>45764.645833333336</v>
      </c>
      <c r="G1416" t="s">
        <v>355</v>
      </c>
      <c r="H1416" t="s">
        <v>1988</v>
      </c>
      <c r="I1416" t="str">
        <f>IF(B1416=IFERROR(VLOOKUP(B1416,base!$L$1:$L$12,1,0),""),"Produtos",IF(B1416=IFERROR(VLOOKUP(B1416,base!$K$2:$K$12,1,0),""),"Serviços",IF(B1416="Gorjeta","Gorjeta","Combos")))</f>
        <v>Serviços</v>
      </c>
      <c r="J1416">
        <f t="shared" si="42"/>
        <v>15.75</v>
      </c>
      <c r="K1416" s="1" t="e">
        <f t="shared" si="43"/>
        <v>#VALUE!</v>
      </c>
      <c r="M1416" s="1"/>
      <c r="P1416"/>
    </row>
    <row r="1417" spans="1:16">
      <c r="A1417" t="s">
        <v>519</v>
      </c>
      <c r="B1417" t="s">
        <v>163</v>
      </c>
      <c r="C1417" t="s">
        <v>2400</v>
      </c>
      <c r="D1417" s="14">
        <v>35</v>
      </c>
      <c r="E1417" s="14">
        <v>45</v>
      </c>
      <c r="F1417" s="13">
        <v>45764.770833333336</v>
      </c>
      <c r="G1417" t="s">
        <v>1120</v>
      </c>
      <c r="H1417" t="s">
        <v>77</v>
      </c>
      <c r="I1417" t="str">
        <f>IF(B1417=IFERROR(VLOOKUP(B1417,base!$L$1:$L$12,1,0),""),"Produtos",IF(B1417=IFERROR(VLOOKUP(B1417,base!$K$2:$K$12,1,0),""),"Serviços",IF(B1417="Gorjeta","Gorjeta","Combos")))</f>
        <v>Serviços</v>
      </c>
      <c r="J1417">
        <f t="shared" si="42"/>
        <v>15.75</v>
      </c>
      <c r="K1417" s="1" t="e">
        <f t="shared" si="43"/>
        <v>#VALUE!</v>
      </c>
      <c r="M1417" s="1"/>
      <c r="P1417"/>
    </row>
    <row r="1418" spans="1:16">
      <c r="A1418" t="s">
        <v>519</v>
      </c>
      <c r="B1418" t="s">
        <v>167</v>
      </c>
      <c r="C1418" t="s">
        <v>2400</v>
      </c>
      <c r="D1418" s="14">
        <v>10</v>
      </c>
      <c r="F1418" s="13">
        <v>45764.770833333336</v>
      </c>
      <c r="G1418" t="s">
        <v>1120</v>
      </c>
      <c r="H1418" t="s">
        <v>77</v>
      </c>
      <c r="I1418" t="str">
        <f>IF(B1418=IFERROR(VLOOKUP(B1418,base!$L$1:$L$12,1,0),""),"Produtos",IF(B1418=IFERROR(VLOOKUP(B1418,base!$K$2:$K$12,1,0),""),"Serviços",IF(B1418="Gorjeta","Gorjeta","Combos")))</f>
        <v>Serviços</v>
      </c>
      <c r="J1418">
        <f t="shared" si="42"/>
        <v>4.5</v>
      </c>
      <c r="K1418" s="1" t="e">
        <f t="shared" si="43"/>
        <v>#VALUE!</v>
      </c>
      <c r="M1418" s="1"/>
      <c r="P1418"/>
    </row>
    <row r="1419" spans="1:16">
      <c r="A1419" t="s">
        <v>252</v>
      </c>
      <c r="B1419" t="s">
        <v>353</v>
      </c>
      <c r="C1419" t="s">
        <v>2401</v>
      </c>
      <c r="D1419" s="14">
        <v>60</v>
      </c>
      <c r="E1419" s="14">
        <v>60</v>
      </c>
      <c r="F1419" s="13">
        <v>45764.71875</v>
      </c>
      <c r="G1419" t="s">
        <v>1</v>
      </c>
      <c r="H1419" t="s">
        <v>398</v>
      </c>
      <c r="I1419" t="str">
        <f>IF(B1419=IFERROR(VLOOKUP(B1419,base!$L$1:$L$12,1,0),""),"Produtos",IF(B1419=IFERROR(VLOOKUP(B1419,base!$K$2:$K$12,1,0),""),"Serviços",IF(B1419="Gorjeta","Gorjeta","Combos")))</f>
        <v>Combos</v>
      </c>
      <c r="J1419">
        <f t="shared" si="42"/>
        <v>27</v>
      </c>
      <c r="K1419" s="1" t="e">
        <f t="shared" si="43"/>
        <v>#VALUE!</v>
      </c>
      <c r="M1419" s="1"/>
      <c r="P1419"/>
    </row>
    <row r="1420" spans="1:16">
      <c r="A1420" t="s">
        <v>536</v>
      </c>
      <c r="B1420" t="s">
        <v>163</v>
      </c>
      <c r="C1420" t="s">
        <v>2402</v>
      </c>
      <c r="D1420" s="14">
        <v>35</v>
      </c>
      <c r="E1420" s="14">
        <v>35</v>
      </c>
      <c r="F1420" s="13">
        <v>45764.71875</v>
      </c>
      <c r="G1420" t="s">
        <v>1</v>
      </c>
      <c r="H1420" t="s">
        <v>2403</v>
      </c>
      <c r="I1420" t="str">
        <f>IF(B1420=IFERROR(VLOOKUP(B1420,base!$L$1:$L$12,1,0),""),"Produtos",IF(B1420=IFERROR(VLOOKUP(B1420,base!$K$2:$K$12,1,0),""),"Serviços",IF(B1420="Gorjeta","Gorjeta","Combos")))</f>
        <v>Serviços</v>
      </c>
      <c r="J1420">
        <f t="shared" si="42"/>
        <v>15.75</v>
      </c>
      <c r="K1420" s="1" t="e">
        <f t="shared" si="43"/>
        <v>#VALUE!</v>
      </c>
      <c r="M1420" s="1"/>
      <c r="P1420"/>
    </row>
    <row r="1421" spans="1:16">
      <c r="A1421" t="s">
        <v>536</v>
      </c>
      <c r="B1421" t="s">
        <v>353</v>
      </c>
      <c r="C1421" t="s">
        <v>2404</v>
      </c>
      <c r="D1421" s="14">
        <v>60</v>
      </c>
      <c r="E1421" s="14">
        <v>60</v>
      </c>
      <c r="F1421" s="13">
        <v>45764.611111111109</v>
      </c>
      <c r="G1421" t="s">
        <v>1</v>
      </c>
      <c r="H1421" t="s">
        <v>1981</v>
      </c>
      <c r="I1421" t="str">
        <f>IF(B1421=IFERROR(VLOOKUP(B1421,base!$L$1:$L$12,1,0),""),"Produtos",IF(B1421=IFERROR(VLOOKUP(B1421,base!$K$2:$K$12,1,0),""),"Serviços",IF(B1421="Gorjeta","Gorjeta","Combos")))</f>
        <v>Combos</v>
      </c>
      <c r="J1421">
        <f t="shared" si="42"/>
        <v>27</v>
      </c>
      <c r="K1421" s="1" t="e">
        <f t="shared" si="43"/>
        <v>#VALUE!</v>
      </c>
      <c r="M1421" s="1"/>
      <c r="P1421"/>
    </row>
    <row r="1422" spans="1:16">
      <c r="A1422" t="s">
        <v>519</v>
      </c>
      <c r="B1422" t="s">
        <v>163</v>
      </c>
      <c r="C1422" t="s">
        <v>2405</v>
      </c>
      <c r="D1422" s="14">
        <v>35</v>
      </c>
      <c r="E1422" s="14">
        <v>35</v>
      </c>
      <c r="F1422" s="13">
        <v>45764.625</v>
      </c>
      <c r="G1422" t="s">
        <v>310</v>
      </c>
      <c r="H1422" t="s">
        <v>2406</v>
      </c>
      <c r="I1422" t="str">
        <f>IF(B1422=IFERROR(VLOOKUP(B1422,base!$L$1:$L$12,1,0),""),"Produtos",IF(B1422=IFERROR(VLOOKUP(B1422,base!$K$2:$K$12,1,0),""),"Serviços",IF(B1422="Gorjeta","Gorjeta","Combos")))</f>
        <v>Serviços</v>
      </c>
      <c r="J1422">
        <f t="shared" si="42"/>
        <v>15.75</v>
      </c>
      <c r="K1422" s="1" t="e">
        <f t="shared" si="43"/>
        <v>#VALUE!</v>
      </c>
      <c r="M1422" s="1"/>
      <c r="P1422"/>
    </row>
    <row r="1423" spans="1:16">
      <c r="A1423" t="s">
        <v>519</v>
      </c>
      <c r="B1423" t="s">
        <v>163</v>
      </c>
      <c r="C1423" t="s">
        <v>2407</v>
      </c>
      <c r="D1423" s="14">
        <v>35</v>
      </c>
      <c r="E1423" s="14">
        <v>35</v>
      </c>
      <c r="F1423" s="13">
        <v>45764.701388888891</v>
      </c>
      <c r="G1423" t="s">
        <v>1</v>
      </c>
      <c r="H1423" t="s">
        <v>1089</v>
      </c>
      <c r="I1423" t="str">
        <f>IF(B1423=IFERROR(VLOOKUP(B1423,base!$L$1:$L$12,1,0),""),"Produtos",IF(B1423=IFERROR(VLOOKUP(B1423,base!$K$2:$K$12,1,0),""),"Serviços",IF(B1423="Gorjeta","Gorjeta","Combos")))</f>
        <v>Serviços</v>
      </c>
      <c r="J1423">
        <f t="shared" si="42"/>
        <v>15.75</v>
      </c>
      <c r="K1423" s="1" t="e">
        <f t="shared" si="43"/>
        <v>#VALUE!</v>
      </c>
      <c r="M1423" s="1"/>
      <c r="P1423"/>
    </row>
    <row r="1424" spans="1:16">
      <c r="A1424" t="s">
        <v>252</v>
      </c>
      <c r="B1424" t="s">
        <v>163</v>
      </c>
      <c r="C1424" t="s">
        <v>2408</v>
      </c>
      <c r="D1424" s="14">
        <v>35</v>
      </c>
      <c r="E1424" s="14">
        <v>30</v>
      </c>
      <c r="F1424" s="13">
        <v>45764.708333333336</v>
      </c>
      <c r="G1424" t="s">
        <v>2</v>
      </c>
      <c r="H1424" t="s">
        <v>10</v>
      </c>
      <c r="I1424" t="str">
        <f>IF(B1424=IFERROR(VLOOKUP(B1424,base!$L$1:$L$12,1,0),""),"Produtos",IF(B1424=IFERROR(VLOOKUP(B1424,base!$K$2:$K$12,1,0),""),"Serviços",IF(B1424="Gorjeta","Gorjeta","Combos")))</f>
        <v>Serviços</v>
      </c>
      <c r="J1424">
        <f t="shared" si="42"/>
        <v>15.75</v>
      </c>
      <c r="K1424" s="1" t="e">
        <f t="shared" si="43"/>
        <v>#VALUE!</v>
      </c>
      <c r="M1424" s="1"/>
      <c r="P1424"/>
    </row>
    <row r="1425" spans="1:16">
      <c r="A1425" t="s">
        <v>536</v>
      </c>
      <c r="B1425" t="s">
        <v>163</v>
      </c>
      <c r="C1425" t="s">
        <v>2409</v>
      </c>
      <c r="D1425" s="14">
        <v>35</v>
      </c>
      <c r="E1425" s="14">
        <v>35</v>
      </c>
      <c r="F1425" s="13">
        <v>45764.739583333336</v>
      </c>
      <c r="G1425" t="s">
        <v>1</v>
      </c>
      <c r="H1425" t="s">
        <v>2410</v>
      </c>
      <c r="I1425" t="str">
        <f>IF(B1425=IFERROR(VLOOKUP(B1425,base!$L$1:$L$12,1,0),""),"Produtos",IF(B1425=IFERROR(VLOOKUP(B1425,base!$K$2:$K$12,1,0),""),"Serviços",IF(B1425="Gorjeta","Gorjeta","Combos")))</f>
        <v>Serviços</v>
      </c>
      <c r="J1425">
        <f t="shared" si="42"/>
        <v>15.75</v>
      </c>
      <c r="K1425" s="1" t="e">
        <f t="shared" si="43"/>
        <v>#VALUE!</v>
      </c>
      <c r="M1425" s="1"/>
      <c r="P1425"/>
    </row>
    <row r="1426" spans="1:16">
      <c r="A1426" t="s">
        <v>519</v>
      </c>
      <c r="B1426" t="s">
        <v>163</v>
      </c>
      <c r="C1426" t="s">
        <v>2411</v>
      </c>
      <c r="D1426" s="14">
        <v>35</v>
      </c>
      <c r="E1426" s="14">
        <v>55</v>
      </c>
      <c r="F1426" s="13">
        <v>45764.791666666664</v>
      </c>
      <c r="G1426" t="s">
        <v>1</v>
      </c>
      <c r="H1426" t="s">
        <v>379</v>
      </c>
      <c r="I1426" t="str">
        <f>IF(B1426=IFERROR(VLOOKUP(B1426,base!$L$1:$L$12,1,0),""),"Produtos",IF(B1426=IFERROR(VLOOKUP(B1426,base!$K$2:$K$12,1,0),""),"Serviços",IF(B1426="Gorjeta","Gorjeta","Combos")))</f>
        <v>Serviços</v>
      </c>
      <c r="J1426">
        <f t="shared" si="42"/>
        <v>15.75</v>
      </c>
      <c r="K1426" s="1" t="e">
        <f t="shared" si="43"/>
        <v>#VALUE!</v>
      </c>
      <c r="M1426" s="1"/>
      <c r="P1426"/>
    </row>
    <row r="1427" spans="1:16">
      <c r="A1427" t="s">
        <v>519</v>
      </c>
      <c r="B1427" t="s">
        <v>166</v>
      </c>
      <c r="C1427" t="s">
        <v>2411</v>
      </c>
      <c r="D1427" s="14">
        <v>20</v>
      </c>
      <c r="F1427" s="13">
        <v>45764.791666666664</v>
      </c>
      <c r="G1427" t="s">
        <v>1</v>
      </c>
      <c r="H1427" t="s">
        <v>379</v>
      </c>
      <c r="I1427" t="str">
        <f>IF(B1427=IFERROR(VLOOKUP(B1427,base!$L$1:$L$12,1,0),""),"Produtos",IF(B1427=IFERROR(VLOOKUP(B1427,base!$K$2:$K$12,1,0),""),"Serviços",IF(B1427="Gorjeta","Gorjeta","Combos")))</f>
        <v>Serviços</v>
      </c>
      <c r="J1427">
        <f t="shared" si="42"/>
        <v>9</v>
      </c>
      <c r="K1427" s="1" t="e">
        <f t="shared" si="43"/>
        <v>#VALUE!</v>
      </c>
      <c r="M1427" s="1"/>
      <c r="P1427"/>
    </row>
    <row r="1428" spans="1:16">
      <c r="A1428" t="s">
        <v>519</v>
      </c>
      <c r="B1428" t="s">
        <v>353</v>
      </c>
      <c r="C1428" t="s">
        <v>2412</v>
      </c>
      <c r="D1428" s="14">
        <v>60</v>
      </c>
      <c r="E1428" s="14">
        <v>60</v>
      </c>
      <c r="F1428" s="13">
        <v>45764.71875</v>
      </c>
      <c r="G1428" t="s">
        <v>1</v>
      </c>
      <c r="H1428" t="s">
        <v>190</v>
      </c>
      <c r="I1428" t="str">
        <f>IF(B1428=IFERROR(VLOOKUP(B1428,base!$L$1:$L$12,1,0),""),"Produtos",IF(B1428=IFERROR(VLOOKUP(B1428,base!$K$2:$K$12,1,0),""),"Serviços",IF(B1428="Gorjeta","Gorjeta","Combos")))</f>
        <v>Combos</v>
      </c>
      <c r="J1428">
        <f t="shared" si="42"/>
        <v>27</v>
      </c>
      <c r="K1428" s="1" t="e">
        <f t="shared" si="43"/>
        <v>#VALUE!</v>
      </c>
      <c r="M1428" s="1"/>
      <c r="P1428"/>
    </row>
    <row r="1429" spans="1:16">
      <c r="A1429" t="s">
        <v>536</v>
      </c>
      <c r="B1429" t="s">
        <v>163</v>
      </c>
      <c r="C1429" t="s">
        <v>2413</v>
      </c>
      <c r="D1429" s="14">
        <v>35</v>
      </c>
      <c r="E1429" s="14">
        <v>35</v>
      </c>
      <c r="F1429" s="13">
        <v>45766.458333333336</v>
      </c>
      <c r="G1429" t="s">
        <v>310</v>
      </c>
      <c r="H1429" t="s">
        <v>895</v>
      </c>
      <c r="I1429" t="str">
        <f>IF(B1429=IFERROR(VLOOKUP(B1429,base!$L$1:$L$12,1,0),""),"Produtos",IF(B1429=IFERROR(VLOOKUP(B1429,base!$K$2:$K$12,1,0),""),"Serviços",IF(B1429="Gorjeta","Gorjeta","Combos")))</f>
        <v>Serviços</v>
      </c>
      <c r="J1429">
        <f t="shared" si="42"/>
        <v>15.75</v>
      </c>
      <c r="K1429" s="1" t="e">
        <f t="shared" si="43"/>
        <v>#VALUE!</v>
      </c>
      <c r="M1429" s="1"/>
      <c r="P1429"/>
    </row>
    <row r="1430" spans="1:16">
      <c r="A1430" t="s">
        <v>536</v>
      </c>
      <c r="B1430" t="s">
        <v>353</v>
      </c>
      <c r="C1430" t="s">
        <v>2414</v>
      </c>
      <c r="D1430" s="14">
        <v>60</v>
      </c>
      <c r="E1430" s="14">
        <v>60</v>
      </c>
      <c r="F1430" s="13">
        <v>45764.847222222219</v>
      </c>
      <c r="G1430" t="s">
        <v>354</v>
      </c>
      <c r="H1430" t="s">
        <v>1154</v>
      </c>
      <c r="I1430" t="str">
        <f>IF(B1430=IFERROR(VLOOKUP(B1430,base!$L$1:$L$12,1,0),""),"Produtos",IF(B1430=IFERROR(VLOOKUP(B1430,base!$K$2:$K$12,1,0),""),"Serviços",IF(B1430="Gorjeta","Gorjeta","Combos")))</f>
        <v>Combos</v>
      </c>
      <c r="J1430">
        <f t="shared" si="42"/>
        <v>27</v>
      </c>
      <c r="K1430" s="1" t="e">
        <f t="shared" si="43"/>
        <v>#VALUE!</v>
      </c>
      <c r="M1430" s="1"/>
      <c r="P1430"/>
    </row>
    <row r="1431" spans="1:16">
      <c r="A1431" t="s">
        <v>252</v>
      </c>
      <c r="B1431" t="s">
        <v>352</v>
      </c>
      <c r="C1431" t="s">
        <v>2415</v>
      </c>
      <c r="D1431" s="14">
        <v>20</v>
      </c>
      <c r="E1431" s="14">
        <v>20</v>
      </c>
      <c r="F1431" s="13">
        <v>45764.833333333336</v>
      </c>
      <c r="G1431" t="s">
        <v>310</v>
      </c>
      <c r="H1431" t="s">
        <v>464</v>
      </c>
      <c r="I1431" t="str">
        <f>IF(B1431=IFERROR(VLOOKUP(B1431,base!$L$1:$L$12,1,0),""),"Produtos",IF(B1431=IFERROR(VLOOKUP(B1431,base!$K$2:$K$12,1,0),""),"Serviços",IF(B1431="Gorjeta","Gorjeta","Combos")))</f>
        <v>Combos</v>
      </c>
      <c r="J1431">
        <f t="shared" si="42"/>
        <v>9</v>
      </c>
      <c r="K1431" s="1" t="e">
        <f t="shared" si="43"/>
        <v>#VALUE!</v>
      </c>
      <c r="M1431" s="1"/>
      <c r="P1431"/>
    </row>
    <row r="1432" spans="1:16">
      <c r="A1432" t="s">
        <v>519</v>
      </c>
      <c r="B1432" t="s">
        <v>163</v>
      </c>
      <c r="C1432" t="s">
        <v>2416</v>
      </c>
      <c r="D1432" s="14">
        <v>35</v>
      </c>
      <c r="E1432" s="14">
        <v>45</v>
      </c>
      <c r="F1432" s="13">
        <v>45764.854166666664</v>
      </c>
      <c r="G1432" t="s">
        <v>1</v>
      </c>
      <c r="H1432" t="s">
        <v>35</v>
      </c>
      <c r="I1432" t="str">
        <f>IF(B1432=IFERROR(VLOOKUP(B1432,base!$L$1:$L$12,1,0),""),"Produtos",IF(B1432=IFERROR(VLOOKUP(B1432,base!$K$2:$K$12,1,0),""),"Serviços",IF(B1432="Gorjeta","Gorjeta","Combos")))</f>
        <v>Serviços</v>
      </c>
      <c r="J1432">
        <f t="shared" si="42"/>
        <v>15.75</v>
      </c>
      <c r="K1432" s="1" t="e">
        <f t="shared" si="43"/>
        <v>#VALUE!</v>
      </c>
      <c r="M1432" s="1"/>
      <c r="P1432"/>
    </row>
    <row r="1433" spans="1:16">
      <c r="A1433" t="s">
        <v>519</v>
      </c>
      <c r="B1433" t="s">
        <v>167</v>
      </c>
      <c r="C1433" t="s">
        <v>2416</v>
      </c>
      <c r="D1433" s="14">
        <v>10</v>
      </c>
      <c r="F1433" s="13">
        <v>45764.854166666664</v>
      </c>
      <c r="G1433" t="s">
        <v>1</v>
      </c>
      <c r="H1433" t="s">
        <v>35</v>
      </c>
      <c r="I1433" t="str">
        <f>IF(B1433=IFERROR(VLOOKUP(B1433,base!$L$1:$L$12,1,0),""),"Produtos",IF(B1433=IFERROR(VLOOKUP(B1433,base!$K$2:$K$12,1,0),""),"Serviços",IF(B1433="Gorjeta","Gorjeta","Combos")))</f>
        <v>Serviços</v>
      </c>
      <c r="J1433">
        <f t="shared" si="42"/>
        <v>4.5</v>
      </c>
      <c r="K1433" s="1" t="e">
        <f t="shared" si="43"/>
        <v>#VALUE!</v>
      </c>
      <c r="M1433" s="1"/>
      <c r="P1433"/>
    </row>
    <row r="1434" spans="1:16">
      <c r="A1434" t="s">
        <v>252</v>
      </c>
      <c r="B1434" t="s">
        <v>163</v>
      </c>
      <c r="C1434" t="s">
        <v>2417</v>
      </c>
      <c r="D1434" s="14">
        <v>35</v>
      </c>
      <c r="E1434" s="14">
        <v>35</v>
      </c>
      <c r="F1434" s="13">
        <v>45766.739583333336</v>
      </c>
      <c r="G1434" t="s">
        <v>310</v>
      </c>
      <c r="H1434" t="s">
        <v>376</v>
      </c>
      <c r="I1434" t="str">
        <f>IF(B1434=IFERROR(VLOOKUP(B1434,base!$L$1:$L$12,1,0),""),"Produtos",IF(B1434=IFERROR(VLOOKUP(B1434,base!$K$2:$K$12,1,0),""),"Serviços",IF(B1434="Gorjeta","Gorjeta","Combos")))</f>
        <v>Serviços</v>
      </c>
      <c r="J1434">
        <f t="shared" si="42"/>
        <v>15.75</v>
      </c>
      <c r="K1434" s="1" t="e">
        <f t="shared" si="43"/>
        <v>#VALUE!</v>
      </c>
      <c r="M1434" s="1"/>
      <c r="P1434"/>
    </row>
    <row r="1435" spans="1:16">
      <c r="A1435" t="s">
        <v>519</v>
      </c>
      <c r="B1435" t="s">
        <v>353</v>
      </c>
      <c r="C1435" t="s">
        <v>2418</v>
      </c>
      <c r="D1435" s="14">
        <v>60</v>
      </c>
      <c r="E1435" s="14">
        <v>60</v>
      </c>
      <c r="F1435" s="13">
        <v>45765.458333333336</v>
      </c>
      <c r="G1435" t="s">
        <v>354</v>
      </c>
      <c r="H1435" t="s">
        <v>2419</v>
      </c>
      <c r="I1435" t="str">
        <f>IF(B1435=IFERROR(VLOOKUP(B1435,base!$L$1:$L$12,1,0),""),"Produtos",IF(B1435=IFERROR(VLOOKUP(B1435,base!$K$2:$K$12,1,0),""),"Serviços",IF(B1435="Gorjeta","Gorjeta","Combos")))</f>
        <v>Combos</v>
      </c>
      <c r="J1435">
        <f t="shared" si="42"/>
        <v>27</v>
      </c>
      <c r="K1435" s="1" t="e">
        <f t="shared" si="43"/>
        <v>#VALUE!</v>
      </c>
      <c r="M1435" s="1"/>
      <c r="P1435"/>
    </row>
    <row r="1436" spans="1:16">
      <c r="A1436" t="s">
        <v>252</v>
      </c>
      <c r="B1436" t="s">
        <v>353</v>
      </c>
      <c r="C1436" t="s">
        <v>2420</v>
      </c>
      <c r="D1436" s="14">
        <v>60</v>
      </c>
      <c r="E1436" s="14">
        <v>55</v>
      </c>
      <c r="F1436" s="13">
        <v>45764.916666666664</v>
      </c>
      <c r="G1436" t="s">
        <v>1</v>
      </c>
      <c r="H1436" t="s">
        <v>105</v>
      </c>
      <c r="I1436" t="str">
        <f>IF(B1436=IFERROR(VLOOKUP(B1436,base!$L$1:$L$12,1,0),""),"Produtos",IF(B1436=IFERROR(VLOOKUP(B1436,base!$K$2:$K$12,1,0),""),"Serviços",IF(B1436="Gorjeta","Gorjeta","Combos")))</f>
        <v>Combos</v>
      </c>
      <c r="J1436">
        <f t="shared" si="42"/>
        <v>27</v>
      </c>
      <c r="K1436" s="1" t="e">
        <f t="shared" si="43"/>
        <v>#VALUE!</v>
      </c>
      <c r="M1436" s="1"/>
      <c r="P1436"/>
    </row>
    <row r="1437" spans="1:16">
      <c r="A1437" t="s">
        <v>252</v>
      </c>
      <c r="B1437" t="s">
        <v>163</v>
      </c>
      <c r="C1437" t="s">
        <v>2421</v>
      </c>
      <c r="D1437" s="14">
        <v>35</v>
      </c>
      <c r="E1437" s="14">
        <v>70</v>
      </c>
      <c r="F1437" s="13">
        <v>45764.927083333336</v>
      </c>
      <c r="G1437" t="s">
        <v>1</v>
      </c>
      <c r="H1437" t="s">
        <v>201</v>
      </c>
      <c r="I1437" t="str">
        <f>IF(B1437=IFERROR(VLOOKUP(B1437,base!$L$1:$L$12,1,0),""),"Produtos",IF(B1437=IFERROR(VLOOKUP(B1437,base!$K$2:$K$12,1,0),""),"Serviços",IF(B1437="Gorjeta","Gorjeta","Combos")))</f>
        <v>Serviços</v>
      </c>
      <c r="J1437">
        <f t="shared" si="42"/>
        <v>15.75</v>
      </c>
      <c r="K1437" s="1" t="e">
        <f t="shared" si="43"/>
        <v>#VALUE!</v>
      </c>
      <c r="M1437" s="1"/>
      <c r="P1437"/>
    </row>
    <row r="1438" spans="1:16">
      <c r="A1438" t="s">
        <v>252</v>
      </c>
      <c r="B1438" t="s">
        <v>163</v>
      </c>
      <c r="C1438" t="s">
        <v>2421</v>
      </c>
      <c r="D1438" s="14">
        <v>35</v>
      </c>
      <c r="F1438" s="13">
        <v>45764.927083333336</v>
      </c>
      <c r="G1438" t="s">
        <v>1</v>
      </c>
      <c r="H1438" t="s">
        <v>201</v>
      </c>
      <c r="I1438" t="str">
        <f>IF(B1438=IFERROR(VLOOKUP(B1438,base!$L$1:$L$12,1,0),""),"Produtos",IF(B1438=IFERROR(VLOOKUP(B1438,base!$K$2:$K$12,1,0),""),"Serviços",IF(B1438="Gorjeta","Gorjeta","Combos")))</f>
        <v>Serviços</v>
      </c>
      <c r="J1438">
        <f t="shared" si="42"/>
        <v>15.75</v>
      </c>
      <c r="K1438" s="1" t="e">
        <f t="shared" si="43"/>
        <v>#VALUE!</v>
      </c>
      <c r="M1438" s="1"/>
      <c r="P1438"/>
    </row>
    <row r="1439" spans="1:16">
      <c r="A1439" t="s">
        <v>252</v>
      </c>
      <c r="B1439" t="s">
        <v>163</v>
      </c>
      <c r="C1439" t="s">
        <v>2422</v>
      </c>
      <c r="D1439" s="14">
        <v>35</v>
      </c>
      <c r="E1439" s="14">
        <v>35</v>
      </c>
      <c r="F1439" s="13">
        <v>45765.416666666664</v>
      </c>
      <c r="G1439" t="s">
        <v>1</v>
      </c>
      <c r="H1439" t="s">
        <v>123</v>
      </c>
      <c r="I1439" t="str">
        <f>IF(B1439=IFERROR(VLOOKUP(B1439,base!$L$1:$L$12,1,0),""),"Produtos",IF(B1439=IFERROR(VLOOKUP(B1439,base!$K$2:$K$12,1,0),""),"Serviços",IF(B1439="Gorjeta","Gorjeta","Combos")))</f>
        <v>Serviços</v>
      </c>
      <c r="J1439">
        <f t="shared" si="42"/>
        <v>15.75</v>
      </c>
      <c r="K1439" s="1" t="e">
        <f t="shared" si="43"/>
        <v>#VALUE!</v>
      </c>
      <c r="M1439" s="1"/>
      <c r="P1439"/>
    </row>
    <row r="1440" spans="1:16">
      <c r="A1440" t="s">
        <v>519</v>
      </c>
      <c r="B1440" t="s">
        <v>163</v>
      </c>
      <c r="C1440" t="s">
        <v>2423</v>
      </c>
      <c r="D1440" s="14">
        <v>35</v>
      </c>
      <c r="E1440" s="14">
        <v>35</v>
      </c>
      <c r="F1440" s="13">
        <v>45765.59375</v>
      </c>
      <c r="G1440" t="s">
        <v>1</v>
      </c>
      <c r="H1440" t="s">
        <v>1229</v>
      </c>
      <c r="I1440" t="str">
        <f>IF(B1440=IFERROR(VLOOKUP(B1440,base!$L$1:$L$12,1,0),""),"Produtos",IF(B1440=IFERROR(VLOOKUP(B1440,base!$K$2:$K$12,1,0),""),"Serviços",IF(B1440="Gorjeta","Gorjeta","Combos")))</f>
        <v>Serviços</v>
      </c>
      <c r="J1440">
        <f t="shared" si="42"/>
        <v>15.75</v>
      </c>
      <c r="K1440" s="1" t="e">
        <f t="shared" si="43"/>
        <v>#VALUE!</v>
      </c>
      <c r="M1440" s="1"/>
      <c r="P1440"/>
    </row>
    <row r="1441" spans="1:16">
      <c r="A1441" t="s">
        <v>519</v>
      </c>
      <c r="B1441" t="s">
        <v>167</v>
      </c>
      <c r="C1441" t="s">
        <v>2424</v>
      </c>
      <c r="D1441" s="14">
        <v>10</v>
      </c>
      <c r="E1441" s="14">
        <v>45</v>
      </c>
      <c r="F1441" s="13">
        <v>45765.489583333336</v>
      </c>
      <c r="G1441" t="s">
        <v>1</v>
      </c>
      <c r="H1441" t="s">
        <v>491</v>
      </c>
      <c r="I1441" t="str">
        <f>IF(B1441=IFERROR(VLOOKUP(B1441,base!$L$1:$L$12,1,0),""),"Produtos",IF(B1441=IFERROR(VLOOKUP(B1441,base!$K$2:$K$12,1,0),""),"Serviços",IF(B1441="Gorjeta","Gorjeta","Combos")))</f>
        <v>Serviços</v>
      </c>
      <c r="J1441">
        <f t="shared" si="42"/>
        <v>4.5</v>
      </c>
      <c r="K1441" s="1" t="e">
        <f t="shared" si="43"/>
        <v>#VALUE!</v>
      </c>
      <c r="M1441" s="1"/>
      <c r="P1441"/>
    </row>
    <row r="1442" spans="1:16">
      <c r="A1442" t="s">
        <v>519</v>
      </c>
      <c r="B1442" t="s">
        <v>163</v>
      </c>
      <c r="C1442" t="s">
        <v>2424</v>
      </c>
      <c r="D1442" s="14">
        <v>35</v>
      </c>
      <c r="F1442" s="13">
        <v>45765.489583333336</v>
      </c>
      <c r="G1442" t="s">
        <v>1</v>
      </c>
      <c r="H1442" t="s">
        <v>491</v>
      </c>
      <c r="I1442" t="str">
        <f>IF(B1442=IFERROR(VLOOKUP(B1442,base!$L$1:$L$12,1,0),""),"Produtos",IF(B1442=IFERROR(VLOOKUP(B1442,base!$K$2:$K$12,1,0),""),"Serviços",IF(B1442="Gorjeta","Gorjeta","Combos")))</f>
        <v>Serviços</v>
      </c>
      <c r="J1442">
        <f t="shared" si="42"/>
        <v>15.75</v>
      </c>
      <c r="K1442" s="1" t="e">
        <f t="shared" si="43"/>
        <v>#VALUE!</v>
      </c>
      <c r="M1442" s="1"/>
      <c r="P1442"/>
    </row>
    <row r="1443" spans="1:16">
      <c r="A1443" t="s">
        <v>519</v>
      </c>
      <c r="B1443" t="s">
        <v>163</v>
      </c>
      <c r="C1443" t="s">
        <v>2425</v>
      </c>
      <c r="D1443" s="14">
        <v>35</v>
      </c>
      <c r="E1443" s="14">
        <v>35</v>
      </c>
      <c r="F1443" s="13">
        <v>45765.413194444445</v>
      </c>
      <c r="G1443" t="s">
        <v>2</v>
      </c>
      <c r="H1443" t="s">
        <v>278</v>
      </c>
      <c r="I1443" t="str">
        <f>IF(B1443=IFERROR(VLOOKUP(B1443,base!$L$1:$L$12,1,0),""),"Produtos",IF(B1443=IFERROR(VLOOKUP(B1443,base!$K$2:$K$12,1,0),""),"Serviços",IF(B1443="Gorjeta","Gorjeta","Combos")))</f>
        <v>Serviços</v>
      </c>
      <c r="J1443">
        <f t="shared" si="42"/>
        <v>15.75</v>
      </c>
      <c r="K1443" s="1" t="e">
        <f t="shared" si="43"/>
        <v>#VALUE!</v>
      </c>
      <c r="M1443" s="1"/>
      <c r="P1443"/>
    </row>
    <row r="1444" spans="1:16">
      <c r="A1444" t="s">
        <v>252</v>
      </c>
      <c r="B1444" t="s">
        <v>163</v>
      </c>
      <c r="C1444" t="s">
        <v>2426</v>
      </c>
      <c r="D1444" s="14">
        <v>35</v>
      </c>
      <c r="E1444" s="14">
        <v>35</v>
      </c>
      <c r="F1444" s="13">
        <v>45766.416666666664</v>
      </c>
      <c r="G1444" t="s">
        <v>1</v>
      </c>
      <c r="H1444" t="s">
        <v>414</v>
      </c>
      <c r="I1444" t="str">
        <f>IF(B1444=IFERROR(VLOOKUP(B1444,base!$L$1:$L$12,1,0),""),"Produtos",IF(B1444=IFERROR(VLOOKUP(B1444,base!$K$2:$K$12,1,0),""),"Serviços",IF(B1444="Gorjeta","Gorjeta","Combos")))</f>
        <v>Serviços</v>
      </c>
      <c r="J1444">
        <f t="shared" si="42"/>
        <v>15.75</v>
      </c>
      <c r="K1444" s="1" t="e">
        <f t="shared" si="43"/>
        <v>#VALUE!</v>
      </c>
      <c r="M1444" s="1"/>
      <c r="P1444"/>
    </row>
    <row r="1445" spans="1:16">
      <c r="A1445" t="s">
        <v>519</v>
      </c>
      <c r="B1445" t="s">
        <v>163</v>
      </c>
      <c r="C1445" t="s">
        <v>2427</v>
      </c>
      <c r="D1445" s="14">
        <v>35</v>
      </c>
      <c r="E1445" s="14">
        <v>50</v>
      </c>
      <c r="F1445" s="13">
        <v>45766.4375</v>
      </c>
      <c r="G1445" t="s">
        <v>1</v>
      </c>
      <c r="H1445" t="s">
        <v>414</v>
      </c>
      <c r="I1445" t="str">
        <f>IF(B1445=IFERROR(VLOOKUP(B1445,base!$L$1:$L$12,1,0),""),"Produtos",IF(B1445=IFERROR(VLOOKUP(B1445,base!$K$2:$K$12,1,0),""),"Serviços",IF(B1445="Gorjeta","Gorjeta","Combos")))</f>
        <v>Serviços</v>
      </c>
      <c r="J1445">
        <f t="shared" si="42"/>
        <v>15.75</v>
      </c>
      <c r="K1445" s="1" t="e">
        <f t="shared" si="43"/>
        <v>#VALUE!</v>
      </c>
      <c r="M1445" s="1"/>
      <c r="P1445"/>
    </row>
    <row r="1446" spans="1:16">
      <c r="A1446" t="s">
        <v>519</v>
      </c>
      <c r="B1446" t="s">
        <v>1046</v>
      </c>
      <c r="C1446" t="s">
        <v>2427</v>
      </c>
      <c r="D1446" s="14">
        <v>15</v>
      </c>
      <c r="F1446" s="13">
        <v>45766.4375</v>
      </c>
      <c r="G1446" t="s">
        <v>1</v>
      </c>
      <c r="H1446" t="s">
        <v>414</v>
      </c>
      <c r="I1446" t="str">
        <f>IF(B1446=IFERROR(VLOOKUP(B1446,base!$L$1:$L$12,1,0),""),"Produtos",IF(B1446=IFERROR(VLOOKUP(B1446,base!$K$2:$K$12,1,0),""),"Serviços",IF(B1446="Gorjeta","Gorjeta","Combos")))</f>
        <v>Serviços</v>
      </c>
      <c r="J1446">
        <f t="shared" si="42"/>
        <v>6.75</v>
      </c>
      <c r="K1446" s="1" t="e">
        <f t="shared" si="43"/>
        <v>#VALUE!</v>
      </c>
      <c r="M1446" s="1"/>
      <c r="P1446"/>
    </row>
    <row r="1447" spans="1:16">
      <c r="A1447" t="s">
        <v>252</v>
      </c>
      <c r="B1447" t="s">
        <v>163</v>
      </c>
      <c r="C1447" t="s">
        <v>2428</v>
      </c>
      <c r="D1447" s="14">
        <v>35</v>
      </c>
      <c r="E1447" s="14">
        <v>35</v>
      </c>
      <c r="F1447" s="13">
        <v>45766.53125</v>
      </c>
      <c r="G1447" t="s">
        <v>2</v>
      </c>
      <c r="H1447" t="s">
        <v>22</v>
      </c>
      <c r="I1447" t="str">
        <f>IF(B1447=IFERROR(VLOOKUP(B1447,base!$L$1:$L$12,1,0),""),"Produtos",IF(B1447=IFERROR(VLOOKUP(B1447,base!$K$2:$K$12,1,0),""),"Serviços",IF(B1447="Gorjeta","Gorjeta","Combos")))</f>
        <v>Serviços</v>
      </c>
      <c r="J1447">
        <f t="shared" ref="J1447:J1510" si="44">IF(AND(I1447="Serviços",E1447&gt;0),ROUND(D1447*45%,2),IF(I1447="Produtos",ROUND(D1447*40%,2),D1447*45%))</f>
        <v>15.75</v>
      </c>
      <c r="K1447" s="1" t="e">
        <f t="shared" ref="K1447:K1510" si="45">DATEVALUE(F1447)</f>
        <v>#VALUE!</v>
      </c>
      <c r="M1447" s="1"/>
      <c r="P1447"/>
    </row>
    <row r="1448" spans="1:16">
      <c r="A1448" t="s">
        <v>519</v>
      </c>
      <c r="B1448" t="s">
        <v>163</v>
      </c>
      <c r="C1448" t="s">
        <v>2429</v>
      </c>
      <c r="D1448" s="14">
        <v>35</v>
      </c>
      <c r="E1448" s="14">
        <v>55</v>
      </c>
      <c r="F1448" s="13">
        <v>45765.475694444445</v>
      </c>
      <c r="G1448" t="s">
        <v>1</v>
      </c>
      <c r="H1448" t="s">
        <v>194</v>
      </c>
      <c r="I1448" t="str">
        <f>IF(B1448=IFERROR(VLOOKUP(B1448,base!$L$1:$L$12,1,0),""),"Produtos",IF(B1448=IFERROR(VLOOKUP(B1448,base!$K$2:$K$12,1,0),""),"Serviços",IF(B1448="Gorjeta","Gorjeta","Combos")))</f>
        <v>Serviços</v>
      </c>
      <c r="J1448">
        <f t="shared" si="44"/>
        <v>15.75</v>
      </c>
      <c r="K1448" s="1" t="e">
        <f t="shared" si="45"/>
        <v>#VALUE!</v>
      </c>
      <c r="M1448" s="1"/>
      <c r="P1448"/>
    </row>
    <row r="1449" spans="1:16">
      <c r="A1449" t="s">
        <v>519</v>
      </c>
      <c r="B1449" t="s">
        <v>507</v>
      </c>
      <c r="C1449" t="s">
        <v>2429</v>
      </c>
      <c r="D1449" s="14">
        <v>20</v>
      </c>
      <c r="F1449" s="13">
        <v>45765.475694444445</v>
      </c>
      <c r="G1449" t="s">
        <v>1</v>
      </c>
      <c r="H1449" t="s">
        <v>194</v>
      </c>
      <c r="I1449" t="str">
        <f>IF(B1449=IFERROR(VLOOKUP(B1449,base!$L$1:$L$12,1,0),""),"Produtos",IF(B1449=IFERROR(VLOOKUP(B1449,base!$K$2:$K$12,1,0),""),"Serviços",IF(B1449="Gorjeta","Gorjeta","Combos")))</f>
        <v>Produtos</v>
      </c>
      <c r="J1449">
        <f t="shared" si="44"/>
        <v>8</v>
      </c>
      <c r="K1449" s="1" t="e">
        <f t="shared" si="45"/>
        <v>#VALUE!</v>
      </c>
      <c r="M1449" s="1"/>
      <c r="P1449"/>
    </row>
    <row r="1450" spans="1:16">
      <c r="A1450" t="s">
        <v>252</v>
      </c>
      <c r="B1450" t="s">
        <v>163</v>
      </c>
      <c r="C1450" t="s">
        <v>2430</v>
      </c>
      <c r="D1450" s="14">
        <v>35</v>
      </c>
      <c r="E1450" s="14">
        <v>35</v>
      </c>
      <c r="F1450" s="13">
        <v>45765.5</v>
      </c>
      <c r="G1450" t="s">
        <v>354</v>
      </c>
      <c r="H1450" t="s">
        <v>372</v>
      </c>
      <c r="I1450" t="str">
        <f>IF(B1450=IFERROR(VLOOKUP(B1450,base!$L$1:$L$12,1,0),""),"Produtos",IF(B1450=IFERROR(VLOOKUP(B1450,base!$K$2:$K$12,1,0),""),"Serviços",IF(B1450="Gorjeta","Gorjeta","Combos")))</f>
        <v>Serviços</v>
      </c>
      <c r="J1450">
        <f t="shared" si="44"/>
        <v>15.75</v>
      </c>
      <c r="K1450" s="1" t="e">
        <f t="shared" si="45"/>
        <v>#VALUE!</v>
      </c>
      <c r="M1450" s="1"/>
      <c r="P1450"/>
    </row>
    <row r="1451" spans="1:16">
      <c r="A1451" t="s">
        <v>536</v>
      </c>
      <c r="B1451" t="s">
        <v>353</v>
      </c>
      <c r="C1451" t="s">
        <v>2431</v>
      </c>
      <c r="D1451" s="14">
        <v>50</v>
      </c>
      <c r="E1451" s="14">
        <v>50</v>
      </c>
      <c r="F1451" s="13">
        <v>45765.46875</v>
      </c>
      <c r="G1451" t="s">
        <v>1</v>
      </c>
      <c r="H1451" t="s">
        <v>188</v>
      </c>
      <c r="I1451" t="str">
        <f>IF(B1451=IFERROR(VLOOKUP(B1451,base!$L$1:$L$12,1,0),""),"Produtos",IF(B1451=IFERROR(VLOOKUP(B1451,base!$K$2:$K$12,1,0),""),"Serviços",IF(B1451="Gorjeta","Gorjeta","Combos")))</f>
        <v>Combos</v>
      </c>
      <c r="J1451">
        <f t="shared" si="44"/>
        <v>22.5</v>
      </c>
      <c r="K1451" s="1" t="e">
        <f t="shared" si="45"/>
        <v>#VALUE!</v>
      </c>
      <c r="M1451" s="1"/>
      <c r="P1451"/>
    </row>
    <row r="1452" spans="1:16">
      <c r="A1452" t="s">
        <v>252</v>
      </c>
      <c r="B1452" t="s">
        <v>163</v>
      </c>
      <c r="C1452" t="s">
        <v>2432</v>
      </c>
      <c r="D1452" s="14">
        <v>35</v>
      </c>
      <c r="E1452" s="14">
        <v>65</v>
      </c>
      <c r="F1452" s="13">
        <v>45766.625</v>
      </c>
      <c r="G1452" t="s">
        <v>1</v>
      </c>
      <c r="H1452" t="s">
        <v>79</v>
      </c>
      <c r="I1452" t="str">
        <f>IF(B1452=IFERROR(VLOOKUP(B1452,base!$L$1:$L$12,1,0),""),"Produtos",IF(B1452=IFERROR(VLOOKUP(B1452,base!$K$2:$K$12,1,0),""),"Serviços",IF(B1452="Gorjeta","Gorjeta","Combos")))</f>
        <v>Serviços</v>
      </c>
      <c r="J1452">
        <f t="shared" si="44"/>
        <v>15.75</v>
      </c>
      <c r="K1452" s="1" t="e">
        <f t="shared" si="45"/>
        <v>#VALUE!</v>
      </c>
      <c r="M1452" s="1"/>
      <c r="P1452"/>
    </row>
    <row r="1453" spans="1:16">
      <c r="A1453" t="s">
        <v>252</v>
      </c>
      <c r="B1453" t="s">
        <v>166</v>
      </c>
      <c r="C1453" t="s">
        <v>2432</v>
      </c>
      <c r="D1453" s="14">
        <v>20</v>
      </c>
      <c r="F1453" s="13">
        <v>45766.625</v>
      </c>
      <c r="G1453" t="s">
        <v>1</v>
      </c>
      <c r="H1453" t="s">
        <v>79</v>
      </c>
      <c r="I1453" t="str">
        <f>IF(B1453=IFERROR(VLOOKUP(B1453,base!$L$1:$L$12,1,0),""),"Produtos",IF(B1453=IFERROR(VLOOKUP(B1453,base!$K$2:$K$12,1,0),""),"Serviços",IF(B1453="Gorjeta","Gorjeta","Combos")))</f>
        <v>Serviços</v>
      </c>
      <c r="J1453">
        <f t="shared" si="44"/>
        <v>9</v>
      </c>
      <c r="K1453" s="1" t="e">
        <f t="shared" si="45"/>
        <v>#VALUE!</v>
      </c>
      <c r="M1453" s="1"/>
      <c r="P1453"/>
    </row>
    <row r="1454" spans="1:16">
      <c r="A1454" t="s">
        <v>252</v>
      </c>
      <c r="B1454" t="s">
        <v>160</v>
      </c>
      <c r="C1454" t="s">
        <v>2432</v>
      </c>
      <c r="D1454" s="14">
        <v>10</v>
      </c>
      <c r="F1454" s="13">
        <v>45766.625</v>
      </c>
      <c r="G1454" t="s">
        <v>1</v>
      </c>
      <c r="H1454" t="s">
        <v>79</v>
      </c>
      <c r="I1454" t="str">
        <f>IF(B1454=IFERROR(VLOOKUP(B1454,base!$L$1:$L$12,1,0),""),"Produtos",IF(B1454=IFERROR(VLOOKUP(B1454,base!$K$2:$K$12,1,0),""),"Serviços",IF(B1454="Gorjeta","Gorjeta","Combos")))</f>
        <v>Serviços</v>
      </c>
      <c r="J1454">
        <f t="shared" si="44"/>
        <v>4.5</v>
      </c>
      <c r="K1454" s="1" t="e">
        <f t="shared" si="45"/>
        <v>#VALUE!</v>
      </c>
      <c r="M1454" s="1"/>
      <c r="P1454"/>
    </row>
    <row r="1455" spans="1:16">
      <c r="A1455" t="s">
        <v>536</v>
      </c>
      <c r="B1455" t="s">
        <v>163</v>
      </c>
      <c r="C1455" t="s">
        <v>2433</v>
      </c>
      <c r="D1455" s="14">
        <v>35</v>
      </c>
      <c r="E1455" s="14">
        <v>70</v>
      </c>
      <c r="F1455" s="13">
        <v>45765.572916666664</v>
      </c>
      <c r="G1455" t="s">
        <v>1</v>
      </c>
      <c r="H1455" t="s">
        <v>2434</v>
      </c>
      <c r="I1455" t="str">
        <f>IF(B1455=IFERROR(VLOOKUP(B1455,base!$L$1:$L$12,1,0),""),"Produtos",IF(B1455=IFERROR(VLOOKUP(B1455,base!$K$2:$K$12,1,0),""),"Serviços",IF(B1455="Gorjeta","Gorjeta","Combos")))</f>
        <v>Serviços</v>
      </c>
      <c r="J1455">
        <f t="shared" si="44"/>
        <v>15.75</v>
      </c>
      <c r="K1455" s="1" t="e">
        <f t="shared" si="45"/>
        <v>#VALUE!</v>
      </c>
      <c r="M1455" s="1"/>
      <c r="P1455"/>
    </row>
    <row r="1456" spans="1:16">
      <c r="A1456" t="s">
        <v>536</v>
      </c>
      <c r="B1456" t="s">
        <v>163</v>
      </c>
      <c r="C1456" t="s">
        <v>2433</v>
      </c>
      <c r="D1456" s="14">
        <v>35</v>
      </c>
      <c r="F1456" s="13">
        <v>45765.572916666664</v>
      </c>
      <c r="G1456" t="s">
        <v>1</v>
      </c>
      <c r="H1456" t="s">
        <v>2434</v>
      </c>
      <c r="I1456" t="str">
        <f>IF(B1456=IFERROR(VLOOKUP(B1456,base!$L$1:$L$12,1,0),""),"Produtos",IF(B1456=IFERROR(VLOOKUP(B1456,base!$K$2:$K$12,1,0),""),"Serviços",IF(B1456="Gorjeta","Gorjeta","Combos")))</f>
        <v>Serviços</v>
      </c>
      <c r="J1456">
        <f t="shared" si="44"/>
        <v>15.75</v>
      </c>
      <c r="K1456" s="1" t="e">
        <f t="shared" si="45"/>
        <v>#VALUE!</v>
      </c>
      <c r="M1456" s="1"/>
      <c r="P1456"/>
    </row>
    <row r="1457" spans="1:16">
      <c r="A1457" t="s">
        <v>536</v>
      </c>
      <c r="B1457" t="s">
        <v>163</v>
      </c>
      <c r="C1457" t="s">
        <v>2435</v>
      </c>
      <c r="D1457" s="14">
        <v>30</v>
      </c>
      <c r="E1457" s="14">
        <v>30</v>
      </c>
      <c r="F1457" s="13">
        <v>45766.40625</v>
      </c>
      <c r="G1457" t="s">
        <v>1</v>
      </c>
      <c r="H1457" t="s">
        <v>1348</v>
      </c>
      <c r="I1457" t="str">
        <f>IF(B1457=IFERROR(VLOOKUP(B1457,base!$L$1:$L$12,1,0),""),"Produtos",IF(B1457=IFERROR(VLOOKUP(B1457,base!$K$2:$K$12,1,0),""),"Serviços",IF(B1457="Gorjeta","Gorjeta","Combos")))</f>
        <v>Serviços</v>
      </c>
      <c r="J1457">
        <f t="shared" si="44"/>
        <v>13.5</v>
      </c>
      <c r="K1457" s="1" t="e">
        <f t="shared" si="45"/>
        <v>#VALUE!</v>
      </c>
      <c r="M1457" s="1"/>
      <c r="P1457"/>
    </row>
    <row r="1458" spans="1:16">
      <c r="A1458" t="s">
        <v>252</v>
      </c>
      <c r="B1458" t="s">
        <v>353</v>
      </c>
      <c r="C1458" t="s">
        <v>2436</v>
      </c>
      <c r="D1458" s="14">
        <v>60</v>
      </c>
      <c r="E1458" s="14">
        <v>80</v>
      </c>
      <c r="F1458" s="13">
        <v>45765.59375</v>
      </c>
      <c r="G1458" t="s">
        <v>1</v>
      </c>
      <c r="H1458" t="s">
        <v>2437</v>
      </c>
      <c r="I1458" t="str">
        <f>IF(B1458=IFERROR(VLOOKUP(B1458,base!$L$1:$L$12,1,0),""),"Produtos",IF(B1458=IFERROR(VLOOKUP(B1458,base!$K$2:$K$12,1,0),""),"Serviços",IF(B1458="Gorjeta","Gorjeta","Combos")))</f>
        <v>Combos</v>
      </c>
      <c r="J1458">
        <f t="shared" si="44"/>
        <v>27</v>
      </c>
      <c r="K1458" s="1" t="e">
        <f t="shared" si="45"/>
        <v>#VALUE!</v>
      </c>
      <c r="M1458" s="1"/>
      <c r="P1458"/>
    </row>
    <row r="1459" spans="1:16">
      <c r="A1459" t="s">
        <v>252</v>
      </c>
      <c r="B1459" t="s">
        <v>352</v>
      </c>
      <c r="C1459" t="s">
        <v>2436</v>
      </c>
      <c r="D1459" s="14">
        <v>20</v>
      </c>
      <c r="F1459" s="13">
        <v>45765.59375</v>
      </c>
      <c r="G1459" t="s">
        <v>1</v>
      </c>
      <c r="H1459" t="s">
        <v>2437</v>
      </c>
      <c r="I1459" t="str">
        <f>IF(B1459=IFERROR(VLOOKUP(B1459,base!$L$1:$L$12,1,0),""),"Produtos",IF(B1459=IFERROR(VLOOKUP(B1459,base!$K$2:$K$12,1,0),""),"Serviços",IF(B1459="Gorjeta","Gorjeta","Combos")))</f>
        <v>Combos</v>
      </c>
      <c r="J1459">
        <f t="shared" si="44"/>
        <v>9</v>
      </c>
      <c r="K1459" s="1" t="e">
        <f t="shared" si="45"/>
        <v>#VALUE!</v>
      </c>
      <c r="M1459" s="1"/>
      <c r="P1459"/>
    </row>
    <row r="1460" spans="1:16">
      <c r="A1460" t="s">
        <v>536</v>
      </c>
      <c r="B1460" t="s">
        <v>353</v>
      </c>
      <c r="C1460" t="s">
        <v>2438</v>
      </c>
      <c r="D1460" s="14">
        <v>60</v>
      </c>
      <c r="E1460" s="14">
        <v>60</v>
      </c>
      <c r="F1460" s="13">
        <v>45766.375</v>
      </c>
      <c r="G1460" t="s">
        <v>1</v>
      </c>
      <c r="H1460" t="s">
        <v>1499</v>
      </c>
      <c r="I1460" t="str">
        <f>IF(B1460=IFERROR(VLOOKUP(B1460,base!$L$1:$L$12,1,0),""),"Produtos",IF(B1460=IFERROR(VLOOKUP(B1460,base!$K$2:$K$12,1,0),""),"Serviços",IF(B1460="Gorjeta","Gorjeta","Combos")))</f>
        <v>Combos</v>
      </c>
      <c r="J1460">
        <f t="shared" si="44"/>
        <v>27</v>
      </c>
      <c r="K1460" s="1" t="e">
        <f t="shared" si="45"/>
        <v>#VALUE!</v>
      </c>
      <c r="M1460" s="1"/>
      <c r="P1460"/>
    </row>
    <row r="1461" spans="1:16">
      <c r="A1461" t="s">
        <v>536</v>
      </c>
      <c r="B1461" t="s">
        <v>163</v>
      </c>
      <c r="C1461" t="s">
        <v>2439</v>
      </c>
      <c r="D1461" s="14">
        <v>35</v>
      </c>
      <c r="E1461" s="14">
        <v>35</v>
      </c>
      <c r="F1461" s="13">
        <v>45766.427083333336</v>
      </c>
      <c r="G1461" t="s">
        <v>1</v>
      </c>
      <c r="H1461" t="s">
        <v>1457</v>
      </c>
      <c r="I1461" t="str">
        <f>IF(B1461=IFERROR(VLOOKUP(B1461,base!$L$1:$L$12,1,0),""),"Produtos",IF(B1461=IFERROR(VLOOKUP(B1461,base!$K$2:$K$12,1,0),""),"Serviços",IF(B1461="Gorjeta","Gorjeta","Combos")))</f>
        <v>Serviços</v>
      </c>
      <c r="J1461">
        <f t="shared" si="44"/>
        <v>15.75</v>
      </c>
      <c r="K1461" s="1" t="e">
        <f t="shared" si="45"/>
        <v>#VALUE!</v>
      </c>
      <c r="M1461" s="1"/>
      <c r="P1461"/>
    </row>
    <row r="1462" spans="1:16">
      <c r="A1462" t="s">
        <v>252</v>
      </c>
      <c r="B1462" t="s">
        <v>163</v>
      </c>
      <c r="C1462" t="s">
        <v>2440</v>
      </c>
      <c r="D1462" s="14">
        <v>35</v>
      </c>
      <c r="E1462" s="14">
        <v>35</v>
      </c>
      <c r="F1462" s="13">
        <v>45765.552083333336</v>
      </c>
      <c r="G1462" t="s">
        <v>1</v>
      </c>
      <c r="H1462" t="s">
        <v>1229</v>
      </c>
      <c r="I1462" t="str">
        <f>IF(B1462=IFERROR(VLOOKUP(B1462,base!$L$1:$L$12,1,0),""),"Produtos",IF(B1462=IFERROR(VLOOKUP(B1462,base!$K$2:$K$12,1,0),""),"Serviços",IF(B1462="Gorjeta","Gorjeta","Combos")))</f>
        <v>Serviços</v>
      </c>
      <c r="J1462">
        <f t="shared" si="44"/>
        <v>15.75</v>
      </c>
      <c r="K1462" s="1" t="e">
        <f t="shared" si="45"/>
        <v>#VALUE!</v>
      </c>
      <c r="M1462" s="1"/>
      <c r="P1462"/>
    </row>
    <row r="1463" spans="1:16">
      <c r="A1463" t="s">
        <v>252</v>
      </c>
      <c r="B1463" t="s">
        <v>1046</v>
      </c>
      <c r="C1463" t="s">
        <v>2441</v>
      </c>
      <c r="D1463" s="14">
        <v>35</v>
      </c>
      <c r="E1463" s="14">
        <v>35</v>
      </c>
      <c r="F1463" s="13">
        <v>45766.375</v>
      </c>
      <c r="G1463" t="s">
        <v>310</v>
      </c>
      <c r="H1463" t="s">
        <v>83</v>
      </c>
      <c r="I1463" t="str">
        <f>IF(B1463=IFERROR(VLOOKUP(B1463,base!$L$1:$L$12,1,0),""),"Produtos",IF(B1463=IFERROR(VLOOKUP(B1463,base!$K$2:$K$12,1,0),""),"Serviços",IF(B1463="Gorjeta","Gorjeta","Combos")))</f>
        <v>Serviços</v>
      </c>
      <c r="J1463">
        <f t="shared" si="44"/>
        <v>15.75</v>
      </c>
      <c r="K1463" s="1" t="e">
        <f t="shared" si="45"/>
        <v>#VALUE!</v>
      </c>
      <c r="M1463" s="1"/>
      <c r="P1463"/>
    </row>
    <row r="1464" spans="1:16">
      <c r="A1464" t="s">
        <v>519</v>
      </c>
      <c r="B1464" t="s">
        <v>163</v>
      </c>
      <c r="C1464" t="s">
        <v>2442</v>
      </c>
      <c r="D1464" s="14">
        <v>35</v>
      </c>
      <c r="E1464" s="14">
        <v>45</v>
      </c>
      <c r="F1464" s="13">
        <v>45766.604166666664</v>
      </c>
      <c r="G1464" t="s">
        <v>1</v>
      </c>
      <c r="H1464" t="s">
        <v>14</v>
      </c>
      <c r="I1464" t="str">
        <f>IF(B1464=IFERROR(VLOOKUP(B1464,base!$L$1:$L$12,1,0),""),"Produtos",IF(B1464=IFERROR(VLOOKUP(B1464,base!$K$2:$K$12,1,0),""),"Serviços",IF(B1464="Gorjeta","Gorjeta","Combos")))</f>
        <v>Serviços</v>
      </c>
      <c r="J1464">
        <f t="shared" si="44"/>
        <v>15.75</v>
      </c>
      <c r="K1464" s="1" t="e">
        <f t="shared" si="45"/>
        <v>#VALUE!</v>
      </c>
      <c r="M1464" s="1"/>
      <c r="P1464"/>
    </row>
    <row r="1465" spans="1:16">
      <c r="A1465" t="s">
        <v>519</v>
      </c>
      <c r="B1465" t="s">
        <v>167</v>
      </c>
      <c r="C1465" t="s">
        <v>2442</v>
      </c>
      <c r="D1465" s="14">
        <v>10</v>
      </c>
      <c r="F1465" s="13">
        <v>45766.604166666664</v>
      </c>
      <c r="G1465" t="s">
        <v>1</v>
      </c>
      <c r="H1465" t="s">
        <v>14</v>
      </c>
      <c r="I1465" t="str">
        <f>IF(B1465=IFERROR(VLOOKUP(B1465,base!$L$1:$L$12,1,0),""),"Produtos",IF(B1465=IFERROR(VLOOKUP(B1465,base!$K$2:$K$12,1,0),""),"Serviços",IF(B1465="Gorjeta","Gorjeta","Combos")))</f>
        <v>Serviços</v>
      </c>
      <c r="J1465">
        <f t="shared" si="44"/>
        <v>4.5</v>
      </c>
      <c r="K1465" s="1" t="e">
        <f t="shared" si="45"/>
        <v>#VALUE!</v>
      </c>
      <c r="M1465" s="1"/>
      <c r="P1465"/>
    </row>
    <row r="1466" spans="1:16">
      <c r="A1466" t="s">
        <v>519</v>
      </c>
      <c r="B1466" t="s">
        <v>160</v>
      </c>
      <c r="C1466" t="s">
        <v>2443</v>
      </c>
      <c r="D1466" s="14">
        <v>12</v>
      </c>
      <c r="E1466" s="14">
        <v>12</v>
      </c>
      <c r="F1466" s="13">
        <v>45766.479166666664</v>
      </c>
      <c r="G1466" t="s">
        <v>1</v>
      </c>
      <c r="H1466" t="s">
        <v>115</v>
      </c>
      <c r="I1466" t="str">
        <f>IF(B1466=IFERROR(VLOOKUP(B1466,base!$L$1:$L$12,1,0),""),"Produtos",IF(B1466=IFERROR(VLOOKUP(B1466,base!$K$2:$K$12,1,0),""),"Serviços",IF(B1466="Gorjeta","Gorjeta","Combos")))</f>
        <v>Serviços</v>
      </c>
      <c r="J1466">
        <f t="shared" si="44"/>
        <v>5.4</v>
      </c>
      <c r="K1466" s="1" t="e">
        <f t="shared" si="45"/>
        <v>#VALUE!</v>
      </c>
      <c r="M1466" s="1"/>
      <c r="P1466"/>
    </row>
    <row r="1467" spans="1:16">
      <c r="A1467" t="s">
        <v>519</v>
      </c>
      <c r="B1467" t="s">
        <v>353</v>
      </c>
      <c r="C1467" t="s">
        <v>2444</v>
      </c>
      <c r="D1467" s="14">
        <v>60</v>
      </c>
      <c r="E1467" s="14">
        <v>60</v>
      </c>
      <c r="F1467" s="13">
        <v>45766.75</v>
      </c>
      <c r="G1467" t="s">
        <v>354</v>
      </c>
      <c r="H1467" t="s">
        <v>1405</v>
      </c>
      <c r="I1467" t="str">
        <f>IF(B1467=IFERROR(VLOOKUP(B1467,base!$L$1:$L$12,1,0),""),"Produtos",IF(B1467=IFERROR(VLOOKUP(B1467,base!$K$2:$K$12,1,0),""),"Serviços",IF(B1467="Gorjeta","Gorjeta","Combos")))</f>
        <v>Combos</v>
      </c>
      <c r="J1467">
        <f t="shared" si="44"/>
        <v>27</v>
      </c>
      <c r="K1467" s="1" t="e">
        <f t="shared" si="45"/>
        <v>#VALUE!</v>
      </c>
      <c r="M1467" s="1"/>
      <c r="P1467"/>
    </row>
    <row r="1468" spans="1:16">
      <c r="A1468" t="s">
        <v>519</v>
      </c>
      <c r="B1468" t="s">
        <v>163</v>
      </c>
      <c r="C1468" t="s">
        <v>2445</v>
      </c>
      <c r="D1468" s="14">
        <v>35</v>
      </c>
      <c r="E1468" s="14">
        <v>45</v>
      </c>
      <c r="F1468" s="13">
        <v>45766.5625</v>
      </c>
      <c r="G1468" t="s">
        <v>1</v>
      </c>
      <c r="H1468" t="s">
        <v>282</v>
      </c>
      <c r="I1468" t="str">
        <f>IF(B1468=IFERROR(VLOOKUP(B1468,base!$L$1:$L$12,1,0),""),"Produtos",IF(B1468=IFERROR(VLOOKUP(B1468,base!$K$2:$K$12,1,0),""),"Serviços",IF(B1468="Gorjeta","Gorjeta","Combos")))</f>
        <v>Serviços</v>
      </c>
      <c r="J1468">
        <f t="shared" si="44"/>
        <v>15.75</v>
      </c>
      <c r="K1468" s="1" t="e">
        <f t="shared" si="45"/>
        <v>#VALUE!</v>
      </c>
      <c r="M1468" s="1"/>
      <c r="P1468"/>
    </row>
    <row r="1469" spans="1:16">
      <c r="A1469" t="s">
        <v>519</v>
      </c>
      <c r="B1469" t="s">
        <v>167</v>
      </c>
      <c r="C1469" t="s">
        <v>2445</v>
      </c>
      <c r="D1469" s="14">
        <v>10</v>
      </c>
      <c r="F1469" s="13">
        <v>45766.5625</v>
      </c>
      <c r="G1469" t="s">
        <v>1</v>
      </c>
      <c r="H1469" t="s">
        <v>282</v>
      </c>
      <c r="I1469" t="str">
        <f>IF(B1469=IFERROR(VLOOKUP(B1469,base!$L$1:$L$12,1,0),""),"Produtos",IF(B1469=IFERROR(VLOOKUP(B1469,base!$K$2:$K$12,1,0),""),"Serviços",IF(B1469="Gorjeta","Gorjeta","Combos")))</f>
        <v>Serviços</v>
      </c>
      <c r="J1469">
        <f t="shared" si="44"/>
        <v>4.5</v>
      </c>
      <c r="K1469" s="1" t="e">
        <f t="shared" si="45"/>
        <v>#VALUE!</v>
      </c>
      <c r="M1469" s="1"/>
      <c r="P1469"/>
    </row>
    <row r="1470" spans="1:16">
      <c r="A1470" t="s">
        <v>519</v>
      </c>
      <c r="B1470" t="s">
        <v>163</v>
      </c>
      <c r="C1470" t="s">
        <v>2446</v>
      </c>
      <c r="D1470" s="14">
        <v>35</v>
      </c>
      <c r="E1470" s="14">
        <v>35</v>
      </c>
      <c r="F1470" s="13">
        <v>45766.583333333336</v>
      </c>
      <c r="G1470" t="s">
        <v>1</v>
      </c>
      <c r="H1470" t="s">
        <v>87</v>
      </c>
      <c r="I1470" t="str">
        <f>IF(B1470=IFERROR(VLOOKUP(B1470,base!$L$1:$L$12,1,0),""),"Produtos",IF(B1470=IFERROR(VLOOKUP(B1470,base!$K$2:$K$12,1,0),""),"Serviços",IF(B1470="Gorjeta","Gorjeta","Combos")))</f>
        <v>Serviços</v>
      </c>
      <c r="J1470">
        <f t="shared" si="44"/>
        <v>15.75</v>
      </c>
      <c r="K1470" s="1" t="e">
        <f t="shared" si="45"/>
        <v>#VALUE!</v>
      </c>
      <c r="M1470" s="1"/>
      <c r="P1470"/>
    </row>
    <row r="1471" spans="1:16">
      <c r="A1471" t="s">
        <v>252</v>
      </c>
      <c r="B1471" t="s">
        <v>163</v>
      </c>
      <c r="C1471" t="s">
        <v>2447</v>
      </c>
      <c r="D1471" s="14">
        <v>35</v>
      </c>
      <c r="E1471" s="14">
        <v>35</v>
      </c>
      <c r="F1471" s="13">
        <v>45766.434027777781</v>
      </c>
      <c r="G1471" t="s">
        <v>1</v>
      </c>
      <c r="H1471" t="s">
        <v>189</v>
      </c>
      <c r="I1471" t="str">
        <f>IF(B1471=IFERROR(VLOOKUP(B1471,base!$L$1:$L$12,1,0),""),"Produtos",IF(B1471=IFERROR(VLOOKUP(B1471,base!$K$2:$K$12,1,0),""),"Serviços",IF(B1471="Gorjeta","Gorjeta","Combos")))</f>
        <v>Serviços</v>
      </c>
      <c r="J1471">
        <f t="shared" si="44"/>
        <v>15.75</v>
      </c>
      <c r="K1471" s="1" t="e">
        <f t="shared" si="45"/>
        <v>#VALUE!</v>
      </c>
      <c r="M1471" s="1"/>
      <c r="P1471"/>
    </row>
    <row r="1472" spans="1:16">
      <c r="A1472" t="s">
        <v>519</v>
      </c>
      <c r="B1472" t="s">
        <v>160</v>
      </c>
      <c r="C1472" t="s">
        <v>2448</v>
      </c>
      <c r="D1472" s="14">
        <v>12</v>
      </c>
      <c r="E1472" s="14">
        <v>12</v>
      </c>
      <c r="F1472" s="13">
        <v>45766.489583333336</v>
      </c>
      <c r="G1472" t="s">
        <v>2</v>
      </c>
      <c r="H1472" t="s">
        <v>2060</v>
      </c>
      <c r="I1472" t="str">
        <f>IF(B1472=IFERROR(VLOOKUP(B1472,base!$L$1:$L$12,1,0),""),"Produtos",IF(B1472=IFERROR(VLOOKUP(B1472,base!$K$2:$K$12,1,0),""),"Serviços",IF(B1472="Gorjeta","Gorjeta","Combos")))</f>
        <v>Serviços</v>
      </c>
      <c r="J1472">
        <f t="shared" si="44"/>
        <v>5.4</v>
      </c>
      <c r="K1472" s="1" t="e">
        <f t="shared" si="45"/>
        <v>#VALUE!</v>
      </c>
      <c r="M1472" s="1"/>
      <c r="P1472"/>
    </row>
    <row r="1473" spans="1:16">
      <c r="A1473" t="s">
        <v>536</v>
      </c>
      <c r="B1473" t="s">
        <v>163</v>
      </c>
      <c r="C1473" t="s">
        <v>2449</v>
      </c>
      <c r="D1473" s="14">
        <v>35</v>
      </c>
      <c r="E1473" s="14">
        <v>35</v>
      </c>
      <c r="F1473" s="13">
        <v>45766.479166666664</v>
      </c>
      <c r="G1473" t="s">
        <v>1</v>
      </c>
      <c r="H1473" t="s">
        <v>400</v>
      </c>
      <c r="I1473" t="str">
        <f>IF(B1473=IFERROR(VLOOKUP(B1473,base!$L$1:$L$12,1,0),""),"Produtos",IF(B1473=IFERROR(VLOOKUP(B1473,base!$K$2:$K$12,1,0),""),"Serviços",IF(B1473="Gorjeta","Gorjeta","Combos")))</f>
        <v>Serviços</v>
      </c>
      <c r="J1473">
        <f t="shared" si="44"/>
        <v>15.75</v>
      </c>
      <c r="K1473" s="1" t="e">
        <f t="shared" si="45"/>
        <v>#VALUE!</v>
      </c>
      <c r="M1473" s="1"/>
      <c r="P1473"/>
    </row>
    <row r="1474" spans="1:16">
      <c r="A1474" t="s">
        <v>519</v>
      </c>
      <c r="B1474" t="s">
        <v>353</v>
      </c>
      <c r="C1474" t="s">
        <v>2450</v>
      </c>
      <c r="D1474" s="14">
        <v>60</v>
      </c>
      <c r="E1474" s="14">
        <v>60</v>
      </c>
      <c r="F1474" s="13">
        <v>45766.489583333336</v>
      </c>
      <c r="G1474" t="s">
        <v>1</v>
      </c>
      <c r="H1474" t="s">
        <v>2451</v>
      </c>
      <c r="I1474" t="str">
        <f>IF(B1474=IFERROR(VLOOKUP(B1474,base!$L$1:$L$12,1,0),""),"Produtos",IF(B1474=IFERROR(VLOOKUP(B1474,base!$K$2:$K$12,1,0),""),"Serviços",IF(B1474="Gorjeta","Gorjeta","Combos")))</f>
        <v>Combos</v>
      </c>
      <c r="J1474">
        <f t="shared" si="44"/>
        <v>27</v>
      </c>
      <c r="K1474" s="1" t="e">
        <f t="shared" si="45"/>
        <v>#VALUE!</v>
      </c>
      <c r="M1474" s="1"/>
      <c r="P1474"/>
    </row>
    <row r="1475" spans="1:16">
      <c r="A1475" t="s">
        <v>252</v>
      </c>
      <c r="B1475" t="s">
        <v>163</v>
      </c>
      <c r="C1475" t="s">
        <v>2452</v>
      </c>
      <c r="D1475" s="14">
        <v>35</v>
      </c>
      <c r="E1475" s="14">
        <v>35</v>
      </c>
      <c r="F1475" s="13">
        <v>45766.5</v>
      </c>
      <c r="G1475" t="s">
        <v>1</v>
      </c>
      <c r="H1475" t="s">
        <v>470</v>
      </c>
      <c r="I1475" t="str">
        <f>IF(B1475=IFERROR(VLOOKUP(B1475,base!$L$1:$L$12,1,0),""),"Produtos",IF(B1475=IFERROR(VLOOKUP(B1475,base!$K$2:$K$12,1,0),""),"Serviços",IF(B1475="Gorjeta","Gorjeta","Combos")))</f>
        <v>Serviços</v>
      </c>
      <c r="J1475">
        <f t="shared" si="44"/>
        <v>15.75</v>
      </c>
      <c r="K1475" s="1" t="e">
        <f t="shared" si="45"/>
        <v>#VALUE!</v>
      </c>
      <c r="M1475" s="1"/>
      <c r="P1475"/>
    </row>
    <row r="1476" spans="1:16">
      <c r="A1476" t="s">
        <v>252</v>
      </c>
      <c r="B1476" t="s">
        <v>163</v>
      </c>
      <c r="C1476" t="s">
        <v>2453</v>
      </c>
      <c r="D1476" s="14">
        <v>35</v>
      </c>
      <c r="E1476" s="14">
        <v>35</v>
      </c>
      <c r="F1476" s="13">
        <v>45766.458333333336</v>
      </c>
      <c r="G1476" t="s">
        <v>310</v>
      </c>
      <c r="H1476" t="s">
        <v>895</v>
      </c>
      <c r="I1476" t="str">
        <f>IF(B1476=IFERROR(VLOOKUP(B1476,base!$L$1:$L$12,1,0),""),"Produtos",IF(B1476=IFERROR(VLOOKUP(B1476,base!$K$2:$K$12,1,0),""),"Serviços",IF(B1476="Gorjeta","Gorjeta","Combos")))</f>
        <v>Serviços</v>
      </c>
      <c r="J1476">
        <f t="shared" si="44"/>
        <v>15.75</v>
      </c>
      <c r="K1476" s="1" t="e">
        <f t="shared" si="45"/>
        <v>#VALUE!</v>
      </c>
      <c r="M1476" s="1"/>
      <c r="P1476"/>
    </row>
    <row r="1477" spans="1:16">
      <c r="A1477" t="s">
        <v>519</v>
      </c>
      <c r="B1477" t="s">
        <v>163</v>
      </c>
      <c r="C1477" t="s">
        <v>2454</v>
      </c>
      <c r="D1477" s="14">
        <v>35</v>
      </c>
      <c r="E1477" s="14">
        <v>35</v>
      </c>
      <c r="F1477" s="13">
        <v>45766.520833333336</v>
      </c>
      <c r="G1477" t="s">
        <v>1</v>
      </c>
      <c r="H1477" t="s">
        <v>2455</v>
      </c>
      <c r="I1477" t="str">
        <f>IF(B1477=IFERROR(VLOOKUP(B1477,base!$L$1:$L$12,1,0),""),"Produtos",IF(B1477=IFERROR(VLOOKUP(B1477,base!$K$2:$K$12,1,0),""),"Serviços",IF(B1477="Gorjeta","Gorjeta","Combos")))</f>
        <v>Serviços</v>
      </c>
      <c r="J1477">
        <f t="shared" si="44"/>
        <v>15.75</v>
      </c>
      <c r="K1477" s="1" t="e">
        <f t="shared" si="45"/>
        <v>#VALUE!</v>
      </c>
      <c r="M1477" s="1"/>
      <c r="P1477"/>
    </row>
    <row r="1478" spans="1:16">
      <c r="A1478" t="s">
        <v>519</v>
      </c>
      <c r="B1478" t="s">
        <v>163</v>
      </c>
      <c r="C1478" t="s">
        <v>2456</v>
      </c>
      <c r="D1478" s="14">
        <v>35</v>
      </c>
      <c r="E1478" s="14">
        <v>35</v>
      </c>
      <c r="F1478" s="13">
        <v>45766.416666666664</v>
      </c>
      <c r="G1478" t="s">
        <v>2</v>
      </c>
      <c r="H1478" t="s">
        <v>382</v>
      </c>
      <c r="I1478" t="str">
        <f>IF(B1478=IFERROR(VLOOKUP(B1478,base!$L$1:$L$12,1,0),""),"Produtos",IF(B1478=IFERROR(VLOOKUP(B1478,base!$K$2:$K$12,1,0),""),"Serviços",IF(B1478="Gorjeta","Gorjeta","Combos")))</f>
        <v>Serviços</v>
      </c>
      <c r="J1478">
        <f t="shared" si="44"/>
        <v>15.75</v>
      </c>
      <c r="K1478" s="1" t="e">
        <f t="shared" si="45"/>
        <v>#VALUE!</v>
      </c>
      <c r="M1478" s="1"/>
      <c r="P1478"/>
    </row>
    <row r="1479" spans="1:16">
      <c r="A1479" t="s">
        <v>252</v>
      </c>
      <c r="B1479" t="s">
        <v>353</v>
      </c>
      <c r="C1479" t="s">
        <v>2457</v>
      </c>
      <c r="D1479" s="14">
        <v>60</v>
      </c>
      <c r="E1479" s="14">
        <v>100</v>
      </c>
      <c r="F1479" s="13">
        <v>45766.479166666664</v>
      </c>
      <c r="G1479" t="s">
        <v>354</v>
      </c>
      <c r="H1479" t="s">
        <v>499</v>
      </c>
      <c r="I1479" t="str">
        <f>IF(B1479=IFERROR(VLOOKUP(B1479,base!$L$1:$L$12,1,0),""),"Produtos",IF(B1479=IFERROR(VLOOKUP(B1479,base!$K$2:$K$12,1,0),""),"Serviços",IF(B1479="Gorjeta","Gorjeta","Combos")))</f>
        <v>Combos</v>
      </c>
      <c r="J1479">
        <f t="shared" si="44"/>
        <v>27</v>
      </c>
      <c r="K1479" s="1" t="e">
        <f t="shared" si="45"/>
        <v>#VALUE!</v>
      </c>
      <c r="M1479" s="1"/>
      <c r="P1479"/>
    </row>
    <row r="1480" spans="1:16">
      <c r="A1480" t="s">
        <v>252</v>
      </c>
      <c r="B1480" t="s">
        <v>472</v>
      </c>
      <c r="C1480" t="s">
        <v>2457</v>
      </c>
      <c r="D1480" s="14">
        <v>40</v>
      </c>
      <c r="F1480" s="13">
        <v>45766.479166666664</v>
      </c>
      <c r="G1480" t="s">
        <v>354</v>
      </c>
      <c r="H1480" t="s">
        <v>499</v>
      </c>
      <c r="I1480" t="str">
        <f>IF(B1480=IFERROR(VLOOKUP(B1480,base!$L$1:$L$12,1,0),""),"Produtos",IF(B1480=IFERROR(VLOOKUP(B1480,base!$K$2:$K$12,1,0),""),"Serviços",IF(B1480="Gorjeta","Gorjeta","Combos")))</f>
        <v>Produtos</v>
      </c>
      <c r="J1480">
        <f t="shared" si="44"/>
        <v>16</v>
      </c>
      <c r="K1480" s="1" t="e">
        <f t="shared" si="45"/>
        <v>#VALUE!</v>
      </c>
      <c r="M1480" s="1"/>
      <c r="P1480"/>
    </row>
    <row r="1481" spans="1:16">
      <c r="A1481" t="s">
        <v>519</v>
      </c>
      <c r="B1481" t="s">
        <v>353</v>
      </c>
      <c r="C1481" t="s">
        <v>2458</v>
      </c>
      <c r="D1481" s="14">
        <v>60</v>
      </c>
      <c r="E1481" s="14">
        <v>60</v>
      </c>
      <c r="F1481" s="13">
        <v>45766.600694444445</v>
      </c>
      <c r="G1481" t="s">
        <v>1</v>
      </c>
      <c r="H1481" t="s">
        <v>2459</v>
      </c>
      <c r="I1481" t="str">
        <f>IF(B1481=IFERROR(VLOOKUP(B1481,base!$L$1:$L$12,1,0),""),"Produtos",IF(B1481=IFERROR(VLOOKUP(B1481,base!$K$2:$K$12,1,0),""),"Serviços",IF(B1481="Gorjeta","Gorjeta","Combos")))</f>
        <v>Combos</v>
      </c>
      <c r="J1481">
        <f t="shared" si="44"/>
        <v>27</v>
      </c>
      <c r="K1481" s="1" t="e">
        <f t="shared" si="45"/>
        <v>#VALUE!</v>
      </c>
      <c r="M1481" s="1"/>
      <c r="P1481"/>
    </row>
    <row r="1482" spans="1:16">
      <c r="A1482" t="s">
        <v>536</v>
      </c>
      <c r="B1482" t="s">
        <v>163</v>
      </c>
      <c r="C1482" t="s">
        <v>2460</v>
      </c>
      <c r="D1482" s="14">
        <v>20</v>
      </c>
      <c r="E1482" s="14">
        <v>20</v>
      </c>
      <c r="F1482" s="13">
        <v>45766.600694444445</v>
      </c>
      <c r="G1482" t="s">
        <v>2</v>
      </c>
      <c r="H1482" t="s">
        <v>409</v>
      </c>
      <c r="I1482" t="str">
        <f>IF(B1482=IFERROR(VLOOKUP(B1482,base!$L$1:$L$12,1,0),""),"Produtos",IF(B1482=IFERROR(VLOOKUP(B1482,base!$K$2:$K$12,1,0),""),"Serviços",IF(B1482="Gorjeta","Gorjeta","Combos")))</f>
        <v>Serviços</v>
      </c>
      <c r="J1482">
        <f t="shared" si="44"/>
        <v>9</v>
      </c>
      <c r="K1482" s="1" t="e">
        <f t="shared" si="45"/>
        <v>#VALUE!</v>
      </c>
      <c r="M1482" s="1"/>
      <c r="P1482"/>
    </row>
    <row r="1483" spans="1:16">
      <c r="A1483" t="s">
        <v>536</v>
      </c>
      <c r="B1483" t="s">
        <v>163</v>
      </c>
      <c r="C1483" t="s">
        <v>2461</v>
      </c>
      <c r="D1483" s="14">
        <v>35</v>
      </c>
      <c r="E1483" s="14">
        <v>40</v>
      </c>
      <c r="F1483" s="13">
        <v>45766.638888888891</v>
      </c>
      <c r="G1483" t="s">
        <v>1</v>
      </c>
      <c r="H1483" t="s">
        <v>2462</v>
      </c>
      <c r="I1483" t="str">
        <f>IF(B1483=IFERROR(VLOOKUP(B1483,base!$L$1:$L$12,1,0),""),"Produtos",IF(B1483=IFERROR(VLOOKUP(B1483,base!$K$2:$K$12,1,0),""),"Serviços",IF(B1483="Gorjeta","Gorjeta","Combos")))</f>
        <v>Serviços</v>
      </c>
      <c r="J1483">
        <f t="shared" si="44"/>
        <v>15.75</v>
      </c>
      <c r="K1483" s="1" t="e">
        <f t="shared" si="45"/>
        <v>#VALUE!</v>
      </c>
      <c r="M1483" s="1"/>
      <c r="P1483"/>
    </row>
    <row r="1484" spans="1:16">
      <c r="A1484" t="s">
        <v>536</v>
      </c>
      <c r="B1484" t="s">
        <v>910</v>
      </c>
      <c r="C1484" t="s">
        <v>2461</v>
      </c>
      <c r="D1484" s="14">
        <v>5</v>
      </c>
      <c r="F1484" s="13">
        <v>45766.638888888891</v>
      </c>
      <c r="G1484" t="s">
        <v>1</v>
      </c>
      <c r="H1484" t="s">
        <v>2462</v>
      </c>
      <c r="I1484" t="str">
        <f>IF(B1484=IFERROR(VLOOKUP(B1484,base!$L$1:$L$12,1,0),""),"Produtos",IF(B1484=IFERROR(VLOOKUP(B1484,base!$K$2:$K$12,1,0),""),"Serviços",IF(B1484="Gorjeta","Gorjeta","Combos")))</f>
        <v>Gorjeta</v>
      </c>
      <c r="J1484">
        <f t="shared" si="44"/>
        <v>2.25</v>
      </c>
      <c r="K1484" s="1" t="e">
        <f t="shared" si="45"/>
        <v>#VALUE!</v>
      </c>
      <c r="M1484" s="1"/>
      <c r="P1484"/>
    </row>
    <row r="1485" spans="1:16">
      <c r="A1485" t="s">
        <v>536</v>
      </c>
      <c r="B1485" t="s">
        <v>353</v>
      </c>
      <c r="C1485" t="s">
        <v>2463</v>
      </c>
      <c r="D1485" s="14">
        <v>60</v>
      </c>
      <c r="E1485" s="14">
        <v>60</v>
      </c>
      <c r="F1485" s="13">
        <v>45766.638888888891</v>
      </c>
      <c r="G1485" t="s">
        <v>1</v>
      </c>
      <c r="H1485" t="s">
        <v>1184</v>
      </c>
      <c r="I1485" t="str">
        <f>IF(B1485=IFERROR(VLOOKUP(B1485,base!$L$1:$L$12,1,0),""),"Produtos",IF(B1485=IFERROR(VLOOKUP(B1485,base!$K$2:$K$12,1,0),""),"Serviços",IF(B1485="Gorjeta","Gorjeta","Combos")))</f>
        <v>Combos</v>
      </c>
      <c r="J1485">
        <f t="shared" si="44"/>
        <v>27</v>
      </c>
      <c r="K1485" s="1" t="e">
        <f t="shared" si="45"/>
        <v>#VALUE!</v>
      </c>
      <c r="M1485" s="1"/>
      <c r="P1485"/>
    </row>
    <row r="1486" spans="1:16">
      <c r="A1486" t="s">
        <v>519</v>
      </c>
      <c r="B1486" t="s">
        <v>163</v>
      </c>
      <c r="C1486" t="s">
        <v>2464</v>
      </c>
      <c r="D1486" s="14">
        <v>35</v>
      </c>
      <c r="E1486" s="14">
        <v>35</v>
      </c>
      <c r="F1486" s="13">
        <v>45766.673611111109</v>
      </c>
      <c r="G1486" t="s">
        <v>1</v>
      </c>
      <c r="H1486" t="s">
        <v>59</v>
      </c>
      <c r="I1486" t="str">
        <f>IF(B1486=IFERROR(VLOOKUP(B1486,base!$L$1:$L$12,1,0),""),"Produtos",IF(B1486=IFERROR(VLOOKUP(B1486,base!$K$2:$K$12,1,0),""),"Serviços",IF(B1486="Gorjeta","Gorjeta","Combos")))</f>
        <v>Serviços</v>
      </c>
      <c r="J1486">
        <f t="shared" si="44"/>
        <v>15.75</v>
      </c>
      <c r="K1486" s="1" t="e">
        <f t="shared" si="45"/>
        <v>#VALUE!</v>
      </c>
      <c r="M1486" s="1"/>
      <c r="P1486"/>
    </row>
    <row r="1487" spans="1:16">
      <c r="A1487" t="s">
        <v>519</v>
      </c>
      <c r="B1487" t="s">
        <v>163</v>
      </c>
      <c r="C1487" t="s">
        <v>2465</v>
      </c>
      <c r="D1487" s="14">
        <v>35</v>
      </c>
      <c r="E1487" s="14">
        <v>75</v>
      </c>
      <c r="F1487" s="13">
        <v>45766.791666666664</v>
      </c>
      <c r="G1487" t="s">
        <v>310</v>
      </c>
      <c r="H1487" t="s">
        <v>71</v>
      </c>
      <c r="I1487" t="str">
        <f>IF(B1487=IFERROR(VLOOKUP(B1487,base!$L$1:$L$12,1,0),""),"Produtos",IF(B1487=IFERROR(VLOOKUP(B1487,base!$K$2:$K$12,1,0),""),"Serviços",IF(B1487="Gorjeta","Gorjeta","Combos")))</f>
        <v>Serviços</v>
      </c>
      <c r="J1487">
        <f t="shared" si="44"/>
        <v>15.75</v>
      </c>
      <c r="K1487" s="1" t="e">
        <f t="shared" si="45"/>
        <v>#VALUE!</v>
      </c>
      <c r="M1487" s="1"/>
      <c r="P1487"/>
    </row>
    <row r="1488" spans="1:16">
      <c r="A1488" t="s">
        <v>252</v>
      </c>
      <c r="B1488" t="s">
        <v>163</v>
      </c>
      <c r="C1488" t="s">
        <v>2466</v>
      </c>
      <c r="D1488" s="14">
        <v>35</v>
      </c>
      <c r="E1488" s="14">
        <v>35</v>
      </c>
      <c r="F1488" s="13">
        <v>45766.711805555555</v>
      </c>
      <c r="G1488" t="s">
        <v>1</v>
      </c>
      <c r="H1488" t="s">
        <v>296</v>
      </c>
      <c r="I1488" t="str">
        <f>IF(B1488=IFERROR(VLOOKUP(B1488,base!$L$1:$L$12,1,0),""),"Produtos",IF(B1488=IFERROR(VLOOKUP(B1488,base!$K$2:$K$12,1,0),""),"Serviços",IF(B1488="Gorjeta","Gorjeta","Combos")))</f>
        <v>Serviços</v>
      </c>
      <c r="J1488">
        <f t="shared" si="44"/>
        <v>15.75</v>
      </c>
      <c r="K1488" s="1" t="e">
        <f t="shared" si="45"/>
        <v>#VALUE!</v>
      </c>
      <c r="M1488" s="1"/>
      <c r="P1488"/>
    </row>
    <row r="1489" spans="1:16">
      <c r="A1489" t="s">
        <v>252</v>
      </c>
      <c r="B1489" t="s">
        <v>353</v>
      </c>
      <c r="C1489" t="s">
        <v>2467</v>
      </c>
      <c r="D1489" s="14">
        <v>60</v>
      </c>
      <c r="E1489" s="14">
        <v>60</v>
      </c>
      <c r="F1489" s="13">
        <v>45766.75</v>
      </c>
      <c r="G1489" t="s">
        <v>1</v>
      </c>
      <c r="H1489" t="s">
        <v>1167</v>
      </c>
      <c r="I1489" t="str">
        <f>IF(B1489=IFERROR(VLOOKUP(B1489,base!$L$1:$L$12,1,0),""),"Produtos",IF(B1489=IFERROR(VLOOKUP(B1489,base!$K$2:$K$12,1,0),""),"Serviços",IF(B1489="Gorjeta","Gorjeta","Combos")))</f>
        <v>Combos</v>
      </c>
      <c r="J1489">
        <f t="shared" si="44"/>
        <v>27</v>
      </c>
      <c r="K1489" s="1" t="e">
        <f t="shared" si="45"/>
        <v>#VALUE!</v>
      </c>
      <c r="M1489" s="1"/>
      <c r="P1489"/>
    </row>
    <row r="1490" spans="1:16">
      <c r="A1490" t="s">
        <v>252</v>
      </c>
      <c r="B1490" t="s">
        <v>163</v>
      </c>
      <c r="C1490" t="s">
        <v>2468</v>
      </c>
      <c r="D1490" s="14">
        <v>35</v>
      </c>
      <c r="E1490" s="14">
        <v>35</v>
      </c>
      <c r="F1490" s="13">
        <v>45766.78125</v>
      </c>
      <c r="G1490" t="s">
        <v>2</v>
      </c>
      <c r="H1490" t="s">
        <v>95</v>
      </c>
      <c r="I1490" t="str">
        <f>IF(B1490=IFERROR(VLOOKUP(B1490,base!$L$1:$L$12,1,0),""),"Produtos",IF(B1490=IFERROR(VLOOKUP(B1490,base!$K$2:$K$12,1,0),""),"Serviços",IF(B1490="Gorjeta","Gorjeta","Combos")))</f>
        <v>Serviços</v>
      </c>
      <c r="J1490">
        <f t="shared" si="44"/>
        <v>15.75</v>
      </c>
      <c r="K1490" s="1" t="e">
        <f t="shared" si="45"/>
        <v>#VALUE!</v>
      </c>
      <c r="M1490" s="1"/>
      <c r="P1490"/>
    </row>
    <row r="1491" spans="1:16">
      <c r="A1491" t="s">
        <v>519</v>
      </c>
      <c r="B1491" t="s">
        <v>353</v>
      </c>
      <c r="C1491" t="s">
        <v>2469</v>
      </c>
      <c r="D1491" s="14">
        <v>50</v>
      </c>
      <c r="E1491" s="14">
        <v>75</v>
      </c>
      <c r="F1491" s="13">
        <v>45766.756944444445</v>
      </c>
      <c r="G1491" t="s">
        <v>1</v>
      </c>
      <c r="H1491" t="s">
        <v>28</v>
      </c>
      <c r="I1491" t="str">
        <f>IF(B1491=IFERROR(VLOOKUP(B1491,base!$L$1:$L$12,1,0),""),"Produtos",IF(B1491=IFERROR(VLOOKUP(B1491,base!$K$2:$K$12,1,0),""),"Serviços",IF(B1491="Gorjeta","Gorjeta","Combos")))</f>
        <v>Combos</v>
      </c>
      <c r="J1491">
        <f t="shared" si="44"/>
        <v>22.5</v>
      </c>
      <c r="K1491" s="1" t="e">
        <f t="shared" si="45"/>
        <v>#VALUE!</v>
      </c>
      <c r="M1491" s="1"/>
      <c r="P1491"/>
    </row>
    <row r="1492" spans="1:16">
      <c r="A1492" t="s">
        <v>519</v>
      </c>
      <c r="B1492" t="s">
        <v>509</v>
      </c>
      <c r="C1492" t="s">
        <v>2469</v>
      </c>
      <c r="D1492" s="14">
        <v>25</v>
      </c>
      <c r="F1492" s="13">
        <v>45766.756944444445</v>
      </c>
      <c r="G1492" t="s">
        <v>1</v>
      </c>
      <c r="H1492" t="s">
        <v>28</v>
      </c>
      <c r="I1492" t="str">
        <f>IF(B1492=IFERROR(VLOOKUP(B1492,base!$L$1:$L$12,1,0),""),"Produtos",IF(B1492=IFERROR(VLOOKUP(B1492,base!$K$2:$K$12,1,0),""),"Serviços",IF(B1492="Gorjeta","Gorjeta","Combos")))</f>
        <v>Produtos</v>
      </c>
      <c r="J1492">
        <f t="shared" si="44"/>
        <v>10</v>
      </c>
      <c r="K1492" s="1" t="e">
        <f t="shared" si="45"/>
        <v>#VALUE!</v>
      </c>
      <c r="M1492" s="1"/>
      <c r="P1492"/>
    </row>
    <row r="1493" spans="1:16">
      <c r="A1493" t="s">
        <v>519</v>
      </c>
      <c r="B1493" t="s">
        <v>163</v>
      </c>
      <c r="C1493" t="s">
        <v>2470</v>
      </c>
      <c r="D1493" s="14">
        <v>35</v>
      </c>
      <c r="E1493" s="14">
        <v>50</v>
      </c>
      <c r="F1493" s="13">
        <v>45766.78125</v>
      </c>
      <c r="G1493" t="s">
        <v>1</v>
      </c>
      <c r="H1493" t="s">
        <v>2471</v>
      </c>
      <c r="I1493" t="str">
        <f>IF(B1493=IFERROR(VLOOKUP(B1493,base!$L$1:$L$12,1,0),""),"Produtos",IF(B1493=IFERROR(VLOOKUP(B1493,base!$K$2:$K$12,1,0),""),"Serviços",IF(B1493="Gorjeta","Gorjeta","Combos")))</f>
        <v>Serviços</v>
      </c>
      <c r="J1493">
        <f t="shared" si="44"/>
        <v>15.75</v>
      </c>
      <c r="K1493" s="1" t="e">
        <f t="shared" si="45"/>
        <v>#VALUE!</v>
      </c>
      <c r="M1493" s="1"/>
      <c r="P1493"/>
    </row>
    <row r="1494" spans="1:16">
      <c r="A1494" t="s">
        <v>519</v>
      </c>
      <c r="B1494" t="s">
        <v>1046</v>
      </c>
      <c r="C1494" t="s">
        <v>2470</v>
      </c>
      <c r="D1494" s="14">
        <v>15</v>
      </c>
      <c r="F1494" s="13">
        <v>45766.78125</v>
      </c>
      <c r="G1494" t="s">
        <v>1</v>
      </c>
      <c r="H1494" t="s">
        <v>2471</v>
      </c>
      <c r="I1494" t="str">
        <f>IF(B1494=IFERROR(VLOOKUP(B1494,base!$L$1:$L$12,1,0),""),"Produtos",IF(B1494=IFERROR(VLOOKUP(B1494,base!$K$2:$K$12,1,0),""),"Serviços",IF(B1494="Gorjeta","Gorjeta","Combos")))</f>
        <v>Serviços</v>
      </c>
      <c r="J1494">
        <f t="shared" si="44"/>
        <v>6.75</v>
      </c>
      <c r="K1494" s="1" t="e">
        <f t="shared" si="45"/>
        <v>#VALUE!</v>
      </c>
      <c r="M1494" s="1"/>
      <c r="P1494"/>
    </row>
    <row r="1495" spans="1:16">
      <c r="A1495" t="s">
        <v>252</v>
      </c>
      <c r="B1495" t="s">
        <v>163</v>
      </c>
      <c r="C1495" t="s">
        <v>2472</v>
      </c>
      <c r="D1495" s="14">
        <v>35</v>
      </c>
      <c r="E1495" s="14">
        <v>70</v>
      </c>
      <c r="F1495" s="13">
        <v>45766.822916666664</v>
      </c>
      <c r="G1495" t="s">
        <v>2</v>
      </c>
      <c r="H1495" t="s">
        <v>1409</v>
      </c>
      <c r="I1495" t="str">
        <f>IF(B1495=IFERROR(VLOOKUP(B1495,base!$L$1:$L$12,1,0),""),"Produtos",IF(B1495=IFERROR(VLOOKUP(B1495,base!$K$2:$K$12,1,0),""),"Serviços",IF(B1495="Gorjeta","Gorjeta","Combos")))</f>
        <v>Serviços</v>
      </c>
      <c r="J1495">
        <f t="shared" si="44"/>
        <v>15.75</v>
      </c>
      <c r="K1495" s="1" t="e">
        <f t="shared" si="45"/>
        <v>#VALUE!</v>
      </c>
      <c r="M1495" s="1"/>
      <c r="P1495"/>
    </row>
    <row r="1496" spans="1:16">
      <c r="A1496" t="s">
        <v>252</v>
      </c>
      <c r="B1496" t="s">
        <v>163</v>
      </c>
      <c r="C1496" t="s">
        <v>2472</v>
      </c>
      <c r="D1496" s="14">
        <v>35</v>
      </c>
      <c r="F1496" s="13">
        <v>45766.822916666664</v>
      </c>
      <c r="G1496" t="s">
        <v>2</v>
      </c>
      <c r="H1496" t="s">
        <v>1409</v>
      </c>
      <c r="I1496" t="str">
        <f>IF(B1496=IFERROR(VLOOKUP(B1496,base!$L$1:$L$12,1,0),""),"Produtos",IF(B1496=IFERROR(VLOOKUP(B1496,base!$K$2:$K$12,1,0),""),"Serviços",IF(B1496="Gorjeta","Gorjeta","Combos")))</f>
        <v>Serviços</v>
      </c>
      <c r="J1496">
        <f t="shared" si="44"/>
        <v>15.75</v>
      </c>
      <c r="K1496" s="1" t="e">
        <f t="shared" si="45"/>
        <v>#VALUE!</v>
      </c>
      <c r="M1496" s="1"/>
      <c r="P1496"/>
    </row>
    <row r="1497" spans="1:16">
      <c r="A1497" t="s">
        <v>519</v>
      </c>
      <c r="B1497" t="s">
        <v>163</v>
      </c>
      <c r="C1497" t="s">
        <v>2473</v>
      </c>
      <c r="D1497" s="14">
        <v>35</v>
      </c>
      <c r="E1497" s="14">
        <v>35</v>
      </c>
      <c r="F1497" s="13">
        <v>45766.857638888891</v>
      </c>
      <c r="G1497" t="s">
        <v>354</v>
      </c>
      <c r="H1497" t="s">
        <v>38</v>
      </c>
      <c r="I1497" t="str">
        <f>IF(B1497=IFERROR(VLOOKUP(B1497,base!$L$1:$L$12,1,0),""),"Produtos",IF(B1497=IFERROR(VLOOKUP(B1497,base!$K$2:$K$12,1,0),""),"Serviços",IF(B1497="Gorjeta","Gorjeta","Combos")))</f>
        <v>Serviços</v>
      </c>
      <c r="J1497">
        <f t="shared" si="44"/>
        <v>15.75</v>
      </c>
      <c r="K1497" s="1" t="e">
        <f t="shared" si="45"/>
        <v>#VALUE!</v>
      </c>
      <c r="M1497" s="1"/>
      <c r="P1497"/>
    </row>
    <row r="1498" spans="1:16">
      <c r="A1498" t="s">
        <v>252</v>
      </c>
      <c r="B1498" t="s">
        <v>353</v>
      </c>
      <c r="C1498" t="s">
        <v>2474</v>
      </c>
      <c r="D1498" s="14">
        <v>60</v>
      </c>
      <c r="E1498" s="14">
        <v>50</v>
      </c>
      <c r="F1498" s="13">
        <v>45766.871527777781</v>
      </c>
      <c r="G1498" t="s">
        <v>1</v>
      </c>
      <c r="H1498" t="s">
        <v>2475</v>
      </c>
      <c r="I1498" t="str">
        <f>IF(B1498=IFERROR(VLOOKUP(B1498,base!$L$1:$L$12,1,0),""),"Produtos",IF(B1498=IFERROR(VLOOKUP(B1498,base!$K$2:$K$12,1,0),""),"Serviços",IF(B1498="Gorjeta","Gorjeta","Combos")))</f>
        <v>Combos</v>
      </c>
      <c r="J1498">
        <f t="shared" si="44"/>
        <v>27</v>
      </c>
      <c r="K1498" s="1" t="e">
        <f t="shared" si="45"/>
        <v>#VALUE!</v>
      </c>
      <c r="M1498" s="1"/>
      <c r="P1498"/>
    </row>
    <row r="1499" spans="1:16">
      <c r="A1499" t="s">
        <v>252</v>
      </c>
      <c r="B1499" t="s">
        <v>163</v>
      </c>
      <c r="C1499" t="s">
        <v>2476</v>
      </c>
      <c r="D1499" s="14">
        <v>35</v>
      </c>
      <c r="E1499" s="14">
        <v>80</v>
      </c>
      <c r="F1499" s="13">
        <v>45769.416666666664</v>
      </c>
      <c r="G1499" t="s">
        <v>1</v>
      </c>
      <c r="H1499" t="s">
        <v>492</v>
      </c>
      <c r="I1499" t="str">
        <f>IF(B1499=IFERROR(VLOOKUP(B1499,base!$L$1:$L$12,1,0),""),"Produtos",IF(B1499=IFERROR(VLOOKUP(B1499,base!$K$2:$K$12,1,0),""),"Serviços",IF(B1499="Gorjeta","Gorjeta","Combos")))</f>
        <v>Serviços</v>
      </c>
      <c r="J1499">
        <f t="shared" si="44"/>
        <v>15.75</v>
      </c>
      <c r="K1499" s="1" t="e">
        <f t="shared" si="45"/>
        <v>#VALUE!</v>
      </c>
      <c r="M1499" s="1"/>
      <c r="P1499"/>
    </row>
    <row r="1500" spans="1:16">
      <c r="A1500" t="s">
        <v>252</v>
      </c>
      <c r="B1500" t="s">
        <v>352</v>
      </c>
      <c r="C1500" t="s">
        <v>2476</v>
      </c>
      <c r="D1500" s="14">
        <v>20</v>
      </c>
      <c r="F1500" s="13">
        <v>45769.416666666664</v>
      </c>
      <c r="G1500" t="s">
        <v>1</v>
      </c>
      <c r="H1500" t="s">
        <v>492</v>
      </c>
      <c r="I1500" t="str">
        <f>IF(B1500=IFERROR(VLOOKUP(B1500,base!$L$1:$L$12,1,0),""),"Produtos",IF(B1500=IFERROR(VLOOKUP(B1500,base!$K$2:$K$12,1,0),""),"Serviços",IF(B1500="Gorjeta","Gorjeta","Combos")))</f>
        <v>Combos</v>
      </c>
      <c r="J1500">
        <f t="shared" si="44"/>
        <v>9</v>
      </c>
      <c r="K1500" s="1" t="e">
        <f t="shared" si="45"/>
        <v>#VALUE!</v>
      </c>
      <c r="M1500" s="1"/>
      <c r="P1500"/>
    </row>
    <row r="1501" spans="1:16">
      <c r="A1501" t="s">
        <v>252</v>
      </c>
      <c r="B1501" t="s">
        <v>2477</v>
      </c>
      <c r="C1501" t="s">
        <v>2476</v>
      </c>
      <c r="D1501" s="14">
        <v>25</v>
      </c>
      <c r="F1501" s="13">
        <v>45769.416666666664</v>
      </c>
      <c r="G1501" t="s">
        <v>1</v>
      </c>
      <c r="H1501" t="s">
        <v>492</v>
      </c>
      <c r="I1501" t="str">
        <f>IF(B1501=IFERROR(VLOOKUP(B1501,base!$L$1:$L$12,1,0),""),"Produtos",IF(B1501=IFERROR(VLOOKUP(B1501,base!$K$2:$K$12,1,0),""),"Serviços",IF(B1501="Gorjeta","Gorjeta","Combos")))</f>
        <v>Produtos</v>
      </c>
      <c r="J1501">
        <f t="shared" si="44"/>
        <v>10</v>
      </c>
      <c r="K1501" s="1" t="e">
        <f t="shared" si="45"/>
        <v>#VALUE!</v>
      </c>
      <c r="M1501" s="1"/>
      <c r="P1501"/>
    </row>
    <row r="1502" spans="1:16">
      <c r="A1502" t="s">
        <v>252</v>
      </c>
      <c r="B1502" t="s">
        <v>163</v>
      </c>
      <c r="C1502" t="s">
        <v>2478</v>
      </c>
      <c r="D1502" s="14">
        <v>35</v>
      </c>
      <c r="E1502" s="14">
        <v>45</v>
      </c>
      <c r="F1502" s="13">
        <v>45769.770833333336</v>
      </c>
      <c r="G1502" t="s">
        <v>1</v>
      </c>
      <c r="H1502" t="s">
        <v>1116</v>
      </c>
      <c r="I1502" t="str">
        <f>IF(B1502=IFERROR(VLOOKUP(B1502,base!$L$1:$L$12,1,0),""),"Produtos",IF(B1502=IFERROR(VLOOKUP(B1502,base!$K$2:$K$12,1,0),""),"Serviços",IF(B1502="Gorjeta","Gorjeta","Combos")))</f>
        <v>Serviços</v>
      </c>
      <c r="J1502">
        <f t="shared" si="44"/>
        <v>15.75</v>
      </c>
      <c r="K1502" s="1" t="e">
        <f t="shared" si="45"/>
        <v>#VALUE!</v>
      </c>
      <c r="M1502" s="1"/>
      <c r="P1502"/>
    </row>
    <row r="1503" spans="1:16">
      <c r="A1503" t="s">
        <v>252</v>
      </c>
      <c r="B1503" t="s">
        <v>167</v>
      </c>
      <c r="C1503" t="s">
        <v>2478</v>
      </c>
      <c r="D1503" s="14">
        <v>10</v>
      </c>
      <c r="F1503" s="13">
        <v>45769.770833333336</v>
      </c>
      <c r="G1503" t="s">
        <v>1</v>
      </c>
      <c r="H1503" t="s">
        <v>1116</v>
      </c>
      <c r="I1503" t="str">
        <f>IF(B1503=IFERROR(VLOOKUP(B1503,base!$L$1:$L$12,1,0),""),"Produtos",IF(B1503=IFERROR(VLOOKUP(B1503,base!$K$2:$K$12,1,0),""),"Serviços",IF(B1503="Gorjeta","Gorjeta","Combos")))</f>
        <v>Serviços</v>
      </c>
      <c r="J1503">
        <f t="shared" si="44"/>
        <v>4.5</v>
      </c>
      <c r="K1503" s="1" t="e">
        <f t="shared" si="45"/>
        <v>#VALUE!</v>
      </c>
      <c r="M1503" s="1"/>
      <c r="P1503"/>
    </row>
    <row r="1504" spans="1:16">
      <c r="A1504" t="s">
        <v>252</v>
      </c>
      <c r="B1504" t="s">
        <v>306</v>
      </c>
      <c r="C1504" t="s">
        <v>2479</v>
      </c>
      <c r="D1504" s="14">
        <v>55</v>
      </c>
      <c r="E1504" s="14">
        <v>105</v>
      </c>
      <c r="F1504" s="13">
        <v>45769.520833333336</v>
      </c>
      <c r="G1504" t="s">
        <v>356</v>
      </c>
      <c r="H1504" t="s">
        <v>2480</v>
      </c>
      <c r="I1504" t="str">
        <f>IF(B1504=IFERROR(VLOOKUP(B1504,base!$L$1:$L$12,1,0),""),"Produtos",IF(B1504=IFERROR(VLOOKUP(B1504,base!$K$2:$K$12,1,0),""),"Serviços",IF(B1504="Gorjeta","Gorjeta","Combos")))</f>
        <v>Combos</v>
      </c>
      <c r="J1504">
        <f t="shared" si="44"/>
        <v>24.75</v>
      </c>
      <c r="K1504" s="1" t="e">
        <f t="shared" si="45"/>
        <v>#VALUE!</v>
      </c>
      <c r="M1504" s="1"/>
      <c r="P1504"/>
    </row>
    <row r="1505" spans="1:16">
      <c r="A1505" t="s">
        <v>252</v>
      </c>
      <c r="B1505" t="s">
        <v>1046</v>
      </c>
      <c r="C1505" t="s">
        <v>2479</v>
      </c>
      <c r="D1505" s="14">
        <v>25</v>
      </c>
      <c r="F1505" s="13">
        <v>45769.520833333336</v>
      </c>
      <c r="G1505" t="s">
        <v>356</v>
      </c>
      <c r="H1505" t="s">
        <v>2480</v>
      </c>
      <c r="I1505" t="str">
        <f>IF(B1505=IFERROR(VLOOKUP(B1505,base!$L$1:$L$12,1,0),""),"Produtos",IF(B1505=IFERROR(VLOOKUP(B1505,base!$K$2:$K$12,1,0),""),"Serviços",IF(B1505="Gorjeta","Gorjeta","Combos")))</f>
        <v>Serviços</v>
      </c>
      <c r="J1505">
        <f t="shared" si="44"/>
        <v>11.25</v>
      </c>
      <c r="K1505" s="1" t="e">
        <f t="shared" si="45"/>
        <v>#VALUE!</v>
      </c>
      <c r="M1505" s="1"/>
      <c r="P1505"/>
    </row>
    <row r="1506" spans="1:16">
      <c r="A1506" t="s">
        <v>252</v>
      </c>
      <c r="B1506" t="s">
        <v>510</v>
      </c>
      <c r="C1506" t="s">
        <v>2479</v>
      </c>
      <c r="D1506" s="14">
        <v>25</v>
      </c>
      <c r="F1506" s="13">
        <v>45769.520833333336</v>
      </c>
      <c r="G1506" t="s">
        <v>356</v>
      </c>
      <c r="H1506" t="s">
        <v>2480</v>
      </c>
      <c r="I1506" t="str">
        <f>IF(B1506=IFERROR(VLOOKUP(B1506,base!$L$1:$L$12,1,0),""),"Produtos",IF(B1506=IFERROR(VLOOKUP(B1506,base!$K$2:$K$12,1,0),""),"Serviços",IF(B1506="Gorjeta","Gorjeta","Combos")))</f>
        <v>Produtos</v>
      </c>
      <c r="J1506">
        <f t="shared" si="44"/>
        <v>10</v>
      </c>
      <c r="K1506" s="1" t="e">
        <f t="shared" si="45"/>
        <v>#VALUE!</v>
      </c>
      <c r="M1506" s="1"/>
      <c r="P1506"/>
    </row>
    <row r="1507" spans="1:16">
      <c r="A1507" t="s">
        <v>536</v>
      </c>
      <c r="B1507" t="s">
        <v>163</v>
      </c>
      <c r="C1507" t="s">
        <v>2481</v>
      </c>
      <c r="D1507" s="14">
        <v>20</v>
      </c>
      <c r="E1507" s="14">
        <v>40</v>
      </c>
      <c r="F1507" s="13">
        <v>45769.458333333336</v>
      </c>
      <c r="G1507" t="s">
        <v>354</v>
      </c>
      <c r="H1507" t="s">
        <v>1077</v>
      </c>
      <c r="I1507" t="str">
        <f>IF(B1507=IFERROR(VLOOKUP(B1507,base!$L$1:$L$12,1,0),""),"Produtos",IF(B1507=IFERROR(VLOOKUP(B1507,base!$K$2:$K$12,1,0),""),"Serviços",IF(B1507="Gorjeta","Gorjeta","Combos")))</f>
        <v>Serviços</v>
      </c>
      <c r="J1507">
        <f t="shared" si="44"/>
        <v>9</v>
      </c>
      <c r="K1507" s="1" t="e">
        <f t="shared" si="45"/>
        <v>#VALUE!</v>
      </c>
      <c r="M1507" s="1"/>
      <c r="P1507"/>
    </row>
    <row r="1508" spans="1:16">
      <c r="A1508" t="s">
        <v>536</v>
      </c>
      <c r="B1508" t="s">
        <v>352</v>
      </c>
      <c r="C1508" t="s">
        <v>2481</v>
      </c>
      <c r="D1508" s="14">
        <v>20</v>
      </c>
      <c r="F1508" s="13">
        <v>45769.458333333336</v>
      </c>
      <c r="G1508" t="s">
        <v>354</v>
      </c>
      <c r="H1508" t="s">
        <v>1077</v>
      </c>
      <c r="I1508" t="str">
        <f>IF(B1508=IFERROR(VLOOKUP(B1508,base!$L$1:$L$12,1,0),""),"Produtos",IF(B1508=IFERROR(VLOOKUP(B1508,base!$K$2:$K$12,1,0),""),"Serviços",IF(B1508="Gorjeta","Gorjeta","Combos")))</f>
        <v>Combos</v>
      </c>
      <c r="J1508">
        <f t="shared" si="44"/>
        <v>9</v>
      </c>
      <c r="K1508" s="1" t="e">
        <f t="shared" si="45"/>
        <v>#VALUE!</v>
      </c>
      <c r="M1508" s="1"/>
      <c r="P1508"/>
    </row>
    <row r="1509" spans="1:16">
      <c r="A1509" t="s">
        <v>252</v>
      </c>
      <c r="B1509" t="s">
        <v>163</v>
      </c>
      <c r="C1509" t="s">
        <v>2482</v>
      </c>
      <c r="D1509" s="14">
        <v>35</v>
      </c>
      <c r="E1509" s="14">
        <v>60</v>
      </c>
      <c r="F1509" s="13">
        <v>45769.447916666664</v>
      </c>
      <c r="G1509" t="s">
        <v>310</v>
      </c>
      <c r="H1509" t="s">
        <v>44</v>
      </c>
      <c r="I1509" t="str">
        <f>IF(B1509=IFERROR(VLOOKUP(B1509,base!$L$1:$L$12,1,0),""),"Produtos",IF(B1509=IFERROR(VLOOKUP(B1509,base!$K$2:$K$12,1,0),""),"Serviços",IF(B1509="Gorjeta","Gorjeta","Combos")))</f>
        <v>Serviços</v>
      </c>
      <c r="J1509">
        <f t="shared" si="44"/>
        <v>15.75</v>
      </c>
      <c r="K1509" s="1" t="e">
        <f t="shared" si="45"/>
        <v>#VALUE!</v>
      </c>
      <c r="M1509" s="1"/>
      <c r="P1509"/>
    </row>
    <row r="1510" spans="1:16">
      <c r="A1510" t="s">
        <v>252</v>
      </c>
      <c r="B1510" t="s">
        <v>509</v>
      </c>
      <c r="C1510" t="s">
        <v>2482</v>
      </c>
      <c r="D1510" s="14">
        <v>25</v>
      </c>
      <c r="F1510" s="13">
        <v>45769.447916666664</v>
      </c>
      <c r="G1510" t="s">
        <v>310</v>
      </c>
      <c r="H1510" t="s">
        <v>44</v>
      </c>
      <c r="I1510" t="str">
        <f>IF(B1510=IFERROR(VLOOKUP(B1510,base!$L$1:$L$12,1,0),""),"Produtos",IF(B1510=IFERROR(VLOOKUP(B1510,base!$K$2:$K$12,1,0),""),"Serviços",IF(B1510="Gorjeta","Gorjeta","Combos")))</f>
        <v>Produtos</v>
      </c>
      <c r="J1510">
        <f t="shared" si="44"/>
        <v>10</v>
      </c>
      <c r="K1510" s="1" t="e">
        <f t="shared" si="45"/>
        <v>#VALUE!</v>
      </c>
      <c r="M1510" s="1"/>
      <c r="P1510"/>
    </row>
    <row r="1511" spans="1:16">
      <c r="A1511" t="s">
        <v>519</v>
      </c>
      <c r="B1511" t="s">
        <v>163</v>
      </c>
      <c r="C1511" t="s">
        <v>2483</v>
      </c>
      <c r="D1511" s="14">
        <v>35</v>
      </c>
      <c r="E1511" s="14">
        <v>60</v>
      </c>
      <c r="F1511" s="13">
        <v>45769.5625</v>
      </c>
      <c r="G1511" t="s">
        <v>2</v>
      </c>
      <c r="H1511" t="s">
        <v>940</v>
      </c>
      <c r="I1511" t="str">
        <f>IF(B1511=IFERROR(VLOOKUP(B1511,base!$L$1:$L$12,1,0),""),"Produtos",IF(B1511=IFERROR(VLOOKUP(B1511,base!$K$2:$K$12,1,0),""),"Serviços",IF(B1511="Gorjeta","Gorjeta","Combos")))</f>
        <v>Serviços</v>
      </c>
      <c r="J1511">
        <f t="shared" ref="J1511:J1535" si="46">IF(AND(I1511="Serviços",E1511&gt;0),ROUND(D1511*45%,2),IF(I1511="Produtos",ROUND(D1511*40%,2),D1511*45%))</f>
        <v>15.75</v>
      </c>
      <c r="K1511" s="1" t="e">
        <f t="shared" ref="K1511:K1535" si="47">DATEVALUE(F1511)</f>
        <v>#VALUE!</v>
      </c>
      <c r="M1511" s="1"/>
      <c r="P1511"/>
    </row>
    <row r="1512" spans="1:16">
      <c r="A1512" t="s">
        <v>519</v>
      </c>
      <c r="B1512" t="s">
        <v>509</v>
      </c>
      <c r="C1512" t="s">
        <v>2483</v>
      </c>
      <c r="D1512" s="14">
        <v>25</v>
      </c>
      <c r="F1512" s="13">
        <v>45769.5625</v>
      </c>
      <c r="G1512" t="s">
        <v>2</v>
      </c>
      <c r="H1512" t="s">
        <v>940</v>
      </c>
      <c r="I1512" t="str">
        <f>IF(B1512=IFERROR(VLOOKUP(B1512,base!$L$1:$L$12,1,0),""),"Produtos",IF(B1512=IFERROR(VLOOKUP(B1512,base!$K$2:$K$12,1,0),""),"Serviços",IF(B1512="Gorjeta","Gorjeta","Combos")))</f>
        <v>Produtos</v>
      </c>
      <c r="J1512">
        <f t="shared" si="46"/>
        <v>10</v>
      </c>
      <c r="K1512" s="1" t="e">
        <f t="shared" si="47"/>
        <v>#VALUE!</v>
      </c>
      <c r="M1512" s="1"/>
      <c r="P1512"/>
    </row>
    <row r="1513" spans="1:16">
      <c r="A1513" t="s">
        <v>536</v>
      </c>
      <c r="B1513" t="s">
        <v>353</v>
      </c>
      <c r="C1513" t="s">
        <v>2484</v>
      </c>
      <c r="D1513" s="14">
        <v>60</v>
      </c>
      <c r="E1513" s="14">
        <v>60</v>
      </c>
      <c r="F1513" s="13">
        <v>45769.555555555555</v>
      </c>
      <c r="G1513" t="s">
        <v>1</v>
      </c>
      <c r="H1513" t="s">
        <v>1198</v>
      </c>
      <c r="I1513" t="str">
        <f>IF(B1513=IFERROR(VLOOKUP(B1513,base!$L$1:$L$12,1,0),""),"Produtos",IF(B1513=IFERROR(VLOOKUP(B1513,base!$K$2:$K$12,1,0),""),"Serviços",IF(B1513="Gorjeta","Gorjeta","Combos")))</f>
        <v>Combos</v>
      </c>
      <c r="J1513">
        <f t="shared" si="46"/>
        <v>27</v>
      </c>
      <c r="K1513" s="1" t="e">
        <f t="shared" si="47"/>
        <v>#VALUE!</v>
      </c>
      <c r="M1513" s="1"/>
      <c r="P1513"/>
    </row>
    <row r="1514" spans="1:16">
      <c r="A1514" t="s">
        <v>519</v>
      </c>
      <c r="B1514" t="s">
        <v>353</v>
      </c>
      <c r="C1514" t="s">
        <v>2485</v>
      </c>
      <c r="D1514" s="14">
        <v>60</v>
      </c>
      <c r="E1514" s="14">
        <v>90</v>
      </c>
      <c r="F1514" s="13">
        <v>45769.65625</v>
      </c>
      <c r="G1514" t="s">
        <v>1</v>
      </c>
      <c r="H1514" t="s">
        <v>2486</v>
      </c>
      <c r="I1514" t="str">
        <f>IF(B1514=IFERROR(VLOOKUP(B1514,base!$L$1:$L$12,1,0),""),"Produtos",IF(B1514=IFERROR(VLOOKUP(B1514,base!$K$2:$K$12,1,0),""),"Serviços",IF(B1514="Gorjeta","Gorjeta","Combos")))</f>
        <v>Combos</v>
      </c>
      <c r="J1514">
        <f t="shared" si="46"/>
        <v>27</v>
      </c>
      <c r="K1514" s="1" t="e">
        <f t="shared" si="47"/>
        <v>#VALUE!</v>
      </c>
      <c r="M1514" s="1"/>
      <c r="P1514"/>
    </row>
    <row r="1515" spans="1:16">
      <c r="A1515" t="s">
        <v>519</v>
      </c>
      <c r="B1515" t="s">
        <v>513</v>
      </c>
      <c r="C1515" t="s">
        <v>2485</v>
      </c>
      <c r="D1515" s="14">
        <v>30</v>
      </c>
      <c r="F1515" s="13">
        <v>45769.65625</v>
      </c>
      <c r="G1515" t="s">
        <v>1</v>
      </c>
      <c r="H1515" t="s">
        <v>2486</v>
      </c>
      <c r="I1515" t="str">
        <f>IF(B1515=IFERROR(VLOOKUP(B1515,base!$L$1:$L$12,1,0),""),"Produtos",IF(B1515=IFERROR(VLOOKUP(B1515,base!$K$2:$K$12,1,0),""),"Serviços",IF(B1515="Gorjeta","Gorjeta","Combos")))</f>
        <v>Produtos</v>
      </c>
      <c r="J1515">
        <f t="shared" si="46"/>
        <v>12</v>
      </c>
      <c r="K1515" s="1" t="e">
        <f t="shared" si="47"/>
        <v>#VALUE!</v>
      </c>
      <c r="M1515" s="1"/>
      <c r="P1515"/>
    </row>
    <row r="1516" spans="1:16">
      <c r="A1516" t="s">
        <v>252</v>
      </c>
      <c r="B1516" t="s">
        <v>163</v>
      </c>
      <c r="C1516" t="s">
        <v>2487</v>
      </c>
      <c r="D1516" s="14">
        <v>35</v>
      </c>
      <c r="E1516" s="14">
        <v>45</v>
      </c>
      <c r="F1516" s="13">
        <v>45769.625</v>
      </c>
      <c r="G1516" t="s">
        <v>1</v>
      </c>
      <c r="H1516" t="s">
        <v>2488</v>
      </c>
      <c r="I1516" t="str">
        <f>IF(B1516=IFERROR(VLOOKUP(B1516,base!$L$1:$L$12,1,0),""),"Produtos",IF(B1516=IFERROR(VLOOKUP(B1516,base!$K$2:$K$12,1,0),""),"Serviços",IF(B1516="Gorjeta","Gorjeta","Combos")))</f>
        <v>Serviços</v>
      </c>
      <c r="J1516">
        <f t="shared" si="46"/>
        <v>15.75</v>
      </c>
      <c r="K1516" s="1" t="e">
        <f t="shared" si="47"/>
        <v>#VALUE!</v>
      </c>
      <c r="M1516" s="1"/>
      <c r="P1516"/>
    </row>
    <row r="1517" spans="1:16">
      <c r="A1517" t="s">
        <v>252</v>
      </c>
      <c r="B1517" t="s">
        <v>167</v>
      </c>
      <c r="C1517" t="s">
        <v>2487</v>
      </c>
      <c r="D1517" s="14">
        <v>10</v>
      </c>
      <c r="F1517" s="13">
        <v>45769.625</v>
      </c>
      <c r="G1517" t="s">
        <v>1</v>
      </c>
      <c r="H1517" t="s">
        <v>2488</v>
      </c>
      <c r="I1517" t="str">
        <f>IF(B1517=IFERROR(VLOOKUP(B1517,base!$L$1:$L$12,1,0),""),"Produtos",IF(B1517=IFERROR(VLOOKUP(B1517,base!$K$2:$K$12,1,0),""),"Serviços",IF(B1517="Gorjeta","Gorjeta","Combos")))</f>
        <v>Serviços</v>
      </c>
      <c r="J1517">
        <f t="shared" si="46"/>
        <v>4.5</v>
      </c>
      <c r="K1517" s="1" t="e">
        <f t="shared" si="47"/>
        <v>#VALUE!</v>
      </c>
      <c r="M1517" s="1"/>
      <c r="P1517"/>
    </row>
    <row r="1518" spans="1:16">
      <c r="A1518" t="s">
        <v>536</v>
      </c>
      <c r="B1518" t="s">
        <v>163</v>
      </c>
      <c r="C1518" t="s">
        <v>2489</v>
      </c>
      <c r="D1518" s="14">
        <v>35</v>
      </c>
      <c r="E1518" s="14">
        <v>45</v>
      </c>
      <c r="F1518" s="13">
        <v>45769.666666666664</v>
      </c>
      <c r="G1518" t="s">
        <v>1</v>
      </c>
      <c r="H1518" t="s">
        <v>1416</v>
      </c>
      <c r="I1518" t="str">
        <f>IF(B1518=IFERROR(VLOOKUP(B1518,base!$L$1:$L$12,1,0),""),"Produtos",IF(B1518=IFERROR(VLOOKUP(B1518,base!$K$2:$K$12,1,0),""),"Serviços",IF(B1518="Gorjeta","Gorjeta","Combos")))</f>
        <v>Serviços</v>
      </c>
      <c r="J1518">
        <f t="shared" si="46"/>
        <v>15.75</v>
      </c>
      <c r="K1518" s="1" t="e">
        <f t="shared" si="47"/>
        <v>#VALUE!</v>
      </c>
      <c r="M1518" s="1"/>
      <c r="P1518"/>
    </row>
    <row r="1519" spans="1:16">
      <c r="A1519" t="s">
        <v>536</v>
      </c>
      <c r="B1519" t="s">
        <v>167</v>
      </c>
      <c r="C1519" t="s">
        <v>2489</v>
      </c>
      <c r="D1519" s="14">
        <v>10</v>
      </c>
      <c r="F1519" s="13">
        <v>45769.666666666664</v>
      </c>
      <c r="G1519" t="s">
        <v>1</v>
      </c>
      <c r="H1519" t="s">
        <v>1416</v>
      </c>
      <c r="I1519" t="str">
        <f>IF(B1519=IFERROR(VLOOKUP(B1519,base!$L$1:$L$12,1,0),""),"Produtos",IF(B1519=IFERROR(VLOOKUP(B1519,base!$K$2:$K$12,1,0),""),"Serviços",IF(B1519="Gorjeta","Gorjeta","Combos")))</f>
        <v>Serviços</v>
      </c>
      <c r="J1519">
        <f t="shared" si="46"/>
        <v>4.5</v>
      </c>
      <c r="K1519" s="1" t="e">
        <f t="shared" si="47"/>
        <v>#VALUE!</v>
      </c>
      <c r="M1519" s="1"/>
      <c r="P1519"/>
    </row>
    <row r="1520" spans="1:16">
      <c r="A1520" t="s">
        <v>252</v>
      </c>
      <c r="B1520" t="s">
        <v>163</v>
      </c>
      <c r="C1520" t="s">
        <v>2490</v>
      </c>
      <c r="D1520" s="14">
        <v>35</v>
      </c>
      <c r="E1520" s="14">
        <v>20</v>
      </c>
      <c r="F1520" s="13">
        <v>45769.697916666664</v>
      </c>
      <c r="G1520" t="s">
        <v>2</v>
      </c>
      <c r="H1520" t="s">
        <v>914</v>
      </c>
      <c r="I1520" t="str">
        <f>IF(B1520=IFERROR(VLOOKUP(B1520,base!$L$1:$L$12,1,0),""),"Produtos",IF(B1520=IFERROR(VLOOKUP(B1520,base!$K$2:$K$12,1,0),""),"Serviços",IF(B1520="Gorjeta","Gorjeta","Combos")))</f>
        <v>Serviços</v>
      </c>
      <c r="J1520">
        <f t="shared" si="46"/>
        <v>15.75</v>
      </c>
      <c r="K1520" s="1" t="e">
        <f t="shared" si="47"/>
        <v>#VALUE!</v>
      </c>
      <c r="M1520" s="1"/>
      <c r="P1520"/>
    </row>
    <row r="1521" spans="1:16">
      <c r="A1521" t="s">
        <v>536</v>
      </c>
      <c r="B1521" t="s">
        <v>163</v>
      </c>
      <c r="C1521" t="s">
        <v>2491</v>
      </c>
      <c r="D1521" s="14">
        <v>35</v>
      </c>
      <c r="E1521" s="14">
        <v>45</v>
      </c>
      <c r="F1521" s="13">
        <v>45769.75</v>
      </c>
      <c r="G1521" t="s">
        <v>1</v>
      </c>
      <c r="H1521" t="s">
        <v>1134</v>
      </c>
      <c r="I1521" t="str">
        <f>IF(B1521=IFERROR(VLOOKUP(B1521,base!$L$1:$L$12,1,0),""),"Produtos",IF(B1521=IFERROR(VLOOKUP(B1521,base!$K$2:$K$12,1,0),""),"Serviços",IF(B1521="Gorjeta","Gorjeta","Combos")))</f>
        <v>Serviços</v>
      </c>
      <c r="J1521">
        <f t="shared" si="46"/>
        <v>15.75</v>
      </c>
      <c r="K1521" s="1" t="e">
        <f t="shared" si="47"/>
        <v>#VALUE!</v>
      </c>
      <c r="M1521" s="1"/>
      <c r="P1521"/>
    </row>
    <row r="1522" spans="1:16">
      <c r="A1522" t="s">
        <v>536</v>
      </c>
      <c r="B1522" t="s">
        <v>167</v>
      </c>
      <c r="C1522" t="s">
        <v>2491</v>
      </c>
      <c r="D1522" s="14">
        <v>10</v>
      </c>
      <c r="F1522" s="13">
        <v>45769.75</v>
      </c>
      <c r="G1522" t="s">
        <v>1</v>
      </c>
      <c r="H1522" t="s">
        <v>1134</v>
      </c>
      <c r="I1522" t="str">
        <f>IF(B1522=IFERROR(VLOOKUP(B1522,base!$L$1:$L$12,1,0),""),"Produtos",IF(B1522=IFERROR(VLOOKUP(B1522,base!$K$2:$K$12,1,0),""),"Serviços",IF(B1522="Gorjeta","Gorjeta","Combos")))</f>
        <v>Serviços</v>
      </c>
      <c r="J1522">
        <f t="shared" si="46"/>
        <v>4.5</v>
      </c>
      <c r="K1522" s="1" t="e">
        <f t="shared" si="47"/>
        <v>#VALUE!</v>
      </c>
      <c r="M1522" s="1"/>
      <c r="P1522"/>
    </row>
    <row r="1523" spans="1:16">
      <c r="A1523" t="s">
        <v>519</v>
      </c>
      <c r="B1523" t="s">
        <v>353</v>
      </c>
      <c r="C1523" t="s">
        <v>2492</v>
      </c>
      <c r="D1523" s="14">
        <v>60</v>
      </c>
      <c r="E1523" s="14">
        <v>75</v>
      </c>
      <c r="F1523" s="13">
        <v>45769.6875</v>
      </c>
      <c r="G1523" t="s">
        <v>1</v>
      </c>
      <c r="H1523" t="s">
        <v>192</v>
      </c>
      <c r="I1523" t="str">
        <f>IF(B1523=IFERROR(VLOOKUP(B1523,base!$L$1:$L$12,1,0),""),"Produtos",IF(B1523=IFERROR(VLOOKUP(B1523,base!$K$2:$K$12,1,0),""),"Serviços",IF(B1523="Gorjeta","Gorjeta","Combos")))</f>
        <v>Combos</v>
      </c>
      <c r="J1523">
        <f t="shared" si="46"/>
        <v>27</v>
      </c>
      <c r="K1523" s="1" t="e">
        <f t="shared" si="47"/>
        <v>#VALUE!</v>
      </c>
      <c r="M1523" s="1"/>
      <c r="P1523"/>
    </row>
    <row r="1524" spans="1:16">
      <c r="A1524" t="s">
        <v>519</v>
      </c>
      <c r="B1524" t="s">
        <v>1187</v>
      </c>
      <c r="C1524" t="s">
        <v>2492</v>
      </c>
      <c r="D1524" s="14">
        <v>15</v>
      </c>
      <c r="F1524" s="13">
        <v>45769.6875</v>
      </c>
      <c r="G1524" t="s">
        <v>1</v>
      </c>
      <c r="H1524" t="s">
        <v>192</v>
      </c>
      <c r="I1524" t="str">
        <f>IF(B1524=IFERROR(VLOOKUP(B1524,base!$L$1:$L$12,1,0),""),"Produtos",IF(B1524=IFERROR(VLOOKUP(B1524,base!$K$2:$K$12,1,0),""),"Serviços",IF(B1524="Gorjeta","Gorjeta","Combos")))</f>
        <v>Serviços</v>
      </c>
      <c r="J1524">
        <f t="shared" si="46"/>
        <v>6.75</v>
      </c>
      <c r="K1524" s="1" t="e">
        <f t="shared" si="47"/>
        <v>#VALUE!</v>
      </c>
      <c r="M1524" s="1"/>
      <c r="P1524"/>
    </row>
    <row r="1525" spans="1:16">
      <c r="A1525" t="s">
        <v>536</v>
      </c>
      <c r="B1525" t="s">
        <v>163</v>
      </c>
      <c r="C1525" t="s">
        <v>2493</v>
      </c>
      <c r="D1525" s="14">
        <v>35</v>
      </c>
      <c r="E1525" s="14">
        <v>35</v>
      </c>
      <c r="F1525" s="13">
        <v>45769.729166666664</v>
      </c>
      <c r="G1525" t="s">
        <v>310</v>
      </c>
      <c r="H1525" t="s">
        <v>1138</v>
      </c>
      <c r="I1525" t="str">
        <f>IF(B1525=IFERROR(VLOOKUP(B1525,base!$L$1:$L$12,1,0),""),"Produtos",IF(B1525=IFERROR(VLOOKUP(B1525,base!$K$2:$K$12,1,0),""),"Serviços",IF(B1525="Gorjeta","Gorjeta","Combos")))</f>
        <v>Serviços</v>
      </c>
      <c r="J1525">
        <f t="shared" si="46"/>
        <v>15.75</v>
      </c>
      <c r="K1525" s="1" t="e">
        <f t="shared" si="47"/>
        <v>#VALUE!</v>
      </c>
      <c r="M1525" s="1"/>
      <c r="P1525"/>
    </row>
    <row r="1526" spans="1:16">
      <c r="A1526" t="s">
        <v>519</v>
      </c>
      <c r="B1526" t="s">
        <v>163</v>
      </c>
      <c r="C1526" t="s">
        <v>2494</v>
      </c>
      <c r="D1526" s="14">
        <v>35</v>
      </c>
      <c r="E1526" s="14">
        <v>35</v>
      </c>
      <c r="F1526" s="13">
        <v>45769.739583333336</v>
      </c>
      <c r="G1526" t="s">
        <v>1</v>
      </c>
      <c r="H1526" t="s">
        <v>2495</v>
      </c>
      <c r="I1526" t="str">
        <f>IF(B1526=IFERROR(VLOOKUP(B1526,base!$L$1:$L$12,1,0),""),"Produtos",IF(B1526=IFERROR(VLOOKUP(B1526,base!$K$2:$K$12,1,0),""),"Serviços",IF(B1526="Gorjeta","Gorjeta","Combos")))</f>
        <v>Serviços</v>
      </c>
      <c r="J1526">
        <f t="shared" si="46"/>
        <v>15.75</v>
      </c>
      <c r="K1526" s="1" t="e">
        <f t="shared" si="47"/>
        <v>#VALUE!</v>
      </c>
      <c r="M1526" s="1"/>
      <c r="P1526"/>
    </row>
    <row r="1527" spans="1:16">
      <c r="A1527" t="s">
        <v>536</v>
      </c>
      <c r="B1527" t="s">
        <v>163</v>
      </c>
      <c r="C1527" t="s">
        <v>2496</v>
      </c>
      <c r="D1527" s="14">
        <v>35</v>
      </c>
      <c r="E1527" s="14">
        <v>50</v>
      </c>
      <c r="F1527" s="13">
        <v>45769.791666666664</v>
      </c>
      <c r="G1527" t="s">
        <v>1</v>
      </c>
      <c r="H1527" t="s">
        <v>496</v>
      </c>
      <c r="I1527" t="str">
        <f>IF(B1527=IFERROR(VLOOKUP(B1527,base!$L$1:$L$12,1,0),""),"Produtos",IF(B1527=IFERROR(VLOOKUP(B1527,base!$K$2:$K$12,1,0),""),"Serviços",IF(B1527="Gorjeta","Gorjeta","Combos")))</f>
        <v>Serviços</v>
      </c>
      <c r="J1527">
        <f t="shared" si="46"/>
        <v>15.75</v>
      </c>
      <c r="K1527" s="1" t="e">
        <f t="shared" si="47"/>
        <v>#VALUE!</v>
      </c>
      <c r="M1527" s="1"/>
      <c r="P1527"/>
    </row>
    <row r="1528" spans="1:16">
      <c r="A1528" t="s">
        <v>536</v>
      </c>
      <c r="B1528" t="s">
        <v>1187</v>
      </c>
      <c r="C1528" t="s">
        <v>2496</v>
      </c>
      <c r="D1528" s="14">
        <v>15</v>
      </c>
      <c r="F1528" s="13">
        <v>45769.791666666664</v>
      </c>
      <c r="G1528" t="s">
        <v>1</v>
      </c>
      <c r="H1528" t="s">
        <v>496</v>
      </c>
      <c r="I1528" t="str">
        <f>IF(B1528=IFERROR(VLOOKUP(B1528,base!$L$1:$L$12,1,0),""),"Produtos",IF(B1528=IFERROR(VLOOKUP(B1528,base!$K$2:$K$12,1,0),""),"Serviços",IF(B1528="Gorjeta","Gorjeta","Combos")))</f>
        <v>Serviços</v>
      </c>
      <c r="J1528">
        <f t="shared" si="46"/>
        <v>6.75</v>
      </c>
      <c r="K1528" s="1" t="e">
        <f t="shared" si="47"/>
        <v>#VALUE!</v>
      </c>
      <c r="M1528" s="1"/>
      <c r="P1528"/>
    </row>
    <row r="1529" spans="1:16">
      <c r="A1529" t="s">
        <v>519</v>
      </c>
      <c r="B1529" t="s">
        <v>163</v>
      </c>
      <c r="C1529" t="s">
        <v>2497</v>
      </c>
      <c r="D1529" s="14">
        <v>35</v>
      </c>
      <c r="E1529" s="14">
        <v>60</v>
      </c>
      <c r="F1529" s="13">
        <v>45769.770833333336</v>
      </c>
      <c r="G1529" t="s">
        <v>310</v>
      </c>
      <c r="H1529" t="s">
        <v>2332</v>
      </c>
      <c r="I1529" t="str">
        <f>IF(B1529=IFERROR(VLOOKUP(B1529,base!$L$1:$L$12,1,0),""),"Produtos",IF(B1529=IFERROR(VLOOKUP(B1529,base!$K$2:$K$12,1,0),""),"Serviços",IF(B1529="Gorjeta","Gorjeta","Combos")))</f>
        <v>Serviços</v>
      </c>
      <c r="J1529">
        <f t="shared" si="46"/>
        <v>15.75</v>
      </c>
      <c r="K1529" s="1" t="e">
        <f t="shared" si="47"/>
        <v>#VALUE!</v>
      </c>
      <c r="M1529" s="1"/>
      <c r="P1529"/>
    </row>
    <row r="1530" spans="1:16">
      <c r="A1530" t="s">
        <v>519</v>
      </c>
      <c r="B1530" t="s">
        <v>509</v>
      </c>
      <c r="C1530" t="s">
        <v>2497</v>
      </c>
      <c r="D1530" s="14">
        <v>25</v>
      </c>
      <c r="F1530" s="13">
        <v>45769.770833333336</v>
      </c>
      <c r="G1530" t="s">
        <v>310</v>
      </c>
      <c r="H1530" t="s">
        <v>2332</v>
      </c>
      <c r="I1530" t="str">
        <f>IF(B1530=IFERROR(VLOOKUP(B1530,base!$L$1:$L$12,1,0),""),"Produtos",IF(B1530=IFERROR(VLOOKUP(B1530,base!$K$2:$K$12,1,0),""),"Serviços",IF(B1530="Gorjeta","Gorjeta","Combos")))</f>
        <v>Produtos</v>
      </c>
      <c r="J1530">
        <f t="shared" si="46"/>
        <v>10</v>
      </c>
      <c r="K1530" s="1" t="e">
        <f t="shared" si="47"/>
        <v>#VALUE!</v>
      </c>
      <c r="M1530" s="1"/>
      <c r="P1530"/>
    </row>
    <row r="1531" spans="1:16">
      <c r="A1531" t="s">
        <v>252</v>
      </c>
      <c r="B1531" t="s">
        <v>163</v>
      </c>
      <c r="C1531" t="s">
        <v>2498</v>
      </c>
      <c r="D1531" s="14">
        <v>35</v>
      </c>
      <c r="E1531" s="14">
        <v>55</v>
      </c>
      <c r="F1531" s="13">
        <v>45769.802083333336</v>
      </c>
      <c r="G1531" t="s">
        <v>1</v>
      </c>
      <c r="H1531" t="s">
        <v>281</v>
      </c>
      <c r="I1531" t="str">
        <f>IF(B1531=IFERROR(VLOOKUP(B1531,base!$L$1:$L$12,1,0),""),"Produtos",IF(B1531=IFERROR(VLOOKUP(B1531,base!$K$2:$K$12,1,0),""),"Serviços",IF(B1531="Gorjeta","Gorjeta","Combos")))</f>
        <v>Serviços</v>
      </c>
      <c r="J1531">
        <f t="shared" si="46"/>
        <v>15.75</v>
      </c>
      <c r="K1531" s="1" t="e">
        <f t="shared" si="47"/>
        <v>#VALUE!</v>
      </c>
      <c r="M1531" s="1"/>
      <c r="P1531"/>
    </row>
    <row r="1532" spans="1:16">
      <c r="A1532" t="s">
        <v>252</v>
      </c>
      <c r="B1532" t="s">
        <v>166</v>
      </c>
      <c r="C1532" t="s">
        <v>2498</v>
      </c>
      <c r="D1532" s="14">
        <v>20</v>
      </c>
      <c r="F1532" s="13">
        <v>45769.802083333336</v>
      </c>
      <c r="G1532" t="s">
        <v>1</v>
      </c>
      <c r="H1532" t="s">
        <v>281</v>
      </c>
      <c r="I1532" t="str">
        <f>IF(B1532=IFERROR(VLOOKUP(B1532,base!$L$1:$L$12,1,0),""),"Produtos",IF(B1532=IFERROR(VLOOKUP(B1532,base!$K$2:$K$12,1,0),""),"Serviços",IF(B1532="Gorjeta","Gorjeta","Combos")))</f>
        <v>Serviços</v>
      </c>
      <c r="J1532">
        <f t="shared" si="46"/>
        <v>9</v>
      </c>
      <c r="K1532" s="1" t="e">
        <f t="shared" si="47"/>
        <v>#VALUE!</v>
      </c>
      <c r="M1532" s="1"/>
      <c r="P1532"/>
    </row>
    <row r="1533" spans="1:16">
      <c r="A1533" t="s">
        <v>519</v>
      </c>
      <c r="B1533" t="s">
        <v>353</v>
      </c>
      <c r="C1533" t="s">
        <v>2499</v>
      </c>
      <c r="D1533" s="14">
        <v>60</v>
      </c>
      <c r="E1533" s="14">
        <v>75</v>
      </c>
      <c r="F1533" s="13">
        <v>45769.881944444445</v>
      </c>
      <c r="G1533" t="s">
        <v>354</v>
      </c>
      <c r="H1533" t="s">
        <v>1154</v>
      </c>
      <c r="I1533" t="str">
        <f>IF(B1533=IFERROR(VLOOKUP(B1533,base!$L$1:$L$12,1,0),""),"Produtos",IF(B1533=IFERROR(VLOOKUP(B1533,base!$K$2:$K$12,1,0),""),"Serviços",IF(B1533="Gorjeta","Gorjeta","Combos")))</f>
        <v>Combos</v>
      </c>
      <c r="J1533">
        <f t="shared" si="46"/>
        <v>27</v>
      </c>
      <c r="K1533" s="1" t="e">
        <f t="shared" si="47"/>
        <v>#VALUE!</v>
      </c>
      <c r="M1533" s="1"/>
      <c r="P1533"/>
    </row>
    <row r="1534" spans="1:16">
      <c r="A1534" t="s">
        <v>519</v>
      </c>
      <c r="B1534" t="s">
        <v>1187</v>
      </c>
      <c r="C1534" t="s">
        <v>2499</v>
      </c>
      <c r="D1534" s="14">
        <v>15</v>
      </c>
      <c r="F1534" s="13">
        <v>45769.881944444445</v>
      </c>
      <c r="G1534" t="s">
        <v>354</v>
      </c>
      <c r="H1534" t="s">
        <v>1154</v>
      </c>
      <c r="I1534" t="str">
        <f>IF(B1534=IFERROR(VLOOKUP(B1534,base!$L$1:$L$12,1,0),""),"Produtos",IF(B1534=IFERROR(VLOOKUP(B1534,base!$K$2:$K$12,1,0),""),"Serviços",IF(B1534="Gorjeta","Gorjeta","Combos")))</f>
        <v>Serviços</v>
      </c>
      <c r="J1534">
        <f t="shared" si="46"/>
        <v>6.75</v>
      </c>
      <c r="K1534" s="1" t="e">
        <f t="shared" si="47"/>
        <v>#VALUE!</v>
      </c>
      <c r="M1534" s="1"/>
      <c r="P1534"/>
    </row>
    <row r="1535" spans="1:16">
      <c r="A1535" t="s">
        <v>519</v>
      </c>
      <c r="B1535" t="s">
        <v>353</v>
      </c>
      <c r="C1535" t="s">
        <v>2500</v>
      </c>
      <c r="D1535" s="14">
        <v>50</v>
      </c>
      <c r="E1535" s="14">
        <v>50</v>
      </c>
      <c r="F1535" s="13">
        <v>45769.899305555555</v>
      </c>
      <c r="G1535" t="s">
        <v>2</v>
      </c>
      <c r="H1535" t="s">
        <v>506</v>
      </c>
      <c r="I1535" t="str">
        <f>IF(B1535=IFERROR(VLOOKUP(B1535,base!$L$1:$L$12,1,0),""),"Produtos",IF(B1535=IFERROR(VLOOKUP(B1535,base!$K$2:$K$12,1,0),""),"Serviços",IF(B1535="Gorjeta","Gorjeta","Combos")))</f>
        <v>Combos</v>
      </c>
      <c r="J1535">
        <f t="shared" si="46"/>
        <v>22.5</v>
      </c>
      <c r="K1535" s="1" t="e">
        <f t="shared" si="47"/>
        <v>#VALUE!</v>
      </c>
      <c r="M1535" s="1"/>
      <c r="P1535"/>
    </row>
    <row r="1536" spans="1:16">
      <c r="A1536" t="s">
        <v>536</v>
      </c>
      <c r="B1536" t="s">
        <v>163</v>
      </c>
      <c r="C1536" t="s">
        <v>2522</v>
      </c>
      <c r="D1536" s="14">
        <v>35</v>
      </c>
      <c r="E1536" s="14">
        <v>35</v>
      </c>
      <c r="F1536" s="13">
        <v>45770.416666666664</v>
      </c>
      <c r="G1536" t="s">
        <v>1</v>
      </c>
      <c r="H1536" t="s">
        <v>1590</v>
      </c>
      <c r="I1536" t="str">
        <f>IF(B1536=IFERROR(VLOOKUP(B1536,base!$L$1:$L$12,1,0),""),"Produtos",IF(B1536=IFERROR(VLOOKUP(B1536,base!$K$2:$K$12,1,0),""),"Serviços",IF(B1536="Gorjeta","Gorjeta","Combos")))</f>
        <v>Serviços</v>
      </c>
      <c r="J1536">
        <f t="shared" ref="J1536:J1599" si="48">IF(AND(I1536="Serviços",E1536&gt;0),ROUND(D1536*45%,2),IF(I1536="Produtos",ROUND(D1536*40%,2),D1536*45%))</f>
        <v>15.75</v>
      </c>
      <c r="K1536" s="1" t="e">
        <f t="shared" ref="K1536:K1599" si="49">DATEVALUE(F1536)</f>
        <v>#VALUE!</v>
      </c>
      <c r="M1536" s="1"/>
      <c r="P1536"/>
    </row>
    <row r="1537" spans="1:16">
      <c r="A1537" t="s">
        <v>252</v>
      </c>
      <c r="B1537" t="s">
        <v>163</v>
      </c>
      <c r="C1537" t="s">
        <v>2523</v>
      </c>
      <c r="D1537" s="14">
        <v>35</v>
      </c>
      <c r="E1537" s="14">
        <v>70</v>
      </c>
      <c r="F1537" s="13">
        <v>45770.416666666664</v>
      </c>
      <c r="G1537" t="s">
        <v>1</v>
      </c>
      <c r="H1537" t="s">
        <v>16</v>
      </c>
      <c r="I1537" t="str">
        <f>IF(B1537=IFERROR(VLOOKUP(B1537,base!$L$1:$L$12,1,0),""),"Produtos",IF(B1537=IFERROR(VLOOKUP(B1537,base!$K$2:$K$12,1,0),""),"Serviços",IF(B1537="Gorjeta","Gorjeta","Combos")))</f>
        <v>Serviços</v>
      </c>
      <c r="J1537">
        <f t="shared" si="48"/>
        <v>15.75</v>
      </c>
      <c r="K1537" s="1" t="e">
        <f t="shared" si="49"/>
        <v>#VALUE!</v>
      </c>
      <c r="M1537" s="1"/>
      <c r="P1537"/>
    </row>
    <row r="1538" spans="1:16">
      <c r="A1538" t="s">
        <v>519</v>
      </c>
      <c r="B1538" t="s">
        <v>163</v>
      </c>
      <c r="C1538" t="s">
        <v>2523</v>
      </c>
      <c r="D1538" s="14">
        <v>35</v>
      </c>
      <c r="F1538" s="13">
        <v>45770.416666666664</v>
      </c>
      <c r="G1538" t="s">
        <v>1</v>
      </c>
      <c r="H1538" t="s">
        <v>16</v>
      </c>
      <c r="I1538" t="str">
        <f>IF(B1538=IFERROR(VLOOKUP(B1538,base!$L$1:$L$12,1,0),""),"Produtos",IF(B1538=IFERROR(VLOOKUP(B1538,base!$K$2:$K$12,1,0),""),"Serviços",IF(B1538="Gorjeta","Gorjeta","Combos")))</f>
        <v>Serviços</v>
      </c>
      <c r="J1538">
        <f t="shared" si="48"/>
        <v>15.75</v>
      </c>
      <c r="K1538" s="1" t="e">
        <f t="shared" si="49"/>
        <v>#VALUE!</v>
      </c>
      <c r="M1538" s="1"/>
      <c r="P1538"/>
    </row>
    <row r="1539" spans="1:16">
      <c r="A1539" t="s">
        <v>536</v>
      </c>
      <c r="B1539" t="s">
        <v>163</v>
      </c>
      <c r="C1539" t="s">
        <v>2524</v>
      </c>
      <c r="D1539" s="14">
        <v>35</v>
      </c>
      <c r="E1539" s="14">
        <v>95</v>
      </c>
      <c r="F1539" s="13">
        <v>45770.5</v>
      </c>
      <c r="G1539" t="s">
        <v>1</v>
      </c>
      <c r="H1539" t="s">
        <v>2525</v>
      </c>
      <c r="I1539" t="str">
        <f>IF(B1539=IFERROR(VLOOKUP(B1539,base!$L$1:$L$12,1,0),""),"Produtos",IF(B1539=IFERROR(VLOOKUP(B1539,base!$K$2:$K$12,1,0),""),"Serviços",IF(B1539="Gorjeta","Gorjeta","Combos")))</f>
        <v>Serviços</v>
      </c>
      <c r="J1539">
        <f t="shared" si="48"/>
        <v>15.75</v>
      </c>
      <c r="K1539" s="1" t="e">
        <f t="shared" si="49"/>
        <v>#VALUE!</v>
      </c>
      <c r="M1539" s="1"/>
      <c r="P1539"/>
    </row>
    <row r="1540" spans="1:16">
      <c r="A1540" t="s">
        <v>536</v>
      </c>
      <c r="B1540" t="s">
        <v>163</v>
      </c>
      <c r="C1540" t="s">
        <v>2524</v>
      </c>
      <c r="D1540" s="14">
        <v>35</v>
      </c>
      <c r="F1540" s="13">
        <v>45770.5</v>
      </c>
      <c r="G1540" t="s">
        <v>1</v>
      </c>
      <c r="H1540" t="s">
        <v>2525</v>
      </c>
      <c r="I1540" t="str">
        <f>IF(B1540=IFERROR(VLOOKUP(B1540,base!$L$1:$L$12,1,0),""),"Produtos",IF(B1540=IFERROR(VLOOKUP(B1540,base!$K$2:$K$12,1,0),""),"Serviços",IF(B1540="Gorjeta","Gorjeta","Combos")))</f>
        <v>Serviços</v>
      </c>
      <c r="J1540">
        <f t="shared" si="48"/>
        <v>15.75</v>
      </c>
      <c r="K1540" s="1" t="e">
        <f t="shared" si="49"/>
        <v>#VALUE!</v>
      </c>
      <c r="M1540" s="1"/>
      <c r="P1540"/>
    </row>
    <row r="1541" spans="1:16">
      <c r="A1541" t="s">
        <v>536</v>
      </c>
      <c r="B1541" t="s">
        <v>2526</v>
      </c>
      <c r="C1541" t="s">
        <v>2524</v>
      </c>
      <c r="D1541" s="14">
        <v>25</v>
      </c>
      <c r="F1541" s="13">
        <v>45770.5</v>
      </c>
      <c r="G1541" t="s">
        <v>1</v>
      </c>
      <c r="H1541" t="s">
        <v>2525</v>
      </c>
      <c r="I1541" t="str">
        <f>IF(B1541=IFERROR(VLOOKUP(B1541,base!$L$1:$L$12,1,0),""),"Produtos",IF(B1541=IFERROR(VLOOKUP(B1541,base!$K$2:$K$12,1,0),""),"Serviços",IF(B1541="Gorjeta","Gorjeta","Combos")))</f>
        <v>Produtos</v>
      </c>
      <c r="J1541">
        <f t="shared" si="48"/>
        <v>10</v>
      </c>
      <c r="K1541" s="1" t="e">
        <f t="shared" si="49"/>
        <v>#VALUE!</v>
      </c>
      <c r="M1541" s="1"/>
      <c r="P1541"/>
    </row>
    <row r="1542" spans="1:16">
      <c r="A1542" t="s">
        <v>252</v>
      </c>
      <c r="B1542" t="s">
        <v>353</v>
      </c>
      <c r="C1542" t="s">
        <v>2527</v>
      </c>
      <c r="D1542" s="14">
        <v>60</v>
      </c>
      <c r="E1542" s="14">
        <v>60</v>
      </c>
      <c r="F1542" s="13">
        <v>45770.520833333336</v>
      </c>
      <c r="G1542" t="s">
        <v>1</v>
      </c>
      <c r="H1542" t="s">
        <v>131</v>
      </c>
      <c r="I1542" t="str">
        <f>IF(B1542=IFERROR(VLOOKUP(B1542,base!$L$1:$L$12,1,0),""),"Produtos",IF(B1542=IFERROR(VLOOKUP(B1542,base!$K$2:$K$12,1,0),""),"Serviços",IF(B1542="Gorjeta","Gorjeta","Combos")))</f>
        <v>Combos</v>
      </c>
      <c r="J1542">
        <f t="shared" si="48"/>
        <v>27</v>
      </c>
      <c r="K1542" s="1" t="e">
        <f t="shared" si="49"/>
        <v>#VALUE!</v>
      </c>
      <c r="M1542" s="1"/>
      <c r="P1542"/>
    </row>
    <row r="1543" spans="1:16">
      <c r="A1543" t="s">
        <v>252</v>
      </c>
      <c r="B1543" t="s">
        <v>163</v>
      </c>
      <c r="C1543" t="s">
        <v>2528</v>
      </c>
      <c r="D1543" s="14">
        <v>35</v>
      </c>
      <c r="E1543" s="14">
        <v>35</v>
      </c>
      <c r="F1543" s="13">
        <v>45770.479166666664</v>
      </c>
      <c r="G1543" t="s">
        <v>1</v>
      </c>
      <c r="H1543" t="s">
        <v>382</v>
      </c>
      <c r="I1543" t="str">
        <f>IF(B1543=IFERROR(VLOOKUP(B1543,base!$L$1:$L$12,1,0),""),"Produtos",IF(B1543=IFERROR(VLOOKUP(B1543,base!$K$2:$K$12,1,0),""),"Serviços",IF(B1543="Gorjeta","Gorjeta","Combos")))</f>
        <v>Serviços</v>
      </c>
      <c r="J1543">
        <f t="shared" si="48"/>
        <v>15.75</v>
      </c>
      <c r="K1543" s="1" t="e">
        <f t="shared" si="49"/>
        <v>#VALUE!</v>
      </c>
      <c r="M1543" s="1"/>
      <c r="P1543"/>
    </row>
    <row r="1544" spans="1:16">
      <c r="A1544" t="s">
        <v>252</v>
      </c>
      <c r="B1544" t="s">
        <v>160</v>
      </c>
      <c r="C1544" t="s">
        <v>2529</v>
      </c>
      <c r="D1544" s="14">
        <v>12</v>
      </c>
      <c r="E1544" s="14">
        <v>12</v>
      </c>
      <c r="F1544" s="13">
        <v>45770.552083333336</v>
      </c>
      <c r="G1544" t="s">
        <v>1</v>
      </c>
      <c r="H1544" t="s">
        <v>491</v>
      </c>
      <c r="I1544" t="str">
        <f>IF(B1544=IFERROR(VLOOKUP(B1544,base!$L$1:$L$12,1,0),""),"Produtos",IF(B1544=IFERROR(VLOOKUP(B1544,base!$K$2:$K$12,1,0),""),"Serviços",IF(B1544="Gorjeta","Gorjeta","Combos")))</f>
        <v>Serviços</v>
      </c>
      <c r="J1544">
        <f t="shared" si="48"/>
        <v>5.4</v>
      </c>
      <c r="K1544" s="1" t="e">
        <f t="shared" si="49"/>
        <v>#VALUE!</v>
      </c>
      <c r="M1544" s="1"/>
      <c r="P1544"/>
    </row>
    <row r="1545" spans="1:16">
      <c r="A1545" t="s">
        <v>519</v>
      </c>
      <c r="B1545" t="s">
        <v>353</v>
      </c>
      <c r="C1545" t="s">
        <v>2530</v>
      </c>
      <c r="D1545" s="14">
        <v>60</v>
      </c>
      <c r="E1545" s="14">
        <v>70</v>
      </c>
      <c r="F1545" s="13">
        <v>45770.545138888891</v>
      </c>
      <c r="G1545" t="s">
        <v>1</v>
      </c>
      <c r="H1545" t="s">
        <v>2088</v>
      </c>
      <c r="I1545" t="str">
        <f>IF(B1545=IFERROR(VLOOKUP(B1545,base!$L$1:$L$12,1,0),""),"Produtos",IF(B1545=IFERROR(VLOOKUP(B1545,base!$K$2:$K$12,1,0),""),"Serviços",IF(B1545="Gorjeta","Gorjeta","Combos")))</f>
        <v>Combos</v>
      </c>
      <c r="J1545">
        <f t="shared" si="48"/>
        <v>27</v>
      </c>
      <c r="K1545" s="1" t="e">
        <f t="shared" si="49"/>
        <v>#VALUE!</v>
      </c>
      <c r="M1545" s="1"/>
      <c r="P1545"/>
    </row>
    <row r="1546" spans="1:16">
      <c r="A1546" t="s">
        <v>519</v>
      </c>
      <c r="B1546" t="s">
        <v>166</v>
      </c>
      <c r="C1546" t="s">
        <v>2530</v>
      </c>
      <c r="D1546" s="14">
        <v>10</v>
      </c>
      <c r="F1546" s="13">
        <v>45770.545138888891</v>
      </c>
      <c r="G1546" t="s">
        <v>1</v>
      </c>
      <c r="H1546" t="s">
        <v>2088</v>
      </c>
      <c r="I1546" t="str">
        <f>IF(B1546=IFERROR(VLOOKUP(B1546,base!$L$1:$L$12,1,0),""),"Produtos",IF(B1546=IFERROR(VLOOKUP(B1546,base!$K$2:$K$12,1,0),""),"Serviços",IF(B1546="Gorjeta","Gorjeta","Combos")))</f>
        <v>Serviços</v>
      </c>
      <c r="J1546">
        <f t="shared" si="48"/>
        <v>4.5</v>
      </c>
      <c r="K1546" s="1" t="e">
        <f t="shared" si="49"/>
        <v>#VALUE!</v>
      </c>
      <c r="M1546" s="1"/>
      <c r="P1546"/>
    </row>
    <row r="1547" spans="1:16">
      <c r="A1547" t="s">
        <v>252</v>
      </c>
      <c r="B1547" t="s">
        <v>163</v>
      </c>
      <c r="C1547" t="s">
        <v>2531</v>
      </c>
      <c r="D1547" s="14">
        <v>35</v>
      </c>
      <c r="E1547" s="14">
        <v>55</v>
      </c>
      <c r="F1547" s="13">
        <v>45770.569444444445</v>
      </c>
      <c r="G1547" t="s">
        <v>1</v>
      </c>
      <c r="H1547" t="s">
        <v>1161</v>
      </c>
      <c r="I1547" t="str">
        <f>IF(B1547=IFERROR(VLOOKUP(B1547,base!$L$1:$L$12,1,0),""),"Produtos",IF(B1547=IFERROR(VLOOKUP(B1547,base!$K$2:$K$12,1,0),""),"Serviços",IF(B1547="Gorjeta","Gorjeta","Combos")))</f>
        <v>Serviços</v>
      </c>
      <c r="J1547">
        <f t="shared" si="48"/>
        <v>15.75</v>
      </c>
      <c r="K1547" s="1" t="e">
        <f t="shared" si="49"/>
        <v>#VALUE!</v>
      </c>
      <c r="M1547" s="1"/>
      <c r="P1547"/>
    </row>
    <row r="1548" spans="1:16">
      <c r="A1548" t="s">
        <v>252</v>
      </c>
      <c r="B1548" t="s">
        <v>352</v>
      </c>
      <c r="C1548" t="s">
        <v>2531</v>
      </c>
      <c r="D1548" s="14">
        <v>20</v>
      </c>
      <c r="F1548" s="13">
        <v>45770.569444444445</v>
      </c>
      <c r="G1548" t="s">
        <v>1</v>
      </c>
      <c r="H1548" t="s">
        <v>1161</v>
      </c>
      <c r="I1548" t="str">
        <f>IF(B1548=IFERROR(VLOOKUP(B1548,base!$L$1:$L$12,1,0),""),"Produtos",IF(B1548=IFERROR(VLOOKUP(B1548,base!$K$2:$K$12,1,0),""),"Serviços",IF(B1548="Gorjeta","Gorjeta","Combos")))</f>
        <v>Combos</v>
      </c>
      <c r="J1548">
        <f t="shared" si="48"/>
        <v>9</v>
      </c>
      <c r="K1548" s="1" t="e">
        <f t="shared" si="49"/>
        <v>#VALUE!</v>
      </c>
      <c r="M1548" s="1"/>
      <c r="P1548"/>
    </row>
    <row r="1549" spans="1:16">
      <c r="A1549" t="s">
        <v>519</v>
      </c>
      <c r="B1549" t="s">
        <v>163</v>
      </c>
      <c r="C1549" t="s">
        <v>2532</v>
      </c>
      <c r="D1549" s="14">
        <v>35</v>
      </c>
      <c r="E1549" s="14">
        <v>55</v>
      </c>
      <c r="F1549" s="13">
        <v>45770.604166666664</v>
      </c>
      <c r="G1549" t="s">
        <v>354</v>
      </c>
      <c r="H1549" t="s">
        <v>1495</v>
      </c>
      <c r="I1549" t="str">
        <f>IF(B1549=IFERROR(VLOOKUP(B1549,base!$L$1:$L$12,1,0),""),"Produtos",IF(B1549=IFERROR(VLOOKUP(B1549,base!$K$2:$K$12,1,0),""),"Serviços",IF(B1549="Gorjeta","Gorjeta","Combos")))</f>
        <v>Serviços</v>
      </c>
      <c r="J1549">
        <f t="shared" si="48"/>
        <v>15.75</v>
      </c>
      <c r="K1549" s="1" t="e">
        <f t="shared" si="49"/>
        <v>#VALUE!</v>
      </c>
      <c r="M1549" s="1"/>
      <c r="P1549"/>
    </row>
    <row r="1550" spans="1:16">
      <c r="A1550" t="s">
        <v>519</v>
      </c>
      <c r="B1550" t="s">
        <v>509</v>
      </c>
      <c r="C1550" t="s">
        <v>2532</v>
      </c>
      <c r="D1550" s="14">
        <v>20</v>
      </c>
      <c r="F1550" s="13">
        <v>45770.604166666664</v>
      </c>
      <c r="G1550" t="s">
        <v>354</v>
      </c>
      <c r="H1550" t="s">
        <v>1495</v>
      </c>
      <c r="I1550" t="str">
        <f>IF(B1550=IFERROR(VLOOKUP(B1550,base!$L$1:$L$12,1,0),""),"Produtos",IF(B1550=IFERROR(VLOOKUP(B1550,base!$K$2:$K$12,1,0),""),"Serviços",IF(B1550="Gorjeta","Gorjeta","Combos")))</f>
        <v>Produtos</v>
      </c>
      <c r="J1550">
        <f t="shared" si="48"/>
        <v>8</v>
      </c>
      <c r="K1550" s="1" t="e">
        <f t="shared" si="49"/>
        <v>#VALUE!</v>
      </c>
      <c r="M1550" s="1"/>
      <c r="P1550"/>
    </row>
    <row r="1551" spans="1:16">
      <c r="A1551" t="s">
        <v>519</v>
      </c>
      <c r="B1551" t="s">
        <v>163</v>
      </c>
      <c r="C1551" t="s">
        <v>2533</v>
      </c>
      <c r="D1551" s="14">
        <v>35</v>
      </c>
      <c r="E1551" s="14">
        <v>60</v>
      </c>
      <c r="F1551" s="13">
        <v>45770.618055555555</v>
      </c>
      <c r="G1551" t="s">
        <v>1</v>
      </c>
      <c r="H1551" t="s">
        <v>116</v>
      </c>
      <c r="I1551" t="str">
        <f>IF(B1551=IFERROR(VLOOKUP(B1551,base!$L$1:$L$12,1,0),""),"Produtos",IF(B1551=IFERROR(VLOOKUP(B1551,base!$K$2:$K$12,1,0),""),"Serviços",IF(B1551="Gorjeta","Gorjeta","Combos")))</f>
        <v>Serviços</v>
      </c>
      <c r="J1551">
        <f t="shared" si="48"/>
        <v>15.75</v>
      </c>
      <c r="K1551" s="1" t="e">
        <f t="shared" si="49"/>
        <v>#VALUE!</v>
      </c>
      <c r="M1551" s="1"/>
      <c r="P1551"/>
    </row>
    <row r="1552" spans="1:16">
      <c r="A1552" t="s">
        <v>519</v>
      </c>
      <c r="B1552" t="s">
        <v>509</v>
      </c>
      <c r="C1552" t="s">
        <v>2533</v>
      </c>
      <c r="D1552" s="14">
        <v>25</v>
      </c>
      <c r="F1552" s="13">
        <v>45770.618055555555</v>
      </c>
      <c r="G1552" t="s">
        <v>1</v>
      </c>
      <c r="H1552" t="s">
        <v>116</v>
      </c>
      <c r="I1552" t="str">
        <f>IF(B1552=IFERROR(VLOOKUP(B1552,base!$L$1:$L$12,1,0),""),"Produtos",IF(B1552=IFERROR(VLOOKUP(B1552,base!$K$2:$K$12,1,0),""),"Serviços",IF(B1552="Gorjeta","Gorjeta","Combos")))</f>
        <v>Produtos</v>
      </c>
      <c r="J1552">
        <f t="shared" si="48"/>
        <v>10</v>
      </c>
      <c r="K1552" s="1" t="e">
        <f t="shared" si="49"/>
        <v>#VALUE!</v>
      </c>
      <c r="M1552" s="1"/>
      <c r="P1552"/>
    </row>
    <row r="1553" spans="1:16">
      <c r="A1553" t="s">
        <v>519</v>
      </c>
      <c r="B1553" t="s">
        <v>163</v>
      </c>
      <c r="C1553" t="s">
        <v>2534</v>
      </c>
      <c r="D1553" s="14">
        <v>35</v>
      </c>
      <c r="E1553" s="14">
        <v>45</v>
      </c>
      <c r="F1553" s="13">
        <v>45771.4375</v>
      </c>
      <c r="G1553" t="s">
        <v>1</v>
      </c>
      <c r="H1553" t="s">
        <v>62</v>
      </c>
      <c r="I1553" t="str">
        <f>IF(B1553=IFERROR(VLOOKUP(B1553,base!$L$1:$L$12,1,0),""),"Produtos",IF(B1553=IFERROR(VLOOKUP(B1553,base!$K$2:$K$12,1,0),""),"Serviços",IF(B1553="Gorjeta","Gorjeta","Combos")))</f>
        <v>Serviços</v>
      </c>
      <c r="J1553">
        <f t="shared" si="48"/>
        <v>15.75</v>
      </c>
      <c r="K1553" s="1" t="e">
        <f t="shared" si="49"/>
        <v>#VALUE!</v>
      </c>
      <c r="M1553" s="1"/>
      <c r="P1553"/>
    </row>
    <row r="1554" spans="1:16">
      <c r="A1554" t="s">
        <v>519</v>
      </c>
      <c r="B1554" t="s">
        <v>167</v>
      </c>
      <c r="C1554" t="s">
        <v>2534</v>
      </c>
      <c r="D1554" s="14">
        <v>10</v>
      </c>
      <c r="F1554" s="13">
        <v>45771.4375</v>
      </c>
      <c r="G1554" t="s">
        <v>1</v>
      </c>
      <c r="H1554" t="s">
        <v>62</v>
      </c>
      <c r="I1554" t="str">
        <f>IF(B1554=IFERROR(VLOOKUP(B1554,base!$L$1:$L$12,1,0),""),"Produtos",IF(B1554=IFERROR(VLOOKUP(B1554,base!$K$2:$K$12,1,0),""),"Serviços",IF(B1554="Gorjeta","Gorjeta","Combos")))</f>
        <v>Serviços</v>
      </c>
      <c r="J1554">
        <f t="shared" si="48"/>
        <v>4.5</v>
      </c>
      <c r="K1554" s="1" t="e">
        <f t="shared" si="49"/>
        <v>#VALUE!</v>
      </c>
      <c r="M1554" s="1"/>
      <c r="P1554"/>
    </row>
    <row r="1555" spans="1:16">
      <c r="A1555" t="s">
        <v>536</v>
      </c>
      <c r="B1555" t="s">
        <v>1046</v>
      </c>
      <c r="C1555" t="s">
        <v>2535</v>
      </c>
      <c r="D1555" s="14">
        <v>35</v>
      </c>
      <c r="E1555" s="14">
        <v>87</v>
      </c>
      <c r="F1555" s="13">
        <v>45771.416666666664</v>
      </c>
      <c r="G1555" t="s">
        <v>1</v>
      </c>
      <c r="H1555" t="s">
        <v>465</v>
      </c>
      <c r="I1555" t="str">
        <f>IF(B1555=IFERROR(VLOOKUP(B1555,base!$L$1:$L$12,1,0),""),"Produtos",IF(B1555=IFERROR(VLOOKUP(B1555,base!$K$2:$K$12,1,0),""),"Serviços",IF(B1555="Gorjeta","Gorjeta","Combos")))</f>
        <v>Serviços</v>
      </c>
      <c r="J1555">
        <f t="shared" si="48"/>
        <v>15.75</v>
      </c>
      <c r="K1555" s="1" t="e">
        <f t="shared" si="49"/>
        <v>#VALUE!</v>
      </c>
      <c r="M1555" s="1"/>
      <c r="P1555"/>
    </row>
    <row r="1556" spans="1:16">
      <c r="A1556" t="s">
        <v>536</v>
      </c>
      <c r="B1556" t="s">
        <v>160</v>
      </c>
      <c r="C1556" t="s">
        <v>2535</v>
      </c>
      <c r="D1556" s="14">
        <v>12</v>
      </c>
      <c r="F1556" s="13">
        <v>45771.416666666664</v>
      </c>
      <c r="G1556" t="s">
        <v>1</v>
      </c>
      <c r="H1556" t="s">
        <v>465</v>
      </c>
      <c r="I1556" t="str">
        <f>IF(B1556=IFERROR(VLOOKUP(B1556,base!$L$1:$L$12,1,0),""),"Produtos",IF(B1556=IFERROR(VLOOKUP(B1556,base!$K$2:$K$12,1,0),""),"Serviços",IF(B1556="Gorjeta","Gorjeta","Combos")))</f>
        <v>Serviços</v>
      </c>
      <c r="J1556">
        <f t="shared" si="48"/>
        <v>5.4</v>
      </c>
      <c r="K1556" s="1" t="e">
        <f t="shared" si="49"/>
        <v>#VALUE!</v>
      </c>
      <c r="M1556" s="1"/>
      <c r="P1556"/>
    </row>
    <row r="1557" spans="1:16">
      <c r="A1557" t="s">
        <v>536</v>
      </c>
      <c r="B1557" t="s">
        <v>2536</v>
      </c>
      <c r="C1557" t="s">
        <v>2535</v>
      </c>
      <c r="D1557" s="14">
        <v>40</v>
      </c>
      <c r="F1557" s="13">
        <v>45771.416666666664</v>
      </c>
      <c r="G1557" t="s">
        <v>1</v>
      </c>
      <c r="H1557" t="s">
        <v>465</v>
      </c>
      <c r="I1557" t="str">
        <f>IF(B1557=IFERROR(VLOOKUP(B1557,base!$L$1:$L$12,1,0),""),"Produtos",IF(B1557=IFERROR(VLOOKUP(B1557,base!$K$2:$K$12,1,0),""),"Serviços",IF(B1557="Gorjeta","Gorjeta","Combos")))</f>
        <v>Produtos</v>
      </c>
      <c r="J1557">
        <f t="shared" si="48"/>
        <v>16</v>
      </c>
      <c r="K1557" s="1" t="e">
        <f t="shared" si="49"/>
        <v>#VALUE!</v>
      </c>
      <c r="M1557" s="1"/>
      <c r="P1557"/>
    </row>
    <row r="1558" spans="1:16">
      <c r="A1558" t="s">
        <v>252</v>
      </c>
      <c r="B1558" t="s">
        <v>163</v>
      </c>
      <c r="C1558" t="s">
        <v>2537</v>
      </c>
      <c r="D1558" s="14">
        <v>35</v>
      </c>
      <c r="E1558" s="14">
        <v>35</v>
      </c>
      <c r="F1558" s="13">
        <v>45773.416666666664</v>
      </c>
      <c r="G1558" t="s">
        <v>1</v>
      </c>
      <c r="H1558" t="s">
        <v>364</v>
      </c>
      <c r="I1558" t="str">
        <f>IF(B1558=IFERROR(VLOOKUP(B1558,base!$L$1:$L$12,1,0),""),"Produtos",IF(B1558=IFERROR(VLOOKUP(B1558,base!$K$2:$K$12,1,0),""),"Serviços",IF(B1558="Gorjeta","Gorjeta","Combos")))</f>
        <v>Serviços</v>
      </c>
      <c r="J1558">
        <f t="shared" si="48"/>
        <v>15.75</v>
      </c>
      <c r="K1558" s="1" t="e">
        <f t="shared" si="49"/>
        <v>#VALUE!</v>
      </c>
      <c r="M1558" s="1"/>
      <c r="P1558"/>
    </row>
    <row r="1559" spans="1:16">
      <c r="A1559" t="s">
        <v>252</v>
      </c>
      <c r="B1559" t="s">
        <v>163</v>
      </c>
      <c r="C1559" t="s">
        <v>2538</v>
      </c>
      <c r="D1559" s="14">
        <v>35</v>
      </c>
      <c r="E1559" s="14">
        <v>35</v>
      </c>
      <c r="F1559" s="13">
        <v>45771.447916666664</v>
      </c>
      <c r="G1559" t="s">
        <v>1</v>
      </c>
      <c r="H1559" t="s">
        <v>107</v>
      </c>
      <c r="I1559" t="str">
        <f>IF(B1559=IFERROR(VLOOKUP(B1559,base!$L$1:$L$12,1,0),""),"Produtos",IF(B1559=IFERROR(VLOOKUP(B1559,base!$K$2:$K$12,1,0),""),"Serviços",IF(B1559="Gorjeta","Gorjeta","Combos")))</f>
        <v>Serviços</v>
      </c>
      <c r="J1559">
        <f t="shared" si="48"/>
        <v>15.75</v>
      </c>
      <c r="K1559" s="1" t="e">
        <f t="shared" si="49"/>
        <v>#VALUE!</v>
      </c>
      <c r="M1559" s="1"/>
      <c r="P1559"/>
    </row>
    <row r="1560" spans="1:16">
      <c r="A1560" t="s">
        <v>252</v>
      </c>
      <c r="B1560" t="s">
        <v>163</v>
      </c>
      <c r="C1560" t="s">
        <v>2539</v>
      </c>
      <c r="D1560" s="14">
        <v>35</v>
      </c>
      <c r="E1560" s="14">
        <v>45</v>
      </c>
      <c r="F1560" s="13">
        <v>45771.479166666664</v>
      </c>
      <c r="G1560" t="s">
        <v>354</v>
      </c>
      <c r="H1560" t="s">
        <v>1485</v>
      </c>
      <c r="I1560" t="str">
        <f>IF(B1560=IFERROR(VLOOKUP(B1560,base!$L$1:$L$12,1,0),""),"Produtos",IF(B1560=IFERROR(VLOOKUP(B1560,base!$K$2:$K$12,1,0),""),"Serviços",IF(B1560="Gorjeta","Gorjeta","Combos")))</f>
        <v>Serviços</v>
      </c>
      <c r="J1560">
        <f t="shared" si="48"/>
        <v>15.75</v>
      </c>
      <c r="K1560" s="1" t="e">
        <f t="shared" si="49"/>
        <v>#VALUE!</v>
      </c>
      <c r="M1560" s="1"/>
      <c r="P1560"/>
    </row>
    <row r="1561" spans="1:16">
      <c r="A1561" t="s">
        <v>252</v>
      </c>
      <c r="B1561" t="s">
        <v>167</v>
      </c>
      <c r="C1561" t="s">
        <v>2539</v>
      </c>
      <c r="D1561" s="14">
        <v>10</v>
      </c>
      <c r="F1561" s="13">
        <v>45771.479166666664</v>
      </c>
      <c r="G1561" t="s">
        <v>354</v>
      </c>
      <c r="H1561" t="s">
        <v>1485</v>
      </c>
      <c r="I1561" t="str">
        <f>IF(B1561=IFERROR(VLOOKUP(B1561,base!$L$1:$L$12,1,0),""),"Produtos",IF(B1561=IFERROR(VLOOKUP(B1561,base!$K$2:$K$12,1,0),""),"Serviços",IF(B1561="Gorjeta","Gorjeta","Combos")))</f>
        <v>Serviços</v>
      </c>
      <c r="J1561">
        <f t="shared" si="48"/>
        <v>4.5</v>
      </c>
      <c r="K1561" s="1" t="e">
        <f t="shared" si="49"/>
        <v>#VALUE!</v>
      </c>
      <c r="M1561" s="1"/>
      <c r="P1561"/>
    </row>
    <row r="1562" spans="1:16">
      <c r="A1562" t="s">
        <v>519</v>
      </c>
      <c r="B1562" t="s">
        <v>163</v>
      </c>
      <c r="C1562" t="s">
        <v>2540</v>
      </c>
      <c r="D1562" s="14">
        <v>35</v>
      </c>
      <c r="E1562" s="14">
        <v>55</v>
      </c>
      <c r="F1562" s="13">
        <v>45771.479166666664</v>
      </c>
      <c r="G1562" t="s">
        <v>354</v>
      </c>
      <c r="H1562" t="s">
        <v>292</v>
      </c>
      <c r="I1562" t="str">
        <f>IF(B1562=IFERROR(VLOOKUP(B1562,base!$L$1:$L$12,1,0),""),"Produtos",IF(B1562=IFERROR(VLOOKUP(B1562,base!$K$2:$K$12,1,0),""),"Serviços",IF(B1562="Gorjeta","Gorjeta","Combos")))</f>
        <v>Serviços</v>
      </c>
      <c r="J1562">
        <f t="shared" si="48"/>
        <v>15.75</v>
      </c>
      <c r="K1562" s="1" t="e">
        <f t="shared" si="49"/>
        <v>#VALUE!</v>
      </c>
      <c r="M1562" s="1"/>
      <c r="P1562"/>
    </row>
    <row r="1563" spans="1:16">
      <c r="A1563" t="s">
        <v>519</v>
      </c>
      <c r="B1563" t="s">
        <v>352</v>
      </c>
      <c r="C1563" t="s">
        <v>2540</v>
      </c>
      <c r="D1563" s="14">
        <v>20</v>
      </c>
      <c r="F1563" s="13">
        <v>45771.479166666664</v>
      </c>
      <c r="G1563" t="s">
        <v>354</v>
      </c>
      <c r="H1563" t="s">
        <v>292</v>
      </c>
      <c r="I1563" t="str">
        <f>IF(B1563=IFERROR(VLOOKUP(B1563,base!$L$1:$L$12,1,0),""),"Produtos",IF(B1563=IFERROR(VLOOKUP(B1563,base!$K$2:$K$12,1,0),""),"Serviços",IF(B1563="Gorjeta","Gorjeta","Combos")))</f>
        <v>Combos</v>
      </c>
      <c r="J1563">
        <f t="shared" si="48"/>
        <v>9</v>
      </c>
      <c r="K1563" s="1" t="e">
        <f t="shared" si="49"/>
        <v>#VALUE!</v>
      </c>
      <c r="M1563" s="1"/>
      <c r="P1563"/>
    </row>
    <row r="1564" spans="1:16">
      <c r="A1564" t="s">
        <v>519</v>
      </c>
      <c r="B1564" t="s">
        <v>163</v>
      </c>
      <c r="C1564" t="s">
        <v>2541</v>
      </c>
      <c r="D1564" s="14">
        <v>35</v>
      </c>
      <c r="E1564" s="14">
        <v>35</v>
      </c>
      <c r="F1564" s="13">
        <v>45773.375</v>
      </c>
      <c r="G1564" t="s">
        <v>310</v>
      </c>
      <c r="H1564" t="s">
        <v>1564</v>
      </c>
      <c r="I1564" t="str">
        <f>IF(B1564=IFERROR(VLOOKUP(B1564,base!$L$1:$L$12,1,0),""),"Produtos",IF(B1564=IFERROR(VLOOKUP(B1564,base!$K$2:$K$12,1,0),""),"Serviços",IF(B1564="Gorjeta","Gorjeta","Combos")))</f>
        <v>Serviços</v>
      </c>
      <c r="J1564">
        <f t="shared" si="48"/>
        <v>15.75</v>
      </c>
      <c r="K1564" s="1" t="e">
        <f t="shared" si="49"/>
        <v>#VALUE!</v>
      </c>
      <c r="M1564" s="1"/>
      <c r="P1564"/>
    </row>
    <row r="1565" spans="1:16">
      <c r="A1565" t="s">
        <v>252</v>
      </c>
      <c r="B1565" t="s">
        <v>163</v>
      </c>
      <c r="C1565" t="s">
        <v>2542</v>
      </c>
      <c r="D1565" s="14">
        <v>35</v>
      </c>
      <c r="E1565" s="14">
        <v>45</v>
      </c>
      <c r="F1565" s="13">
        <v>45771.71875</v>
      </c>
      <c r="G1565" t="s">
        <v>2</v>
      </c>
      <c r="H1565" t="s">
        <v>200</v>
      </c>
      <c r="I1565" t="str">
        <f>IF(B1565=IFERROR(VLOOKUP(B1565,base!$L$1:$L$12,1,0),""),"Produtos",IF(B1565=IFERROR(VLOOKUP(B1565,base!$K$2:$K$12,1,0),""),"Serviços",IF(B1565="Gorjeta","Gorjeta","Combos")))</f>
        <v>Serviços</v>
      </c>
      <c r="J1565">
        <f t="shared" si="48"/>
        <v>15.75</v>
      </c>
      <c r="K1565" s="1" t="e">
        <f t="shared" si="49"/>
        <v>#VALUE!</v>
      </c>
      <c r="M1565" s="1"/>
      <c r="P1565"/>
    </row>
    <row r="1566" spans="1:16">
      <c r="A1566" t="s">
        <v>252</v>
      </c>
      <c r="B1566" t="s">
        <v>167</v>
      </c>
      <c r="C1566" t="s">
        <v>2542</v>
      </c>
      <c r="D1566" s="14">
        <v>10</v>
      </c>
      <c r="F1566" s="13">
        <v>45771.71875</v>
      </c>
      <c r="G1566" t="s">
        <v>2</v>
      </c>
      <c r="H1566" t="s">
        <v>200</v>
      </c>
      <c r="I1566" t="str">
        <f>IF(B1566=IFERROR(VLOOKUP(B1566,base!$L$1:$L$12,1,0),""),"Produtos",IF(B1566=IFERROR(VLOOKUP(B1566,base!$K$2:$K$12,1,0),""),"Serviços",IF(B1566="Gorjeta","Gorjeta","Combos")))</f>
        <v>Serviços</v>
      </c>
      <c r="J1566">
        <f t="shared" si="48"/>
        <v>4.5</v>
      </c>
      <c r="K1566" s="1" t="e">
        <f t="shared" si="49"/>
        <v>#VALUE!</v>
      </c>
      <c r="M1566" s="1"/>
      <c r="P1566"/>
    </row>
    <row r="1567" spans="1:16">
      <c r="A1567" t="s">
        <v>536</v>
      </c>
      <c r="B1567" t="s">
        <v>163</v>
      </c>
      <c r="C1567" t="s">
        <v>2543</v>
      </c>
      <c r="D1567" s="14">
        <v>35</v>
      </c>
      <c r="E1567" s="14">
        <v>35</v>
      </c>
      <c r="F1567" s="13">
        <v>45771.489583333336</v>
      </c>
      <c r="G1567" t="s">
        <v>1</v>
      </c>
      <c r="H1567" t="s">
        <v>67</v>
      </c>
      <c r="I1567" t="str">
        <f>IF(B1567=IFERROR(VLOOKUP(B1567,base!$L$1:$L$12,1,0),""),"Produtos",IF(B1567=IFERROR(VLOOKUP(B1567,base!$K$2:$K$12,1,0),""),"Serviços",IF(B1567="Gorjeta","Gorjeta","Combos")))</f>
        <v>Serviços</v>
      </c>
      <c r="J1567">
        <f t="shared" si="48"/>
        <v>15.75</v>
      </c>
      <c r="K1567" s="1" t="e">
        <f t="shared" si="49"/>
        <v>#VALUE!</v>
      </c>
      <c r="M1567" s="1"/>
      <c r="P1567"/>
    </row>
    <row r="1568" spans="1:16">
      <c r="A1568" t="s">
        <v>252</v>
      </c>
      <c r="B1568" t="s">
        <v>2477</v>
      </c>
      <c r="C1568" t="s">
        <v>2544</v>
      </c>
      <c r="D1568" s="14">
        <v>25</v>
      </c>
      <c r="E1568" s="14">
        <v>25</v>
      </c>
      <c r="F1568" s="13">
        <v>45771.625</v>
      </c>
      <c r="G1568" t="s">
        <v>1</v>
      </c>
      <c r="H1568" t="s">
        <v>131</v>
      </c>
      <c r="I1568" t="str">
        <f>IF(B1568=IFERROR(VLOOKUP(B1568,base!$L$1:$L$12,1,0),""),"Produtos",IF(B1568=IFERROR(VLOOKUP(B1568,base!$K$2:$K$12,1,0),""),"Serviços",IF(B1568="Gorjeta","Gorjeta","Combos")))</f>
        <v>Produtos</v>
      </c>
      <c r="J1568">
        <f t="shared" si="48"/>
        <v>10</v>
      </c>
      <c r="K1568" s="1" t="e">
        <f t="shared" si="49"/>
        <v>#VALUE!</v>
      </c>
      <c r="M1568" s="1"/>
      <c r="P1568"/>
    </row>
    <row r="1569" spans="1:16">
      <c r="A1569" t="s">
        <v>519</v>
      </c>
      <c r="B1569" t="s">
        <v>163</v>
      </c>
      <c r="C1569" t="s">
        <v>2545</v>
      </c>
      <c r="D1569" s="14">
        <v>35</v>
      </c>
      <c r="E1569" s="14">
        <v>60</v>
      </c>
      <c r="F1569" s="13">
        <v>45771.666666666664</v>
      </c>
      <c r="G1569" t="s">
        <v>1</v>
      </c>
      <c r="H1569" t="s">
        <v>384</v>
      </c>
      <c r="I1569" t="str">
        <f>IF(B1569=IFERROR(VLOOKUP(B1569,base!$L$1:$L$12,1,0),""),"Produtos",IF(B1569=IFERROR(VLOOKUP(B1569,base!$K$2:$K$12,1,0),""),"Serviços",IF(B1569="Gorjeta","Gorjeta","Combos")))</f>
        <v>Serviços</v>
      </c>
      <c r="J1569">
        <f t="shared" si="48"/>
        <v>15.75</v>
      </c>
      <c r="K1569" s="1" t="e">
        <f t="shared" si="49"/>
        <v>#VALUE!</v>
      </c>
      <c r="M1569" s="1"/>
      <c r="P1569"/>
    </row>
    <row r="1570" spans="1:16">
      <c r="A1570" t="s">
        <v>519</v>
      </c>
      <c r="B1570" t="s">
        <v>1187</v>
      </c>
      <c r="C1570" t="s">
        <v>2545</v>
      </c>
      <c r="D1570" s="14">
        <v>15</v>
      </c>
      <c r="F1570" s="13">
        <v>45771.666666666664</v>
      </c>
      <c r="G1570" t="s">
        <v>1</v>
      </c>
      <c r="H1570" t="s">
        <v>384</v>
      </c>
      <c r="I1570" t="str">
        <f>IF(B1570=IFERROR(VLOOKUP(B1570,base!$L$1:$L$12,1,0),""),"Produtos",IF(B1570=IFERROR(VLOOKUP(B1570,base!$K$2:$K$12,1,0),""),"Serviços",IF(B1570="Gorjeta","Gorjeta","Combos")))</f>
        <v>Serviços</v>
      </c>
      <c r="J1570">
        <f t="shared" si="48"/>
        <v>6.75</v>
      </c>
      <c r="K1570" s="1" t="e">
        <f t="shared" si="49"/>
        <v>#VALUE!</v>
      </c>
      <c r="M1570" s="1"/>
      <c r="P1570"/>
    </row>
    <row r="1571" spans="1:16">
      <c r="A1571" t="s">
        <v>519</v>
      </c>
      <c r="B1571" t="s">
        <v>167</v>
      </c>
      <c r="C1571" t="s">
        <v>2545</v>
      </c>
      <c r="D1571" s="14">
        <v>10</v>
      </c>
      <c r="F1571" s="13">
        <v>45771.666666666664</v>
      </c>
      <c r="G1571" t="s">
        <v>1</v>
      </c>
      <c r="H1571" t="s">
        <v>384</v>
      </c>
      <c r="I1571" t="str">
        <f>IF(B1571=IFERROR(VLOOKUP(B1571,base!$L$1:$L$12,1,0),""),"Produtos",IF(B1571=IFERROR(VLOOKUP(B1571,base!$K$2:$K$12,1,0),""),"Serviços",IF(B1571="Gorjeta","Gorjeta","Combos")))</f>
        <v>Serviços</v>
      </c>
      <c r="J1571">
        <f t="shared" si="48"/>
        <v>4.5</v>
      </c>
      <c r="K1571" s="1" t="e">
        <f t="shared" si="49"/>
        <v>#VALUE!</v>
      </c>
      <c r="M1571" s="1"/>
      <c r="P1571"/>
    </row>
    <row r="1572" spans="1:16">
      <c r="A1572" t="s">
        <v>519</v>
      </c>
      <c r="B1572" t="s">
        <v>163</v>
      </c>
      <c r="C1572" t="s">
        <v>2546</v>
      </c>
      <c r="D1572" s="14">
        <v>35</v>
      </c>
      <c r="E1572" s="14">
        <v>50</v>
      </c>
      <c r="F1572" s="13">
        <v>45771.614583333336</v>
      </c>
      <c r="G1572" t="s">
        <v>1</v>
      </c>
      <c r="H1572" t="s">
        <v>278</v>
      </c>
      <c r="I1572" t="str">
        <f>IF(B1572=IFERROR(VLOOKUP(B1572,base!$L$1:$L$12,1,0),""),"Produtos",IF(B1572=IFERROR(VLOOKUP(B1572,base!$K$2:$K$12,1,0),""),"Serviços",IF(B1572="Gorjeta","Gorjeta","Combos")))</f>
        <v>Serviços</v>
      </c>
      <c r="J1572">
        <f t="shared" si="48"/>
        <v>15.75</v>
      </c>
      <c r="K1572" s="1" t="e">
        <f t="shared" si="49"/>
        <v>#VALUE!</v>
      </c>
      <c r="M1572" s="1"/>
      <c r="P1572"/>
    </row>
    <row r="1573" spans="1:16">
      <c r="A1573" t="s">
        <v>519</v>
      </c>
      <c r="B1573" t="s">
        <v>1446</v>
      </c>
      <c r="C1573" t="s">
        <v>2546</v>
      </c>
      <c r="D1573" s="14">
        <v>15</v>
      </c>
      <c r="F1573" s="13">
        <v>45771.614583333336</v>
      </c>
      <c r="G1573" t="s">
        <v>1</v>
      </c>
      <c r="H1573" t="s">
        <v>278</v>
      </c>
      <c r="I1573" t="str">
        <f>IF(B1573=IFERROR(VLOOKUP(B1573,base!$L$1:$L$12,1,0),""),"Produtos",IF(B1573=IFERROR(VLOOKUP(B1573,base!$K$2:$K$12,1,0),""),"Serviços",IF(B1573="Gorjeta","Gorjeta","Combos")))</f>
        <v>Serviços</v>
      </c>
      <c r="J1573">
        <f t="shared" si="48"/>
        <v>6.75</v>
      </c>
      <c r="K1573" s="1" t="e">
        <f t="shared" si="49"/>
        <v>#VALUE!</v>
      </c>
      <c r="M1573" s="1"/>
      <c r="P1573"/>
    </row>
    <row r="1574" spans="1:16">
      <c r="A1574" t="s">
        <v>252</v>
      </c>
      <c r="B1574" t="s">
        <v>163</v>
      </c>
      <c r="C1574" t="s">
        <v>2547</v>
      </c>
      <c r="D1574" s="14">
        <v>35</v>
      </c>
      <c r="E1574" s="14">
        <v>35</v>
      </c>
      <c r="F1574" s="13">
        <v>45771.708333333336</v>
      </c>
      <c r="G1574" t="s">
        <v>1</v>
      </c>
      <c r="H1574" t="s">
        <v>482</v>
      </c>
      <c r="I1574" t="str">
        <f>IF(B1574=IFERROR(VLOOKUP(B1574,base!$L$1:$L$12,1,0),""),"Produtos",IF(B1574=IFERROR(VLOOKUP(B1574,base!$K$2:$K$12,1,0),""),"Serviços",IF(B1574="Gorjeta","Gorjeta","Combos")))</f>
        <v>Serviços</v>
      </c>
      <c r="J1574">
        <f t="shared" si="48"/>
        <v>15.75</v>
      </c>
      <c r="K1574" s="1" t="e">
        <f t="shared" si="49"/>
        <v>#VALUE!</v>
      </c>
      <c r="M1574" s="1"/>
      <c r="P1574"/>
    </row>
    <row r="1575" spans="1:16">
      <c r="A1575" t="s">
        <v>519</v>
      </c>
      <c r="B1575" t="s">
        <v>163</v>
      </c>
      <c r="C1575" t="s">
        <v>2548</v>
      </c>
      <c r="D1575" s="14">
        <v>0</v>
      </c>
      <c r="E1575" s="14">
        <v>0</v>
      </c>
      <c r="F1575" s="13">
        <v>45771.770833333336</v>
      </c>
      <c r="G1575" t="s">
        <v>2</v>
      </c>
      <c r="H1575" t="s">
        <v>20</v>
      </c>
      <c r="I1575" t="str">
        <f>IF(B1575=IFERROR(VLOOKUP(B1575,base!$L$1:$L$12,1,0),""),"Produtos",IF(B1575=IFERROR(VLOOKUP(B1575,base!$K$2:$K$12,1,0),""),"Serviços",IF(B1575="Gorjeta","Gorjeta","Combos")))</f>
        <v>Serviços</v>
      </c>
      <c r="J1575">
        <f t="shared" si="48"/>
        <v>0</v>
      </c>
      <c r="K1575" s="1" t="e">
        <f t="shared" si="49"/>
        <v>#VALUE!</v>
      </c>
      <c r="M1575" s="1"/>
      <c r="P1575"/>
    </row>
    <row r="1576" spans="1:16">
      <c r="A1576" t="s">
        <v>519</v>
      </c>
      <c r="B1576" t="s">
        <v>163</v>
      </c>
      <c r="C1576" t="s">
        <v>2549</v>
      </c>
      <c r="D1576" s="14">
        <v>35</v>
      </c>
      <c r="E1576" s="14">
        <v>50</v>
      </c>
      <c r="F1576" s="13">
        <v>45771.739583333336</v>
      </c>
      <c r="G1576" t="s">
        <v>1</v>
      </c>
      <c r="H1576" t="s">
        <v>2550</v>
      </c>
      <c r="I1576" t="str">
        <f>IF(B1576=IFERROR(VLOOKUP(B1576,base!$L$1:$L$12,1,0),""),"Produtos",IF(B1576=IFERROR(VLOOKUP(B1576,base!$K$2:$K$12,1,0),""),"Serviços",IF(B1576="Gorjeta","Gorjeta","Combos")))</f>
        <v>Serviços</v>
      </c>
      <c r="J1576">
        <f t="shared" si="48"/>
        <v>15.75</v>
      </c>
      <c r="K1576" s="1" t="e">
        <f t="shared" si="49"/>
        <v>#VALUE!</v>
      </c>
      <c r="M1576" s="1"/>
      <c r="P1576"/>
    </row>
    <row r="1577" spans="1:16">
      <c r="A1577" t="s">
        <v>519</v>
      </c>
      <c r="B1577" t="s">
        <v>1446</v>
      </c>
      <c r="C1577" t="s">
        <v>2549</v>
      </c>
      <c r="D1577" s="14">
        <v>15</v>
      </c>
      <c r="F1577" s="13">
        <v>45771.739583333336</v>
      </c>
      <c r="G1577" t="s">
        <v>1</v>
      </c>
      <c r="H1577" t="s">
        <v>2550</v>
      </c>
      <c r="I1577" t="str">
        <f>IF(B1577=IFERROR(VLOOKUP(B1577,base!$L$1:$L$12,1,0),""),"Produtos",IF(B1577=IFERROR(VLOOKUP(B1577,base!$K$2:$K$12,1,0),""),"Serviços",IF(B1577="Gorjeta","Gorjeta","Combos")))</f>
        <v>Serviços</v>
      </c>
      <c r="J1577">
        <f t="shared" si="48"/>
        <v>6.75</v>
      </c>
      <c r="K1577" s="1" t="e">
        <f t="shared" si="49"/>
        <v>#VALUE!</v>
      </c>
      <c r="M1577" s="1"/>
      <c r="P1577"/>
    </row>
    <row r="1578" spans="1:16">
      <c r="A1578" t="s">
        <v>536</v>
      </c>
      <c r="B1578" t="s">
        <v>163</v>
      </c>
      <c r="C1578" t="s">
        <v>2551</v>
      </c>
      <c r="D1578" s="14">
        <v>35</v>
      </c>
      <c r="E1578" s="14">
        <v>60</v>
      </c>
      <c r="F1578" s="13">
        <v>45771.71875</v>
      </c>
      <c r="G1578" t="s">
        <v>1</v>
      </c>
      <c r="H1578" t="s">
        <v>2550</v>
      </c>
      <c r="I1578" t="str">
        <f>IF(B1578=IFERROR(VLOOKUP(B1578,base!$L$1:$L$12,1,0),""),"Produtos",IF(B1578=IFERROR(VLOOKUP(B1578,base!$K$2:$K$12,1,0),""),"Serviços",IF(B1578="Gorjeta","Gorjeta","Combos")))</f>
        <v>Serviços</v>
      </c>
      <c r="J1578">
        <f t="shared" si="48"/>
        <v>15.75</v>
      </c>
      <c r="K1578" s="1" t="e">
        <f t="shared" si="49"/>
        <v>#VALUE!</v>
      </c>
      <c r="M1578" s="1"/>
      <c r="P1578"/>
    </row>
    <row r="1579" spans="1:16">
      <c r="A1579" t="s">
        <v>536</v>
      </c>
      <c r="B1579" t="s">
        <v>2526</v>
      </c>
      <c r="C1579" t="s">
        <v>2551</v>
      </c>
      <c r="D1579" s="14">
        <v>25</v>
      </c>
      <c r="F1579" s="13">
        <v>45771.71875</v>
      </c>
      <c r="G1579" t="s">
        <v>1</v>
      </c>
      <c r="H1579" t="s">
        <v>2550</v>
      </c>
      <c r="I1579" t="str">
        <f>IF(B1579=IFERROR(VLOOKUP(B1579,base!$L$1:$L$12,1,0),""),"Produtos",IF(B1579=IFERROR(VLOOKUP(B1579,base!$K$2:$K$12,1,0),""),"Serviços",IF(B1579="Gorjeta","Gorjeta","Combos")))</f>
        <v>Produtos</v>
      </c>
      <c r="J1579">
        <f t="shared" si="48"/>
        <v>10</v>
      </c>
      <c r="K1579" s="1" t="e">
        <f t="shared" si="49"/>
        <v>#VALUE!</v>
      </c>
      <c r="M1579" s="1"/>
      <c r="P1579"/>
    </row>
    <row r="1580" spans="1:16">
      <c r="A1580" t="s">
        <v>536</v>
      </c>
      <c r="B1580" t="s">
        <v>163</v>
      </c>
      <c r="C1580" t="s">
        <v>2552</v>
      </c>
      <c r="D1580" s="14">
        <v>35</v>
      </c>
      <c r="E1580" s="14">
        <v>35</v>
      </c>
      <c r="F1580" s="13">
        <v>45773.625</v>
      </c>
      <c r="G1580" t="s">
        <v>1</v>
      </c>
      <c r="H1580" t="s">
        <v>1435</v>
      </c>
      <c r="I1580" t="str">
        <f>IF(B1580=IFERROR(VLOOKUP(B1580,base!$L$1:$L$12,1,0),""),"Produtos",IF(B1580=IFERROR(VLOOKUP(B1580,base!$K$2:$K$12,1,0),""),"Serviços",IF(B1580="Gorjeta","Gorjeta","Combos")))</f>
        <v>Serviços</v>
      </c>
      <c r="J1580">
        <f t="shared" si="48"/>
        <v>15.75</v>
      </c>
      <c r="K1580" s="1" t="e">
        <f t="shared" si="49"/>
        <v>#VALUE!</v>
      </c>
      <c r="M1580" s="1"/>
      <c r="P1580"/>
    </row>
    <row r="1581" spans="1:16">
      <c r="A1581" t="s">
        <v>519</v>
      </c>
      <c r="B1581" t="s">
        <v>167</v>
      </c>
      <c r="C1581" t="s">
        <v>2553</v>
      </c>
      <c r="D1581" s="14">
        <v>15</v>
      </c>
      <c r="E1581" s="14">
        <v>55</v>
      </c>
      <c r="F1581" s="13">
        <v>45772.65625</v>
      </c>
      <c r="G1581" t="s">
        <v>1</v>
      </c>
      <c r="H1581" t="s">
        <v>14</v>
      </c>
      <c r="I1581" t="str">
        <f>IF(B1581=IFERROR(VLOOKUP(B1581,base!$L$1:$L$12,1,0),""),"Produtos",IF(B1581=IFERROR(VLOOKUP(B1581,base!$K$2:$K$12,1,0),""),"Serviços",IF(B1581="Gorjeta","Gorjeta","Combos")))</f>
        <v>Serviços</v>
      </c>
      <c r="J1581">
        <f t="shared" si="48"/>
        <v>6.75</v>
      </c>
      <c r="K1581" s="1" t="e">
        <f t="shared" si="49"/>
        <v>#VALUE!</v>
      </c>
      <c r="M1581" s="1"/>
      <c r="P1581"/>
    </row>
    <row r="1582" spans="1:16">
      <c r="A1582" t="s">
        <v>519</v>
      </c>
      <c r="B1582" t="s">
        <v>472</v>
      </c>
      <c r="C1582" t="s">
        <v>2553</v>
      </c>
      <c r="D1582" s="14">
        <v>40</v>
      </c>
      <c r="F1582" s="13">
        <v>45772.65625</v>
      </c>
      <c r="G1582" t="s">
        <v>1</v>
      </c>
      <c r="H1582" t="s">
        <v>14</v>
      </c>
      <c r="I1582" t="str">
        <f>IF(B1582=IFERROR(VLOOKUP(B1582,base!$L$1:$L$12,1,0),""),"Produtos",IF(B1582=IFERROR(VLOOKUP(B1582,base!$K$2:$K$12,1,0),""),"Serviços",IF(B1582="Gorjeta","Gorjeta","Combos")))</f>
        <v>Produtos</v>
      </c>
      <c r="J1582">
        <f t="shared" si="48"/>
        <v>16</v>
      </c>
      <c r="K1582" s="1" t="e">
        <f t="shared" si="49"/>
        <v>#VALUE!</v>
      </c>
      <c r="M1582" s="1"/>
      <c r="P1582"/>
    </row>
    <row r="1583" spans="1:16">
      <c r="A1583" t="s">
        <v>519</v>
      </c>
      <c r="B1583" t="s">
        <v>163</v>
      </c>
      <c r="C1583" t="s">
        <v>2554</v>
      </c>
      <c r="D1583" s="14">
        <v>35</v>
      </c>
      <c r="E1583" s="14">
        <v>35</v>
      </c>
      <c r="F1583" s="13">
        <v>45772.770833333336</v>
      </c>
      <c r="G1583" t="s">
        <v>2</v>
      </c>
      <c r="H1583" t="s">
        <v>185</v>
      </c>
      <c r="I1583" t="str">
        <f>IF(B1583=IFERROR(VLOOKUP(B1583,base!$L$1:$L$12,1,0),""),"Produtos",IF(B1583=IFERROR(VLOOKUP(B1583,base!$K$2:$K$12,1,0),""),"Serviços",IF(B1583="Gorjeta","Gorjeta","Combos")))</f>
        <v>Serviços</v>
      </c>
      <c r="J1583">
        <f t="shared" si="48"/>
        <v>15.75</v>
      </c>
      <c r="K1583" s="1" t="e">
        <f t="shared" si="49"/>
        <v>#VALUE!</v>
      </c>
      <c r="M1583" s="1"/>
      <c r="P1583"/>
    </row>
    <row r="1584" spans="1:16">
      <c r="A1584" t="s">
        <v>252</v>
      </c>
      <c r="B1584" t="s">
        <v>163</v>
      </c>
      <c r="C1584" t="s">
        <v>2555</v>
      </c>
      <c r="D1584" s="14">
        <v>35</v>
      </c>
      <c r="E1584" s="14">
        <v>35</v>
      </c>
      <c r="F1584" s="13">
        <v>45772.447916666664</v>
      </c>
      <c r="G1584" t="s">
        <v>354</v>
      </c>
      <c r="H1584" t="s">
        <v>400</v>
      </c>
      <c r="I1584" t="str">
        <f>IF(B1584=IFERROR(VLOOKUP(B1584,base!$L$1:$L$12,1,0),""),"Produtos",IF(B1584=IFERROR(VLOOKUP(B1584,base!$K$2:$K$12,1,0),""),"Serviços",IF(B1584="Gorjeta","Gorjeta","Combos")))</f>
        <v>Serviços</v>
      </c>
      <c r="J1584">
        <f t="shared" si="48"/>
        <v>15.75</v>
      </c>
      <c r="K1584" s="1" t="e">
        <f t="shared" si="49"/>
        <v>#VALUE!</v>
      </c>
      <c r="M1584" s="1"/>
      <c r="P1584"/>
    </row>
    <row r="1585" spans="1:16">
      <c r="A1585" t="s">
        <v>519</v>
      </c>
      <c r="B1585" t="s">
        <v>353</v>
      </c>
      <c r="C1585" t="s">
        <v>2556</v>
      </c>
      <c r="D1585" s="14">
        <v>50</v>
      </c>
      <c r="E1585" s="14">
        <v>50</v>
      </c>
      <c r="F1585" s="13">
        <v>45772.46875</v>
      </c>
      <c r="G1585" t="s">
        <v>354</v>
      </c>
      <c r="H1585" t="s">
        <v>122</v>
      </c>
      <c r="I1585" t="str">
        <f>IF(B1585=IFERROR(VLOOKUP(B1585,base!$L$1:$L$12,1,0),""),"Produtos",IF(B1585=IFERROR(VLOOKUP(B1585,base!$K$2:$K$12,1,0),""),"Serviços",IF(B1585="Gorjeta","Gorjeta","Combos")))</f>
        <v>Combos</v>
      </c>
      <c r="J1585">
        <f t="shared" si="48"/>
        <v>22.5</v>
      </c>
      <c r="K1585" s="1" t="e">
        <f t="shared" si="49"/>
        <v>#VALUE!</v>
      </c>
      <c r="M1585" s="1"/>
      <c r="P1585"/>
    </row>
    <row r="1586" spans="1:16">
      <c r="A1586" t="s">
        <v>519</v>
      </c>
      <c r="B1586" t="s">
        <v>163</v>
      </c>
      <c r="C1586" t="s">
        <v>2557</v>
      </c>
      <c r="D1586" s="14">
        <v>35</v>
      </c>
      <c r="E1586" s="14">
        <v>35</v>
      </c>
      <c r="F1586" s="13">
        <v>45772.666666666664</v>
      </c>
      <c r="G1586" t="s">
        <v>354</v>
      </c>
      <c r="H1586" t="s">
        <v>284</v>
      </c>
      <c r="I1586" t="str">
        <f>IF(B1586=IFERROR(VLOOKUP(B1586,base!$L$1:$L$12,1,0),""),"Produtos",IF(B1586=IFERROR(VLOOKUP(B1586,base!$K$2:$K$12,1,0),""),"Serviços",IF(B1586="Gorjeta","Gorjeta","Combos")))</f>
        <v>Serviços</v>
      </c>
      <c r="J1586">
        <f t="shared" si="48"/>
        <v>15.75</v>
      </c>
      <c r="K1586" s="1" t="e">
        <f t="shared" si="49"/>
        <v>#VALUE!</v>
      </c>
      <c r="M1586" s="1"/>
      <c r="P1586"/>
    </row>
    <row r="1587" spans="1:16">
      <c r="A1587" t="s">
        <v>252</v>
      </c>
      <c r="B1587" t="s">
        <v>163</v>
      </c>
      <c r="C1587" t="s">
        <v>2558</v>
      </c>
      <c r="D1587" s="14">
        <v>35</v>
      </c>
      <c r="E1587" s="14">
        <v>55</v>
      </c>
      <c r="F1587" s="13">
        <v>45773.447916666664</v>
      </c>
      <c r="G1587" t="s">
        <v>882</v>
      </c>
      <c r="H1587" t="s">
        <v>22</v>
      </c>
      <c r="I1587" t="str">
        <f>IF(B1587=IFERROR(VLOOKUP(B1587,base!$L$1:$L$12,1,0),""),"Produtos",IF(B1587=IFERROR(VLOOKUP(B1587,base!$K$2:$K$12,1,0),""),"Serviços",IF(B1587="Gorjeta","Gorjeta","Combos")))</f>
        <v>Serviços</v>
      </c>
      <c r="J1587">
        <f t="shared" si="48"/>
        <v>15.75</v>
      </c>
      <c r="K1587" s="1" t="e">
        <f t="shared" si="49"/>
        <v>#VALUE!</v>
      </c>
      <c r="M1587" s="1"/>
      <c r="P1587"/>
    </row>
    <row r="1588" spans="1:16">
      <c r="A1588" t="s">
        <v>252</v>
      </c>
      <c r="B1588" t="s">
        <v>166</v>
      </c>
      <c r="C1588" t="s">
        <v>2558</v>
      </c>
      <c r="D1588" s="14">
        <v>20</v>
      </c>
      <c r="F1588" s="13">
        <v>45773.447916666664</v>
      </c>
      <c r="G1588" t="s">
        <v>882</v>
      </c>
      <c r="H1588" t="s">
        <v>22</v>
      </c>
      <c r="I1588" t="str">
        <f>IF(B1588=IFERROR(VLOOKUP(B1588,base!$L$1:$L$12,1,0),""),"Produtos",IF(B1588=IFERROR(VLOOKUP(B1588,base!$K$2:$K$12,1,0),""),"Serviços",IF(B1588="Gorjeta","Gorjeta","Combos")))</f>
        <v>Serviços</v>
      </c>
      <c r="J1588">
        <f t="shared" si="48"/>
        <v>9</v>
      </c>
      <c r="K1588" s="1" t="e">
        <f t="shared" si="49"/>
        <v>#VALUE!</v>
      </c>
      <c r="M1588" s="1"/>
      <c r="P1588"/>
    </row>
    <row r="1589" spans="1:16">
      <c r="A1589" t="s">
        <v>252</v>
      </c>
      <c r="B1589" t="s">
        <v>163</v>
      </c>
      <c r="C1589" t="s">
        <v>2559</v>
      </c>
      <c r="D1589" s="14">
        <v>35</v>
      </c>
      <c r="E1589" s="14">
        <v>35</v>
      </c>
      <c r="F1589" s="13">
        <v>45773.395833333336</v>
      </c>
      <c r="G1589" t="s">
        <v>310</v>
      </c>
      <c r="H1589" t="s">
        <v>1310</v>
      </c>
      <c r="I1589" t="str">
        <f>IF(B1589=IFERROR(VLOOKUP(B1589,base!$L$1:$L$12,1,0),""),"Produtos",IF(B1589=IFERROR(VLOOKUP(B1589,base!$K$2:$K$12,1,0),""),"Serviços",IF(B1589="Gorjeta","Gorjeta","Combos")))</f>
        <v>Serviços</v>
      </c>
      <c r="J1589">
        <f t="shared" si="48"/>
        <v>15.75</v>
      </c>
      <c r="K1589" s="1" t="e">
        <f t="shared" si="49"/>
        <v>#VALUE!</v>
      </c>
      <c r="M1589" s="1"/>
      <c r="P1589"/>
    </row>
    <row r="1590" spans="1:16">
      <c r="A1590" t="s">
        <v>519</v>
      </c>
      <c r="B1590" t="s">
        <v>163</v>
      </c>
      <c r="C1590" t="s">
        <v>2560</v>
      </c>
      <c r="D1590" s="14">
        <v>35</v>
      </c>
      <c r="E1590" s="14">
        <v>35</v>
      </c>
      <c r="F1590" s="13">
        <v>45772.791666666664</v>
      </c>
      <c r="G1590" t="s">
        <v>1</v>
      </c>
      <c r="H1590" t="s">
        <v>53</v>
      </c>
      <c r="I1590" t="str">
        <f>IF(B1590=IFERROR(VLOOKUP(B1590,base!$L$1:$L$12,1,0),""),"Produtos",IF(B1590=IFERROR(VLOOKUP(B1590,base!$K$2:$K$12,1,0),""),"Serviços",IF(B1590="Gorjeta","Gorjeta","Combos")))</f>
        <v>Serviços</v>
      </c>
      <c r="J1590">
        <f t="shared" si="48"/>
        <v>15.75</v>
      </c>
      <c r="K1590" s="1" t="e">
        <f t="shared" si="49"/>
        <v>#VALUE!</v>
      </c>
      <c r="M1590" s="1"/>
      <c r="P1590"/>
    </row>
    <row r="1591" spans="1:16">
      <c r="A1591" t="s">
        <v>536</v>
      </c>
      <c r="B1591" t="s">
        <v>163</v>
      </c>
      <c r="C1591" t="s">
        <v>2561</v>
      </c>
      <c r="D1591" s="14">
        <v>35</v>
      </c>
      <c r="E1591" s="14">
        <v>35</v>
      </c>
      <c r="F1591" s="13">
        <v>45772.760416666664</v>
      </c>
      <c r="G1591" t="s">
        <v>1</v>
      </c>
      <c r="H1591" t="s">
        <v>375</v>
      </c>
      <c r="I1591" t="str">
        <f>IF(B1591=IFERROR(VLOOKUP(B1591,base!$L$1:$L$12,1,0),""),"Produtos",IF(B1591=IFERROR(VLOOKUP(B1591,base!$K$2:$K$12,1,0),""),"Serviços",IF(B1591="Gorjeta","Gorjeta","Combos")))</f>
        <v>Serviços</v>
      </c>
      <c r="J1591">
        <f t="shared" si="48"/>
        <v>15.75</v>
      </c>
      <c r="K1591" s="1" t="e">
        <f t="shared" si="49"/>
        <v>#VALUE!</v>
      </c>
      <c r="M1591" s="1"/>
      <c r="P1591"/>
    </row>
    <row r="1592" spans="1:16">
      <c r="A1592" t="s">
        <v>519</v>
      </c>
      <c r="B1592" t="s">
        <v>163</v>
      </c>
      <c r="C1592" t="s">
        <v>2562</v>
      </c>
      <c r="D1592" s="14">
        <v>35</v>
      </c>
      <c r="E1592" s="14">
        <v>45</v>
      </c>
      <c r="F1592" s="13">
        <v>45772.614583333336</v>
      </c>
      <c r="G1592" t="s">
        <v>1</v>
      </c>
      <c r="H1592" t="s">
        <v>207</v>
      </c>
      <c r="I1592" t="str">
        <f>IF(B1592=IFERROR(VLOOKUP(B1592,base!$L$1:$L$12,1,0),""),"Produtos",IF(B1592=IFERROR(VLOOKUP(B1592,base!$K$2:$K$12,1,0),""),"Serviços",IF(B1592="Gorjeta","Gorjeta","Combos")))</f>
        <v>Serviços</v>
      </c>
      <c r="J1592">
        <f t="shared" si="48"/>
        <v>15.75</v>
      </c>
      <c r="K1592" s="1" t="e">
        <f t="shared" si="49"/>
        <v>#VALUE!</v>
      </c>
      <c r="M1592" s="1"/>
      <c r="P1592"/>
    </row>
    <row r="1593" spans="1:16">
      <c r="A1593" t="s">
        <v>519</v>
      </c>
      <c r="B1593" t="s">
        <v>167</v>
      </c>
      <c r="C1593" t="s">
        <v>2562</v>
      </c>
      <c r="D1593" s="14">
        <v>10</v>
      </c>
      <c r="F1593" s="13">
        <v>45772.614583333336</v>
      </c>
      <c r="G1593" t="s">
        <v>1</v>
      </c>
      <c r="H1593" t="s">
        <v>207</v>
      </c>
      <c r="I1593" t="str">
        <f>IF(B1593=IFERROR(VLOOKUP(B1593,base!$L$1:$L$12,1,0),""),"Produtos",IF(B1593=IFERROR(VLOOKUP(B1593,base!$K$2:$K$12,1,0),""),"Serviços",IF(B1593="Gorjeta","Gorjeta","Combos")))</f>
        <v>Serviços</v>
      </c>
      <c r="J1593">
        <f t="shared" si="48"/>
        <v>4.5</v>
      </c>
      <c r="K1593" s="1" t="e">
        <f t="shared" si="49"/>
        <v>#VALUE!</v>
      </c>
      <c r="M1593" s="1"/>
      <c r="P1593"/>
    </row>
    <row r="1594" spans="1:16">
      <c r="A1594" t="s">
        <v>252</v>
      </c>
      <c r="B1594" t="s">
        <v>353</v>
      </c>
      <c r="C1594" t="s">
        <v>2563</v>
      </c>
      <c r="D1594" s="14">
        <v>60</v>
      </c>
      <c r="E1594" s="14">
        <v>60</v>
      </c>
      <c r="F1594" s="13">
        <v>45772.75</v>
      </c>
      <c r="G1594" t="s">
        <v>310</v>
      </c>
      <c r="H1594" t="s">
        <v>11</v>
      </c>
      <c r="I1594" t="str">
        <f>IF(B1594=IFERROR(VLOOKUP(B1594,base!$L$1:$L$12,1,0),""),"Produtos",IF(B1594=IFERROR(VLOOKUP(B1594,base!$K$2:$K$12,1,0),""),"Serviços",IF(B1594="Gorjeta","Gorjeta","Combos")))</f>
        <v>Combos</v>
      </c>
      <c r="J1594">
        <f t="shared" si="48"/>
        <v>27</v>
      </c>
      <c r="K1594" s="1" t="e">
        <f t="shared" si="49"/>
        <v>#VALUE!</v>
      </c>
      <c r="M1594" s="1"/>
      <c r="P1594"/>
    </row>
    <row r="1595" spans="1:16">
      <c r="A1595" t="s">
        <v>519</v>
      </c>
      <c r="B1595" t="s">
        <v>163</v>
      </c>
      <c r="C1595" t="s">
        <v>2564</v>
      </c>
      <c r="D1595" s="14">
        <v>35</v>
      </c>
      <c r="E1595" s="14">
        <v>35</v>
      </c>
      <c r="F1595" s="13">
        <v>45772.8125</v>
      </c>
      <c r="G1595" t="s">
        <v>1</v>
      </c>
      <c r="H1595" t="s">
        <v>1490</v>
      </c>
      <c r="I1595" t="str">
        <f>IF(B1595=IFERROR(VLOOKUP(B1595,base!$L$1:$L$12,1,0),""),"Produtos",IF(B1595=IFERROR(VLOOKUP(B1595,base!$K$2:$K$12,1,0),""),"Serviços",IF(B1595="Gorjeta","Gorjeta","Combos")))</f>
        <v>Serviços</v>
      </c>
      <c r="J1595">
        <f t="shared" si="48"/>
        <v>15.75</v>
      </c>
      <c r="K1595" s="1" t="e">
        <f t="shared" si="49"/>
        <v>#VALUE!</v>
      </c>
      <c r="M1595" s="1"/>
      <c r="P1595"/>
    </row>
    <row r="1596" spans="1:16">
      <c r="A1596" t="s">
        <v>536</v>
      </c>
      <c r="B1596" t="s">
        <v>163</v>
      </c>
      <c r="C1596" t="s">
        <v>2565</v>
      </c>
      <c r="D1596" s="14">
        <v>35</v>
      </c>
      <c r="E1596" s="14">
        <v>35</v>
      </c>
      <c r="F1596" s="13">
        <v>45772.677083333336</v>
      </c>
      <c r="G1596" t="s">
        <v>354</v>
      </c>
      <c r="H1596" t="s">
        <v>2247</v>
      </c>
      <c r="I1596" t="str">
        <f>IF(B1596=IFERROR(VLOOKUP(B1596,base!$L$1:$L$12,1,0),""),"Produtos",IF(B1596=IFERROR(VLOOKUP(B1596,base!$K$2:$K$12,1,0),""),"Serviços",IF(B1596="Gorjeta","Gorjeta","Combos")))</f>
        <v>Serviços</v>
      </c>
      <c r="J1596">
        <f t="shared" si="48"/>
        <v>15.75</v>
      </c>
      <c r="K1596" s="1" t="e">
        <f t="shared" si="49"/>
        <v>#VALUE!</v>
      </c>
      <c r="M1596" s="1"/>
      <c r="P1596"/>
    </row>
    <row r="1597" spans="1:16">
      <c r="A1597" t="s">
        <v>519</v>
      </c>
      <c r="B1597" t="s">
        <v>163</v>
      </c>
      <c r="C1597" t="s">
        <v>2566</v>
      </c>
      <c r="D1597" s="14">
        <v>35</v>
      </c>
      <c r="E1597" s="14">
        <v>60</v>
      </c>
      <c r="F1597" s="13">
        <v>45772.739583333336</v>
      </c>
      <c r="G1597" t="s">
        <v>310</v>
      </c>
      <c r="H1597" t="s">
        <v>408</v>
      </c>
      <c r="I1597" t="str">
        <f>IF(B1597=IFERROR(VLOOKUP(B1597,base!$L$1:$L$12,1,0),""),"Produtos",IF(B1597=IFERROR(VLOOKUP(B1597,base!$K$2:$K$12,1,0),""),"Serviços",IF(B1597="Gorjeta","Gorjeta","Combos")))</f>
        <v>Serviços</v>
      </c>
      <c r="J1597">
        <f t="shared" si="48"/>
        <v>15.75</v>
      </c>
      <c r="K1597" s="1" t="e">
        <f t="shared" si="49"/>
        <v>#VALUE!</v>
      </c>
      <c r="M1597" s="1"/>
      <c r="P1597"/>
    </row>
    <row r="1598" spans="1:16">
      <c r="A1598" t="s">
        <v>519</v>
      </c>
      <c r="B1598" t="s">
        <v>2477</v>
      </c>
      <c r="C1598" t="s">
        <v>2566</v>
      </c>
      <c r="D1598" s="14">
        <v>25</v>
      </c>
      <c r="F1598" s="13">
        <v>45772.739583333336</v>
      </c>
      <c r="G1598" t="s">
        <v>310</v>
      </c>
      <c r="H1598" t="s">
        <v>408</v>
      </c>
      <c r="I1598" t="str">
        <f>IF(B1598=IFERROR(VLOOKUP(B1598,base!$L$1:$L$12,1,0),""),"Produtos",IF(B1598=IFERROR(VLOOKUP(B1598,base!$K$2:$K$12,1,0),""),"Serviços",IF(B1598="Gorjeta","Gorjeta","Combos")))</f>
        <v>Produtos</v>
      </c>
      <c r="J1598">
        <f t="shared" si="48"/>
        <v>10</v>
      </c>
      <c r="K1598" s="1" t="e">
        <f t="shared" si="49"/>
        <v>#VALUE!</v>
      </c>
      <c r="M1598" s="1"/>
      <c r="P1598"/>
    </row>
    <row r="1599" spans="1:16">
      <c r="A1599" t="s">
        <v>536</v>
      </c>
      <c r="B1599" t="s">
        <v>163</v>
      </c>
      <c r="C1599" t="s">
        <v>2567</v>
      </c>
      <c r="D1599" s="14">
        <v>35</v>
      </c>
      <c r="E1599" s="14">
        <v>35</v>
      </c>
      <c r="F1599" s="13">
        <v>45772.763888888891</v>
      </c>
      <c r="G1599" t="s">
        <v>1</v>
      </c>
      <c r="H1599" t="s">
        <v>1112</v>
      </c>
      <c r="I1599" t="str">
        <f>IF(B1599=IFERROR(VLOOKUP(B1599,base!$L$1:$L$12,1,0),""),"Produtos",IF(B1599=IFERROR(VLOOKUP(B1599,base!$K$2:$K$12,1,0),""),"Serviços",IF(B1599="Gorjeta","Gorjeta","Combos")))</f>
        <v>Serviços</v>
      </c>
      <c r="J1599">
        <f t="shared" si="48"/>
        <v>15.75</v>
      </c>
      <c r="K1599" s="1" t="e">
        <f t="shared" si="49"/>
        <v>#VALUE!</v>
      </c>
      <c r="M1599" s="1"/>
      <c r="P1599"/>
    </row>
    <row r="1600" spans="1:16">
      <c r="A1600" t="s">
        <v>519</v>
      </c>
      <c r="B1600" t="s">
        <v>163</v>
      </c>
      <c r="C1600" t="s">
        <v>2568</v>
      </c>
      <c r="D1600" s="14">
        <v>35</v>
      </c>
      <c r="E1600" s="14">
        <v>70</v>
      </c>
      <c r="F1600" s="13">
        <v>45773.395833333336</v>
      </c>
      <c r="G1600" t="s">
        <v>354</v>
      </c>
      <c r="H1600" t="s">
        <v>466</v>
      </c>
      <c r="I1600" t="str">
        <f>IF(B1600=IFERROR(VLOOKUP(B1600,base!$L$1:$L$12,1,0),""),"Produtos",IF(B1600=IFERROR(VLOOKUP(B1600,base!$K$2:$K$12,1,0),""),"Serviços",IF(B1600="Gorjeta","Gorjeta","Combos")))</f>
        <v>Serviços</v>
      </c>
      <c r="J1600">
        <f t="shared" ref="J1600:J1663" si="50">IF(AND(I1600="Serviços",E1600&gt;0),ROUND(D1600*45%,2),IF(I1600="Produtos",ROUND(D1600*40%,2),D1600*45%))</f>
        <v>15.75</v>
      </c>
      <c r="K1600" s="1" t="e">
        <f t="shared" ref="K1600:K1663" si="51">DATEVALUE(F1600)</f>
        <v>#VALUE!</v>
      </c>
      <c r="M1600" s="1"/>
      <c r="P1600"/>
    </row>
    <row r="1601" spans="1:16">
      <c r="A1601" t="s">
        <v>519</v>
      </c>
      <c r="B1601" t="s">
        <v>167</v>
      </c>
      <c r="C1601" t="s">
        <v>2568</v>
      </c>
      <c r="D1601" s="14">
        <v>10</v>
      </c>
      <c r="F1601" s="13">
        <v>45773.395833333336</v>
      </c>
      <c r="G1601" t="s">
        <v>354</v>
      </c>
      <c r="H1601" t="s">
        <v>466</v>
      </c>
      <c r="I1601" t="str">
        <f>IF(B1601=IFERROR(VLOOKUP(B1601,base!$L$1:$L$12,1,0),""),"Produtos",IF(B1601=IFERROR(VLOOKUP(B1601,base!$K$2:$K$12,1,0),""),"Serviços",IF(B1601="Gorjeta","Gorjeta","Combos")))</f>
        <v>Serviços</v>
      </c>
      <c r="J1601">
        <f t="shared" si="50"/>
        <v>4.5</v>
      </c>
      <c r="K1601" s="1" t="e">
        <f t="shared" si="51"/>
        <v>#VALUE!</v>
      </c>
      <c r="M1601" s="1"/>
      <c r="P1601"/>
    </row>
    <row r="1602" spans="1:16">
      <c r="A1602" t="s">
        <v>519</v>
      </c>
      <c r="B1602" t="s">
        <v>2477</v>
      </c>
      <c r="C1602" t="s">
        <v>2568</v>
      </c>
      <c r="D1602" s="14">
        <v>25</v>
      </c>
      <c r="F1602" s="13">
        <v>45773.395833333336</v>
      </c>
      <c r="G1602" t="s">
        <v>354</v>
      </c>
      <c r="H1602" t="s">
        <v>466</v>
      </c>
      <c r="I1602" t="str">
        <f>IF(B1602=IFERROR(VLOOKUP(B1602,base!$L$1:$L$12,1,0),""),"Produtos",IF(B1602=IFERROR(VLOOKUP(B1602,base!$K$2:$K$12,1,0),""),"Serviços",IF(B1602="Gorjeta","Gorjeta","Combos")))</f>
        <v>Produtos</v>
      </c>
      <c r="J1602">
        <f t="shared" si="50"/>
        <v>10</v>
      </c>
      <c r="K1602" s="1" t="e">
        <f t="shared" si="51"/>
        <v>#VALUE!</v>
      </c>
      <c r="M1602" s="1"/>
      <c r="P1602"/>
    </row>
    <row r="1603" spans="1:16">
      <c r="A1603" t="s">
        <v>252</v>
      </c>
      <c r="B1603" t="s">
        <v>353</v>
      </c>
      <c r="C1603" t="s">
        <v>2569</v>
      </c>
      <c r="D1603" s="14">
        <v>55</v>
      </c>
      <c r="E1603" s="14">
        <v>70</v>
      </c>
      <c r="F1603" s="13">
        <v>45772.78125</v>
      </c>
      <c r="G1603" t="s">
        <v>1</v>
      </c>
      <c r="H1603" t="s">
        <v>286</v>
      </c>
      <c r="I1603" t="str">
        <f>IF(B1603=IFERROR(VLOOKUP(B1603,base!$L$1:$L$12,1,0),""),"Produtos",IF(B1603=IFERROR(VLOOKUP(B1603,base!$K$2:$K$12,1,0),""),"Serviços",IF(B1603="Gorjeta","Gorjeta","Combos")))</f>
        <v>Combos</v>
      </c>
      <c r="J1603">
        <f t="shared" si="50"/>
        <v>24.75</v>
      </c>
      <c r="K1603" s="1" t="e">
        <f t="shared" si="51"/>
        <v>#VALUE!</v>
      </c>
      <c r="M1603" s="1"/>
      <c r="P1603"/>
    </row>
    <row r="1604" spans="1:16">
      <c r="A1604" t="s">
        <v>252</v>
      </c>
      <c r="B1604" t="s">
        <v>1187</v>
      </c>
      <c r="C1604" t="s">
        <v>2569</v>
      </c>
      <c r="D1604" s="14">
        <v>15</v>
      </c>
      <c r="F1604" s="13">
        <v>45772.78125</v>
      </c>
      <c r="G1604" t="s">
        <v>1</v>
      </c>
      <c r="H1604" t="s">
        <v>286</v>
      </c>
      <c r="I1604" t="str">
        <f>IF(B1604=IFERROR(VLOOKUP(B1604,base!$L$1:$L$12,1,0),""),"Produtos",IF(B1604=IFERROR(VLOOKUP(B1604,base!$K$2:$K$12,1,0),""),"Serviços",IF(B1604="Gorjeta","Gorjeta","Combos")))</f>
        <v>Serviços</v>
      </c>
      <c r="J1604">
        <f t="shared" si="50"/>
        <v>6.75</v>
      </c>
      <c r="K1604" s="1" t="e">
        <f t="shared" si="51"/>
        <v>#VALUE!</v>
      </c>
      <c r="M1604" s="1"/>
      <c r="P1604"/>
    </row>
    <row r="1605" spans="1:16">
      <c r="A1605" t="s">
        <v>519</v>
      </c>
      <c r="B1605" t="s">
        <v>163</v>
      </c>
      <c r="C1605" t="s">
        <v>2570</v>
      </c>
      <c r="D1605" s="14">
        <v>35</v>
      </c>
      <c r="E1605" s="14">
        <v>60</v>
      </c>
      <c r="F1605" s="13">
        <v>45773.791666666664</v>
      </c>
      <c r="G1605" t="s">
        <v>1</v>
      </c>
      <c r="H1605" t="s">
        <v>37</v>
      </c>
      <c r="I1605" t="str">
        <f>IF(B1605=IFERROR(VLOOKUP(B1605,base!$L$1:$L$12,1,0),""),"Produtos",IF(B1605=IFERROR(VLOOKUP(B1605,base!$K$2:$K$12,1,0),""),"Serviços",IF(B1605="Gorjeta","Gorjeta","Combos")))</f>
        <v>Serviços</v>
      </c>
      <c r="J1605">
        <f t="shared" si="50"/>
        <v>15.75</v>
      </c>
      <c r="K1605" s="1" t="e">
        <f t="shared" si="51"/>
        <v>#VALUE!</v>
      </c>
      <c r="M1605" s="1"/>
      <c r="P1605"/>
    </row>
    <row r="1606" spans="1:16">
      <c r="A1606" t="s">
        <v>519</v>
      </c>
      <c r="B1606" t="s">
        <v>1046</v>
      </c>
      <c r="C1606" t="s">
        <v>2570</v>
      </c>
      <c r="D1606" s="14">
        <v>25</v>
      </c>
      <c r="F1606" s="13">
        <v>45773.791666666664</v>
      </c>
      <c r="G1606" t="s">
        <v>1</v>
      </c>
      <c r="H1606" t="s">
        <v>37</v>
      </c>
      <c r="I1606" t="str">
        <f>IF(B1606=IFERROR(VLOOKUP(B1606,base!$L$1:$L$12,1,0),""),"Produtos",IF(B1606=IFERROR(VLOOKUP(B1606,base!$K$2:$K$12,1,0),""),"Serviços",IF(B1606="Gorjeta","Gorjeta","Combos")))</f>
        <v>Serviços</v>
      </c>
      <c r="J1606">
        <f t="shared" si="50"/>
        <v>11.25</v>
      </c>
      <c r="K1606" s="1" t="e">
        <f t="shared" si="51"/>
        <v>#VALUE!</v>
      </c>
      <c r="M1606" s="1"/>
      <c r="P1606"/>
    </row>
    <row r="1607" spans="1:16">
      <c r="A1607" t="s">
        <v>519</v>
      </c>
      <c r="B1607" t="s">
        <v>163</v>
      </c>
      <c r="C1607" t="s">
        <v>2571</v>
      </c>
      <c r="D1607" s="14">
        <v>35</v>
      </c>
      <c r="E1607" s="14">
        <v>35</v>
      </c>
      <c r="F1607" s="13">
        <v>45772.802083333336</v>
      </c>
      <c r="G1607" t="s">
        <v>354</v>
      </c>
      <c r="H1607" t="s">
        <v>2069</v>
      </c>
      <c r="I1607" t="str">
        <f>IF(B1607=IFERROR(VLOOKUP(B1607,base!$L$1:$L$12,1,0),""),"Produtos",IF(B1607=IFERROR(VLOOKUP(B1607,base!$K$2:$K$12,1,0),""),"Serviços",IF(B1607="Gorjeta","Gorjeta","Combos")))</f>
        <v>Serviços</v>
      </c>
      <c r="J1607">
        <f t="shared" si="50"/>
        <v>15.75</v>
      </c>
      <c r="K1607" s="1" t="e">
        <f t="shared" si="51"/>
        <v>#VALUE!</v>
      </c>
      <c r="M1607" s="1"/>
      <c r="P1607"/>
    </row>
    <row r="1608" spans="1:16">
      <c r="A1608" t="s">
        <v>252</v>
      </c>
      <c r="B1608" t="s">
        <v>163</v>
      </c>
      <c r="C1608" t="s">
        <v>2572</v>
      </c>
      <c r="D1608" s="14">
        <v>35</v>
      </c>
      <c r="E1608" s="14">
        <v>35</v>
      </c>
      <c r="F1608" s="13">
        <v>45773.625</v>
      </c>
      <c r="G1608" t="s">
        <v>1</v>
      </c>
      <c r="H1608" t="s">
        <v>24</v>
      </c>
      <c r="I1608" t="str">
        <f>IF(B1608=IFERROR(VLOOKUP(B1608,base!$L$1:$L$12,1,0),""),"Produtos",IF(B1608=IFERROR(VLOOKUP(B1608,base!$K$2:$K$12,1,0),""),"Serviços",IF(B1608="Gorjeta","Gorjeta","Combos")))</f>
        <v>Serviços</v>
      </c>
      <c r="J1608">
        <f t="shared" si="50"/>
        <v>15.75</v>
      </c>
      <c r="K1608" s="1" t="e">
        <f t="shared" si="51"/>
        <v>#VALUE!</v>
      </c>
      <c r="M1608" s="1"/>
      <c r="P1608"/>
    </row>
    <row r="1609" spans="1:16">
      <c r="A1609" t="s">
        <v>252</v>
      </c>
      <c r="B1609" t="s">
        <v>163</v>
      </c>
      <c r="C1609" t="s">
        <v>2573</v>
      </c>
      <c r="D1609" s="14">
        <v>35</v>
      </c>
      <c r="E1609" s="14">
        <v>60</v>
      </c>
      <c r="F1609" s="13">
        <v>45773.677083333336</v>
      </c>
      <c r="G1609" t="s">
        <v>1</v>
      </c>
      <c r="H1609" t="s">
        <v>480</v>
      </c>
      <c r="I1609" t="str">
        <f>IF(B1609=IFERROR(VLOOKUP(B1609,base!$L$1:$L$12,1,0),""),"Produtos",IF(B1609=IFERROR(VLOOKUP(B1609,base!$K$2:$K$12,1,0),""),"Serviços",IF(B1609="Gorjeta","Gorjeta","Combos")))</f>
        <v>Serviços</v>
      </c>
      <c r="J1609">
        <f t="shared" si="50"/>
        <v>15.75</v>
      </c>
      <c r="K1609" s="1" t="e">
        <f t="shared" si="51"/>
        <v>#VALUE!</v>
      </c>
      <c r="M1609" s="1"/>
      <c r="P1609"/>
    </row>
    <row r="1610" spans="1:16">
      <c r="A1610" t="s">
        <v>252</v>
      </c>
      <c r="B1610" t="s">
        <v>2477</v>
      </c>
      <c r="C1610" t="s">
        <v>2573</v>
      </c>
      <c r="D1610" s="14">
        <v>25</v>
      </c>
      <c r="F1610" s="13">
        <v>45773.677083333336</v>
      </c>
      <c r="G1610" t="s">
        <v>1</v>
      </c>
      <c r="H1610" t="s">
        <v>480</v>
      </c>
      <c r="I1610" t="str">
        <f>IF(B1610=IFERROR(VLOOKUP(B1610,base!$L$1:$L$12,1,0),""),"Produtos",IF(B1610=IFERROR(VLOOKUP(B1610,base!$K$2:$K$12,1,0),""),"Serviços",IF(B1610="Gorjeta","Gorjeta","Combos")))</f>
        <v>Produtos</v>
      </c>
      <c r="J1610">
        <f t="shared" si="50"/>
        <v>10</v>
      </c>
      <c r="K1610" s="1" t="e">
        <f t="shared" si="51"/>
        <v>#VALUE!</v>
      </c>
      <c r="M1610" s="1"/>
      <c r="P1610"/>
    </row>
    <row r="1611" spans="1:16">
      <c r="A1611" t="s">
        <v>536</v>
      </c>
      <c r="B1611" t="s">
        <v>163</v>
      </c>
      <c r="C1611" t="s">
        <v>2574</v>
      </c>
      <c r="D1611" s="14">
        <v>35</v>
      </c>
      <c r="E1611" s="14">
        <v>70</v>
      </c>
      <c r="F1611" s="13">
        <v>45773.427083333336</v>
      </c>
      <c r="G1611" t="s">
        <v>2</v>
      </c>
      <c r="H1611" t="s">
        <v>372</v>
      </c>
      <c r="I1611" t="str">
        <f>IF(B1611=IFERROR(VLOOKUP(B1611,base!$L$1:$L$12,1,0),""),"Produtos",IF(B1611=IFERROR(VLOOKUP(B1611,base!$K$2:$K$12,1,0),""),"Serviços",IF(B1611="Gorjeta","Gorjeta","Combos")))</f>
        <v>Serviços</v>
      </c>
      <c r="J1611">
        <f t="shared" si="50"/>
        <v>15.75</v>
      </c>
      <c r="K1611" s="1" t="e">
        <f t="shared" si="51"/>
        <v>#VALUE!</v>
      </c>
      <c r="M1611" s="1"/>
      <c r="P1611"/>
    </row>
    <row r="1612" spans="1:16">
      <c r="A1612" t="s">
        <v>536</v>
      </c>
      <c r="B1612" t="s">
        <v>163</v>
      </c>
      <c r="C1612" t="s">
        <v>2574</v>
      </c>
      <c r="D1612" s="14">
        <v>35</v>
      </c>
      <c r="F1612" s="13">
        <v>45773.427083333336</v>
      </c>
      <c r="G1612" t="s">
        <v>2</v>
      </c>
      <c r="H1612" t="s">
        <v>372</v>
      </c>
      <c r="I1612" t="str">
        <f>IF(B1612=IFERROR(VLOOKUP(B1612,base!$L$1:$L$12,1,0),""),"Produtos",IF(B1612=IFERROR(VLOOKUP(B1612,base!$K$2:$K$12,1,0),""),"Serviços",IF(B1612="Gorjeta","Gorjeta","Combos")))</f>
        <v>Serviços</v>
      </c>
      <c r="J1612">
        <f t="shared" si="50"/>
        <v>15.75</v>
      </c>
      <c r="K1612" s="1" t="e">
        <f t="shared" si="51"/>
        <v>#VALUE!</v>
      </c>
      <c r="M1612" s="1"/>
      <c r="P1612"/>
    </row>
    <row r="1613" spans="1:16">
      <c r="A1613" t="s">
        <v>519</v>
      </c>
      <c r="B1613" t="s">
        <v>163</v>
      </c>
      <c r="C1613" t="s">
        <v>2575</v>
      </c>
      <c r="D1613" s="14">
        <v>35</v>
      </c>
      <c r="E1613" s="14">
        <v>95</v>
      </c>
      <c r="F1613" s="13">
        <v>45773.447916666664</v>
      </c>
      <c r="G1613" t="s">
        <v>354</v>
      </c>
      <c r="H1613" t="s">
        <v>2576</v>
      </c>
      <c r="I1613" t="str">
        <f>IF(B1613=IFERROR(VLOOKUP(B1613,base!$L$1:$L$12,1,0),""),"Produtos",IF(B1613=IFERROR(VLOOKUP(B1613,base!$K$2:$K$12,1,0),""),"Serviços",IF(B1613="Gorjeta","Gorjeta","Combos")))</f>
        <v>Serviços</v>
      </c>
      <c r="J1613">
        <f t="shared" si="50"/>
        <v>15.75</v>
      </c>
      <c r="K1613" s="1" t="e">
        <f t="shared" si="51"/>
        <v>#VALUE!</v>
      </c>
      <c r="M1613" s="1"/>
      <c r="P1613"/>
    </row>
    <row r="1614" spans="1:16">
      <c r="A1614" t="s">
        <v>519</v>
      </c>
      <c r="B1614" t="s">
        <v>513</v>
      </c>
      <c r="C1614" t="s">
        <v>2575</v>
      </c>
      <c r="D1614" s="14">
        <v>35</v>
      </c>
      <c r="F1614" s="13">
        <v>45773.447916666664</v>
      </c>
      <c r="G1614" t="s">
        <v>354</v>
      </c>
      <c r="H1614" t="s">
        <v>2576</v>
      </c>
      <c r="I1614" t="str">
        <f>IF(B1614=IFERROR(VLOOKUP(B1614,base!$L$1:$L$12,1,0),""),"Produtos",IF(B1614=IFERROR(VLOOKUP(B1614,base!$K$2:$K$12,1,0),""),"Serviços",IF(B1614="Gorjeta","Gorjeta","Combos")))</f>
        <v>Produtos</v>
      </c>
      <c r="J1614">
        <f t="shared" si="50"/>
        <v>14</v>
      </c>
      <c r="K1614" s="1" t="e">
        <f t="shared" si="51"/>
        <v>#VALUE!</v>
      </c>
      <c r="M1614" s="1"/>
      <c r="P1614"/>
    </row>
    <row r="1615" spans="1:16">
      <c r="A1615" t="s">
        <v>519</v>
      </c>
      <c r="B1615" t="s">
        <v>1046</v>
      </c>
      <c r="C1615" t="s">
        <v>2575</v>
      </c>
      <c r="D1615" s="14">
        <v>25</v>
      </c>
      <c r="F1615" s="13">
        <v>45773.447916666664</v>
      </c>
      <c r="G1615" t="s">
        <v>354</v>
      </c>
      <c r="H1615" t="s">
        <v>2576</v>
      </c>
      <c r="I1615" t="str">
        <f>IF(B1615=IFERROR(VLOOKUP(B1615,base!$L$1:$L$12,1,0),""),"Produtos",IF(B1615=IFERROR(VLOOKUP(B1615,base!$K$2:$K$12,1,0),""),"Serviços",IF(B1615="Gorjeta","Gorjeta","Combos")))</f>
        <v>Serviços</v>
      </c>
      <c r="J1615">
        <f t="shared" si="50"/>
        <v>11.25</v>
      </c>
      <c r="K1615" s="1" t="e">
        <f t="shared" si="51"/>
        <v>#VALUE!</v>
      </c>
      <c r="M1615" s="1"/>
      <c r="P1615"/>
    </row>
    <row r="1616" spans="1:16">
      <c r="A1616" t="s">
        <v>519</v>
      </c>
      <c r="B1616" t="s">
        <v>163</v>
      </c>
      <c r="C1616" t="s">
        <v>2577</v>
      </c>
      <c r="D1616" s="14">
        <v>35</v>
      </c>
      <c r="E1616" s="14">
        <v>35</v>
      </c>
      <c r="F1616" s="13">
        <v>45773.5625</v>
      </c>
      <c r="G1616" t="s">
        <v>2</v>
      </c>
      <c r="H1616" t="s">
        <v>115</v>
      </c>
      <c r="I1616" t="str">
        <f>IF(B1616=IFERROR(VLOOKUP(B1616,base!$L$1:$L$12,1,0),""),"Produtos",IF(B1616=IFERROR(VLOOKUP(B1616,base!$K$2:$K$12,1,0),""),"Serviços",IF(B1616="Gorjeta","Gorjeta","Combos")))</f>
        <v>Serviços</v>
      </c>
      <c r="J1616">
        <f t="shared" si="50"/>
        <v>15.75</v>
      </c>
      <c r="K1616" s="1" t="e">
        <f t="shared" si="51"/>
        <v>#VALUE!</v>
      </c>
      <c r="M1616" s="1"/>
      <c r="P1616"/>
    </row>
    <row r="1617" spans="1:16">
      <c r="A1617" t="s">
        <v>519</v>
      </c>
      <c r="B1617" t="s">
        <v>513</v>
      </c>
      <c r="C1617" t="s">
        <v>2578</v>
      </c>
      <c r="D1617" s="14">
        <v>35</v>
      </c>
      <c r="E1617" s="14">
        <v>35</v>
      </c>
      <c r="F1617" s="13">
        <v>45772</v>
      </c>
      <c r="G1617" t="s">
        <v>2</v>
      </c>
      <c r="H1617" t="s">
        <v>1381</v>
      </c>
      <c r="I1617" t="str">
        <f>IF(B1617=IFERROR(VLOOKUP(B1617,base!$L$1:$L$12,1,0),""),"Produtos",IF(B1617=IFERROR(VLOOKUP(B1617,base!$K$2:$K$12,1,0),""),"Serviços",IF(B1617="Gorjeta","Gorjeta","Combos")))</f>
        <v>Produtos</v>
      </c>
      <c r="J1617">
        <f t="shared" si="50"/>
        <v>14</v>
      </c>
      <c r="K1617" s="1" t="e">
        <f t="shared" si="51"/>
        <v>#VALUE!</v>
      </c>
      <c r="M1617" s="1"/>
      <c r="P1617"/>
    </row>
    <row r="1618" spans="1:16">
      <c r="A1618" t="s">
        <v>252</v>
      </c>
      <c r="B1618" t="s">
        <v>163</v>
      </c>
      <c r="C1618" t="s">
        <v>2579</v>
      </c>
      <c r="D1618" s="14">
        <v>35</v>
      </c>
      <c r="E1618" s="14">
        <v>35</v>
      </c>
      <c r="F1618" s="13">
        <v>45773.548611111109</v>
      </c>
      <c r="G1618" t="s">
        <v>2</v>
      </c>
      <c r="H1618" t="s">
        <v>2580</v>
      </c>
      <c r="I1618" t="str">
        <f>IF(B1618=IFERROR(VLOOKUP(B1618,base!$L$1:$L$12,1,0),""),"Produtos",IF(B1618=IFERROR(VLOOKUP(B1618,base!$K$2:$K$12,1,0),""),"Serviços",IF(B1618="Gorjeta","Gorjeta","Combos")))</f>
        <v>Serviços</v>
      </c>
      <c r="J1618">
        <f t="shared" si="50"/>
        <v>15.75</v>
      </c>
      <c r="K1618" s="1" t="e">
        <f t="shared" si="51"/>
        <v>#VALUE!</v>
      </c>
      <c r="M1618" s="1"/>
      <c r="P1618"/>
    </row>
    <row r="1619" spans="1:16">
      <c r="A1619" t="s">
        <v>519</v>
      </c>
      <c r="B1619" t="s">
        <v>163</v>
      </c>
      <c r="C1619" t="s">
        <v>2581</v>
      </c>
      <c r="D1619" s="14">
        <v>35</v>
      </c>
      <c r="E1619" s="14">
        <v>50</v>
      </c>
      <c r="F1619" s="13">
        <v>45773.645833333336</v>
      </c>
      <c r="G1619" t="s">
        <v>1</v>
      </c>
      <c r="H1619" t="s">
        <v>1523</v>
      </c>
      <c r="I1619" t="str">
        <f>IF(B1619=IFERROR(VLOOKUP(B1619,base!$L$1:$L$12,1,0),""),"Produtos",IF(B1619=IFERROR(VLOOKUP(B1619,base!$K$2:$K$12,1,0),""),"Serviços",IF(B1619="Gorjeta","Gorjeta","Combos")))</f>
        <v>Serviços</v>
      </c>
      <c r="J1619">
        <f t="shared" si="50"/>
        <v>15.75</v>
      </c>
      <c r="K1619" s="1" t="e">
        <f t="shared" si="51"/>
        <v>#VALUE!</v>
      </c>
      <c r="M1619" s="1"/>
      <c r="P1619"/>
    </row>
    <row r="1620" spans="1:16">
      <c r="A1620" t="s">
        <v>519</v>
      </c>
      <c r="B1620" t="s">
        <v>167</v>
      </c>
      <c r="C1620" t="s">
        <v>2581</v>
      </c>
      <c r="D1620" s="14">
        <v>15</v>
      </c>
      <c r="F1620" s="13">
        <v>45773.645833333336</v>
      </c>
      <c r="G1620" t="s">
        <v>1</v>
      </c>
      <c r="H1620" t="s">
        <v>1523</v>
      </c>
      <c r="I1620" t="str">
        <f>IF(B1620=IFERROR(VLOOKUP(B1620,base!$L$1:$L$12,1,0),""),"Produtos",IF(B1620=IFERROR(VLOOKUP(B1620,base!$K$2:$K$12,1,0),""),"Serviços",IF(B1620="Gorjeta","Gorjeta","Combos")))</f>
        <v>Serviços</v>
      </c>
      <c r="J1620">
        <f t="shared" si="50"/>
        <v>6.75</v>
      </c>
      <c r="K1620" s="1" t="e">
        <f t="shared" si="51"/>
        <v>#VALUE!</v>
      </c>
      <c r="M1620" s="1"/>
      <c r="P1620"/>
    </row>
    <row r="1621" spans="1:16">
      <c r="A1621" t="s">
        <v>536</v>
      </c>
      <c r="B1621" t="s">
        <v>353</v>
      </c>
      <c r="C1621" t="s">
        <v>2582</v>
      </c>
      <c r="D1621" s="14">
        <v>50</v>
      </c>
      <c r="E1621" s="14">
        <v>50</v>
      </c>
      <c r="F1621" s="13">
        <v>45773.59375</v>
      </c>
      <c r="G1621" t="s">
        <v>2</v>
      </c>
      <c r="H1621" t="s">
        <v>1184</v>
      </c>
      <c r="I1621" t="str">
        <f>IF(B1621=IFERROR(VLOOKUP(B1621,base!$L$1:$L$12,1,0),""),"Produtos",IF(B1621=IFERROR(VLOOKUP(B1621,base!$K$2:$K$12,1,0),""),"Serviços",IF(B1621="Gorjeta","Gorjeta","Combos")))</f>
        <v>Combos</v>
      </c>
      <c r="J1621">
        <f t="shared" si="50"/>
        <v>22.5</v>
      </c>
      <c r="K1621" s="1" t="e">
        <f t="shared" si="51"/>
        <v>#VALUE!</v>
      </c>
      <c r="M1621" s="1"/>
      <c r="P1621"/>
    </row>
    <row r="1622" spans="1:16">
      <c r="A1622" t="s">
        <v>519</v>
      </c>
      <c r="B1622" t="s">
        <v>353</v>
      </c>
      <c r="C1622" t="s">
        <v>2583</v>
      </c>
      <c r="D1622" s="14">
        <v>60</v>
      </c>
      <c r="E1622" s="14">
        <v>60</v>
      </c>
      <c r="F1622" s="13">
        <v>45773.59375</v>
      </c>
      <c r="G1622" t="s">
        <v>1</v>
      </c>
      <c r="H1622" t="s">
        <v>183</v>
      </c>
      <c r="I1622" t="str">
        <f>IF(B1622=IFERROR(VLOOKUP(B1622,base!$L$1:$L$12,1,0),""),"Produtos",IF(B1622=IFERROR(VLOOKUP(B1622,base!$K$2:$K$12,1,0),""),"Serviços",IF(B1622="Gorjeta","Gorjeta","Combos")))</f>
        <v>Combos</v>
      </c>
      <c r="J1622">
        <f t="shared" si="50"/>
        <v>27</v>
      </c>
      <c r="K1622" s="1" t="e">
        <f t="shared" si="51"/>
        <v>#VALUE!</v>
      </c>
      <c r="M1622" s="1"/>
      <c r="P1622"/>
    </row>
    <row r="1623" spans="1:16">
      <c r="A1623" t="s">
        <v>252</v>
      </c>
      <c r="B1623" t="s">
        <v>163</v>
      </c>
      <c r="C1623" t="s">
        <v>2584</v>
      </c>
      <c r="D1623" s="14">
        <v>35</v>
      </c>
      <c r="E1623" s="14">
        <v>70</v>
      </c>
      <c r="F1623" s="13">
        <v>45773.645833333336</v>
      </c>
      <c r="G1623" t="s">
        <v>1</v>
      </c>
      <c r="H1623" t="s">
        <v>2585</v>
      </c>
      <c r="I1623" t="str">
        <f>IF(B1623=IFERROR(VLOOKUP(B1623,base!$L$1:$L$12,1,0),""),"Produtos",IF(B1623=IFERROR(VLOOKUP(B1623,base!$K$2:$K$12,1,0),""),"Serviços",IF(B1623="Gorjeta","Gorjeta","Combos")))</f>
        <v>Serviços</v>
      </c>
      <c r="J1623">
        <f t="shared" si="50"/>
        <v>15.75</v>
      </c>
      <c r="K1623" s="1" t="e">
        <f t="shared" si="51"/>
        <v>#VALUE!</v>
      </c>
      <c r="M1623" s="1"/>
      <c r="P1623"/>
    </row>
    <row r="1624" spans="1:16">
      <c r="A1624" t="s">
        <v>252</v>
      </c>
      <c r="B1624" t="s">
        <v>163</v>
      </c>
      <c r="C1624" t="s">
        <v>2584</v>
      </c>
      <c r="D1624" s="14">
        <v>35</v>
      </c>
      <c r="F1624" s="13">
        <v>45773.645833333336</v>
      </c>
      <c r="G1624" t="s">
        <v>1</v>
      </c>
      <c r="H1624" t="s">
        <v>2585</v>
      </c>
      <c r="I1624" t="str">
        <f>IF(B1624=IFERROR(VLOOKUP(B1624,base!$L$1:$L$12,1,0),""),"Produtos",IF(B1624=IFERROR(VLOOKUP(B1624,base!$K$2:$K$12,1,0),""),"Serviços",IF(B1624="Gorjeta","Gorjeta","Combos")))</f>
        <v>Serviços</v>
      </c>
      <c r="J1624">
        <f t="shared" si="50"/>
        <v>15.75</v>
      </c>
      <c r="K1624" s="1" t="e">
        <f t="shared" si="51"/>
        <v>#VALUE!</v>
      </c>
      <c r="M1624" s="1"/>
      <c r="P1624"/>
    </row>
    <row r="1625" spans="1:16">
      <c r="A1625" t="s">
        <v>252</v>
      </c>
      <c r="B1625" t="s">
        <v>163</v>
      </c>
      <c r="C1625" t="s">
        <v>2586</v>
      </c>
      <c r="D1625" s="14">
        <v>35</v>
      </c>
      <c r="E1625" s="14">
        <v>70</v>
      </c>
      <c r="F1625" s="13">
        <v>45773.614583333336</v>
      </c>
      <c r="G1625" t="s">
        <v>310</v>
      </c>
      <c r="H1625" t="s">
        <v>2587</v>
      </c>
      <c r="I1625" t="str">
        <f>IF(B1625=IFERROR(VLOOKUP(B1625,base!$L$1:$L$12,1,0),""),"Produtos",IF(B1625=IFERROR(VLOOKUP(B1625,base!$K$2:$K$12,1,0),""),"Serviços",IF(B1625="Gorjeta","Gorjeta","Combos")))</f>
        <v>Serviços</v>
      </c>
      <c r="J1625">
        <f t="shared" si="50"/>
        <v>15.75</v>
      </c>
      <c r="K1625" s="1" t="e">
        <f t="shared" si="51"/>
        <v>#VALUE!</v>
      </c>
      <c r="M1625" s="1"/>
      <c r="P1625"/>
    </row>
    <row r="1626" spans="1:16">
      <c r="A1626" t="s">
        <v>252</v>
      </c>
      <c r="B1626" t="s">
        <v>163</v>
      </c>
      <c r="C1626" t="s">
        <v>2586</v>
      </c>
      <c r="D1626" s="14">
        <v>35</v>
      </c>
      <c r="F1626" s="13">
        <v>45773.614583333336</v>
      </c>
      <c r="G1626" t="s">
        <v>310</v>
      </c>
      <c r="H1626" t="s">
        <v>2587</v>
      </c>
      <c r="I1626" t="str">
        <f>IF(B1626=IFERROR(VLOOKUP(B1626,base!$L$1:$L$12,1,0),""),"Produtos",IF(B1626=IFERROR(VLOOKUP(B1626,base!$K$2:$K$12,1,0),""),"Serviços",IF(B1626="Gorjeta","Gorjeta","Combos")))</f>
        <v>Serviços</v>
      </c>
      <c r="J1626">
        <f t="shared" si="50"/>
        <v>15.75</v>
      </c>
      <c r="K1626" s="1" t="e">
        <f t="shared" si="51"/>
        <v>#VALUE!</v>
      </c>
      <c r="M1626" s="1"/>
      <c r="P1626"/>
    </row>
    <row r="1627" spans="1:16">
      <c r="A1627" t="s">
        <v>252</v>
      </c>
      <c r="B1627" t="s">
        <v>1046</v>
      </c>
      <c r="C1627" t="s">
        <v>2588</v>
      </c>
      <c r="D1627" s="14">
        <v>35</v>
      </c>
      <c r="E1627" s="14">
        <v>45</v>
      </c>
      <c r="F1627" s="13">
        <v>45773.729166666664</v>
      </c>
      <c r="G1627" t="s">
        <v>1</v>
      </c>
      <c r="H1627" t="s">
        <v>83</v>
      </c>
      <c r="I1627" t="str">
        <f>IF(B1627=IFERROR(VLOOKUP(B1627,base!$L$1:$L$12,1,0),""),"Produtos",IF(B1627=IFERROR(VLOOKUP(B1627,base!$K$2:$K$12,1,0),""),"Serviços",IF(B1627="Gorjeta","Gorjeta","Combos")))</f>
        <v>Serviços</v>
      </c>
      <c r="J1627">
        <f t="shared" si="50"/>
        <v>15.75</v>
      </c>
      <c r="K1627" s="1" t="e">
        <f t="shared" si="51"/>
        <v>#VALUE!</v>
      </c>
      <c r="M1627" s="1"/>
      <c r="P1627"/>
    </row>
    <row r="1628" spans="1:16">
      <c r="A1628" t="s">
        <v>252</v>
      </c>
      <c r="B1628" t="s">
        <v>167</v>
      </c>
      <c r="C1628" t="s">
        <v>2588</v>
      </c>
      <c r="D1628" s="14">
        <v>10</v>
      </c>
      <c r="F1628" s="13">
        <v>45773.729166666664</v>
      </c>
      <c r="G1628" t="s">
        <v>1</v>
      </c>
      <c r="H1628" t="s">
        <v>83</v>
      </c>
      <c r="I1628" t="str">
        <f>IF(B1628=IFERROR(VLOOKUP(B1628,base!$L$1:$L$12,1,0),""),"Produtos",IF(B1628=IFERROR(VLOOKUP(B1628,base!$K$2:$K$12,1,0),""),"Serviços",IF(B1628="Gorjeta","Gorjeta","Combos")))</f>
        <v>Serviços</v>
      </c>
      <c r="J1628">
        <f t="shared" si="50"/>
        <v>4.5</v>
      </c>
      <c r="K1628" s="1" t="e">
        <f t="shared" si="51"/>
        <v>#VALUE!</v>
      </c>
      <c r="M1628" s="1"/>
      <c r="P1628"/>
    </row>
    <row r="1629" spans="1:16">
      <c r="A1629" t="s">
        <v>519</v>
      </c>
      <c r="B1629" t="s">
        <v>163</v>
      </c>
      <c r="C1629" t="s">
        <v>2589</v>
      </c>
      <c r="D1629" s="14">
        <v>35</v>
      </c>
      <c r="E1629" s="14">
        <v>50</v>
      </c>
      <c r="F1629" s="13">
        <v>45773.8125</v>
      </c>
      <c r="G1629" t="s">
        <v>354</v>
      </c>
      <c r="H1629" t="s">
        <v>28</v>
      </c>
      <c r="I1629" t="str">
        <f>IF(B1629=IFERROR(VLOOKUP(B1629,base!$L$1:$L$12,1,0),""),"Produtos",IF(B1629=IFERROR(VLOOKUP(B1629,base!$K$2:$K$12,1,0),""),"Serviços",IF(B1629="Gorjeta","Gorjeta","Combos")))</f>
        <v>Serviços</v>
      </c>
      <c r="J1629">
        <f t="shared" si="50"/>
        <v>15.75</v>
      </c>
      <c r="K1629" s="1" t="e">
        <f t="shared" si="51"/>
        <v>#VALUE!</v>
      </c>
      <c r="M1629" s="1"/>
      <c r="P1629"/>
    </row>
    <row r="1630" spans="1:16">
      <c r="A1630" t="s">
        <v>519</v>
      </c>
      <c r="B1630" t="s">
        <v>167</v>
      </c>
      <c r="C1630" t="s">
        <v>2589</v>
      </c>
      <c r="D1630" s="14">
        <v>15</v>
      </c>
      <c r="F1630" s="13">
        <v>45773.8125</v>
      </c>
      <c r="G1630" t="s">
        <v>354</v>
      </c>
      <c r="H1630" t="s">
        <v>28</v>
      </c>
      <c r="I1630" t="str">
        <f>IF(B1630=IFERROR(VLOOKUP(B1630,base!$L$1:$L$12,1,0),""),"Produtos",IF(B1630=IFERROR(VLOOKUP(B1630,base!$K$2:$K$12,1,0),""),"Serviços",IF(B1630="Gorjeta","Gorjeta","Combos")))</f>
        <v>Serviços</v>
      </c>
      <c r="J1630">
        <f t="shared" si="50"/>
        <v>6.75</v>
      </c>
      <c r="K1630" s="1" t="e">
        <f t="shared" si="51"/>
        <v>#VALUE!</v>
      </c>
      <c r="M1630" s="1"/>
      <c r="P1630"/>
    </row>
    <row r="1631" spans="1:16">
      <c r="A1631" t="s">
        <v>519</v>
      </c>
      <c r="B1631" t="s">
        <v>163</v>
      </c>
      <c r="C1631" t="s">
        <v>2590</v>
      </c>
      <c r="D1631" s="14">
        <v>35</v>
      </c>
      <c r="E1631" s="14">
        <v>60</v>
      </c>
      <c r="F1631" s="13">
        <v>45773.701388888891</v>
      </c>
      <c r="G1631" t="s">
        <v>1</v>
      </c>
      <c r="H1631" t="s">
        <v>500</v>
      </c>
      <c r="I1631" t="str">
        <f>IF(B1631=IFERROR(VLOOKUP(B1631,base!$L$1:$L$12,1,0),""),"Produtos",IF(B1631=IFERROR(VLOOKUP(B1631,base!$K$2:$K$12,1,0),""),"Serviços",IF(B1631="Gorjeta","Gorjeta","Combos")))</f>
        <v>Serviços</v>
      </c>
      <c r="J1631">
        <f t="shared" si="50"/>
        <v>15.75</v>
      </c>
      <c r="K1631" s="1" t="e">
        <f t="shared" si="51"/>
        <v>#VALUE!</v>
      </c>
      <c r="M1631" s="1"/>
      <c r="P1631"/>
    </row>
    <row r="1632" spans="1:16">
      <c r="A1632" t="s">
        <v>519</v>
      </c>
      <c r="B1632" t="s">
        <v>1046</v>
      </c>
      <c r="C1632" t="s">
        <v>2590</v>
      </c>
      <c r="D1632" s="14">
        <v>15</v>
      </c>
      <c r="F1632" s="13">
        <v>45773.701388888891</v>
      </c>
      <c r="G1632" t="s">
        <v>1</v>
      </c>
      <c r="H1632" t="s">
        <v>500</v>
      </c>
      <c r="I1632" t="str">
        <f>IF(B1632=IFERROR(VLOOKUP(B1632,base!$L$1:$L$12,1,0),""),"Produtos",IF(B1632=IFERROR(VLOOKUP(B1632,base!$K$2:$K$12,1,0),""),"Serviços",IF(B1632="Gorjeta","Gorjeta","Combos")))</f>
        <v>Serviços</v>
      </c>
      <c r="J1632">
        <f t="shared" si="50"/>
        <v>6.75</v>
      </c>
      <c r="K1632" s="1" t="e">
        <f t="shared" si="51"/>
        <v>#VALUE!</v>
      </c>
      <c r="M1632" s="1"/>
      <c r="P1632"/>
    </row>
    <row r="1633" spans="1:16">
      <c r="A1633" t="s">
        <v>519</v>
      </c>
      <c r="B1633" t="s">
        <v>167</v>
      </c>
      <c r="C1633" t="s">
        <v>2590</v>
      </c>
      <c r="D1633" s="14">
        <v>10</v>
      </c>
      <c r="F1633" s="13">
        <v>45773.701388888891</v>
      </c>
      <c r="G1633" t="s">
        <v>1</v>
      </c>
      <c r="H1633" t="s">
        <v>500</v>
      </c>
      <c r="I1633" t="str">
        <f>IF(B1633=IFERROR(VLOOKUP(B1633,base!$L$1:$L$12,1,0),""),"Produtos",IF(B1633=IFERROR(VLOOKUP(B1633,base!$K$2:$K$12,1,0),""),"Serviços",IF(B1633="Gorjeta","Gorjeta","Combos")))</f>
        <v>Serviços</v>
      </c>
      <c r="J1633">
        <f t="shared" si="50"/>
        <v>4.5</v>
      </c>
      <c r="K1633" s="1" t="e">
        <f t="shared" si="51"/>
        <v>#VALUE!</v>
      </c>
      <c r="M1633" s="1"/>
      <c r="P1633"/>
    </row>
    <row r="1634" spans="1:16">
      <c r="A1634" t="s">
        <v>536</v>
      </c>
      <c r="B1634" t="s">
        <v>163</v>
      </c>
      <c r="C1634" t="s">
        <v>2591</v>
      </c>
      <c r="D1634" s="14">
        <v>35</v>
      </c>
      <c r="E1634" s="14">
        <v>60</v>
      </c>
      <c r="F1634" s="13">
        <v>45773.8125</v>
      </c>
      <c r="G1634" t="s">
        <v>1</v>
      </c>
      <c r="H1634" t="s">
        <v>1712</v>
      </c>
      <c r="I1634" t="str">
        <f>IF(B1634=IFERROR(VLOOKUP(B1634,base!$L$1:$L$12,1,0),""),"Produtos",IF(B1634=IFERROR(VLOOKUP(B1634,base!$K$2:$K$12,1,0),""),"Serviços",IF(B1634="Gorjeta","Gorjeta","Combos")))</f>
        <v>Serviços</v>
      </c>
      <c r="J1634">
        <f t="shared" si="50"/>
        <v>15.75</v>
      </c>
      <c r="K1634" s="1" t="e">
        <f t="shared" si="51"/>
        <v>#VALUE!</v>
      </c>
      <c r="M1634" s="1"/>
      <c r="P1634"/>
    </row>
    <row r="1635" spans="1:16">
      <c r="A1635" t="s">
        <v>536</v>
      </c>
      <c r="B1635" t="s">
        <v>2526</v>
      </c>
      <c r="C1635" t="s">
        <v>2591</v>
      </c>
      <c r="D1635" s="14">
        <v>25</v>
      </c>
      <c r="F1635" s="13">
        <v>45773.8125</v>
      </c>
      <c r="G1635" t="s">
        <v>1</v>
      </c>
      <c r="H1635" t="s">
        <v>1712</v>
      </c>
      <c r="I1635" t="str">
        <f>IF(B1635=IFERROR(VLOOKUP(B1635,base!$L$1:$L$12,1,0),""),"Produtos",IF(B1635=IFERROR(VLOOKUP(B1635,base!$K$2:$K$12,1,0),""),"Serviços",IF(B1635="Gorjeta","Gorjeta","Combos")))</f>
        <v>Produtos</v>
      </c>
      <c r="J1635">
        <f t="shared" si="50"/>
        <v>10</v>
      </c>
      <c r="K1635" s="1" t="e">
        <f t="shared" si="51"/>
        <v>#VALUE!</v>
      </c>
      <c r="M1635" s="1"/>
      <c r="P1635"/>
    </row>
    <row r="1636" spans="1:16">
      <c r="A1636" t="s">
        <v>519</v>
      </c>
      <c r="B1636" t="s">
        <v>163</v>
      </c>
      <c r="C1636" t="s">
        <v>2592</v>
      </c>
      <c r="D1636" s="14">
        <v>35</v>
      </c>
      <c r="E1636" s="14">
        <v>75</v>
      </c>
      <c r="F1636" s="13">
        <v>45773.746527777781</v>
      </c>
      <c r="G1636" t="s">
        <v>1</v>
      </c>
      <c r="H1636" t="s">
        <v>191</v>
      </c>
      <c r="I1636" t="str">
        <f>IF(B1636=IFERROR(VLOOKUP(B1636,base!$L$1:$L$12,1,0),""),"Produtos",IF(B1636=IFERROR(VLOOKUP(B1636,base!$K$2:$K$12,1,0),""),"Serviços",IF(B1636="Gorjeta","Gorjeta","Combos")))</f>
        <v>Serviços</v>
      </c>
      <c r="J1636">
        <f t="shared" si="50"/>
        <v>15.75</v>
      </c>
      <c r="K1636" s="1" t="e">
        <f t="shared" si="51"/>
        <v>#VALUE!</v>
      </c>
      <c r="M1636" s="1"/>
      <c r="P1636"/>
    </row>
    <row r="1637" spans="1:16">
      <c r="A1637" t="s">
        <v>519</v>
      </c>
      <c r="B1637" t="s">
        <v>472</v>
      </c>
      <c r="C1637" t="s">
        <v>2592</v>
      </c>
      <c r="D1637" s="14">
        <v>40</v>
      </c>
      <c r="F1637" s="13">
        <v>45773.746527777781</v>
      </c>
      <c r="G1637" t="s">
        <v>1</v>
      </c>
      <c r="H1637" t="s">
        <v>191</v>
      </c>
      <c r="I1637" t="str">
        <f>IF(B1637=IFERROR(VLOOKUP(B1637,base!$L$1:$L$12,1,0),""),"Produtos",IF(B1637=IFERROR(VLOOKUP(B1637,base!$K$2:$K$12,1,0),""),"Serviços",IF(B1637="Gorjeta","Gorjeta","Combos")))</f>
        <v>Produtos</v>
      </c>
      <c r="J1637">
        <f t="shared" si="50"/>
        <v>16</v>
      </c>
      <c r="K1637" s="1" t="e">
        <f t="shared" si="51"/>
        <v>#VALUE!</v>
      </c>
      <c r="M1637" s="1"/>
      <c r="P1637"/>
    </row>
    <row r="1638" spans="1:16">
      <c r="A1638" t="s">
        <v>536</v>
      </c>
      <c r="B1638" t="s">
        <v>163</v>
      </c>
      <c r="C1638" t="s">
        <v>2593</v>
      </c>
      <c r="D1638" s="14">
        <v>35</v>
      </c>
      <c r="E1638" s="14">
        <v>65</v>
      </c>
      <c r="F1638" s="13">
        <v>45773.75</v>
      </c>
      <c r="G1638" t="s">
        <v>1</v>
      </c>
      <c r="H1638" t="s">
        <v>497</v>
      </c>
      <c r="I1638" t="str">
        <f>IF(B1638=IFERROR(VLOOKUP(B1638,base!$L$1:$L$12,1,0),""),"Produtos",IF(B1638=IFERROR(VLOOKUP(B1638,base!$K$2:$K$12,1,0),""),"Serviços",IF(B1638="Gorjeta","Gorjeta","Combos")))</f>
        <v>Serviços</v>
      </c>
      <c r="J1638">
        <f t="shared" si="50"/>
        <v>15.75</v>
      </c>
      <c r="K1638" s="1" t="e">
        <f t="shared" si="51"/>
        <v>#VALUE!</v>
      </c>
      <c r="M1638" s="1"/>
      <c r="P1638"/>
    </row>
    <row r="1639" spans="1:16">
      <c r="A1639" t="s">
        <v>536</v>
      </c>
      <c r="B1639" t="s">
        <v>2526</v>
      </c>
      <c r="C1639" t="s">
        <v>2593</v>
      </c>
      <c r="D1639" s="14">
        <v>25</v>
      </c>
      <c r="F1639" s="13">
        <v>45773.75</v>
      </c>
      <c r="G1639" t="s">
        <v>1</v>
      </c>
      <c r="H1639" t="s">
        <v>497</v>
      </c>
      <c r="I1639" t="str">
        <f>IF(B1639=IFERROR(VLOOKUP(B1639,base!$L$1:$L$12,1,0),""),"Produtos",IF(B1639=IFERROR(VLOOKUP(B1639,base!$K$2:$K$12,1,0),""),"Serviços",IF(B1639="Gorjeta","Gorjeta","Combos")))</f>
        <v>Produtos</v>
      </c>
      <c r="J1639">
        <f t="shared" si="50"/>
        <v>10</v>
      </c>
      <c r="K1639" s="1" t="e">
        <f t="shared" si="51"/>
        <v>#VALUE!</v>
      </c>
      <c r="M1639" s="1"/>
      <c r="P1639"/>
    </row>
    <row r="1640" spans="1:16">
      <c r="A1640" t="s">
        <v>536</v>
      </c>
      <c r="B1640" t="s">
        <v>910</v>
      </c>
      <c r="C1640" t="s">
        <v>2593</v>
      </c>
      <c r="D1640" s="14">
        <v>5</v>
      </c>
      <c r="F1640" s="13">
        <v>45773.75</v>
      </c>
      <c r="G1640" t="s">
        <v>1</v>
      </c>
      <c r="H1640" t="s">
        <v>497</v>
      </c>
      <c r="I1640" t="str">
        <f>IF(B1640=IFERROR(VLOOKUP(B1640,base!$L$1:$L$12,1,0),""),"Produtos",IF(B1640=IFERROR(VLOOKUP(B1640,base!$K$2:$K$12,1,0),""),"Serviços",IF(B1640="Gorjeta","Gorjeta","Combos")))</f>
        <v>Gorjeta</v>
      </c>
      <c r="J1640">
        <f t="shared" si="50"/>
        <v>2.25</v>
      </c>
      <c r="K1640" s="1" t="e">
        <f t="shared" si="51"/>
        <v>#VALUE!</v>
      </c>
      <c r="M1640" s="1"/>
      <c r="P1640"/>
    </row>
    <row r="1641" spans="1:16">
      <c r="A1641" t="s">
        <v>519</v>
      </c>
      <c r="B1641" t="s">
        <v>163</v>
      </c>
      <c r="C1641" t="s">
        <v>2594</v>
      </c>
      <c r="D1641" s="14">
        <v>35</v>
      </c>
      <c r="E1641" s="14">
        <v>35</v>
      </c>
      <c r="F1641" s="13">
        <v>45773.798611111109</v>
      </c>
      <c r="G1641" t="s">
        <v>354</v>
      </c>
      <c r="H1641" t="s">
        <v>2008</v>
      </c>
      <c r="I1641" t="str">
        <f>IF(B1641=IFERROR(VLOOKUP(B1641,base!$L$1:$L$12,1,0),""),"Produtos",IF(B1641=IFERROR(VLOOKUP(B1641,base!$K$2:$K$12,1,0),""),"Serviços",IF(B1641="Gorjeta","Gorjeta","Combos")))</f>
        <v>Serviços</v>
      </c>
      <c r="J1641">
        <f t="shared" si="50"/>
        <v>15.75</v>
      </c>
      <c r="K1641" s="1" t="e">
        <f t="shared" si="51"/>
        <v>#VALUE!</v>
      </c>
      <c r="M1641" s="1"/>
      <c r="P1641"/>
    </row>
    <row r="1642" spans="1:16">
      <c r="A1642" t="s">
        <v>252</v>
      </c>
      <c r="B1642" t="s">
        <v>163</v>
      </c>
      <c r="C1642" t="s">
        <v>2595</v>
      </c>
      <c r="D1642" s="14">
        <v>35</v>
      </c>
      <c r="E1642" s="14">
        <v>45</v>
      </c>
      <c r="F1642" s="13">
        <v>45773.815972222219</v>
      </c>
      <c r="G1642" t="s">
        <v>2</v>
      </c>
      <c r="H1642" t="s">
        <v>1109</v>
      </c>
      <c r="I1642" t="str">
        <f>IF(B1642=IFERROR(VLOOKUP(B1642,base!$L$1:$L$12,1,0),""),"Produtos",IF(B1642=IFERROR(VLOOKUP(B1642,base!$K$2:$K$12,1,0),""),"Serviços",IF(B1642="Gorjeta","Gorjeta","Combos")))</f>
        <v>Serviços</v>
      </c>
      <c r="J1642">
        <f t="shared" si="50"/>
        <v>15.75</v>
      </c>
      <c r="K1642" s="1" t="e">
        <f t="shared" si="51"/>
        <v>#VALUE!</v>
      </c>
      <c r="M1642" s="1"/>
      <c r="P1642"/>
    </row>
    <row r="1643" spans="1:16">
      <c r="A1643" t="s">
        <v>252</v>
      </c>
      <c r="B1643" t="s">
        <v>167</v>
      </c>
      <c r="C1643" t="s">
        <v>2595</v>
      </c>
      <c r="D1643" s="14">
        <v>10</v>
      </c>
      <c r="F1643" s="13">
        <v>45773.815972222219</v>
      </c>
      <c r="G1643" t="s">
        <v>2</v>
      </c>
      <c r="H1643" t="s">
        <v>1109</v>
      </c>
      <c r="I1643" t="str">
        <f>IF(B1643=IFERROR(VLOOKUP(B1643,base!$L$1:$L$12,1,0),""),"Produtos",IF(B1643=IFERROR(VLOOKUP(B1643,base!$K$2:$K$12,1,0),""),"Serviços",IF(B1643="Gorjeta","Gorjeta","Combos")))</f>
        <v>Serviços</v>
      </c>
      <c r="J1643">
        <f t="shared" si="50"/>
        <v>4.5</v>
      </c>
      <c r="K1643" s="1" t="e">
        <f t="shared" si="51"/>
        <v>#VALUE!</v>
      </c>
      <c r="M1643" s="1"/>
      <c r="P1643"/>
    </row>
    <row r="1644" spans="1:16">
      <c r="A1644" t="s">
        <v>536</v>
      </c>
      <c r="B1644" t="s">
        <v>163</v>
      </c>
      <c r="C1644" t="s">
        <v>2596</v>
      </c>
      <c r="D1644" s="14">
        <v>35</v>
      </c>
      <c r="E1644" s="14">
        <v>45</v>
      </c>
      <c r="F1644" s="13">
        <v>45773.819444444445</v>
      </c>
      <c r="G1644" t="s">
        <v>1</v>
      </c>
      <c r="H1644" t="s">
        <v>2597</v>
      </c>
      <c r="I1644" t="str">
        <f>IF(B1644=IFERROR(VLOOKUP(B1644,base!$L$1:$L$12,1,0),""),"Produtos",IF(B1644=IFERROR(VLOOKUP(B1644,base!$K$2:$K$12,1,0),""),"Serviços",IF(B1644="Gorjeta","Gorjeta","Combos")))</f>
        <v>Serviços</v>
      </c>
      <c r="J1644">
        <f t="shared" si="50"/>
        <v>15.75</v>
      </c>
      <c r="K1644" s="1" t="e">
        <f t="shared" si="51"/>
        <v>#VALUE!</v>
      </c>
      <c r="M1644" s="1"/>
      <c r="P1644"/>
    </row>
    <row r="1645" spans="1:16">
      <c r="A1645" t="s">
        <v>536</v>
      </c>
      <c r="B1645" t="s">
        <v>167</v>
      </c>
      <c r="C1645" t="s">
        <v>2596</v>
      </c>
      <c r="D1645" s="14">
        <v>10</v>
      </c>
      <c r="F1645" s="13">
        <v>45773.819444444445</v>
      </c>
      <c r="G1645" t="s">
        <v>1</v>
      </c>
      <c r="H1645" t="s">
        <v>2597</v>
      </c>
      <c r="I1645" t="str">
        <f>IF(B1645=IFERROR(VLOOKUP(B1645,base!$L$1:$L$12,1,0),""),"Produtos",IF(B1645=IFERROR(VLOOKUP(B1645,base!$K$2:$K$12,1,0),""),"Serviços",IF(B1645="Gorjeta","Gorjeta","Combos")))</f>
        <v>Serviços</v>
      </c>
      <c r="J1645">
        <f t="shared" si="50"/>
        <v>4.5</v>
      </c>
      <c r="K1645" s="1" t="e">
        <f t="shared" si="51"/>
        <v>#VALUE!</v>
      </c>
      <c r="M1645" s="1"/>
      <c r="P1645"/>
    </row>
    <row r="1646" spans="1:16">
      <c r="A1646" t="s">
        <v>519</v>
      </c>
      <c r="B1646" t="s">
        <v>1046</v>
      </c>
      <c r="C1646" t="s">
        <v>2598</v>
      </c>
      <c r="D1646" s="14">
        <v>25</v>
      </c>
      <c r="E1646" s="14">
        <v>50</v>
      </c>
      <c r="F1646" s="13">
        <v>45773.850694444445</v>
      </c>
      <c r="G1646" t="s">
        <v>2</v>
      </c>
      <c r="H1646" t="s">
        <v>126</v>
      </c>
      <c r="I1646" t="str">
        <f>IF(B1646=IFERROR(VLOOKUP(B1646,base!$L$1:$L$12,1,0),""),"Produtos",IF(B1646=IFERROR(VLOOKUP(B1646,base!$K$2:$K$12,1,0),""),"Serviços",IF(B1646="Gorjeta","Gorjeta","Combos")))</f>
        <v>Serviços</v>
      </c>
      <c r="J1646">
        <f t="shared" si="50"/>
        <v>11.25</v>
      </c>
      <c r="K1646" s="1" t="e">
        <f t="shared" si="51"/>
        <v>#VALUE!</v>
      </c>
      <c r="M1646" s="1"/>
      <c r="P1646"/>
    </row>
    <row r="1647" spans="1:16">
      <c r="A1647" t="s">
        <v>519</v>
      </c>
      <c r="B1647" t="s">
        <v>509</v>
      </c>
      <c r="C1647" t="s">
        <v>2598</v>
      </c>
      <c r="D1647" s="14">
        <v>25</v>
      </c>
      <c r="F1647" s="13">
        <v>45773.850694444445</v>
      </c>
      <c r="G1647" t="s">
        <v>2</v>
      </c>
      <c r="H1647" t="s">
        <v>126</v>
      </c>
      <c r="I1647" t="str">
        <f>IF(B1647=IFERROR(VLOOKUP(B1647,base!$L$1:$L$12,1,0),""),"Produtos",IF(B1647=IFERROR(VLOOKUP(B1647,base!$K$2:$K$12,1,0),""),"Serviços",IF(B1647="Gorjeta","Gorjeta","Combos")))</f>
        <v>Produtos</v>
      </c>
      <c r="J1647">
        <f t="shared" si="50"/>
        <v>10</v>
      </c>
      <c r="K1647" s="1" t="e">
        <f t="shared" si="51"/>
        <v>#VALUE!</v>
      </c>
      <c r="M1647" s="1"/>
      <c r="P1647"/>
    </row>
    <row r="1648" spans="1:16">
      <c r="A1648" t="s">
        <v>536</v>
      </c>
      <c r="B1648" t="s">
        <v>353</v>
      </c>
      <c r="C1648" t="s">
        <v>2599</v>
      </c>
      <c r="D1648" s="14">
        <v>50</v>
      </c>
      <c r="E1648" s="14">
        <v>50</v>
      </c>
      <c r="F1648" s="13">
        <v>45773.868055555555</v>
      </c>
      <c r="G1648" t="s">
        <v>1</v>
      </c>
      <c r="H1648" t="s">
        <v>1499</v>
      </c>
      <c r="I1648" t="str">
        <f>IF(B1648=IFERROR(VLOOKUP(B1648,base!$L$1:$L$12,1,0),""),"Produtos",IF(B1648=IFERROR(VLOOKUP(B1648,base!$K$2:$K$12,1,0),""),"Serviços",IF(B1648="Gorjeta","Gorjeta","Combos")))</f>
        <v>Combos</v>
      </c>
      <c r="J1648">
        <f t="shared" si="50"/>
        <v>22.5</v>
      </c>
      <c r="K1648" s="1" t="e">
        <f t="shared" si="51"/>
        <v>#VALUE!</v>
      </c>
      <c r="M1648" s="1"/>
      <c r="P1648"/>
    </row>
    <row r="1649" spans="1:16">
      <c r="A1649" t="s">
        <v>252</v>
      </c>
      <c r="B1649" t="s">
        <v>163</v>
      </c>
      <c r="C1649" t="s">
        <v>2600</v>
      </c>
      <c r="D1649" s="14">
        <v>35</v>
      </c>
      <c r="E1649" s="14">
        <v>35</v>
      </c>
      <c r="F1649" s="13">
        <v>45773.878472222219</v>
      </c>
      <c r="G1649" t="s">
        <v>1</v>
      </c>
      <c r="H1649" t="s">
        <v>424</v>
      </c>
      <c r="I1649" t="str">
        <f>IF(B1649=IFERROR(VLOOKUP(B1649,base!$L$1:$L$12,1,0),""),"Produtos",IF(B1649=IFERROR(VLOOKUP(B1649,base!$K$2:$K$12,1,0),""),"Serviços",IF(B1649="Gorjeta","Gorjeta","Combos")))</f>
        <v>Serviços</v>
      </c>
      <c r="J1649">
        <f t="shared" si="50"/>
        <v>15.75</v>
      </c>
      <c r="K1649" s="1" t="e">
        <f t="shared" si="51"/>
        <v>#VALUE!</v>
      </c>
      <c r="M1649" s="1"/>
      <c r="P1649"/>
    </row>
    <row r="1650" spans="1:16">
      <c r="A1650" t="s">
        <v>519</v>
      </c>
      <c r="B1650" t="s">
        <v>163</v>
      </c>
      <c r="C1650" t="s">
        <v>2601</v>
      </c>
      <c r="D1650" s="14">
        <v>35</v>
      </c>
      <c r="E1650" s="14">
        <v>35</v>
      </c>
      <c r="F1650" s="13">
        <v>45773.902777777781</v>
      </c>
      <c r="G1650" t="s">
        <v>354</v>
      </c>
      <c r="H1650" t="s">
        <v>2305</v>
      </c>
      <c r="I1650" t="str">
        <f>IF(B1650=IFERROR(VLOOKUP(B1650,base!$L$1:$L$12,1,0),""),"Produtos",IF(B1650=IFERROR(VLOOKUP(B1650,base!$K$2:$K$12,1,0),""),"Serviços",IF(B1650="Gorjeta","Gorjeta","Combos")))</f>
        <v>Serviços</v>
      </c>
      <c r="J1650">
        <f t="shared" si="50"/>
        <v>15.75</v>
      </c>
      <c r="K1650" s="1" t="e">
        <f t="shared" si="51"/>
        <v>#VALUE!</v>
      </c>
      <c r="M1650" s="1"/>
      <c r="P1650"/>
    </row>
    <row r="1651" spans="1:16">
      <c r="A1651" t="s">
        <v>536</v>
      </c>
      <c r="B1651" t="s">
        <v>163</v>
      </c>
      <c r="C1651" t="s">
        <v>2602</v>
      </c>
      <c r="D1651" s="14">
        <v>20</v>
      </c>
      <c r="E1651" s="14">
        <v>20</v>
      </c>
      <c r="F1651" s="13">
        <v>45773.625</v>
      </c>
      <c r="G1651" t="s">
        <v>1</v>
      </c>
      <c r="H1651" t="s">
        <v>382</v>
      </c>
      <c r="I1651" t="str">
        <f>IF(B1651=IFERROR(VLOOKUP(B1651,base!$L$1:$L$12,1,0),""),"Produtos",IF(B1651=IFERROR(VLOOKUP(B1651,base!$K$2:$K$12,1,0),""),"Serviços",IF(B1651="Gorjeta","Gorjeta","Combos")))</f>
        <v>Serviços</v>
      </c>
      <c r="J1651">
        <f t="shared" si="50"/>
        <v>9</v>
      </c>
      <c r="K1651" s="1" t="e">
        <f t="shared" si="51"/>
        <v>#VALUE!</v>
      </c>
      <c r="M1651" s="1"/>
      <c r="P1651"/>
    </row>
    <row r="1652" spans="1:16">
      <c r="A1652" t="s">
        <v>252</v>
      </c>
      <c r="B1652" t="s">
        <v>163</v>
      </c>
      <c r="C1652" t="s">
        <v>2603</v>
      </c>
      <c r="D1652" s="14">
        <v>35</v>
      </c>
      <c r="E1652" s="14">
        <v>35</v>
      </c>
      <c r="F1652" s="13">
        <v>45775.416666666664</v>
      </c>
      <c r="G1652" t="s">
        <v>1</v>
      </c>
      <c r="H1652" t="s">
        <v>277</v>
      </c>
      <c r="I1652" t="str">
        <f>IF(B1652=IFERROR(VLOOKUP(B1652,base!$L$1:$L$12,1,0),""),"Produtos",IF(B1652=IFERROR(VLOOKUP(B1652,base!$K$2:$K$12,1,0),""),"Serviços",IF(B1652="Gorjeta","Gorjeta","Combos")))</f>
        <v>Serviços</v>
      </c>
      <c r="J1652">
        <f t="shared" si="50"/>
        <v>15.75</v>
      </c>
      <c r="K1652" s="1" t="e">
        <f t="shared" si="51"/>
        <v>#VALUE!</v>
      </c>
      <c r="M1652" s="1"/>
      <c r="P1652"/>
    </row>
    <row r="1653" spans="1:16">
      <c r="A1653" t="s">
        <v>252</v>
      </c>
      <c r="B1653" t="s">
        <v>163</v>
      </c>
      <c r="C1653" t="s">
        <v>2604</v>
      </c>
      <c r="D1653" s="14">
        <v>35</v>
      </c>
      <c r="E1653" s="14">
        <v>35</v>
      </c>
      <c r="F1653" s="13">
        <v>45775.552083333336</v>
      </c>
      <c r="G1653" t="s">
        <v>1</v>
      </c>
      <c r="H1653" t="s">
        <v>2605</v>
      </c>
      <c r="I1653" t="str">
        <f>IF(B1653=IFERROR(VLOOKUP(B1653,base!$L$1:$L$12,1,0),""),"Produtos",IF(B1653=IFERROR(VLOOKUP(B1653,base!$K$2:$K$12,1,0),""),"Serviços",IF(B1653="Gorjeta","Gorjeta","Combos")))</f>
        <v>Serviços</v>
      </c>
      <c r="J1653">
        <f t="shared" si="50"/>
        <v>15.75</v>
      </c>
      <c r="K1653" s="1" t="e">
        <f t="shared" si="51"/>
        <v>#VALUE!</v>
      </c>
      <c r="M1653" s="1"/>
      <c r="P1653"/>
    </row>
    <row r="1654" spans="1:16">
      <c r="A1654" t="s">
        <v>536</v>
      </c>
      <c r="B1654" t="s">
        <v>2477</v>
      </c>
      <c r="C1654" t="s">
        <v>2606</v>
      </c>
      <c r="D1654" s="14">
        <v>25</v>
      </c>
      <c r="E1654" s="14">
        <v>25</v>
      </c>
      <c r="F1654" s="13">
        <v>45775.583333333336</v>
      </c>
      <c r="G1654" t="s">
        <v>354</v>
      </c>
      <c r="H1654" t="s">
        <v>2129</v>
      </c>
      <c r="I1654" t="str">
        <f>IF(B1654=IFERROR(VLOOKUP(B1654,base!$L$1:$L$12,1,0),""),"Produtos",IF(B1654=IFERROR(VLOOKUP(B1654,base!$K$2:$K$12,1,0),""),"Serviços",IF(B1654="Gorjeta","Gorjeta","Combos")))</f>
        <v>Produtos</v>
      </c>
      <c r="J1654">
        <f t="shared" si="50"/>
        <v>10</v>
      </c>
      <c r="K1654" s="1" t="e">
        <f t="shared" si="51"/>
        <v>#VALUE!</v>
      </c>
      <c r="M1654" s="1"/>
      <c r="P1654"/>
    </row>
    <row r="1655" spans="1:16">
      <c r="A1655" t="s">
        <v>519</v>
      </c>
      <c r="B1655" t="s">
        <v>1046</v>
      </c>
      <c r="C1655" t="s">
        <v>2607</v>
      </c>
      <c r="D1655" s="14">
        <v>35</v>
      </c>
      <c r="E1655" s="14">
        <v>35</v>
      </c>
      <c r="F1655" s="13">
        <v>45775.59375</v>
      </c>
      <c r="G1655" t="s">
        <v>354</v>
      </c>
      <c r="H1655" t="s">
        <v>2025</v>
      </c>
      <c r="I1655" t="str">
        <f>IF(B1655=IFERROR(VLOOKUP(B1655,base!$L$1:$L$12,1,0),""),"Produtos",IF(B1655=IFERROR(VLOOKUP(B1655,base!$K$2:$K$12,1,0),""),"Serviços",IF(B1655="Gorjeta","Gorjeta","Combos")))</f>
        <v>Serviços</v>
      </c>
      <c r="J1655">
        <f t="shared" si="50"/>
        <v>15.75</v>
      </c>
      <c r="K1655" s="1" t="e">
        <f t="shared" si="51"/>
        <v>#VALUE!</v>
      </c>
      <c r="M1655" s="1"/>
      <c r="P1655"/>
    </row>
    <row r="1656" spans="1:16">
      <c r="A1656" t="s">
        <v>519</v>
      </c>
      <c r="B1656" t="s">
        <v>1046</v>
      </c>
      <c r="C1656" t="s">
        <v>2608</v>
      </c>
      <c r="D1656" s="14">
        <v>35</v>
      </c>
      <c r="E1656" s="14">
        <v>35</v>
      </c>
      <c r="F1656" s="13">
        <v>45775.625</v>
      </c>
      <c r="G1656" t="s">
        <v>1</v>
      </c>
      <c r="H1656" t="s">
        <v>2322</v>
      </c>
      <c r="I1656" t="str">
        <f>IF(B1656=IFERROR(VLOOKUP(B1656,base!$L$1:$L$12,1,0),""),"Produtos",IF(B1656=IFERROR(VLOOKUP(B1656,base!$K$2:$K$12,1,0),""),"Serviços",IF(B1656="Gorjeta","Gorjeta","Combos")))</f>
        <v>Serviços</v>
      </c>
      <c r="J1656">
        <f t="shared" si="50"/>
        <v>15.75</v>
      </c>
      <c r="K1656" s="1" t="e">
        <f t="shared" si="51"/>
        <v>#VALUE!</v>
      </c>
      <c r="M1656" s="1"/>
      <c r="P1656"/>
    </row>
    <row r="1657" spans="1:16">
      <c r="A1657" t="s">
        <v>252</v>
      </c>
      <c r="B1657" t="s">
        <v>163</v>
      </c>
      <c r="C1657" t="s">
        <v>2609</v>
      </c>
      <c r="D1657" s="14">
        <v>35</v>
      </c>
      <c r="E1657" s="14">
        <v>20</v>
      </c>
      <c r="F1657" s="13">
        <v>45775.635416666664</v>
      </c>
      <c r="G1657" t="s">
        <v>310</v>
      </c>
      <c r="H1657" t="s">
        <v>2129</v>
      </c>
      <c r="I1657" t="str">
        <f>IF(B1657=IFERROR(VLOOKUP(B1657,base!$L$1:$L$12,1,0),""),"Produtos",IF(B1657=IFERROR(VLOOKUP(B1657,base!$K$2:$K$12,1,0),""),"Serviços",IF(B1657="Gorjeta","Gorjeta","Combos")))</f>
        <v>Serviços</v>
      </c>
      <c r="J1657">
        <f t="shared" si="50"/>
        <v>15.75</v>
      </c>
      <c r="K1657" s="1" t="e">
        <f t="shared" si="51"/>
        <v>#VALUE!</v>
      </c>
      <c r="M1657" s="1"/>
      <c r="P1657"/>
    </row>
    <row r="1658" spans="1:16">
      <c r="A1658" t="s">
        <v>519</v>
      </c>
      <c r="B1658" t="s">
        <v>163</v>
      </c>
      <c r="C1658" t="s">
        <v>2610</v>
      </c>
      <c r="D1658" s="14">
        <v>35</v>
      </c>
      <c r="E1658" s="14">
        <v>35</v>
      </c>
      <c r="F1658" s="13">
        <v>45775.708333333336</v>
      </c>
      <c r="G1658" t="s">
        <v>1</v>
      </c>
      <c r="H1658" t="s">
        <v>2611</v>
      </c>
      <c r="I1658" t="str">
        <f>IF(B1658=IFERROR(VLOOKUP(B1658,base!$L$1:$L$12,1,0),""),"Produtos",IF(B1658=IFERROR(VLOOKUP(B1658,base!$K$2:$K$12,1,0),""),"Serviços",IF(B1658="Gorjeta","Gorjeta","Combos")))</f>
        <v>Serviços</v>
      </c>
      <c r="J1658">
        <f t="shared" si="50"/>
        <v>15.75</v>
      </c>
      <c r="K1658" s="1" t="e">
        <f t="shared" si="51"/>
        <v>#VALUE!</v>
      </c>
      <c r="M1658" s="1"/>
      <c r="P1658"/>
    </row>
    <row r="1659" spans="1:16">
      <c r="A1659" t="s">
        <v>252</v>
      </c>
      <c r="B1659" t="s">
        <v>353</v>
      </c>
      <c r="C1659" t="s">
        <v>2612</v>
      </c>
      <c r="D1659" s="14">
        <v>60</v>
      </c>
      <c r="E1659" s="14">
        <v>80</v>
      </c>
      <c r="F1659" s="13">
        <v>45775.729166666664</v>
      </c>
      <c r="G1659" t="s">
        <v>310</v>
      </c>
      <c r="H1659" t="s">
        <v>2613</v>
      </c>
      <c r="I1659" t="str">
        <f>IF(B1659=IFERROR(VLOOKUP(B1659,base!$L$1:$L$12,1,0),""),"Produtos",IF(B1659=IFERROR(VLOOKUP(B1659,base!$K$2:$K$12,1,0),""),"Serviços",IF(B1659="Gorjeta","Gorjeta","Combos")))</f>
        <v>Combos</v>
      </c>
      <c r="J1659">
        <f t="shared" si="50"/>
        <v>27</v>
      </c>
      <c r="K1659" s="1" t="e">
        <f t="shared" si="51"/>
        <v>#VALUE!</v>
      </c>
      <c r="M1659" s="1"/>
      <c r="P1659"/>
    </row>
    <row r="1660" spans="1:16">
      <c r="A1660" t="s">
        <v>252</v>
      </c>
      <c r="B1660" t="s">
        <v>352</v>
      </c>
      <c r="C1660" t="s">
        <v>2612</v>
      </c>
      <c r="D1660" s="14">
        <v>20</v>
      </c>
      <c r="F1660" s="13">
        <v>45775.729166666664</v>
      </c>
      <c r="G1660" t="s">
        <v>310</v>
      </c>
      <c r="H1660" t="s">
        <v>2613</v>
      </c>
      <c r="I1660" t="str">
        <f>IF(B1660=IFERROR(VLOOKUP(B1660,base!$L$1:$L$12,1,0),""),"Produtos",IF(B1660=IFERROR(VLOOKUP(B1660,base!$K$2:$K$12,1,0),""),"Serviços",IF(B1660="Gorjeta","Gorjeta","Combos")))</f>
        <v>Combos</v>
      </c>
      <c r="J1660">
        <f t="shared" si="50"/>
        <v>9</v>
      </c>
      <c r="K1660" s="1" t="e">
        <f t="shared" si="51"/>
        <v>#VALUE!</v>
      </c>
      <c r="M1660" s="1"/>
      <c r="P1660"/>
    </row>
    <row r="1661" spans="1:16">
      <c r="A1661" t="s">
        <v>519</v>
      </c>
      <c r="B1661" t="s">
        <v>163</v>
      </c>
      <c r="C1661" t="s">
        <v>2614</v>
      </c>
      <c r="D1661" s="14">
        <v>35</v>
      </c>
      <c r="E1661" s="14">
        <v>60</v>
      </c>
      <c r="F1661" s="13">
        <v>45775.743055555555</v>
      </c>
      <c r="G1661" t="s">
        <v>355</v>
      </c>
      <c r="H1661" t="s">
        <v>2615</v>
      </c>
      <c r="I1661" t="str">
        <f>IF(B1661=IFERROR(VLOOKUP(B1661,base!$L$1:$L$12,1,0),""),"Produtos",IF(B1661=IFERROR(VLOOKUP(B1661,base!$K$2:$K$12,1,0),""),"Serviços",IF(B1661="Gorjeta","Gorjeta","Combos")))</f>
        <v>Serviços</v>
      </c>
      <c r="J1661">
        <f t="shared" si="50"/>
        <v>15.75</v>
      </c>
      <c r="K1661" s="1" t="e">
        <f t="shared" si="51"/>
        <v>#VALUE!</v>
      </c>
      <c r="M1661" s="1"/>
      <c r="P1661"/>
    </row>
    <row r="1662" spans="1:16">
      <c r="A1662" t="s">
        <v>519</v>
      </c>
      <c r="B1662" t="s">
        <v>509</v>
      </c>
      <c r="C1662" t="s">
        <v>2614</v>
      </c>
      <c r="D1662" s="14">
        <v>25</v>
      </c>
      <c r="F1662" s="13">
        <v>45775.743055555555</v>
      </c>
      <c r="G1662" t="s">
        <v>355</v>
      </c>
      <c r="H1662" t="s">
        <v>2615</v>
      </c>
      <c r="I1662" t="str">
        <f>IF(B1662=IFERROR(VLOOKUP(B1662,base!$L$1:$L$12,1,0),""),"Produtos",IF(B1662=IFERROR(VLOOKUP(B1662,base!$K$2:$K$12,1,0),""),"Serviços",IF(B1662="Gorjeta","Gorjeta","Combos")))</f>
        <v>Produtos</v>
      </c>
      <c r="J1662">
        <f t="shared" si="50"/>
        <v>10</v>
      </c>
      <c r="K1662" s="1" t="e">
        <f t="shared" si="51"/>
        <v>#VALUE!</v>
      </c>
      <c r="M1662" s="1"/>
      <c r="P1662"/>
    </row>
    <row r="1663" spans="1:16">
      <c r="A1663" t="s">
        <v>252</v>
      </c>
      <c r="B1663" t="s">
        <v>163</v>
      </c>
      <c r="C1663" t="s">
        <v>2616</v>
      </c>
      <c r="D1663" s="14">
        <v>35</v>
      </c>
      <c r="E1663" s="14">
        <v>35</v>
      </c>
      <c r="F1663" s="13">
        <v>45775.791666666664</v>
      </c>
      <c r="G1663" t="s">
        <v>1</v>
      </c>
      <c r="H1663" t="s">
        <v>2617</v>
      </c>
      <c r="I1663" t="str">
        <f>IF(B1663=IFERROR(VLOOKUP(B1663,base!$L$1:$L$12,1,0),""),"Produtos",IF(B1663=IFERROR(VLOOKUP(B1663,base!$K$2:$K$12,1,0),""),"Serviços",IF(B1663="Gorjeta","Gorjeta","Combos")))</f>
        <v>Serviços</v>
      </c>
      <c r="J1663">
        <f t="shared" si="50"/>
        <v>15.75</v>
      </c>
      <c r="K1663" s="1" t="e">
        <f t="shared" si="51"/>
        <v>#VALUE!</v>
      </c>
      <c r="M1663" s="1"/>
      <c r="P1663"/>
    </row>
    <row r="1664" spans="1:16">
      <c r="A1664" t="s">
        <v>519</v>
      </c>
      <c r="B1664" t="s">
        <v>163</v>
      </c>
      <c r="C1664" t="s">
        <v>2618</v>
      </c>
      <c r="D1664" s="14">
        <v>35</v>
      </c>
      <c r="E1664" s="14">
        <v>35</v>
      </c>
      <c r="F1664" s="13">
        <v>45775.729166666664</v>
      </c>
      <c r="G1664" t="s">
        <v>2</v>
      </c>
      <c r="H1664" t="s">
        <v>1657</v>
      </c>
      <c r="I1664" t="str">
        <f>IF(B1664=IFERROR(VLOOKUP(B1664,base!$L$1:$L$12,1,0),""),"Produtos",IF(B1664=IFERROR(VLOOKUP(B1664,base!$K$2:$K$12,1,0),""),"Serviços",IF(B1664="Gorjeta","Gorjeta","Combos")))</f>
        <v>Serviços</v>
      </c>
      <c r="J1664">
        <f>IF(AND(I1664="Serviços",E1664&gt;0),ROUND(D1664*45%,2),IF(I1664="Produtos",ROUND(D1664*40%,2),D1664*45%))</f>
        <v>15.75</v>
      </c>
      <c r="K1664" s="1" t="e">
        <f>DATEVALUE(F1664)</f>
        <v>#VALUE!</v>
      </c>
      <c r="M1664" s="1"/>
      <c r="P1664"/>
    </row>
    <row r="1665" spans="1:23" s="25" customFormat="1">
      <c r="A1665" s="25" t="s">
        <v>252</v>
      </c>
      <c r="B1665" s="25" t="s">
        <v>160</v>
      </c>
      <c r="C1665" s="25" t="s">
        <v>2619</v>
      </c>
      <c r="D1665" s="26">
        <v>12</v>
      </c>
      <c r="E1665" s="26">
        <v>12</v>
      </c>
      <c r="F1665" s="27">
        <v>45775.822916666664</v>
      </c>
      <c r="G1665" s="25" t="s">
        <v>1</v>
      </c>
      <c r="H1665" s="25" t="s">
        <v>360</v>
      </c>
      <c r="I1665" s="25" t="str">
        <f>IF(B1665=IFERROR(VLOOKUP(B1665,base!$L$1:$L$12,1,0),""),"Produtos",IF(B1665=IFERROR(VLOOKUP(B1665,base!$K$2:$K$12,1,0),""),"Serviços",IF(B1665="Gorjeta","Gorjeta","Combos")))</f>
        <v>Serviços</v>
      </c>
      <c r="J1665" s="25">
        <f>IF(AND(I1665="Serviços",E1665&gt;0),ROUND(D1665*45%,2),IF(I1665="Produtos",ROUND(D1665*40%,2),D1665*45%))</f>
        <v>5.4</v>
      </c>
      <c r="K1665" s="50" t="e">
        <f>DATEVALUE(F1665)</f>
        <v>#VALUE!</v>
      </c>
      <c r="M1665" s="50"/>
    </row>
    <row r="1666" spans="1:23">
      <c r="A1666" t="s">
        <v>252</v>
      </c>
      <c r="B1666" t="s">
        <v>163</v>
      </c>
      <c r="C1666" t="s">
        <v>2623</v>
      </c>
      <c r="D1666" s="14">
        <v>35</v>
      </c>
      <c r="E1666" s="14">
        <v>60</v>
      </c>
      <c r="F1666" t="s">
        <v>2624</v>
      </c>
      <c r="G1666" t="s">
        <v>354</v>
      </c>
      <c r="H1666" t="s">
        <v>1899</v>
      </c>
      <c r="I1666" t="str">
        <f>IF(B1666=IFERROR(VLOOKUP(B1666,base!$L$1:$L$12,1,0),""),"Produtos",IF(B1666=IFERROR(VLOOKUP(B1666,base!$K$2:$K$12,1,0),""),"Serviços",IF(B1666="Gorjeta","Gorjeta","Combos")))</f>
        <v>Serviços</v>
      </c>
      <c r="J1666">
        <f>IF(AND(I1666="Serviços",E1666&gt;0),ROUND(D1666*45%,2),IF(I1666="Produtos",ROUND(D1666*40%,2),D1666*45%))</f>
        <v>15.75</v>
      </c>
      <c r="K1666" s="1">
        <f>DATEVALUE(F1666)</f>
        <v>45777</v>
      </c>
      <c r="L1666" s="1">
        <f>K1666</f>
        <v>45777</v>
      </c>
      <c r="M1666" s="1"/>
      <c r="N1666" t="str">
        <f>G1666</f>
        <v>Cartão de Crédito</v>
      </c>
      <c r="P1666" t="str">
        <f>I1666</f>
        <v>Serviços</v>
      </c>
      <c r="Q1666" t="str">
        <f>B1666</f>
        <v>Corte</v>
      </c>
      <c r="S1666" s="14">
        <f>D1666</f>
        <v>35</v>
      </c>
      <c r="T1666" s="14">
        <f>E1666</f>
        <v>60</v>
      </c>
      <c r="U1666" s="14"/>
      <c r="V1666" t="str">
        <f>A1666</f>
        <v>Christian Magon</v>
      </c>
      <c r="W1666" t="str">
        <f>H1666</f>
        <v>thiago lima santos</v>
      </c>
    </row>
    <row r="1667" spans="1:23">
      <c r="A1667" t="s">
        <v>252</v>
      </c>
      <c r="B1667" t="s">
        <v>1046</v>
      </c>
      <c r="C1667" t="s">
        <v>2623</v>
      </c>
      <c r="D1667" s="14">
        <v>25</v>
      </c>
      <c r="E1667" t="s">
        <v>1604</v>
      </c>
      <c r="F1667" t="s">
        <v>2624</v>
      </c>
      <c r="G1667" t="s">
        <v>354</v>
      </c>
      <c r="H1667" t="s">
        <v>1899</v>
      </c>
      <c r="I1667" t="str">
        <f>IF(B1667=IFERROR(VLOOKUP(B1667,base!$L$1:$L$12,1,0),""),"Produtos",IF(B1667=IFERROR(VLOOKUP(B1667,base!$K$2:$K$12,1,0),""),"Serviços",IF(B1667="Gorjeta","Gorjeta","Combos")))</f>
        <v>Serviços</v>
      </c>
      <c r="J1667">
        <f t="shared" ref="J1667:J1714" si="52">IF(AND(I1667="Serviços",E1667&gt;0),ROUND(D1667*45%,2),IF(I1667="Produtos",ROUND(D1667*40%,2),D1667*45%))</f>
        <v>11.25</v>
      </c>
      <c r="K1667" s="1">
        <f t="shared" ref="K1667:K1710" si="53">DATEVALUE(F1667)</f>
        <v>45777</v>
      </c>
      <c r="L1667" s="1">
        <f t="shared" ref="L1667:L1710" si="54">K1667</f>
        <v>45777</v>
      </c>
      <c r="M1667" s="1"/>
      <c r="N1667" t="str">
        <f t="shared" ref="N1667:N1714" si="55">G1667</f>
        <v>Cartão de Crédito</v>
      </c>
      <c r="P1667" t="str">
        <f t="shared" ref="P1667:P1710" si="56">I1667</f>
        <v>Serviços</v>
      </c>
      <c r="Q1667" t="str">
        <f t="shared" ref="Q1667:Q1710" si="57">B1667</f>
        <v>Barba</v>
      </c>
      <c r="S1667" s="14">
        <f t="shared" ref="S1667:S1710" si="58">D1667</f>
        <v>25</v>
      </c>
      <c r="T1667" s="14" t="str">
        <f t="shared" ref="T1667:T1710" si="59">E1667</f>
        <v/>
      </c>
      <c r="U1667" s="14"/>
      <c r="V1667" t="str">
        <f t="shared" ref="V1667:V1710" si="60">A1667</f>
        <v>Christian Magon</v>
      </c>
      <c r="W1667" t="str">
        <f t="shared" ref="W1667:W1710" si="61">H1667</f>
        <v>thiago lima santos</v>
      </c>
    </row>
    <row r="1668" spans="1:23">
      <c r="A1668" t="s">
        <v>519</v>
      </c>
      <c r="B1668" t="s">
        <v>163</v>
      </c>
      <c r="C1668" t="s">
        <v>2625</v>
      </c>
      <c r="D1668" s="14">
        <v>35</v>
      </c>
      <c r="E1668" s="14">
        <v>35</v>
      </c>
      <c r="F1668" t="s">
        <v>2626</v>
      </c>
      <c r="G1668" t="s">
        <v>1</v>
      </c>
      <c r="H1668" t="s">
        <v>895</v>
      </c>
      <c r="I1668" t="str">
        <f>IF(B1668=IFERROR(VLOOKUP(B1668,base!$L$1:$L$12,1,0),""),"Produtos",IF(B1668=IFERROR(VLOOKUP(B1668,base!$K$2:$K$12,1,0),""),"Serviços",IF(B1668="Gorjeta","Gorjeta","Combos")))</f>
        <v>Serviços</v>
      </c>
      <c r="J1668">
        <f t="shared" si="52"/>
        <v>15.75</v>
      </c>
      <c r="K1668" s="1">
        <f t="shared" si="53"/>
        <v>45776</v>
      </c>
      <c r="L1668" s="1">
        <f t="shared" si="54"/>
        <v>45776</v>
      </c>
      <c r="M1668" s="1"/>
      <c r="N1668" t="str">
        <f t="shared" si="55"/>
        <v>PIX</v>
      </c>
      <c r="P1668" t="str">
        <f t="shared" si="56"/>
        <v>Serviços</v>
      </c>
      <c r="Q1668" t="str">
        <f t="shared" si="57"/>
        <v>Corte</v>
      </c>
      <c r="S1668" s="14">
        <f t="shared" si="58"/>
        <v>35</v>
      </c>
      <c r="T1668" s="14">
        <f t="shared" si="59"/>
        <v>35</v>
      </c>
      <c r="U1668" s="14"/>
      <c r="V1668" t="str">
        <f t="shared" si="60"/>
        <v>GUSTAVO SANTA ROSA DE CASTRO</v>
      </c>
      <c r="W1668" t="str">
        <f t="shared" si="61"/>
        <v>Daniella</v>
      </c>
    </row>
    <row r="1669" spans="1:23">
      <c r="A1669" t="s">
        <v>519</v>
      </c>
      <c r="B1669" t="s">
        <v>163</v>
      </c>
      <c r="C1669" t="s">
        <v>2627</v>
      </c>
      <c r="D1669" s="14">
        <v>35</v>
      </c>
      <c r="E1669" s="14">
        <v>50</v>
      </c>
      <c r="F1669" t="s">
        <v>2628</v>
      </c>
      <c r="G1669" t="s">
        <v>1</v>
      </c>
      <c r="H1669" t="s">
        <v>467</v>
      </c>
      <c r="I1669" t="str">
        <f>IF(B1669=IFERROR(VLOOKUP(B1669,base!$L$1:$L$12,1,0),""),"Produtos",IF(B1669=IFERROR(VLOOKUP(B1669,base!$K$2:$K$12,1,0),""),"Serviços",IF(B1669="Gorjeta","Gorjeta","Combos")))</f>
        <v>Serviços</v>
      </c>
      <c r="J1669">
        <f t="shared" si="52"/>
        <v>15.75</v>
      </c>
      <c r="K1669" s="1">
        <f t="shared" si="53"/>
        <v>45776</v>
      </c>
      <c r="L1669" s="1">
        <f t="shared" si="54"/>
        <v>45776</v>
      </c>
      <c r="M1669" s="1"/>
      <c r="N1669" t="str">
        <f t="shared" si="55"/>
        <v>PIX</v>
      </c>
      <c r="P1669" t="str">
        <f t="shared" si="56"/>
        <v>Serviços</v>
      </c>
      <c r="Q1669" t="str">
        <f t="shared" si="57"/>
        <v>Corte</v>
      </c>
      <c r="S1669" s="14">
        <f t="shared" si="58"/>
        <v>35</v>
      </c>
      <c r="T1669" s="14">
        <f t="shared" si="59"/>
        <v>50</v>
      </c>
      <c r="U1669" s="14"/>
      <c r="V1669" t="str">
        <f t="shared" si="60"/>
        <v>GUSTAVO SANTA ROSA DE CASTRO</v>
      </c>
      <c r="W1669" t="str">
        <f t="shared" si="61"/>
        <v>Joao Guilherme de Andrade Ferreira</v>
      </c>
    </row>
    <row r="1670" spans="1:23">
      <c r="A1670" t="s">
        <v>519</v>
      </c>
      <c r="B1670" t="s">
        <v>167</v>
      </c>
      <c r="C1670" t="s">
        <v>2627</v>
      </c>
      <c r="D1670" s="14">
        <v>15</v>
      </c>
      <c r="E1670" t="s">
        <v>1604</v>
      </c>
      <c r="F1670" t="s">
        <v>2628</v>
      </c>
      <c r="G1670" t="s">
        <v>1</v>
      </c>
      <c r="H1670" t="s">
        <v>467</v>
      </c>
      <c r="I1670" t="str">
        <f>IF(B1670=IFERROR(VLOOKUP(B1670,base!$L$1:$L$12,1,0),""),"Produtos",IF(B1670=IFERROR(VLOOKUP(B1670,base!$K$2:$K$12,1,0),""),"Serviços",IF(B1670="Gorjeta","Gorjeta","Combos")))</f>
        <v>Serviços</v>
      </c>
      <c r="J1670">
        <f t="shared" si="52"/>
        <v>6.75</v>
      </c>
      <c r="K1670" s="1">
        <f t="shared" si="53"/>
        <v>45776</v>
      </c>
      <c r="L1670" s="1">
        <f t="shared" si="54"/>
        <v>45776</v>
      </c>
      <c r="M1670" s="1"/>
      <c r="N1670" t="str">
        <f t="shared" si="55"/>
        <v>PIX</v>
      </c>
      <c r="P1670" t="str">
        <f t="shared" si="56"/>
        <v>Serviços</v>
      </c>
      <c r="Q1670" t="str">
        <f t="shared" si="57"/>
        <v>Sobrancelha</v>
      </c>
      <c r="S1670" s="14">
        <f t="shared" si="58"/>
        <v>15</v>
      </c>
      <c r="T1670" s="14" t="str">
        <f t="shared" si="59"/>
        <v/>
      </c>
      <c r="U1670" s="14"/>
      <c r="V1670" t="str">
        <f t="shared" si="60"/>
        <v>GUSTAVO SANTA ROSA DE CASTRO</v>
      </c>
      <c r="W1670" t="str">
        <f t="shared" si="61"/>
        <v>Joao Guilherme de Andrade Ferreira</v>
      </c>
    </row>
    <row r="1671" spans="1:23">
      <c r="A1671" t="s">
        <v>536</v>
      </c>
      <c r="B1671" t="s">
        <v>163</v>
      </c>
      <c r="C1671" t="s">
        <v>2629</v>
      </c>
      <c r="D1671" s="14">
        <v>35</v>
      </c>
      <c r="E1671" s="14">
        <v>35</v>
      </c>
      <c r="F1671" t="s">
        <v>2630</v>
      </c>
      <c r="G1671" t="s">
        <v>1</v>
      </c>
      <c r="H1671" t="s">
        <v>2631</v>
      </c>
      <c r="I1671" t="str">
        <f>IF(B1671=IFERROR(VLOOKUP(B1671,base!$L$1:$L$12,1,0),""),"Produtos",IF(B1671=IFERROR(VLOOKUP(B1671,base!$K$2:$K$12,1,0),""),"Serviços",IF(B1671="Gorjeta","Gorjeta","Combos")))</f>
        <v>Serviços</v>
      </c>
      <c r="J1671">
        <f t="shared" si="52"/>
        <v>15.75</v>
      </c>
      <c r="K1671" s="1">
        <f t="shared" si="53"/>
        <v>45776</v>
      </c>
      <c r="L1671" s="1">
        <f t="shared" si="54"/>
        <v>45776</v>
      </c>
      <c r="M1671" s="1"/>
      <c r="N1671" t="str">
        <f t="shared" si="55"/>
        <v>PIX</v>
      </c>
      <c r="P1671" t="str">
        <f t="shared" si="56"/>
        <v>Serviços</v>
      </c>
      <c r="Q1671" t="str">
        <f t="shared" si="57"/>
        <v>Corte</v>
      </c>
      <c r="S1671" s="14">
        <f t="shared" si="58"/>
        <v>35</v>
      </c>
      <c r="T1671" s="14">
        <f t="shared" si="59"/>
        <v>35</v>
      </c>
      <c r="U1671" s="14"/>
      <c r="V1671" t="str">
        <f t="shared" si="60"/>
        <v>PATRICK CARDOSO PIRES</v>
      </c>
      <c r="W1671" t="str">
        <f t="shared" si="61"/>
        <v>Lincoln Neves</v>
      </c>
    </row>
    <row r="1672" spans="1:23">
      <c r="A1672" t="s">
        <v>252</v>
      </c>
      <c r="B1672" t="s">
        <v>163</v>
      </c>
      <c r="C1672" t="s">
        <v>2632</v>
      </c>
      <c r="D1672" s="14">
        <v>35</v>
      </c>
      <c r="E1672" s="14">
        <v>35</v>
      </c>
      <c r="F1672" t="s">
        <v>2633</v>
      </c>
      <c r="G1672" t="s">
        <v>1</v>
      </c>
      <c r="H1672" t="s">
        <v>1031</v>
      </c>
      <c r="I1672" t="str">
        <f>IF(B1672=IFERROR(VLOOKUP(B1672,base!$L$1:$L$12,1,0),""),"Produtos",IF(B1672=IFERROR(VLOOKUP(B1672,base!$K$2:$K$12,1,0),""),"Serviços",IF(B1672="Gorjeta","Gorjeta","Combos")))</f>
        <v>Serviços</v>
      </c>
      <c r="J1672">
        <f t="shared" si="52"/>
        <v>15.75</v>
      </c>
      <c r="K1672" s="1">
        <f t="shared" si="53"/>
        <v>45776</v>
      </c>
      <c r="L1672" s="1">
        <f t="shared" si="54"/>
        <v>45776</v>
      </c>
      <c r="M1672" s="1"/>
      <c r="N1672" t="str">
        <f t="shared" si="55"/>
        <v>PIX</v>
      </c>
      <c r="P1672" t="str">
        <f t="shared" si="56"/>
        <v>Serviços</v>
      </c>
      <c r="Q1672" t="str">
        <f t="shared" si="57"/>
        <v>Corte</v>
      </c>
      <c r="S1672" s="14">
        <f t="shared" si="58"/>
        <v>35</v>
      </c>
      <c r="T1672" s="14">
        <f t="shared" si="59"/>
        <v>35</v>
      </c>
      <c r="U1672" s="14"/>
      <c r="V1672" t="str">
        <f t="shared" si="60"/>
        <v>Christian Magon</v>
      </c>
      <c r="W1672" t="str">
        <f t="shared" si="61"/>
        <v>Bernardo Porto</v>
      </c>
    </row>
    <row r="1673" spans="1:23">
      <c r="A1673" t="s">
        <v>519</v>
      </c>
      <c r="B1673" t="s">
        <v>353</v>
      </c>
      <c r="C1673" t="s">
        <v>2634</v>
      </c>
      <c r="D1673" s="14">
        <v>60</v>
      </c>
      <c r="E1673" s="14">
        <v>60</v>
      </c>
      <c r="F1673" t="s">
        <v>2635</v>
      </c>
      <c r="G1673" t="s">
        <v>1</v>
      </c>
      <c r="H1673" t="s">
        <v>906</v>
      </c>
      <c r="I1673" t="str">
        <f>IF(B1673=IFERROR(VLOOKUP(B1673,base!$L$1:$L$12,1,0),""),"Produtos",IF(B1673=IFERROR(VLOOKUP(B1673,base!$K$2:$K$12,1,0),""),"Serviços",IF(B1673="Gorjeta","Gorjeta","Combos")))</f>
        <v>Combos</v>
      </c>
      <c r="J1673">
        <f t="shared" si="52"/>
        <v>27</v>
      </c>
      <c r="K1673" s="1">
        <f t="shared" si="53"/>
        <v>45776</v>
      </c>
      <c r="L1673" s="1">
        <f t="shared" si="54"/>
        <v>45776</v>
      </c>
      <c r="M1673" s="1"/>
      <c r="N1673" t="str">
        <f t="shared" si="55"/>
        <v>PIX</v>
      </c>
      <c r="P1673" t="str">
        <f t="shared" si="56"/>
        <v>Combos</v>
      </c>
      <c r="Q1673" t="str">
        <f t="shared" si="57"/>
        <v>Combo ( Corte + Barba )</v>
      </c>
      <c r="S1673" s="14">
        <f t="shared" si="58"/>
        <v>60</v>
      </c>
      <c r="T1673" s="14">
        <f t="shared" si="59"/>
        <v>60</v>
      </c>
      <c r="U1673" s="14"/>
      <c r="V1673" t="str">
        <f t="shared" si="60"/>
        <v>GUSTAVO SANTA ROSA DE CASTRO</v>
      </c>
      <c r="W1673" t="str">
        <f t="shared" si="61"/>
        <v>jesse lima</v>
      </c>
    </row>
    <row r="1674" spans="1:23">
      <c r="A1674" t="s">
        <v>519</v>
      </c>
      <c r="B1674" t="s">
        <v>353</v>
      </c>
      <c r="C1674" t="s">
        <v>2636</v>
      </c>
      <c r="D1674" s="14">
        <v>50</v>
      </c>
      <c r="E1674" s="14">
        <v>50</v>
      </c>
      <c r="F1674" t="s">
        <v>2637</v>
      </c>
      <c r="G1674" t="s">
        <v>354</v>
      </c>
      <c r="H1674" t="s">
        <v>122</v>
      </c>
      <c r="I1674" t="str">
        <f>IF(B1674=IFERROR(VLOOKUP(B1674,base!$L$1:$L$12,1,0),""),"Produtos",IF(B1674=IFERROR(VLOOKUP(B1674,base!$K$2:$K$12,1,0),""),"Serviços",IF(B1674="Gorjeta","Gorjeta","Combos")))</f>
        <v>Combos</v>
      </c>
      <c r="J1674">
        <f t="shared" si="52"/>
        <v>22.5</v>
      </c>
      <c r="K1674" s="1">
        <f t="shared" si="53"/>
        <v>45776</v>
      </c>
      <c r="L1674" s="1">
        <f t="shared" si="54"/>
        <v>45776</v>
      </c>
      <c r="M1674" s="1"/>
      <c r="N1674" t="str">
        <f t="shared" si="55"/>
        <v>Cartão de Crédito</v>
      </c>
      <c r="P1674" t="str">
        <f t="shared" si="56"/>
        <v>Combos</v>
      </c>
      <c r="Q1674" t="str">
        <f t="shared" si="57"/>
        <v>Combo ( Corte + Barba )</v>
      </c>
      <c r="S1674" s="14">
        <f t="shared" si="58"/>
        <v>50</v>
      </c>
      <c r="T1674" s="14">
        <f t="shared" si="59"/>
        <v>50</v>
      </c>
      <c r="U1674" s="14"/>
      <c r="V1674" t="str">
        <f t="shared" si="60"/>
        <v>GUSTAVO SANTA ROSA DE CASTRO</v>
      </c>
      <c r="W1674" t="str">
        <f t="shared" si="61"/>
        <v>Paulo Roberto</v>
      </c>
    </row>
    <row r="1675" spans="1:23">
      <c r="A1675" t="s">
        <v>536</v>
      </c>
      <c r="B1675" t="s">
        <v>163</v>
      </c>
      <c r="C1675" t="s">
        <v>2638</v>
      </c>
      <c r="D1675" s="14">
        <v>35</v>
      </c>
      <c r="E1675" s="14">
        <v>35</v>
      </c>
      <c r="F1675" t="s">
        <v>2639</v>
      </c>
      <c r="G1675" t="s">
        <v>1</v>
      </c>
      <c r="H1675" t="s">
        <v>202</v>
      </c>
      <c r="I1675" t="str">
        <f>IF(B1675=IFERROR(VLOOKUP(B1675,base!$L$1:$L$12,1,0),""),"Produtos",IF(B1675=IFERROR(VLOOKUP(B1675,base!$K$2:$K$12,1,0),""),"Serviços",IF(B1675="Gorjeta","Gorjeta","Combos")))</f>
        <v>Serviços</v>
      </c>
      <c r="J1675">
        <f t="shared" si="52"/>
        <v>15.75</v>
      </c>
      <c r="K1675" s="1">
        <f t="shared" si="53"/>
        <v>45776</v>
      </c>
      <c r="L1675" s="1">
        <f t="shared" si="54"/>
        <v>45776</v>
      </c>
      <c r="M1675" s="1"/>
      <c r="N1675" t="str">
        <f t="shared" si="55"/>
        <v>PIX</v>
      </c>
      <c r="P1675" t="str">
        <f t="shared" si="56"/>
        <v>Serviços</v>
      </c>
      <c r="Q1675" t="str">
        <f t="shared" si="57"/>
        <v>Corte</v>
      </c>
      <c r="S1675" s="14">
        <f t="shared" si="58"/>
        <v>35</v>
      </c>
      <c r="T1675" s="14">
        <f t="shared" si="59"/>
        <v>35</v>
      </c>
      <c r="U1675" s="14"/>
      <c r="V1675" t="str">
        <f t="shared" si="60"/>
        <v>PATRICK CARDOSO PIRES</v>
      </c>
      <c r="W1675" t="str">
        <f t="shared" si="61"/>
        <v>Iuri almeida</v>
      </c>
    </row>
    <row r="1676" spans="1:23">
      <c r="A1676" t="s">
        <v>252</v>
      </c>
      <c r="B1676" t="s">
        <v>160</v>
      </c>
      <c r="C1676" t="s">
        <v>2640</v>
      </c>
      <c r="D1676" s="14">
        <v>12</v>
      </c>
      <c r="E1676" s="14">
        <v>12</v>
      </c>
      <c r="F1676" t="s">
        <v>2641</v>
      </c>
      <c r="G1676" t="s">
        <v>310</v>
      </c>
      <c r="H1676" t="s">
        <v>2060</v>
      </c>
      <c r="I1676" t="str">
        <f>IF(B1676=IFERROR(VLOOKUP(B1676,base!$L$1:$L$12,1,0),""),"Produtos",IF(B1676=IFERROR(VLOOKUP(B1676,base!$K$2:$K$12,1,0),""),"Serviços",IF(B1676="Gorjeta","Gorjeta","Combos")))</f>
        <v>Serviços</v>
      </c>
      <c r="J1676">
        <f t="shared" si="52"/>
        <v>5.4</v>
      </c>
      <c r="K1676" s="1">
        <f t="shared" si="53"/>
        <v>45775</v>
      </c>
      <c r="L1676" s="1">
        <f t="shared" si="54"/>
        <v>45775</v>
      </c>
      <c r="M1676" s="1"/>
      <c r="N1676" t="str">
        <f t="shared" si="55"/>
        <v>Cartão de Débito</v>
      </c>
      <c r="P1676" t="str">
        <f t="shared" si="56"/>
        <v>Serviços</v>
      </c>
      <c r="Q1676" t="str">
        <f t="shared" si="57"/>
        <v>Acabamento</v>
      </c>
      <c r="S1676" s="14">
        <f t="shared" si="58"/>
        <v>12</v>
      </c>
      <c r="T1676" s="14">
        <f t="shared" si="59"/>
        <v>12</v>
      </c>
      <c r="U1676" s="14"/>
      <c r="V1676" t="str">
        <f t="shared" si="60"/>
        <v>Christian Magon</v>
      </c>
      <c r="W1676" t="str">
        <f t="shared" si="61"/>
        <v>Gabriel</v>
      </c>
    </row>
    <row r="1677" spans="1:23">
      <c r="A1677" t="s">
        <v>519</v>
      </c>
      <c r="B1677" t="s">
        <v>163</v>
      </c>
      <c r="C1677" t="s">
        <v>2642</v>
      </c>
      <c r="D1677" s="14">
        <v>35</v>
      </c>
      <c r="E1677" s="14">
        <v>35</v>
      </c>
      <c r="F1677" t="s">
        <v>2643</v>
      </c>
      <c r="G1677" t="s">
        <v>1</v>
      </c>
      <c r="H1677" t="s">
        <v>278</v>
      </c>
      <c r="I1677" t="str">
        <f>IF(B1677=IFERROR(VLOOKUP(B1677,base!$L$1:$L$12,1,0),""),"Produtos",IF(B1677=IFERROR(VLOOKUP(B1677,base!$K$2:$K$12,1,0),""),"Serviços",IF(B1677="Gorjeta","Gorjeta","Combos")))</f>
        <v>Serviços</v>
      </c>
      <c r="J1677">
        <f t="shared" si="52"/>
        <v>15.75</v>
      </c>
      <c r="K1677" s="1">
        <f t="shared" si="53"/>
        <v>45777</v>
      </c>
      <c r="L1677" s="1">
        <f t="shared" si="54"/>
        <v>45777</v>
      </c>
      <c r="M1677" s="1"/>
      <c r="N1677" t="str">
        <f t="shared" si="55"/>
        <v>PIX</v>
      </c>
      <c r="P1677" t="str">
        <f t="shared" si="56"/>
        <v>Serviços</v>
      </c>
      <c r="Q1677" t="str">
        <f t="shared" si="57"/>
        <v>Corte</v>
      </c>
      <c r="S1677" s="14">
        <f t="shared" si="58"/>
        <v>35</v>
      </c>
      <c r="T1677" s="14">
        <f t="shared" si="59"/>
        <v>35</v>
      </c>
      <c r="U1677" s="14"/>
      <c r="V1677" t="str">
        <f t="shared" si="60"/>
        <v>GUSTAVO SANTA ROSA DE CASTRO</v>
      </c>
      <c r="W1677" t="str">
        <f t="shared" si="61"/>
        <v>Jorge Luiz pereira</v>
      </c>
    </row>
    <row r="1678" spans="1:23">
      <c r="A1678" t="s">
        <v>536</v>
      </c>
      <c r="B1678" t="s">
        <v>163</v>
      </c>
      <c r="C1678" t="s">
        <v>2644</v>
      </c>
      <c r="D1678" s="14">
        <v>30</v>
      </c>
      <c r="E1678" s="14">
        <v>40</v>
      </c>
      <c r="F1678" t="s">
        <v>2645</v>
      </c>
      <c r="G1678" t="s">
        <v>1</v>
      </c>
      <c r="H1678" t="s">
        <v>1348</v>
      </c>
      <c r="I1678" t="str">
        <f>IF(B1678=IFERROR(VLOOKUP(B1678,base!$L$1:$L$12,1,0),""),"Produtos",IF(B1678=IFERROR(VLOOKUP(B1678,base!$K$2:$K$12,1,0),""),"Serviços",IF(B1678="Gorjeta","Gorjeta","Combos")))</f>
        <v>Serviços</v>
      </c>
      <c r="J1678">
        <f t="shared" si="52"/>
        <v>13.5</v>
      </c>
      <c r="K1678" s="1">
        <f t="shared" si="53"/>
        <v>45776</v>
      </c>
      <c r="L1678" s="1">
        <f t="shared" si="54"/>
        <v>45776</v>
      </c>
      <c r="M1678" s="1"/>
      <c r="N1678" t="str">
        <f t="shared" si="55"/>
        <v>PIX</v>
      </c>
      <c r="P1678" t="str">
        <f t="shared" si="56"/>
        <v>Serviços</v>
      </c>
      <c r="Q1678" t="str">
        <f t="shared" si="57"/>
        <v>Corte</v>
      </c>
      <c r="S1678" s="14">
        <f t="shared" si="58"/>
        <v>30</v>
      </c>
      <c r="T1678" s="14">
        <f t="shared" si="59"/>
        <v>40</v>
      </c>
      <c r="U1678" s="14"/>
      <c r="V1678" t="str">
        <f t="shared" si="60"/>
        <v>PATRICK CARDOSO PIRES</v>
      </c>
      <c r="W1678" t="str">
        <f t="shared" si="61"/>
        <v>Jeremias Bastos</v>
      </c>
    </row>
    <row r="1679" spans="1:23">
      <c r="A1679" t="s">
        <v>536</v>
      </c>
      <c r="B1679" t="s">
        <v>167</v>
      </c>
      <c r="C1679" t="s">
        <v>2644</v>
      </c>
      <c r="D1679" s="14">
        <v>10</v>
      </c>
      <c r="E1679" t="s">
        <v>1604</v>
      </c>
      <c r="F1679" t="s">
        <v>2645</v>
      </c>
      <c r="G1679" t="s">
        <v>1</v>
      </c>
      <c r="H1679" t="s">
        <v>1348</v>
      </c>
      <c r="I1679" t="str">
        <f>IF(B1679=IFERROR(VLOOKUP(B1679,base!$L$1:$L$12,1,0),""),"Produtos",IF(B1679=IFERROR(VLOOKUP(B1679,base!$K$2:$K$12,1,0),""),"Serviços",IF(B1679="Gorjeta","Gorjeta","Combos")))</f>
        <v>Serviços</v>
      </c>
      <c r="J1679">
        <f t="shared" si="52"/>
        <v>4.5</v>
      </c>
      <c r="K1679" s="1">
        <f t="shared" si="53"/>
        <v>45776</v>
      </c>
      <c r="L1679" s="1">
        <f t="shared" si="54"/>
        <v>45776</v>
      </c>
      <c r="M1679" s="1"/>
      <c r="N1679" t="str">
        <f t="shared" si="55"/>
        <v>PIX</v>
      </c>
      <c r="P1679" t="str">
        <f t="shared" si="56"/>
        <v>Serviços</v>
      </c>
      <c r="Q1679" t="str">
        <f t="shared" si="57"/>
        <v>Sobrancelha</v>
      </c>
      <c r="S1679" s="14">
        <f t="shared" si="58"/>
        <v>10</v>
      </c>
      <c r="T1679" s="14" t="str">
        <f t="shared" si="59"/>
        <v/>
      </c>
      <c r="U1679" s="14"/>
      <c r="V1679" t="str">
        <f t="shared" si="60"/>
        <v>PATRICK CARDOSO PIRES</v>
      </c>
      <c r="W1679" t="str">
        <f t="shared" si="61"/>
        <v>Jeremias Bastos</v>
      </c>
    </row>
    <row r="1680" spans="1:23">
      <c r="A1680" t="s">
        <v>252</v>
      </c>
      <c r="B1680" t="s">
        <v>163</v>
      </c>
      <c r="C1680" t="s">
        <v>2646</v>
      </c>
      <c r="D1680" s="14">
        <v>35</v>
      </c>
      <c r="E1680" s="14">
        <v>50</v>
      </c>
      <c r="F1680" t="s">
        <v>2647</v>
      </c>
      <c r="G1680" t="s">
        <v>1</v>
      </c>
      <c r="H1680" t="s">
        <v>2648</v>
      </c>
      <c r="I1680" t="str">
        <f>IF(B1680=IFERROR(VLOOKUP(B1680,base!$L$1:$L$12,1,0),""),"Produtos",IF(B1680=IFERROR(VLOOKUP(B1680,base!$K$2:$K$12,1,0),""),"Serviços",IF(B1680="Gorjeta","Gorjeta","Combos")))</f>
        <v>Serviços</v>
      </c>
      <c r="J1680">
        <f t="shared" si="52"/>
        <v>15.75</v>
      </c>
      <c r="K1680" s="1">
        <f t="shared" si="53"/>
        <v>45776</v>
      </c>
      <c r="L1680" s="1">
        <f t="shared" si="54"/>
        <v>45776</v>
      </c>
      <c r="M1680" s="1"/>
      <c r="N1680" t="str">
        <f t="shared" si="55"/>
        <v>PIX</v>
      </c>
      <c r="P1680" t="str">
        <f t="shared" si="56"/>
        <v>Serviços</v>
      </c>
      <c r="Q1680" t="str">
        <f t="shared" si="57"/>
        <v>Corte</v>
      </c>
      <c r="S1680" s="14">
        <f t="shared" si="58"/>
        <v>35</v>
      </c>
      <c r="T1680" s="14">
        <f t="shared" si="59"/>
        <v>50</v>
      </c>
      <c r="U1680" s="14"/>
      <c r="V1680" t="str">
        <f t="shared" si="60"/>
        <v>Christian Magon</v>
      </c>
      <c r="W1680" t="str">
        <f t="shared" si="61"/>
        <v>felipe souza santos</v>
      </c>
    </row>
    <row r="1681" spans="1:23">
      <c r="A1681" t="s">
        <v>252</v>
      </c>
      <c r="B1681" t="s">
        <v>167</v>
      </c>
      <c r="C1681" t="s">
        <v>2646</v>
      </c>
      <c r="D1681" s="14">
        <v>10</v>
      </c>
      <c r="E1681" t="s">
        <v>1604</v>
      </c>
      <c r="F1681" t="s">
        <v>2647</v>
      </c>
      <c r="G1681" t="s">
        <v>1</v>
      </c>
      <c r="H1681" t="s">
        <v>2648</v>
      </c>
      <c r="I1681" t="str">
        <f>IF(B1681=IFERROR(VLOOKUP(B1681,base!$L$1:$L$12,1,0),""),"Produtos",IF(B1681=IFERROR(VLOOKUP(B1681,base!$K$2:$K$12,1,0),""),"Serviços",IF(B1681="Gorjeta","Gorjeta","Combos")))</f>
        <v>Serviços</v>
      </c>
      <c r="J1681">
        <f t="shared" si="52"/>
        <v>4.5</v>
      </c>
      <c r="K1681" s="1">
        <f t="shared" si="53"/>
        <v>45776</v>
      </c>
      <c r="L1681" s="1">
        <f t="shared" si="54"/>
        <v>45776</v>
      </c>
      <c r="M1681" s="1"/>
      <c r="N1681" t="str">
        <f t="shared" si="55"/>
        <v>PIX</v>
      </c>
      <c r="P1681" t="str">
        <f t="shared" si="56"/>
        <v>Serviços</v>
      </c>
      <c r="Q1681" t="str">
        <f t="shared" si="57"/>
        <v>Sobrancelha</v>
      </c>
      <c r="S1681" s="14">
        <f t="shared" si="58"/>
        <v>10</v>
      </c>
      <c r="T1681" s="14" t="str">
        <f t="shared" si="59"/>
        <v/>
      </c>
      <c r="U1681" s="14"/>
      <c r="V1681" t="str">
        <f t="shared" si="60"/>
        <v>Christian Magon</v>
      </c>
      <c r="W1681" t="str">
        <f t="shared" si="61"/>
        <v>felipe souza santos</v>
      </c>
    </row>
    <row r="1682" spans="1:23">
      <c r="A1682" t="s">
        <v>252</v>
      </c>
      <c r="B1682" t="s">
        <v>163</v>
      </c>
      <c r="C1682" t="s">
        <v>2649</v>
      </c>
      <c r="D1682" s="14">
        <v>35</v>
      </c>
      <c r="E1682" s="14">
        <v>35</v>
      </c>
      <c r="F1682" t="s">
        <v>2643</v>
      </c>
      <c r="G1682" t="s">
        <v>1</v>
      </c>
      <c r="H1682" t="s">
        <v>403</v>
      </c>
      <c r="I1682" t="str">
        <f>IF(B1682=IFERROR(VLOOKUP(B1682,base!$L$1:$L$12,1,0),""),"Produtos",IF(B1682=IFERROR(VLOOKUP(B1682,base!$K$2:$K$12,1,0),""),"Serviços",IF(B1682="Gorjeta","Gorjeta","Combos")))</f>
        <v>Serviços</v>
      </c>
      <c r="J1682">
        <f t="shared" si="52"/>
        <v>15.75</v>
      </c>
      <c r="K1682" s="1">
        <f t="shared" si="53"/>
        <v>45777</v>
      </c>
      <c r="L1682" s="1">
        <f t="shared" si="54"/>
        <v>45777</v>
      </c>
      <c r="M1682" s="1"/>
      <c r="N1682" t="str">
        <f t="shared" si="55"/>
        <v>PIX</v>
      </c>
      <c r="P1682" t="str">
        <f t="shared" si="56"/>
        <v>Serviços</v>
      </c>
      <c r="Q1682" t="str">
        <f t="shared" si="57"/>
        <v>Corte</v>
      </c>
      <c r="S1682" s="14">
        <f t="shared" si="58"/>
        <v>35</v>
      </c>
      <c r="T1682" s="14">
        <f t="shared" si="59"/>
        <v>35</v>
      </c>
      <c r="U1682" s="14"/>
      <c r="V1682" t="str">
        <f t="shared" si="60"/>
        <v>Christian Magon</v>
      </c>
      <c r="W1682" t="str">
        <f t="shared" si="61"/>
        <v>robson dos santos moura</v>
      </c>
    </row>
    <row r="1683" spans="1:23">
      <c r="A1683" t="s">
        <v>519</v>
      </c>
      <c r="B1683" t="s">
        <v>163</v>
      </c>
      <c r="C1683" t="s">
        <v>2650</v>
      </c>
      <c r="D1683" s="14">
        <v>35</v>
      </c>
      <c r="E1683" s="14">
        <v>35</v>
      </c>
      <c r="F1683" t="s">
        <v>2651</v>
      </c>
      <c r="G1683" t="s">
        <v>354</v>
      </c>
      <c r="H1683" t="s">
        <v>197</v>
      </c>
      <c r="I1683" t="str">
        <f>IF(B1683=IFERROR(VLOOKUP(B1683,base!$L$1:$L$12,1,0),""),"Produtos",IF(B1683=IFERROR(VLOOKUP(B1683,base!$K$2:$K$12,1,0),""),"Serviços",IF(B1683="Gorjeta","Gorjeta","Combos")))</f>
        <v>Serviços</v>
      </c>
      <c r="J1683">
        <f t="shared" si="52"/>
        <v>15.75</v>
      </c>
      <c r="K1683" s="1">
        <f t="shared" si="53"/>
        <v>45776</v>
      </c>
      <c r="L1683" s="1">
        <f t="shared" si="54"/>
        <v>45776</v>
      </c>
      <c r="M1683" s="1"/>
      <c r="N1683" t="str">
        <f t="shared" si="55"/>
        <v>Cartão de Crédito</v>
      </c>
      <c r="P1683" t="str">
        <f t="shared" si="56"/>
        <v>Serviços</v>
      </c>
      <c r="Q1683" t="str">
        <f t="shared" si="57"/>
        <v>Corte</v>
      </c>
      <c r="S1683" s="14">
        <f t="shared" si="58"/>
        <v>35</v>
      </c>
      <c r="T1683" s="14">
        <f t="shared" si="59"/>
        <v>35</v>
      </c>
      <c r="U1683" s="14"/>
      <c r="V1683" t="str">
        <f t="shared" si="60"/>
        <v>GUSTAVO SANTA ROSA DE CASTRO</v>
      </c>
      <c r="W1683" t="str">
        <f t="shared" si="61"/>
        <v>Lorran Reymond</v>
      </c>
    </row>
    <row r="1684" spans="1:23">
      <c r="A1684" t="s">
        <v>519</v>
      </c>
      <c r="B1684" t="s">
        <v>163</v>
      </c>
      <c r="C1684" t="s">
        <v>2652</v>
      </c>
      <c r="D1684" s="14">
        <v>35</v>
      </c>
      <c r="E1684" s="14">
        <v>35</v>
      </c>
      <c r="F1684" t="s">
        <v>2653</v>
      </c>
      <c r="G1684" t="s">
        <v>1</v>
      </c>
      <c r="H1684" t="s">
        <v>2654</v>
      </c>
      <c r="I1684" t="str">
        <f>IF(B1684=IFERROR(VLOOKUP(B1684,base!$L$1:$L$12,1,0),""),"Produtos",IF(B1684=IFERROR(VLOOKUP(B1684,base!$K$2:$K$12,1,0),""),"Serviços",IF(B1684="Gorjeta","Gorjeta","Combos")))</f>
        <v>Serviços</v>
      </c>
      <c r="J1684">
        <f t="shared" si="52"/>
        <v>15.75</v>
      </c>
      <c r="K1684" s="1">
        <f t="shared" si="53"/>
        <v>45776</v>
      </c>
      <c r="L1684" s="1">
        <f t="shared" si="54"/>
        <v>45776</v>
      </c>
      <c r="M1684" s="1"/>
      <c r="N1684" t="str">
        <f t="shared" si="55"/>
        <v>PIX</v>
      </c>
      <c r="P1684" t="str">
        <f t="shared" si="56"/>
        <v>Serviços</v>
      </c>
      <c r="Q1684" t="str">
        <f t="shared" si="57"/>
        <v>Corte</v>
      </c>
      <c r="S1684" s="14">
        <f t="shared" si="58"/>
        <v>35</v>
      </c>
      <c r="T1684" s="14">
        <f t="shared" si="59"/>
        <v>35</v>
      </c>
      <c r="U1684" s="14"/>
      <c r="V1684" t="str">
        <f t="shared" si="60"/>
        <v>GUSTAVO SANTA ROSA DE CASTRO</v>
      </c>
      <c r="W1684" t="str">
        <f t="shared" si="61"/>
        <v>Lucas Ferreira</v>
      </c>
    </row>
    <row r="1685" spans="1:23">
      <c r="A1685" t="s">
        <v>536</v>
      </c>
      <c r="B1685" t="s">
        <v>163</v>
      </c>
      <c r="C1685" t="s">
        <v>2655</v>
      </c>
      <c r="D1685" s="14">
        <v>35</v>
      </c>
      <c r="E1685" s="14">
        <v>35</v>
      </c>
      <c r="F1685" t="s">
        <v>2656</v>
      </c>
      <c r="G1685" t="s">
        <v>354</v>
      </c>
      <c r="H1685" t="s">
        <v>2657</v>
      </c>
      <c r="I1685" t="str">
        <f>IF(B1685=IFERROR(VLOOKUP(B1685,base!$L$1:$L$12,1,0),""),"Produtos",IF(B1685=IFERROR(VLOOKUP(B1685,base!$K$2:$K$12,1,0),""),"Serviços",IF(B1685="Gorjeta","Gorjeta","Combos")))</f>
        <v>Serviços</v>
      </c>
      <c r="J1685">
        <f t="shared" si="52"/>
        <v>15.75</v>
      </c>
      <c r="K1685" s="1">
        <f t="shared" si="53"/>
        <v>45777</v>
      </c>
      <c r="L1685" s="1">
        <f t="shared" si="54"/>
        <v>45777</v>
      </c>
      <c r="M1685" s="1"/>
      <c r="N1685" t="str">
        <f t="shared" si="55"/>
        <v>Cartão de Crédito</v>
      </c>
      <c r="P1685" t="str">
        <f t="shared" si="56"/>
        <v>Serviços</v>
      </c>
      <c r="Q1685" t="str">
        <f t="shared" si="57"/>
        <v>Corte</v>
      </c>
      <c r="S1685" s="14">
        <f t="shared" si="58"/>
        <v>35</v>
      </c>
      <c r="T1685" s="14">
        <f t="shared" si="59"/>
        <v>35</v>
      </c>
      <c r="U1685" s="14"/>
      <c r="V1685" t="str">
        <f t="shared" si="60"/>
        <v>PATRICK CARDOSO PIRES</v>
      </c>
      <c r="W1685" t="str">
        <f t="shared" si="61"/>
        <v>Bruno Assis</v>
      </c>
    </row>
    <row r="1686" spans="1:23">
      <c r="A1686" t="s">
        <v>252</v>
      </c>
      <c r="B1686" t="s">
        <v>163</v>
      </c>
      <c r="C1686" t="s">
        <v>2658</v>
      </c>
      <c r="D1686" s="14">
        <v>35</v>
      </c>
      <c r="E1686" s="14">
        <v>30</v>
      </c>
      <c r="F1686" t="s">
        <v>2659</v>
      </c>
      <c r="G1686" t="s">
        <v>1</v>
      </c>
      <c r="H1686" t="s">
        <v>10</v>
      </c>
      <c r="I1686" t="str">
        <f>IF(B1686=IFERROR(VLOOKUP(B1686,base!$L$1:$L$12,1,0),""),"Produtos",IF(B1686=IFERROR(VLOOKUP(B1686,base!$K$2:$K$12,1,0),""),"Serviços",IF(B1686="Gorjeta","Gorjeta","Combos")))</f>
        <v>Serviços</v>
      </c>
      <c r="J1686">
        <f t="shared" si="52"/>
        <v>15.75</v>
      </c>
      <c r="K1686" s="1">
        <f t="shared" si="53"/>
        <v>45777</v>
      </c>
      <c r="L1686" s="1">
        <f t="shared" si="54"/>
        <v>45777</v>
      </c>
      <c r="M1686" s="1"/>
      <c r="N1686" t="str">
        <f t="shared" si="55"/>
        <v>PIX</v>
      </c>
      <c r="P1686" t="str">
        <f t="shared" si="56"/>
        <v>Serviços</v>
      </c>
      <c r="Q1686" t="str">
        <f t="shared" si="57"/>
        <v>Corte</v>
      </c>
      <c r="S1686" s="14">
        <f t="shared" si="58"/>
        <v>35</v>
      </c>
      <c r="T1686" s="14">
        <f t="shared" si="59"/>
        <v>30</v>
      </c>
      <c r="U1686" s="14"/>
      <c r="V1686" t="str">
        <f t="shared" si="60"/>
        <v>Christian Magon</v>
      </c>
      <c r="W1686" t="str">
        <f t="shared" si="61"/>
        <v>Valcir Pedro</v>
      </c>
    </row>
    <row r="1687" spans="1:23">
      <c r="A1687" t="s">
        <v>252</v>
      </c>
      <c r="B1687" t="s">
        <v>163</v>
      </c>
      <c r="C1687" t="s">
        <v>2660</v>
      </c>
      <c r="D1687" s="14">
        <v>35</v>
      </c>
      <c r="E1687" s="14">
        <v>35</v>
      </c>
      <c r="F1687" t="s">
        <v>2661</v>
      </c>
      <c r="G1687" t="s">
        <v>1</v>
      </c>
      <c r="H1687" t="s">
        <v>1988</v>
      </c>
      <c r="I1687" t="str">
        <f>IF(B1687=IFERROR(VLOOKUP(B1687,base!$L$1:$L$12,1,0),""),"Produtos",IF(B1687=IFERROR(VLOOKUP(B1687,base!$K$2:$K$12,1,0),""),"Serviços",IF(B1687="Gorjeta","Gorjeta","Combos")))</f>
        <v>Serviços</v>
      </c>
      <c r="J1687">
        <f t="shared" si="52"/>
        <v>15.75</v>
      </c>
      <c r="K1687" s="1">
        <f t="shared" si="53"/>
        <v>45777</v>
      </c>
      <c r="L1687" s="1">
        <f t="shared" si="54"/>
        <v>45777</v>
      </c>
      <c r="M1687" s="1"/>
      <c r="N1687" t="str">
        <f t="shared" si="55"/>
        <v>PIX</v>
      </c>
      <c r="P1687" t="str">
        <f t="shared" si="56"/>
        <v>Serviços</v>
      </c>
      <c r="Q1687" t="str">
        <f t="shared" si="57"/>
        <v>Corte</v>
      </c>
      <c r="S1687" s="14">
        <f t="shared" si="58"/>
        <v>35</v>
      </c>
      <c r="T1687" s="14">
        <f t="shared" si="59"/>
        <v>35</v>
      </c>
      <c r="U1687" s="14"/>
      <c r="V1687" t="str">
        <f t="shared" si="60"/>
        <v>Christian Magon</v>
      </c>
      <c r="W1687" t="str">
        <f t="shared" si="61"/>
        <v>Rodrigo Jose Telles</v>
      </c>
    </row>
    <row r="1688" spans="1:23">
      <c r="A1688" t="s">
        <v>519</v>
      </c>
      <c r="B1688" t="s">
        <v>163</v>
      </c>
      <c r="C1688" t="s">
        <v>2662</v>
      </c>
      <c r="D1688" s="14">
        <v>35</v>
      </c>
      <c r="E1688" s="14">
        <v>35</v>
      </c>
      <c r="F1688" t="s">
        <v>2663</v>
      </c>
      <c r="G1688" t="s">
        <v>1</v>
      </c>
      <c r="H1688" t="s">
        <v>1981</v>
      </c>
      <c r="I1688" t="str">
        <f>IF(B1688=IFERROR(VLOOKUP(B1688,base!$L$1:$L$12,1,0),""),"Produtos",IF(B1688=IFERROR(VLOOKUP(B1688,base!$K$2:$K$12,1,0),""),"Serviços",IF(B1688="Gorjeta","Gorjeta","Combos")))</f>
        <v>Serviços</v>
      </c>
      <c r="J1688">
        <f t="shared" si="52"/>
        <v>15.75</v>
      </c>
      <c r="K1688" s="1">
        <f t="shared" si="53"/>
        <v>45777</v>
      </c>
      <c r="L1688" s="1">
        <f t="shared" si="54"/>
        <v>45777</v>
      </c>
      <c r="M1688" s="1"/>
      <c r="N1688" t="str">
        <f t="shared" si="55"/>
        <v>PIX</v>
      </c>
      <c r="P1688" t="str">
        <f t="shared" si="56"/>
        <v>Serviços</v>
      </c>
      <c r="Q1688" t="str">
        <f t="shared" si="57"/>
        <v>Corte</v>
      </c>
      <c r="S1688" s="14">
        <f t="shared" si="58"/>
        <v>35</v>
      </c>
      <c r="T1688" s="14">
        <f t="shared" si="59"/>
        <v>35</v>
      </c>
      <c r="U1688" s="14"/>
      <c r="V1688" t="str">
        <f t="shared" si="60"/>
        <v>GUSTAVO SANTA ROSA DE CASTRO</v>
      </c>
      <c r="W1688" t="str">
        <f t="shared" si="61"/>
        <v>anderson terto</v>
      </c>
    </row>
    <row r="1689" spans="1:23">
      <c r="A1689" t="s">
        <v>519</v>
      </c>
      <c r="B1689" t="s">
        <v>163</v>
      </c>
      <c r="C1689" t="s">
        <v>2664</v>
      </c>
      <c r="D1689" s="14">
        <v>35</v>
      </c>
      <c r="E1689" s="14">
        <v>35</v>
      </c>
      <c r="F1689" t="s">
        <v>2665</v>
      </c>
      <c r="G1689" t="s">
        <v>2</v>
      </c>
      <c r="H1689" t="s">
        <v>127</v>
      </c>
      <c r="I1689" t="str">
        <f>IF(B1689=IFERROR(VLOOKUP(B1689,base!$L$1:$L$12,1,0),""),"Produtos",IF(B1689=IFERROR(VLOOKUP(B1689,base!$K$2:$K$12,1,0),""),"Serviços",IF(B1689="Gorjeta","Gorjeta","Combos")))</f>
        <v>Serviços</v>
      </c>
      <c r="J1689">
        <f t="shared" si="52"/>
        <v>15.75</v>
      </c>
      <c r="K1689" s="1">
        <f t="shared" si="53"/>
        <v>45777</v>
      </c>
      <c r="L1689" s="1">
        <f t="shared" si="54"/>
        <v>45777</v>
      </c>
      <c r="M1689" s="1"/>
      <c r="N1689" t="str">
        <f t="shared" si="55"/>
        <v>Dinheiro</v>
      </c>
      <c r="P1689" t="str">
        <f t="shared" si="56"/>
        <v>Serviços</v>
      </c>
      <c r="Q1689" t="str">
        <f t="shared" si="57"/>
        <v>Corte</v>
      </c>
      <c r="S1689" s="14">
        <f t="shared" si="58"/>
        <v>35</v>
      </c>
      <c r="T1689" s="14">
        <f t="shared" si="59"/>
        <v>35</v>
      </c>
      <c r="U1689" s="14"/>
      <c r="V1689" t="str">
        <f t="shared" si="60"/>
        <v>GUSTAVO SANTA ROSA DE CASTRO</v>
      </c>
      <c r="W1689" t="str">
        <f t="shared" si="61"/>
        <v>Rafael Xavier</v>
      </c>
    </row>
    <row r="1690" spans="1:23">
      <c r="A1690" t="s">
        <v>252</v>
      </c>
      <c r="B1690" t="s">
        <v>163</v>
      </c>
      <c r="C1690" t="s">
        <v>2666</v>
      </c>
      <c r="D1690" s="14">
        <v>35</v>
      </c>
      <c r="E1690" s="14">
        <v>35</v>
      </c>
      <c r="F1690" t="s">
        <v>2667</v>
      </c>
      <c r="G1690" t="s">
        <v>1</v>
      </c>
      <c r="H1690" t="s">
        <v>2668</v>
      </c>
      <c r="I1690" t="str">
        <f>IF(B1690=IFERROR(VLOOKUP(B1690,base!$L$1:$L$12,1,0),""),"Produtos",IF(B1690=IFERROR(VLOOKUP(B1690,base!$K$2:$K$12,1,0),""),"Serviços",IF(B1690="Gorjeta","Gorjeta","Combos")))</f>
        <v>Serviços</v>
      </c>
      <c r="J1690">
        <f t="shared" si="52"/>
        <v>15.75</v>
      </c>
      <c r="K1690" s="1">
        <f t="shared" si="53"/>
        <v>45777</v>
      </c>
      <c r="L1690" s="1">
        <f t="shared" si="54"/>
        <v>45777</v>
      </c>
      <c r="M1690" s="1"/>
      <c r="N1690" t="str">
        <f t="shared" si="55"/>
        <v>PIX</v>
      </c>
      <c r="P1690" t="str">
        <f t="shared" si="56"/>
        <v>Serviços</v>
      </c>
      <c r="Q1690" t="str">
        <f t="shared" si="57"/>
        <v>Corte</v>
      </c>
      <c r="S1690" s="14">
        <f t="shared" si="58"/>
        <v>35</v>
      </c>
      <c r="T1690" s="14">
        <f t="shared" si="59"/>
        <v>35</v>
      </c>
      <c r="U1690" s="14"/>
      <c r="V1690" t="str">
        <f t="shared" si="60"/>
        <v>Christian Magon</v>
      </c>
      <c r="W1690" t="str">
        <f t="shared" si="61"/>
        <v>Thiago farias moura lima</v>
      </c>
    </row>
    <row r="1691" spans="1:23">
      <c r="A1691" t="s">
        <v>519</v>
      </c>
      <c r="B1691" t="s">
        <v>163</v>
      </c>
      <c r="C1691" t="s">
        <v>2669</v>
      </c>
      <c r="D1691" s="14">
        <v>35</v>
      </c>
      <c r="E1691" s="14">
        <v>45</v>
      </c>
      <c r="F1691" t="s">
        <v>2670</v>
      </c>
      <c r="G1691" t="s">
        <v>1</v>
      </c>
      <c r="H1691" t="s">
        <v>2233</v>
      </c>
      <c r="I1691" t="str">
        <f>IF(B1691=IFERROR(VLOOKUP(B1691,base!$L$1:$L$12,1,0),""),"Produtos",IF(B1691=IFERROR(VLOOKUP(B1691,base!$K$2:$K$12,1,0),""),"Serviços",IF(B1691="Gorjeta","Gorjeta","Combos")))</f>
        <v>Serviços</v>
      </c>
      <c r="J1691">
        <f t="shared" si="52"/>
        <v>15.75</v>
      </c>
      <c r="K1691" s="1">
        <f t="shared" si="53"/>
        <v>45777</v>
      </c>
      <c r="L1691" s="1">
        <f t="shared" si="54"/>
        <v>45777</v>
      </c>
      <c r="M1691" s="1"/>
      <c r="N1691" t="str">
        <f t="shared" si="55"/>
        <v>PIX</v>
      </c>
      <c r="P1691" t="str">
        <f t="shared" si="56"/>
        <v>Serviços</v>
      </c>
      <c r="Q1691" t="str">
        <f t="shared" si="57"/>
        <v>Corte</v>
      </c>
      <c r="S1691" s="14">
        <f t="shared" si="58"/>
        <v>35</v>
      </c>
      <c r="T1691" s="14">
        <f t="shared" si="59"/>
        <v>45</v>
      </c>
      <c r="U1691" s="14"/>
      <c r="V1691" t="str">
        <f t="shared" si="60"/>
        <v>GUSTAVO SANTA ROSA DE CASTRO</v>
      </c>
      <c r="W1691" t="str">
        <f t="shared" si="61"/>
        <v>eduardo lopes</v>
      </c>
    </row>
    <row r="1692" spans="1:23">
      <c r="A1692" t="s">
        <v>519</v>
      </c>
      <c r="B1692" t="s">
        <v>167</v>
      </c>
      <c r="C1692" t="s">
        <v>2669</v>
      </c>
      <c r="D1692" s="14">
        <v>10</v>
      </c>
      <c r="E1692" t="s">
        <v>1604</v>
      </c>
      <c r="F1692" t="s">
        <v>2670</v>
      </c>
      <c r="G1692" t="s">
        <v>1</v>
      </c>
      <c r="H1692" t="s">
        <v>2233</v>
      </c>
      <c r="I1692" t="str">
        <f>IF(B1692=IFERROR(VLOOKUP(B1692,base!$L$1:$L$12,1,0),""),"Produtos",IF(B1692=IFERROR(VLOOKUP(B1692,base!$K$2:$K$12,1,0),""),"Serviços",IF(B1692="Gorjeta","Gorjeta","Combos")))</f>
        <v>Serviços</v>
      </c>
      <c r="J1692">
        <f t="shared" si="52"/>
        <v>4.5</v>
      </c>
      <c r="K1692" s="1">
        <f t="shared" si="53"/>
        <v>45777</v>
      </c>
      <c r="L1692" s="1">
        <f t="shared" si="54"/>
        <v>45777</v>
      </c>
      <c r="M1692" s="1"/>
      <c r="N1692" t="str">
        <f t="shared" si="55"/>
        <v>PIX</v>
      </c>
      <c r="P1692" t="str">
        <f t="shared" si="56"/>
        <v>Serviços</v>
      </c>
      <c r="Q1692" t="str">
        <f t="shared" si="57"/>
        <v>Sobrancelha</v>
      </c>
      <c r="S1692" s="14">
        <f t="shared" si="58"/>
        <v>10</v>
      </c>
      <c r="T1692" s="14" t="str">
        <f t="shared" si="59"/>
        <v/>
      </c>
      <c r="U1692" s="14"/>
      <c r="V1692" t="str">
        <f t="shared" si="60"/>
        <v>GUSTAVO SANTA ROSA DE CASTRO</v>
      </c>
      <c r="W1692" t="str">
        <f t="shared" si="61"/>
        <v>eduardo lopes</v>
      </c>
    </row>
    <row r="1693" spans="1:23">
      <c r="A1693" t="s">
        <v>252</v>
      </c>
      <c r="B1693" t="s">
        <v>163</v>
      </c>
      <c r="C1693" t="s">
        <v>2671</v>
      </c>
      <c r="D1693" s="14">
        <v>35</v>
      </c>
      <c r="E1693" s="14">
        <v>35</v>
      </c>
      <c r="F1693" t="s">
        <v>2672</v>
      </c>
      <c r="G1693" t="s">
        <v>2</v>
      </c>
      <c r="H1693" t="s">
        <v>18</v>
      </c>
      <c r="I1693" t="str">
        <f>IF(B1693=IFERROR(VLOOKUP(B1693,base!$L$1:$L$12,1,0),""),"Produtos",IF(B1693=IFERROR(VLOOKUP(B1693,base!$K$2:$K$12,1,0),""),"Serviços",IF(B1693="Gorjeta","Gorjeta","Combos")))</f>
        <v>Serviços</v>
      </c>
      <c r="J1693">
        <f t="shared" si="52"/>
        <v>15.75</v>
      </c>
      <c r="K1693" s="1">
        <f t="shared" si="53"/>
        <v>45777</v>
      </c>
      <c r="L1693" s="1">
        <f t="shared" si="54"/>
        <v>45777</v>
      </c>
      <c r="M1693" s="1"/>
      <c r="N1693" t="str">
        <f t="shared" si="55"/>
        <v>Dinheiro</v>
      </c>
      <c r="P1693" t="str">
        <f t="shared" si="56"/>
        <v>Serviços</v>
      </c>
      <c r="Q1693" t="str">
        <f t="shared" si="57"/>
        <v>Corte</v>
      </c>
      <c r="S1693" s="14">
        <f t="shared" si="58"/>
        <v>35</v>
      </c>
      <c r="T1693" s="14">
        <f t="shared" si="59"/>
        <v>35</v>
      </c>
      <c r="U1693" s="14"/>
      <c r="V1693" t="str">
        <f t="shared" si="60"/>
        <v>Christian Magon</v>
      </c>
      <c r="W1693" t="str">
        <f t="shared" si="61"/>
        <v>Igor Ferreira</v>
      </c>
    </row>
    <row r="1694" spans="1:23">
      <c r="A1694" t="s">
        <v>536</v>
      </c>
      <c r="B1694" t="s">
        <v>163</v>
      </c>
      <c r="C1694" t="s">
        <v>2673</v>
      </c>
      <c r="D1694" s="14">
        <v>35</v>
      </c>
      <c r="E1694" s="14">
        <v>35</v>
      </c>
      <c r="F1694" t="s">
        <v>2674</v>
      </c>
      <c r="G1694" t="s">
        <v>1</v>
      </c>
      <c r="H1694" t="s">
        <v>483</v>
      </c>
      <c r="I1694" t="str">
        <f>IF(B1694=IFERROR(VLOOKUP(B1694,base!$L$1:$L$12,1,0),""),"Produtos",IF(B1694=IFERROR(VLOOKUP(B1694,base!$K$2:$K$12,1,0),""),"Serviços",IF(B1694="Gorjeta","Gorjeta","Combos")))</f>
        <v>Serviços</v>
      </c>
      <c r="J1694">
        <f t="shared" si="52"/>
        <v>15.75</v>
      </c>
      <c r="K1694" s="1">
        <f t="shared" si="53"/>
        <v>45777</v>
      </c>
      <c r="L1694" s="1">
        <f t="shared" si="54"/>
        <v>45777</v>
      </c>
      <c r="M1694" s="1"/>
      <c r="N1694" t="str">
        <f t="shared" si="55"/>
        <v>PIX</v>
      </c>
      <c r="P1694" t="str">
        <f t="shared" si="56"/>
        <v>Serviços</v>
      </c>
      <c r="Q1694" t="str">
        <f t="shared" si="57"/>
        <v>Corte</v>
      </c>
      <c r="S1694" s="14">
        <f t="shared" si="58"/>
        <v>35</v>
      </c>
      <c r="T1694" s="14">
        <f t="shared" si="59"/>
        <v>35</v>
      </c>
      <c r="U1694" s="14"/>
      <c r="V1694" t="str">
        <f t="shared" si="60"/>
        <v>PATRICK CARDOSO PIRES</v>
      </c>
      <c r="W1694" t="str">
        <f t="shared" si="61"/>
        <v>leonardo makluf</v>
      </c>
    </row>
    <row r="1695" spans="1:23">
      <c r="A1695" t="s">
        <v>519</v>
      </c>
      <c r="B1695" t="s">
        <v>163</v>
      </c>
      <c r="C1695" t="s">
        <v>2675</v>
      </c>
      <c r="D1695" s="14">
        <v>35</v>
      </c>
      <c r="E1695" s="14">
        <v>95</v>
      </c>
      <c r="F1695" t="s">
        <v>2676</v>
      </c>
      <c r="G1695" t="s">
        <v>310</v>
      </c>
      <c r="H1695" t="s">
        <v>11</v>
      </c>
      <c r="I1695" t="str">
        <f>IF(B1695=IFERROR(VLOOKUP(B1695,base!$L$1:$L$12,1,0),""),"Produtos",IF(B1695=IFERROR(VLOOKUP(B1695,base!$K$2:$K$12,1,0),""),"Serviços",IF(B1695="Gorjeta","Gorjeta","Combos")))</f>
        <v>Serviços</v>
      </c>
      <c r="J1695">
        <f t="shared" si="52"/>
        <v>15.75</v>
      </c>
      <c r="K1695" s="1">
        <f t="shared" si="53"/>
        <v>45777</v>
      </c>
      <c r="L1695" s="1">
        <f t="shared" si="54"/>
        <v>45777</v>
      </c>
      <c r="M1695" s="1"/>
      <c r="N1695" t="str">
        <f t="shared" si="55"/>
        <v>Cartão de Débito</v>
      </c>
      <c r="P1695" t="str">
        <f t="shared" si="56"/>
        <v>Serviços</v>
      </c>
      <c r="Q1695" t="str">
        <f t="shared" si="57"/>
        <v>Corte</v>
      </c>
      <c r="S1695" s="14">
        <f t="shared" si="58"/>
        <v>35</v>
      </c>
      <c r="T1695" s="14">
        <f t="shared" si="59"/>
        <v>95</v>
      </c>
      <c r="U1695" s="14"/>
      <c r="V1695" t="str">
        <f t="shared" si="60"/>
        <v>GUSTAVO SANTA ROSA DE CASTRO</v>
      </c>
      <c r="W1695" t="str">
        <f t="shared" si="61"/>
        <v>caio miranda</v>
      </c>
    </row>
    <row r="1696" spans="1:23">
      <c r="A1696" t="s">
        <v>252</v>
      </c>
      <c r="B1696" t="s">
        <v>353</v>
      </c>
      <c r="C1696" t="s">
        <v>2675</v>
      </c>
      <c r="D1696" s="14">
        <v>60</v>
      </c>
      <c r="E1696" t="s">
        <v>1604</v>
      </c>
      <c r="F1696" t="s">
        <v>2676</v>
      </c>
      <c r="G1696" t="s">
        <v>310</v>
      </c>
      <c r="H1696" t="s">
        <v>11</v>
      </c>
      <c r="I1696" t="str">
        <f>IF(B1696=IFERROR(VLOOKUP(B1696,base!$L$1:$L$12,1,0),""),"Produtos",IF(B1696=IFERROR(VLOOKUP(B1696,base!$K$2:$K$12,1,0),""),"Serviços",IF(B1696="Gorjeta","Gorjeta","Combos")))</f>
        <v>Combos</v>
      </c>
      <c r="J1696">
        <f t="shared" si="52"/>
        <v>27</v>
      </c>
      <c r="K1696" s="1">
        <f t="shared" si="53"/>
        <v>45777</v>
      </c>
      <c r="L1696" s="1">
        <f t="shared" si="54"/>
        <v>45777</v>
      </c>
      <c r="M1696" s="1"/>
      <c r="N1696" t="str">
        <f t="shared" si="55"/>
        <v>Cartão de Débito</v>
      </c>
      <c r="P1696" t="str">
        <f t="shared" si="56"/>
        <v>Combos</v>
      </c>
      <c r="Q1696" t="str">
        <f t="shared" si="57"/>
        <v>Combo ( Corte + Barba )</v>
      </c>
      <c r="S1696" s="14">
        <f t="shared" si="58"/>
        <v>60</v>
      </c>
      <c r="T1696" s="14" t="str">
        <f t="shared" si="59"/>
        <v/>
      </c>
      <c r="U1696" s="14"/>
      <c r="V1696" t="str">
        <f t="shared" si="60"/>
        <v>Christian Magon</v>
      </c>
      <c r="W1696" t="str">
        <f t="shared" si="61"/>
        <v>caio miranda</v>
      </c>
    </row>
    <row r="1697" spans="1:23">
      <c r="A1697" t="s">
        <v>252</v>
      </c>
      <c r="B1697" t="s">
        <v>1046</v>
      </c>
      <c r="C1697" t="s">
        <v>2677</v>
      </c>
      <c r="D1697" s="14">
        <v>35</v>
      </c>
      <c r="E1697" s="14">
        <v>40</v>
      </c>
      <c r="F1697" t="s">
        <v>2678</v>
      </c>
      <c r="G1697" t="s">
        <v>310</v>
      </c>
      <c r="H1697" t="s">
        <v>2679</v>
      </c>
      <c r="I1697" t="str">
        <f>IF(B1697=IFERROR(VLOOKUP(B1697,base!$L$1:$L$12,1,0),""),"Produtos",IF(B1697=IFERROR(VLOOKUP(B1697,base!$K$2:$K$12,1,0),""),"Serviços",IF(B1697="Gorjeta","Gorjeta","Combos")))</f>
        <v>Serviços</v>
      </c>
      <c r="J1697">
        <f t="shared" si="52"/>
        <v>15.75</v>
      </c>
      <c r="K1697" s="1">
        <f t="shared" si="53"/>
        <v>45777</v>
      </c>
      <c r="L1697" s="1">
        <f t="shared" si="54"/>
        <v>45777</v>
      </c>
      <c r="M1697" s="1"/>
      <c r="N1697" t="str">
        <f t="shared" si="55"/>
        <v>Cartão de Débito</v>
      </c>
      <c r="P1697" t="str">
        <f t="shared" si="56"/>
        <v>Serviços</v>
      </c>
      <c r="Q1697" t="str">
        <f t="shared" si="57"/>
        <v>Barba</v>
      </c>
      <c r="S1697" s="14">
        <f t="shared" si="58"/>
        <v>35</v>
      </c>
      <c r="T1697" s="14">
        <f t="shared" si="59"/>
        <v>40</v>
      </c>
      <c r="U1697" s="14"/>
      <c r="V1697" t="str">
        <f t="shared" si="60"/>
        <v>Christian Magon</v>
      </c>
      <c r="W1697" t="str">
        <f t="shared" si="61"/>
        <v>andre souza candido</v>
      </c>
    </row>
    <row r="1698" spans="1:23">
      <c r="A1698" t="s">
        <v>252</v>
      </c>
      <c r="B1698" t="s">
        <v>163</v>
      </c>
      <c r="C1698" t="s">
        <v>2680</v>
      </c>
      <c r="D1698" s="14">
        <v>35</v>
      </c>
      <c r="E1698" s="14">
        <v>45</v>
      </c>
      <c r="F1698" t="s">
        <v>2681</v>
      </c>
      <c r="G1698" t="s">
        <v>1</v>
      </c>
      <c r="H1698" t="s">
        <v>31</v>
      </c>
      <c r="I1698" t="str">
        <f>IF(B1698=IFERROR(VLOOKUP(B1698,base!$L$1:$L$12,1,0),""),"Produtos",IF(B1698=IFERROR(VLOOKUP(B1698,base!$K$2:$K$12,1,0),""),"Serviços",IF(B1698="Gorjeta","Gorjeta","Combos")))</f>
        <v>Serviços</v>
      </c>
      <c r="J1698">
        <f t="shared" si="52"/>
        <v>15.75</v>
      </c>
      <c r="K1698" s="1">
        <f t="shared" si="53"/>
        <v>45777</v>
      </c>
      <c r="L1698" s="1">
        <f t="shared" si="54"/>
        <v>45777</v>
      </c>
      <c r="M1698" s="1"/>
      <c r="N1698" t="str">
        <f t="shared" si="55"/>
        <v>PIX</v>
      </c>
      <c r="P1698" t="str">
        <f t="shared" si="56"/>
        <v>Serviços</v>
      </c>
      <c r="Q1698" t="str">
        <f t="shared" si="57"/>
        <v>Corte</v>
      </c>
      <c r="S1698" s="14">
        <f t="shared" si="58"/>
        <v>35</v>
      </c>
      <c r="T1698" s="14">
        <f t="shared" si="59"/>
        <v>45</v>
      </c>
      <c r="U1698" s="14"/>
      <c r="V1698" t="str">
        <f t="shared" si="60"/>
        <v>Christian Magon</v>
      </c>
      <c r="W1698" t="str">
        <f t="shared" si="61"/>
        <v>Pedro Lucas</v>
      </c>
    </row>
    <row r="1699" spans="1:23">
      <c r="A1699" t="s">
        <v>252</v>
      </c>
      <c r="B1699" t="s">
        <v>167</v>
      </c>
      <c r="C1699" t="s">
        <v>2680</v>
      </c>
      <c r="D1699" s="14">
        <v>10</v>
      </c>
      <c r="E1699" t="s">
        <v>1604</v>
      </c>
      <c r="F1699" t="s">
        <v>2681</v>
      </c>
      <c r="G1699" t="s">
        <v>1</v>
      </c>
      <c r="H1699" t="s">
        <v>31</v>
      </c>
      <c r="I1699" t="str">
        <f>IF(B1699=IFERROR(VLOOKUP(B1699,base!$L$1:$L$12,1,0),""),"Produtos",IF(B1699=IFERROR(VLOOKUP(B1699,base!$K$2:$K$12,1,0),""),"Serviços",IF(B1699="Gorjeta","Gorjeta","Combos")))</f>
        <v>Serviços</v>
      </c>
      <c r="J1699">
        <f t="shared" si="52"/>
        <v>4.5</v>
      </c>
      <c r="K1699" s="1">
        <f t="shared" si="53"/>
        <v>45777</v>
      </c>
      <c r="L1699" s="1">
        <f t="shared" si="54"/>
        <v>45777</v>
      </c>
      <c r="M1699" s="1"/>
      <c r="N1699" t="str">
        <f t="shared" si="55"/>
        <v>PIX</v>
      </c>
      <c r="P1699" t="str">
        <f t="shared" si="56"/>
        <v>Serviços</v>
      </c>
      <c r="Q1699" t="str">
        <f t="shared" si="57"/>
        <v>Sobrancelha</v>
      </c>
      <c r="S1699" s="14">
        <f t="shared" si="58"/>
        <v>10</v>
      </c>
      <c r="T1699" s="14" t="str">
        <f t="shared" si="59"/>
        <v/>
      </c>
      <c r="U1699" s="14"/>
      <c r="V1699" t="str">
        <f t="shared" si="60"/>
        <v>Christian Magon</v>
      </c>
      <c r="W1699" t="str">
        <f t="shared" si="61"/>
        <v>Pedro Lucas</v>
      </c>
    </row>
    <row r="1700" spans="1:23">
      <c r="A1700" t="s">
        <v>519</v>
      </c>
      <c r="B1700" t="s">
        <v>163</v>
      </c>
      <c r="C1700" t="s">
        <v>2682</v>
      </c>
      <c r="D1700" s="14">
        <v>35</v>
      </c>
      <c r="E1700" s="14">
        <v>35</v>
      </c>
      <c r="F1700" t="s">
        <v>2681</v>
      </c>
      <c r="G1700" t="s">
        <v>310</v>
      </c>
      <c r="H1700" t="s">
        <v>2332</v>
      </c>
      <c r="I1700" t="str">
        <f>IF(B1700=IFERROR(VLOOKUP(B1700,base!$L$1:$L$12,1,0),""),"Produtos",IF(B1700=IFERROR(VLOOKUP(B1700,base!$K$2:$K$12,1,0),""),"Serviços",IF(B1700="Gorjeta","Gorjeta","Combos")))</f>
        <v>Serviços</v>
      </c>
      <c r="J1700">
        <f t="shared" si="52"/>
        <v>15.75</v>
      </c>
      <c r="K1700" s="1">
        <f t="shared" si="53"/>
        <v>45777</v>
      </c>
      <c r="L1700" s="1">
        <f t="shared" si="54"/>
        <v>45777</v>
      </c>
      <c r="M1700" s="1"/>
      <c r="N1700" t="str">
        <f t="shared" si="55"/>
        <v>Cartão de Débito</v>
      </c>
      <c r="P1700" t="str">
        <f t="shared" si="56"/>
        <v>Serviços</v>
      </c>
      <c r="Q1700" t="str">
        <f t="shared" si="57"/>
        <v>Corte</v>
      </c>
      <c r="S1700" s="14">
        <f t="shared" si="58"/>
        <v>35</v>
      </c>
      <c r="T1700" s="14">
        <f t="shared" si="59"/>
        <v>35</v>
      </c>
      <c r="U1700" s="14"/>
      <c r="V1700" t="str">
        <f t="shared" si="60"/>
        <v>GUSTAVO SANTA ROSA DE CASTRO</v>
      </c>
      <c r="W1700" t="str">
        <f t="shared" si="61"/>
        <v>Maria Luzia Leao Pedrosa da Costa</v>
      </c>
    </row>
    <row r="1701" spans="1:23">
      <c r="A1701" t="s">
        <v>536</v>
      </c>
      <c r="B1701" t="s">
        <v>1046</v>
      </c>
      <c r="C1701" t="s">
        <v>2683</v>
      </c>
      <c r="D1701" s="14">
        <v>35</v>
      </c>
      <c r="E1701" s="14">
        <v>47</v>
      </c>
      <c r="F1701" t="s">
        <v>2672</v>
      </c>
      <c r="G1701" t="s">
        <v>1</v>
      </c>
      <c r="H1701" t="s">
        <v>1198</v>
      </c>
      <c r="I1701" t="str">
        <f>IF(B1701=IFERROR(VLOOKUP(B1701,base!$L$1:$L$12,1,0),""),"Produtos",IF(B1701=IFERROR(VLOOKUP(B1701,base!$K$2:$K$12,1,0),""),"Serviços",IF(B1701="Gorjeta","Gorjeta","Combos")))</f>
        <v>Serviços</v>
      </c>
      <c r="J1701">
        <f t="shared" si="52"/>
        <v>15.75</v>
      </c>
      <c r="K1701" s="1">
        <f t="shared" si="53"/>
        <v>45777</v>
      </c>
      <c r="L1701" s="1">
        <f t="shared" si="54"/>
        <v>45777</v>
      </c>
      <c r="M1701" s="1"/>
      <c r="N1701" t="str">
        <f t="shared" si="55"/>
        <v>PIX</v>
      </c>
      <c r="P1701" t="str">
        <f t="shared" si="56"/>
        <v>Serviços</v>
      </c>
      <c r="Q1701" t="str">
        <f t="shared" si="57"/>
        <v>Barba</v>
      </c>
      <c r="S1701" s="14">
        <f t="shared" si="58"/>
        <v>35</v>
      </c>
      <c r="T1701" s="14">
        <f t="shared" si="59"/>
        <v>47</v>
      </c>
      <c r="U1701" s="14"/>
      <c r="V1701" t="str">
        <f t="shared" si="60"/>
        <v>PATRICK CARDOSO PIRES</v>
      </c>
      <c r="W1701" t="str">
        <f t="shared" si="61"/>
        <v>andre andrade</v>
      </c>
    </row>
    <row r="1702" spans="1:23">
      <c r="A1702" t="s">
        <v>536</v>
      </c>
      <c r="B1702" t="s">
        <v>160</v>
      </c>
      <c r="C1702" t="s">
        <v>2683</v>
      </c>
      <c r="D1702" s="14">
        <v>12</v>
      </c>
      <c r="E1702" t="s">
        <v>1604</v>
      </c>
      <c r="F1702" t="s">
        <v>2672</v>
      </c>
      <c r="G1702" t="s">
        <v>1</v>
      </c>
      <c r="H1702" t="s">
        <v>1198</v>
      </c>
      <c r="I1702" t="str">
        <f>IF(B1702=IFERROR(VLOOKUP(B1702,base!$L$1:$L$12,1,0),""),"Produtos",IF(B1702=IFERROR(VLOOKUP(B1702,base!$K$2:$K$12,1,0),""),"Serviços",IF(B1702="Gorjeta","Gorjeta","Combos")))</f>
        <v>Serviços</v>
      </c>
      <c r="J1702">
        <f t="shared" si="52"/>
        <v>5.4</v>
      </c>
      <c r="K1702" s="1">
        <f t="shared" si="53"/>
        <v>45777</v>
      </c>
      <c r="L1702" s="1">
        <f t="shared" si="54"/>
        <v>45777</v>
      </c>
      <c r="M1702" s="1"/>
      <c r="N1702" t="str">
        <f t="shared" si="55"/>
        <v>PIX</v>
      </c>
      <c r="P1702" t="str">
        <f t="shared" si="56"/>
        <v>Serviços</v>
      </c>
      <c r="Q1702" t="str">
        <f t="shared" si="57"/>
        <v>Acabamento</v>
      </c>
      <c r="S1702" s="14">
        <f t="shared" si="58"/>
        <v>12</v>
      </c>
      <c r="T1702" s="14" t="str">
        <f t="shared" si="59"/>
        <v/>
      </c>
      <c r="U1702" s="14"/>
      <c r="V1702" t="str">
        <f t="shared" si="60"/>
        <v>PATRICK CARDOSO PIRES</v>
      </c>
      <c r="W1702" t="str">
        <f t="shared" si="61"/>
        <v>andre andrade</v>
      </c>
    </row>
    <row r="1703" spans="1:23">
      <c r="A1703" t="s">
        <v>536</v>
      </c>
      <c r="B1703" t="s">
        <v>163</v>
      </c>
      <c r="C1703" t="s">
        <v>2684</v>
      </c>
      <c r="D1703" s="14">
        <v>35</v>
      </c>
      <c r="E1703" s="14">
        <v>35</v>
      </c>
      <c r="F1703" t="s">
        <v>2685</v>
      </c>
      <c r="G1703" t="s">
        <v>1</v>
      </c>
      <c r="H1703" t="s">
        <v>1083</v>
      </c>
      <c r="I1703" t="str">
        <f>IF(B1703=IFERROR(VLOOKUP(B1703,base!$L$1:$L$12,1,0),""),"Produtos",IF(B1703=IFERROR(VLOOKUP(B1703,base!$K$2:$K$12,1,0),""),"Serviços",IF(B1703="Gorjeta","Gorjeta","Combos")))</f>
        <v>Serviços</v>
      </c>
      <c r="J1703">
        <f t="shared" si="52"/>
        <v>15.75</v>
      </c>
      <c r="K1703" s="1">
        <f t="shared" si="53"/>
        <v>45777</v>
      </c>
      <c r="L1703" s="1">
        <f t="shared" si="54"/>
        <v>45777</v>
      </c>
      <c r="M1703" s="1"/>
      <c r="N1703" t="str">
        <f t="shared" si="55"/>
        <v>PIX</v>
      </c>
      <c r="P1703" t="str">
        <f t="shared" si="56"/>
        <v>Serviços</v>
      </c>
      <c r="Q1703" t="str">
        <f t="shared" si="57"/>
        <v>Corte</v>
      </c>
      <c r="S1703" s="14">
        <f t="shared" si="58"/>
        <v>35</v>
      </c>
      <c r="T1703" s="14">
        <f t="shared" si="59"/>
        <v>35</v>
      </c>
      <c r="U1703" s="14"/>
      <c r="V1703" t="str">
        <f t="shared" si="60"/>
        <v>PATRICK CARDOSO PIRES</v>
      </c>
      <c r="W1703" t="str">
        <f t="shared" si="61"/>
        <v>breno souza</v>
      </c>
    </row>
    <row r="1704" spans="1:23">
      <c r="A1704" t="s">
        <v>519</v>
      </c>
      <c r="B1704" t="s">
        <v>163</v>
      </c>
      <c r="C1704" t="s">
        <v>2686</v>
      </c>
      <c r="D1704" s="14">
        <v>35</v>
      </c>
      <c r="E1704" s="14">
        <v>35</v>
      </c>
      <c r="F1704" t="s">
        <v>2676</v>
      </c>
      <c r="G1704" t="s">
        <v>1</v>
      </c>
      <c r="H1704" t="s">
        <v>110</v>
      </c>
      <c r="I1704" t="str">
        <f>IF(B1704=IFERROR(VLOOKUP(B1704,base!$L$1:$L$12,1,0),""),"Produtos",IF(B1704=IFERROR(VLOOKUP(B1704,base!$K$2:$K$12,1,0),""),"Serviços",IF(B1704="Gorjeta","Gorjeta","Combos")))</f>
        <v>Serviços</v>
      </c>
      <c r="J1704">
        <f t="shared" si="52"/>
        <v>15.75</v>
      </c>
      <c r="K1704" s="1">
        <f t="shared" si="53"/>
        <v>45777</v>
      </c>
      <c r="L1704" s="1">
        <f t="shared" si="54"/>
        <v>45777</v>
      </c>
      <c r="M1704" s="1"/>
      <c r="N1704" t="str">
        <f t="shared" si="55"/>
        <v>PIX</v>
      </c>
      <c r="P1704" t="str">
        <f t="shared" si="56"/>
        <v>Serviços</v>
      </c>
      <c r="Q1704" t="str">
        <f t="shared" si="57"/>
        <v>Corte</v>
      </c>
      <c r="S1704" s="14">
        <f t="shared" si="58"/>
        <v>35</v>
      </c>
      <c r="T1704" s="14">
        <f t="shared" si="59"/>
        <v>35</v>
      </c>
      <c r="U1704" s="14"/>
      <c r="V1704" t="str">
        <f t="shared" si="60"/>
        <v>GUSTAVO SANTA ROSA DE CASTRO</v>
      </c>
      <c r="W1704" t="str">
        <f t="shared" si="61"/>
        <v>Vinicius villela</v>
      </c>
    </row>
    <row r="1705" spans="1:23">
      <c r="A1705" t="s">
        <v>536</v>
      </c>
      <c r="B1705" t="s">
        <v>163</v>
      </c>
      <c r="C1705" t="s">
        <v>2687</v>
      </c>
      <c r="D1705" s="14">
        <v>35</v>
      </c>
      <c r="E1705" s="14">
        <v>40</v>
      </c>
      <c r="F1705" t="s">
        <v>2688</v>
      </c>
      <c r="G1705" t="s">
        <v>1</v>
      </c>
      <c r="H1705" t="s">
        <v>495</v>
      </c>
      <c r="I1705" t="str">
        <f>IF(B1705=IFERROR(VLOOKUP(B1705,base!$L$1:$L$12,1,0),""),"Produtos",IF(B1705=IFERROR(VLOOKUP(B1705,base!$K$2:$K$12,1,0),""),"Serviços",IF(B1705="Gorjeta","Gorjeta","Combos")))</f>
        <v>Serviços</v>
      </c>
      <c r="J1705">
        <f t="shared" si="52"/>
        <v>15.75</v>
      </c>
      <c r="K1705" s="1">
        <f t="shared" si="53"/>
        <v>45777</v>
      </c>
      <c r="L1705" s="1">
        <f t="shared" si="54"/>
        <v>45777</v>
      </c>
      <c r="M1705" s="1"/>
      <c r="N1705" t="str">
        <f t="shared" si="55"/>
        <v>PIX</v>
      </c>
      <c r="P1705" t="str">
        <f t="shared" si="56"/>
        <v>Serviços</v>
      </c>
      <c r="Q1705" t="str">
        <f t="shared" si="57"/>
        <v>Corte</v>
      </c>
      <c r="S1705" s="14">
        <f t="shared" si="58"/>
        <v>35</v>
      </c>
      <c r="T1705" s="14">
        <f t="shared" si="59"/>
        <v>40</v>
      </c>
      <c r="U1705" s="14"/>
      <c r="V1705" t="str">
        <f t="shared" si="60"/>
        <v>PATRICK CARDOSO PIRES</v>
      </c>
      <c r="W1705" t="str">
        <f t="shared" si="61"/>
        <v>Yuri Azevedo</v>
      </c>
    </row>
    <row r="1706" spans="1:23">
      <c r="A1706" t="s">
        <v>536</v>
      </c>
      <c r="B1706" t="s">
        <v>910</v>
      </c>
      <c r="C1706" t="s">
        <v>2687</v>
      </c>
      <c r="D1706" s="14">
        <v>5</v>
      </c>
      <c r="E1706" t="s">
        <v>1604</v>
      </c>
      <c r="F1706" t="s">
        <v>2688</v>
      </c>
      <c r="G1706" t="s">
        <v>1</v>
      </c>
      <c r="H1706" t="s">
        <v>495</v>
      </c>
      <c r="I1706" t="str">
        <f>IF(B1706=IFERROR(VLOOKUP(B1706,base!$L$1:$L$12,1,0),""),"Produtos",IF(B1706=IFERROR(VLOOKUP(B1706,base!$K$2:$K$12,1,0),""),"Serviços",IF(B1706="Gorjeta","Gorjeta","Combos")))</f>
        <v>Gorjeta</v>
      </c>
      <c r="J1706">
        <f t="shared" si="52"/>
        <v>2.25</v>
      </c>
      <c r="K1706" s="1">
        <f t="shared" si="53"/>
        <v>45777</v>
      </c>
      <c r="L1706" s="1">
        <f t="shared" si="54"/>
        <v>45777</v>
      </c>
      <c r="M1706" s="1"/>
      <c r="N1706" t="str">
        <f t="shared" si="55"/>
        <v>PIX</v>
      </c>
      <c r="P1706" t="str">
        <f t="shared" si="56"/>
        <v>Gorjeta</v>
      </c>
      <c r="Q1706" t="str">
        <f t="shared" si="57"/>
        <v>Gorjeta</v>
      </c>
      <c r="S1706" s="14">
        <f t="shared" si="58"/>
        <v>5</v>
      </c>
      <c r="T1706" s="14" t="str">
        <f t="shared" si="59"/>
        <v/>
      </c>
      <c r="U1706" s="14"/>
      <c r="V1706" t="str">
        <f t="shared" si="60"/>
        <v>PATRICK CARDOSO PIRES</v>
      </c>
      <c r="W1706" t="str">
        <f t="shared" si="61"/>
        <v>Yuri Azevedo</v>
      </c>
    </row>
    <row r="1707" spans="1:23">
      <c r="A1707" t="s">
        <v>519</v>
      </c>
      <c r="B1707" t="s">
        <v>163</v>
      </c>
      <c r="C1707" t="s">
        <v>2689</v>
      </c>
      <c r="D1707" s="14">
        <v>35</v>
      </c>
      <c r="E1707" s="14">
        <v>35</v>
      </c>
      <c r="F1707" t="s">
        <v>2690</v>
      </c>
      <c r="G1707" t="s">
        <v>1</v>
      </c>
      <c r="H1707" t="s">
        <v>500</v>
      </c>
      <c r="I1707" t="str">
        <f>IF(B1707=IFERROR(VLOOKUP(B1707,base!$L$1:$L$12,1,0),""),"Produtos",IF(B1707=IFERROR(VLOOKUP(B1707,base!$K$2:$K$12,1,0),""),"Serviços",IF(B1707="Gorjeta","Gorjeta","Combos")))</f>
        <v>Serviços</v>
      </c>
      <c r="J1707">
        <f t="shared" si="52"/>
        <v>15.75</v>
      </c>
      <c r="K1707" s="1">
        <f t="shared" si="53"/>
        <v>45777</v>
      </c>
      <c r="L1707" s="1">
        <f t="shared" si="54"/>
        <v>45777</v>
      </c>
      <c r="M1707" s="1"/>
      <c r="N1707" t="str">
        <f t="shared" si="55"/>
        <v>PIX</v>
      </c>
      <c r="P1707" t="str">
        <f t="shared" si="56"/>
        <v>Serviços</v>
      </c>
      <c r="Q1707" t="str">
        <f t="shared" si="57"/>
        <v>Corte</v>
      </c>
      <c r="S1707" s="14">
        <f t="shared" si="58"/>
        <v>35</v>
      </c>
      <c r="T1707" s="14">
        <f t="shared" si="59"/>
        <v>35</v>
      </c>
      <c r="U1707" s="14"/>
      <c r="V1707" t="str">
        <f t="shared" si="60"/>
        <v>GUSTAVO SANTA ROSA DE CASTRO</v>
      </c>
      <c r="W1707" t="str">
        <f t="shared" si="61"/>
        <v>Thomas Baptista dos Santos Oliveira</v>
      </c>
    </row>
    <row r="1708" spans="1:23">
      <c r="A1708" t="s">
        <v>519</v>
      </c>
      <c r="B1708" t="s">
        <v>163</v>
      </c>
      <c r="C1708" t="s">
        <v>2691</v>
      </c>
      <c r="D1708" s="14">
        <v>20</v>
      </c>
      <c r="E1708" s="14">
        <v>20</v>
      </c>
      <c r="F1708" t="s">
        <v>2692</v>
      </c>
      <c r="G1708" t="s">
        <v>310</v>
      </c>
      <c r="H1708" t="s">
        <v>376</v>
      </c>
      <c r="I1708" t="str">
        <f>IF(B1708=IFERROR(VLOOKUP(B1708,base!$L$1:$L$12,1,0),""),"Produtos",IF(B1708=IFERROR(VLOOKUP(B1708,base!$K$2:$K$12,1,0),""),"Serviços",IF(B1708="Gorjeta","Gorjeta","Combos")))</f>
        <v>Serviços</v>
      </c>
      <c r="J1708">
        <f t="shared" si="52"/>
        <v>9</v>
      </c>
      <c r="K1708" s="1">
        <f t="shared" si="53"/>
        <v>45777</v>
      </c>
      <c r="L1708" s="1">
        <f t="shared" si="54"/>
        <v>45777</v>
      </c>
      <c r="M1708" s="1"/>
      <c r="N1708" t="str">
        <f t="shared" si="55"/>
        <v>Cartão de Débito</v>
      </c>
      <c r="P1708" t="str">
        <f t="shared" si="56"/>
        <v>Serviços</v>
      </c>
      <c r="Q1708" t="str">
        <f t="shared" si="57"/>
        <v>Corte</v>
      </c>
      <c r="S1708" s="14">
        <f t="shared" si="58"/>
        <v>20</v>
      </c>
      <c r="T1708" s="14">
        <f t="shared" si="59"/>
        <v>20</v>
      </c>
      <c r="U1708" s="14"/>
      <c r="V1708" t="str">
        <f t="shared" si="60"/>
        <v>GUSTAVO SANTA ROSA DE CASTRO</v>
      </c>
      <c r="W1708" t="str">
        <f t="shared" si="61"/>
        <v>Alex Pimenta</v>
      </c>
    </row>
    <row r="1709" spans="1:23">
      <c r="A1709" t="s">
        <v>252</v>
      </c>
      <c r="B1709" t="s">
        <v>1046</v>
      </c>
      <c r="C1709" t="s">
        <v>2693</v>
      </c>
      <c r="D1709" s="14">
        <v>35</v>
      </c>
      <c r="E1709" s="14">
        <v>45</v>
      </c>
      <c r="F1709" t="s">
        <v>2694</v>
      </c>
      <c r="G1709" t="s">
        <v>354</v>
      </c>
      <c r="H1709" t="s">
        <v>2695</v>
      </c>
      <c r="I1709" t="str">
        <f>IF(B1709=IFERROR(VLOOKUP(B1709,base!$L$1:$L$12,1,0),""),"Produtos",IF(B1709=IFERROR(VLOOKUP(B1709,base!$K$2:$K$12,1,0),""),"Serviços",IF(B1709="Gorjeta","Gorjeta","Combos")))</f>
        <v>Serviços</v>
      </c>
      <c r="J1709">
        <f t="shared" si="52"/>
        <v>15.75</v>
      </c>
      <c r="K1709" s="1">
        <f t="shared" si="53"/>
        <v>45777</v>
      </c>
      <c r="L1709" s="1">
        <f t="shared" si="54"/>
        <v>45777</v>
      </c>
      <c r="M1709" s="1"/>
      <c r="N1709" t="str">
        <f t="shared" si="55"/>
        <v>Cartão de Crédito</v>
      </c>
      <c r="P1709" t="str">
        <f t="shared" si="56"/>
        <v>Serviços</v>
      </c>
      <c r="Q1709" t="str">
        <f t="shared" si="57"/>
        <v>Barba</v>
      </c>
      <c r="S1709" s="14">
        <f t="shared" si="58"/>
        <v>35</v>
      </c>
      <c r="T1709" s="14">
        <f t="shared" si="59"/>
        <v>45</v>
      </c>
      <c r="U1709" s="14"/>
      <c r="V1709" t="str">
        <f t="shared" si="60"/>
        <v>Christian Magon</v>
      </c>
      <c r="W1709" t="str">
        <f t="shared" si="61"/>
        <v>Marco Aurelio Telles</v>
      </c>
    </row>
    <row r="1710" spans="1:23" s="25" customFormat="1">
      <c r="A1710" s="25" t="s">
        <v>252</v>
      </c>
      <c r="B1710" s="25" t="s">
        <v>910</v>
      </c>
      <c r="C1710" s="25" t="s">
        <v>2693</v>
      </c>
      <c r="D1710" s="26">
        <v>10</v>
      </c>
      <c r="E1710" s="25" t="s">
        <v>1604</v>
      </c>
      <c r="F1710" s="25" t="s">
        <v>2694</v>
      </c>
      <c r="G1710" s="25" t="s">
        <v>354</v>
      </c>
      <c r="H1710" s="25" t="s">
        <v>2695</v>
      </c>
      <c r="I1710" s="25" t="str">
        <f>IF(B1710=IFERROR(VLOOKUP(B1710,base!$L$1:$L$12,1,0),""),"Produtos",IF(B1710=IFERROR(VLOOKUP(B1710,base!$K$2:$K$12,1,0),""),"Serviços",IF(B1710="Gorjeta","Gorjeta","Combos")))</f>
        <v>Gorjeta</v>
      </c>
      <c r="J1710" s="25">
        <f t="shared" si="52"/>
        <v>4.5</v>
      </c>
      <c r="K1710" s="50">
        <f t="shared" si="53"/>
        <v>45777</v>
      </c>
      <c r="L1710" s="50">
        <f t="shared" si="54"/>
        <v>45777</v>
      </c>
      <c r="M1710" s="50"/>
      <c r="N1710" s="25" t="str">
        <f t="shared" si="55"/>
        <v>Cartão de Crédito</v>
      </c>
      <c r="P1710" s="25" t="str">
        <f t="shared" si="56"/>
        <v>Gorjeta</v>
      </c>
      <c r="Q1710" s="25" t="str">
        <f t="shared" si="57"/>
        <v>Gorjeta</v>
      </c>
      <c r="S1710" s="26">
        <f t="shared" si="58"/>
        <v>10</v>
      </c>
      <c r="T1710" s="26" t="str">
        <f t="shared" si="59"/>
        <v/>
      </c>
      <c r="U1710" s="26"/>
      <c r="V1710" s="25" t="str">
        <f t="shared" si="60"/>
        <v>Christian Magon</v>
      </c>
      <c r="W1710" s="25" t="str">
        <f t="shared" si="61"/>
        <v>Marco Aurelio Telles</v>
      </c>
    </row>
    <row r="1711" spans="1:23">
      <c r="A1711" t="s">
        <v>1604</v>
      </c>
      <c r="B1711" t="s">
        <v>1604</v>
      </c>
      <c r="C1711" t="s">
        <v>815</v>
      </c>
      <c r="D1711">
        <v>140</v>
      </c>
      <c r="E1711">
        <v>140</v>
      </c>
      <c r="F1711" t="s">
        <v>2711</v>
      </c>
      <c r="G1711" t="s">
        <v>354</v>
      </c>
      <c r="I1711" t="str">
        <f>IF(A1711="","Pacote",IF(B1711=IFERROR(VLOOKUP(B1711,base!$L$1:$L$20,1,0),""),"Produtos",IF(B1711=IFERROR(VLOOKUP(B1711,base!$K$2:$K$20,1,0),""),"Serviços",IF(B1711="Gorjeta","Gorjeta","Combos"))))</f>
        <v>Pacote</v>
      </c>
      <c r="J1711">
        <f t="shared" si="52"/>
        <v>63</v>
      </c>
      <c r="K1711" s="1">
        <f>DATEVALUE(F1711)</f>
        <v>45784</v>
      </c>
      <c r="L1711" s="1">
        <f>K1711</f>
        <v>45784</v>
      </c>
      <c r="M1711" s="1">
        <f>K1711</f>
        <v>45784</v>
      </c>
      <c r="N1711" t="str">
        <f t="shared" si="55"/>
        <v>Cartão de Crédito</v>
      </c>
      <c r="P1711" t="str">
        <f>I1711</f>
        <v>Pacote</v>
      </c>
      <c r="Q1711" t="str">
        <f>B1711</f>
        <v/>
      </c>
      <c r="S1711" s="14">
        <f t="shared" ref="S1711:T1714" si="62">D1711</f>
        <v>140</v>
      </c>
      <c r="T1711" s="14">
        <f t="shared" si="62"/>
        <v>140</v>
      </c>
      <c r="U1711" s="14"/>
      <c r="V1711" t="str">
        <f>A1711</f>
        <v/>
      </c>
      <c r="W1711">
        <f>H1711</f>
        <v>0</v>
      </c>
    </row>
    <row r="1712" spans="1:23">
      <c r="A1712" t="s">
        <v>1604</v>
      </c>
      <c r="B1712" t="s">
        <v>1604</v>
      </c>
      <c r="C1712" t="s">
        <v>2712</v>
      </c>
      <c r="D1712">
        <v>0</v>
      </c>
      <c r="E1712">
        <v>0</v>
      </c>
      <c r="F1712" t="s">
        <v>2713</v>
      </c>
      <c r="G1712" t="s">
        <v>354</v>
      </c>
      <c r="I1712" t="str">
        <f>IF(A1712="","Pacote",IF(B1712=IFERROR(VLOOKUP(B1712,base!$L$1:$L$20,1,0),""),"Produtos",IF(B1712=IFERROR(VLOOKUP(B1712,base!$K$2:$K$20,1,0),""),"Serviços",IF(B1712="Gorjeta","Gorjeta","Combos"))))</f>
        <v>Pacote</v>
      </c>
      <c r="J1712">
        <f t="shared" si="52"/>
        <v>0</v>
      </c>
      <c r="K1712" s="1">
        <f>DATEVALUE(F1712)</f>
        <v>45787</v>
      </c>
      <c r="L1712" s="1">
        <f>K1712</f>
        <v>45787</v>
      </c>
      <c r="M1712" s="1">
        <f>K1712</f>
        <v>45787</v>
      </c>
      <c r="N1712" t="str">
        <f t="shared" si="55"/>
        <v>Cartão de Crédito</v>
      </c>
      <c r="P1712" t="str">
        <f>I1712</f>
        <v>Pacote</v>
      </c>
      <c r="Q1712" t="str">
        <f>B1712</f>
        <v/>
      </c>
      <c r="S1712" s="14">
        <f t="shared" si="62"/>
        <v>0</v>
      </c>
      <c r="T1712" s="14">
        <f t="shared" si="62"/>
        <v>0</v>
      </c>
      <c r="U1712" s="14"/>
      <c r="V1712" t="str">
        <f>A1712</f>
        <v/>
      </c>
      <c r="W1712">
        <f>H1712</f>
        <v>0</v>
      </c>
    </row>
    <row r="1713" spans="1:24">
      <c r="A1713" t="s">
        <v>1604</v>
      </c>
      <c r="B1713" t="s">
        <v>1604</v>
      </c>
      <c r="C1713" t="s">
        <v>2712</v>
      </c>
      <c r="D1713">
        <v>0</v>
      </c>
      <c r="E1713">
        <v>0</v>
      </c>
      <c r="F1713" t="s">
        <v>2713</v>
      </c>
      <c r="G1713" t="s">
        <v>354</v>
      </c>
      <c r="I1713" t="str">
        <f>IF(A1713="","Pacote",IF(B1713=IFERROR(VLOOKUP(B1713,base!$L$1:$L$20,1,0),""),"Produtos",IF(B1713=IFERROR(VLOOKUP(B1713,base!$K$2:$K$20,1,0),""),"Serviços",IF(B1713="Gorjeta","Gorjeta","Combos"))))</f>
        <v>Pacote</v>
      </c>
      <c r="J1713">
        <f t="shared" si="52"/>
        <v>0</v>
      </c>
      <c r="K1713" s="1">
        <f>DATEVALUE(F1713)</f>
        <v>45787</v>
      </c>
      <c r="L1713" s="1">
        <f>K1713</f>
        <v>45787</v>
      </c>
      <c r="M1713" s="1">
        <f>K1713</f>
        <v>45787</v>
      </c>
      <c r="N1713" t="str">
        <f t="shared" si="55"/>
        <v>Cartão de Crédito</v>
      </c>
      <c r="P1713" t="str">
        <f>I1713</f>
        <v>Pacote</v>
      </c>
      <c r="Q1713" t="str">
        <f>B1713</f>
        <v/>
      </c>
      <c r="S1713" s="14">
        <f t="shared" si="62"/>
        <v>0</v>
      </c>
      <c r="T1713" s="14">
        <f t="shared" si="62"/>
        <v>0</v>
      </c>
      <c r="U1713" s="14"/>
      <c r="V1713" t="str">
        <f>A1713</f>
        <v/>
      </c>
      <c r="W1713">
        <f>H1713</f>
        <v>0</v>
      </c>
    </row>
    <row r="1714" spans="1:24">
      <c r="A1714" t="s">
        <v>1604</v>
      </c>
      <c r="B1714" t="s">
        <v>1604</v>
      </c>
      <c r="C1714" t="s">
        <v>2714</v>
      </c>
      <c r="D1714">
        <v>120</v>
      </c>
      <c r="E1714">
        <v>120</v>
      </c>
      <c r="F1714" t="s">
        <v>2715</v>
      </c>
      <c r="G1714" t="s">
        <v>1</v>
      </c>
      <c r="I1714" t="str">
        <f>IF(A1714="","Pacote",IF(B1714=IFERROR(VLOOKUP(B1714,base!$L$1:$L$20,1,0),""),"Produtos",IF(B1714=IFERROR(VLOOKUP(B1714,base!$K$2:$K$20,1,0),""),"Serviços",IF(B1714="Gorjeta","Gorjeta","Combos"))))</f>
        <v>Pacote</v>
      </c>
      <c r="J1714">
        <f t="shared" si="52"/>
        <v>54</v>
      </c>
      <c r="K1714" s="1">
        <f>DATEVALUE(F1714)</f>
        <v>45788</v>
      </c>
      <c r="L1714" s="1">
        <f>K1714</f>
        <v>45788</v>
      </c>
      <c r="M1714" s="1">
        <f>K1714</f>
        <v>45788</v>
      </c>
      <c r="N1714" t="str">
        <f t="shared" si="55"/>
        <v>PIX</v>
      </c>
      <c r="P1714" t="str">
        <f>I1714</f>
        <v>Pacote</v>
      </c>
      <c r="Q1714" t="str">
        <f>B1714</f>
        <v/>
      </c>
      <c r="S1714" s="14">
        <f t="shared" si="62"/>
        <v>120</v>
      </c>
      <c r="T1714" s="14">
        <f t="shared" si="62"/>
        <v>120</v>
      </c>
      <c r="U1714" s="14"/>
      <c r="V1714" t="str">
        <f>A1714</f>
        <v/>
      </c>
    </row>
    <row r="1715" spans="1:24">
      <c r="A1715" t="s">
        <v>519</v>
      </c>
      <c r="B1715" t="s">
        <v>163</v>
      </c>
      <c r="C1715" t="s">
        <v>2716</v>
      </c>
      <c r="D1715" s="14">
        <v>35</v>
      </c>
      <c r="E1715" s="14">
        <v>35</v>
      </c>
      <c r="F1715" s="13">
        <v>45780.375</v>
      </c>
      <c r="G1715" t="s">
        <v>1</v>
      </c>
      <c r="H1715" t="s">
        <v>2717</v>
      </c>
      <c r="I1715" t="str">
        <f>IF(A1715="","Pacote",IF(B1715=IFERROR(VLOOKUP(B1715,base!$L$1:$L$20,1,0),""),"Produtos",IF(B1715=IFERROR(VLOOKUP(B1715,base!$K$2:$K$20,1,0),""),"Serviços",IF(B1715="Gorjeta","Gorjeta","Combos"))))</f>
        <v>Serviços</v>
      </c>
      <c r="J1715">
        <f>IF(AND(I1715="Serviços",E1715&gt;0),ROUND(D1715*45%,2),IF(I1715="Produtos",ROUND(D1715*40%,2),D1715*45%))</f>
        <v>15.75</v>
      </c>
      <c r="K1715" s="1">
        <f>F1715</f>
        <v>45780.375</v>
      </c>
      <c r="L1715" s="1">
        <f>K1715</f>
        <v>45780.375</v>
      </c>
      <c r="M1715" s="1">
        <f>K1715</f>
        <v>45780.375</v>
      </c>
      <c r="N1715" s="1"/>
      <c r="O1715" t="str">
        <f>G1715</f>
        <v>PIX</v>
      </c>
      <c r="P1715" t="s">
        <v>149</v>
      </c>
      <c r="Q1715" t="str">
        <f>I1715</f>
        <v>Serviços</v>
      </c>
      <c r="R1715" t="str">
        <f>B1715</f>
        <v>Corte</v>
      </c>
      <c r="T1715" s="14">
        <f>D1715</f>
        <v>35</v>
      </c>
      <c r="U1715" s="14">
        <f>E1715</f>
        <v>35</v>
      </c>
      <c r="V1715" s="14"/>
      <c r="W1715" t="str">
        <f>IF(A1715=$A$1707,base!$I$3,IF(A1715=$A$1709,base!$I$2,IF(Receitas!A1715=Receitas!$A$1701,base!$I$4,"")))</f>
        <v>Gustavo de Castro</v>
      </c>
      <c r="X1715" t="str">
        <f>H1715</f>
        <v>nathan lucas</v>
      </c>
    </row>
    <row r="1716" spans="1:24">
      <c r="A1716" t="s">
        <v>519</v>
      </c>
      <c r="B1716" t="s">
        <v>163</v>
      </c>
      <c r="C1716" t="s">
        <v>2718</v>
      </c>
      <c r="D1716" s="14">
        <v>35</v>
      </c>
      <c r="E1716" s="14">
        <v>35</v>
      </c>
      <c r="F1716" s="13">
        <v>45778.416666666664</v>
      </c>
      <c r="G1716" t="s">
        <v>1</v>
      </c>
      <c r="H1716" t="s">
        <v>119</v>
      </c>
      <c r="I1716" t="str">
        <f>IF(A1716="","Pacote",IF(B1716=IFERROR(VLOOKUP(B1716,base!$L$1:$L$20,1,0),""),"Produtos",IF(B1716=IFERROR(VLOOKUP(B1716,base!$K$2:$K$20,1,0),""),"Serviços",IF(B1716="Gorjeta","Gorjeta","Combos"))))</f>
        <v>Serviços</v>
      </c>
      <c r="J1716">
        <f t="shared" ref="J1716:J1779" si="63">IF(AND(I1716="Serviços",E1716&gt;0),ROUND(D1716*45%,2),IF(I1716="Produtos",ROUND(D1716*40%,2),D1716*45%))</f>
        <v>15.75</v>
      </c>
      <c r="K1716" s="1">
        <f t="shared" ref="K1716:K1779" si="64">F1716</f>
        <v>45778.416666666664</v>
      </c>
      <c r="L1716" s="1">
        <f t="shared" ref="L1716:L1779" si="65">F1716</f>
        <v>45778.416666666664</v>
      </c>
      <c r="M1716" s="1">
        <f t="shared" ref="M1716:M1778" si="66">F1716</f>
        <v>45778.416666666664</v>
      </c>
      <c r="N1716" s="1"/>
      <c r="O1716" t="str">
        <f t="shared" ref="O1716:O1779" si="67">G1716</f>
        <v>PIX</v>
      </c>
      <c r="P1716" t="s">
        <v>149</v>
      </c>
      <c r="Q1716" t="str">
        <f t="shared" ref="Q1716:Q1779" si="68">I1716</f>
        <v>Serviços</v>
      </c>
      <c r="R1716" t="str">
        <f t="shared" ref="R1716:R1779" si="69">B1716</f>
        <v>Corte</v>
      </c>
      <c r="T1716" s="14">
        <f t="shared" ref="T1716:T1779" si="70">D1716</f>
        <v>35</v>
      </c>
      <c r="U1716" s="14">
        <f t="shared" ref="U1716:U1779" si="71">E1716</f>
        <v>35</v>
      </c>
      <c r="V1716" s="14"/>
      <c r="W1716" t="str">
        <f>IF(A1716=$A$1707,base!$I$3,IF(A1716=$A$1709,base!$I$2,IF(Receitas!A1716=Receitas!$A$1701,base!$I$4,"")))</f>
        <v>Gustavo de Castro</v>
      </c>
      <c r="X1716" t="str">
        <f t="shared" ref="X1716:X1779" si="72">H1716</f>
        <v>Rodrigo Lacerda</v>
      </c>
    </row>
    <row r="1717" spans="1:24">
      <c r="A1717" t="s">
        <v>252</v>
      </c>
      <c r="B1717" t="s">
        <v>163</v>
      </c>
      <c r="C1717" t="s">
        <v>2719</v>
      </c>
      <c r="D1717" s="14">
        <v>35</v>
      </c>
      <c r="E1717" s="14">
        <v>35</v>
      </c>
      <c r="F1717" s="13">
        <v>45779.416666666664</v>
      </c>
      <c r="G1717" t="s">
        <v>1</v>
      </c>
      <c r="H1717" t="s">
        <v>364</v>
      </c>
      <c r="I1717" t="str">
        <f>IF(A1717="","Pacote",IF(B1717=IFERROR(VLOOKUP(B1717,base!$L$1:$L$20,1,0),""),"Produtos",IF(B1717=IFERROR(VLOOKUP(B1717,base!$K$2:$K$20,1,0),""),"Serviços",IF(B1717="Gorjeta","Gorjeta","Combos"))))</f>
        <v>Serviços</v>
      </c>
      <c r="J1717">
        <f t="shared" si="63"/>
        <v>15.75</v>
      </c>
      <c r="K1717" s="1">
        <f t="shared" si="64"/>
        <v>45779.416666666664</v>
      </c>
      <c r="L1717" s="1">
        <f t="shared" si="65"/>
        <v>45779.416666666664</v>
      </c>
      <c r="M1717" s="1">
        <f t="shared" si="66"/>
        <v>45779.416666666664</v>
      </c>
      <c r="N1717" s="1"/>
      <c r="O1717" t="str">
        <f t="shared" si="67"/>
        <v>PIX</v>
      </c>
      <c r="P1717" t="s">
        <v>149</v>
      </c>
      <c r="Q1717" t="str">
        <f t="shared" si="68"/>
        <v>Serviços</v>
      </c>
      <c r="R1717" t="str">
        <f t="shared" si="69"/>
        <v>Corte</v>
      </c>
      <c r="T1717" s="14">
        <f t="shared" si="70"/>
        <v>35</v>
      </c>
      <c r="U1717" s="14">
        <f t="shared" si="71"/>
        <v>35</v>
      </c>
      <c r="V1717" s="14"/>
      <c r="W1717" t="str">
        <f>IF(A1717=$A$1707,base!$I$3,IF(A1717=$A$1709,base!$I$2,IF(Receitas!A1717=Receitas!$A$1701,base!$I$4,"")))</f>
        <v>Christian Magon</v>
      </c>
      <c r="X1717" t="str">
        <f t="shared" si="72"/>
        <v>Gabriel lucas</v>
      </c>
    </row>
    <row r="1718" spans="1:24">
      <c r="A1718" t="s">
        <v>519</v>
      </c>
      <c r="B1718" t="s">
        <v>353</v>
      </c>
      <c r="C1718" t="s">
        <v>2720</v>
      </c>
      <c r="D1718" s="14">
        <v>50</v>
      </c>
      <c r="E1718" s="14">
        <v>50</v>
      </c>
      <c r="F1718" s="13">
        <v>45778.4375</v>
      </c>
      <c r="G1718" t="s">
        <v>1</v>
      </c>
      <c r="H1718" t="s">
        <v>28</v>
      </c>
      <c r="I1718" t="str">
        <f>IF(A1718="","Pacote",IF(B1718=IFERROR(VLOOKUP(B1718,base!$L$1:$L$20,1,0),""),"Produtos",IF(B1718=IFERROR(VLOOKUP(B1718,base!$K$2:$K$20,1,0),""),"Serviços",IF(B1718="Gorjeta","Gorjeta","Combos"))))</f>
        <v>Combos</v>
      </c>
      <c r="J1718">
        <f t="shared" si="63"/>
        <v>22.5</v>
      </c>
      <c r="K1718" s="1">
        <f t="shared" si="64"/>
        <v>45778.4375</v>
      </c>
      <c r="L1718" s="1">
        <f t="shared" si="65"/>
        <v>45778.4375</v>
      </c>
      <c r="M1718" s="1">
        <f t="shared" si="66"/>
        <v>45778.4375</v>
      </c>
      <c r="N1718" s="1"/>
      <c r="O1718" t="str">
        <f t="shared" si="67"/>
        <v>PIX</v>
      </c>
      <c r="P1718" t="s">
        <v>149</v>
      </c>
      <c r="Q1718" t="str">
        <f t="shared" si="68"/>
        <v>Combos</v>
      </c>
      <c r="R1718" t="str">
        <f t="shared" si="69"/>
        <v>Combo ( Corte + Barba )</v>
      </c>
      <c r="T1718" s="14">
        <f t="shared" si="70"/>
        <v>50</v>
      </c>
      <c r="U1718" s="14">
        <f t="shared" si="71"/>
        <v>50</v>
      </c>
      <c r="V1718" s="14"/>
      <c r="W1718" t="str">
        <f>IF(A1718=$A$1707,base!$I$3,IF(A1718=$A$1709,base!$I$2,IF(Receitas!A1718=Receitas!$A$1701,base!$I$4,"")))</f>
        <v>Gustavo de Castro</v>
      </c>
      <c r="X1718" t="str">
        <f t="shared" si="72"/>
        <v>Huan Fernandes</v>
      </c>
    </row>
    <row r="1719" spans="1:24">
      <c r="A1719" t="s">
        <v>519</v>
      </c>
      <c r="B1719" t="s">
        <v>163</v>
      </c>
      <c r="C1719" t="s">
        <v>2721</v>
      </c>
      <c r="D1719" s="14">
        <v>35</v>
      </c>
      <c r="E1719" s="14">
        <v>35</v>
      </c>
      <c r="F1719" s="13">
        <v>45779.479166666664</v>
      </c>
      <c r="G1719" t="s">
        <v>1</v>
      </c>
      <c r="H1719" t="s">
        <v>66</v>
      </c>
      <c r="I1719" t="str">
        <f>IF(A1719="","Pacote",IF(B1719=IFERROR(VLOOKUP(B1719,base!$L$1:$L$20,1,0),""),"Produtos",IF(B1719=IFERROR(VLOOKUP(B1719,base!$K$2:$K$20,1,0),""),"Serviços",IF(B1719="Gorjeta","Gorjeta","Combos"))))</f>
        <v>Serviços</v>
      </c>
      <c r="J1719">
        <f t="shared" si="63"/>
        <v>15.75</v>
      </c>
      <c r="K1719" s="1">
        <f t="shared" si="64"/>
        <v>45779.479166666664</v>
      </c>
      <c r="L1719" s="1">
        <f t="shared" si="65"/>
        <v>45779.479166666664</v>
      </c>
      <c r="M1719" s="1">
        <f t="shared" si="66"/>
        <v>45779.479166666664</v>
      </c>
      <c r="N1719" s="1"/>
      <c r="O1719" t="str">
        <f t="shared" si="67"/>
        <v>PIX</v>
      </c>
      <c r="P1719" t="s">
        <v>149</v>
      </c>
      <c r="Q1719" t="str">
        <f t="shared" si="68"/>
        <v>Serviços</v>
      </c>
      <c r="R1719" t="str">
        <f t="shared" si="69"/>
        <v>Corte</v>
      </c>
      <c r="T1719" s="14">
        <f t="shared" si="70"/>
        <v>35</v>
      </c>
      <c r="U1719" s="14">
        <f t="shared" si="71"/>
        <v>35</v>
      </c>
      <c r="V1719" s="14"/>
      <c r="W1719" t="str">
        <f>IF(A1719=$A$1707,base!$I$3,IF(A1719=$A$1709,base!$I$2,IF(Receitas!A1719=Receitas!$A$1701,base!$I$4,"")))</f>
        <v>Gustavo de Castro</v>
      </c>
      <c r="X1719" t="str">
        <f t="shared" si="72"/>
        <v>Alyne Soares</v>
      </c>
    </row>
    <row r="1720" spans="1:24">
      <c r="A1720" t="s">
        <v>519</v>
      </c>
      <c r="B1720" t="s">
        <v>353</v>
      </c>
      <c r="C1720" t="s">
        <v>2722</v>
      </c>
      <c r="D1720" s="14">
        <v>50</v>
      </c>
      <c r="E1720" s="14">
        <v>75</v>
      </c>
      <c r="F1720" s="13">
        <v>45778.479166666664</v>
      </c>
      <c r="G1720" t="s">
        <v>1</v>
      </c>
      <c r="H1720" t="s">
        <v>411</v>
      </c>
      <c r="I1720" t="str">
        <f>IF(A1720="","Pacote",IF(B1720=IFERROR(VLOOKUP(B1720,base!$L$1:$L$20,1,0),""),"Produtos",IF(B1720=IFERROR(VLOOKUP(B1720,base!$K$2:$K$20,1,0),""),"Serviços",IF(B1720="Gorjeta","Gorjeta","Combos"))))</f>
        <v>Combos</v>
      </c>
      <c r="J1720">
        <f t="shared" si="63"/>
        <v>22.5</v>
      </c>
      <c r="K1720" s="1">
        <f t="shared" si="64"/>
        <v>45778.479166666664</v>
      </c>
      <c r="L1720" s="1">
        <f t="shared" si="65"/>
        <v>45778.479166666664</v>
      </c>
      <c r="M1720" s="1">
        <f t="shared" si="66"/>
        <v>45778.479166666664</v>
      </c>
      <c r="N1720" s="1"/>
      <c r="O1720" t="str">
        <f t="shared" si="67"/>
        <v>PIX</v>
      </c>
      <c r="P1720" t="s">
        <v>149</v>
      </c>
      <c r="Q1720" t="str">
        <f t="shared" si="68"/>
        <v>Combos</v>
      </c>
      <c r="R1720" t="str">
        <f t="shared" si="69"/>
        <v>Combo ( Corte + Barba )</v>
      </c>
      <c r="T1720" s="14">
        <f t="shared" si="70"/>
        <v>50</v>
      </c>
      <c r="U1720" s="14">
        <f t="shared" si="71"/>
        <v>75</v>
      </c>
      <c r="V1720" s="14"/>
      <c r="W1720" t="str">
        <f>IF(A1720=$A$1707,base!$I$3,IF(A1720=$A$1709,base!$I$2,IF(Receitas!A1720=Receitas!$A$1701,base!$I$4,"")))</f>
        <v>Gustavo de Castro</v>
      </c>
      <c r="X1720" t="str">
        <f t="shared" si="72"/>
        <v>Daniel Almeida</v>
      </c>
    </row>
    <row r="1721" spans="1:24">
      <c r="A1721" t="s">
        <v>519</v>
      </c>
      <c r="B1721" t="s">
        <v>2477</v>
      </c>
      <c r="C1721" t="s">
        <v>2722</v>
      </c>
      <c r="D1721" s="14">
        <v>25</v>
      </c>
      <c r="F1721" s="13">
        <v>45778.479166666664</v>
      </c>
      <c r="G1721" t="s">
        <v>1</v>
      </c>
      <c r="H1721" t="s">
        <v>411</v>
      </c>
      <c r="I1721" t="str">
        <f>IF(A1721="","Pacote",IF(B1721=IFERROR(VLOOKUP(B1721,base!$L$1:$L$20,1,0),""),"Produtos",IF(B1721=IFERROR(VLOOKUP(B1721,base!$K$2:$K$20,1,0),""),"Serviços",IF(B1721="Gorjeta","Gorjeta","Combos"))))</f>
        <v>Produtos</v>
      </c>
      <c r="J1721">
        <f t="shared" si="63"/>
        <v>10</v>
      </c>
      <c r="K1721" s="1">
        <f t="shared" si="64"/>
        <v>45778.479166666664</v>
      </c>
      <c r="L1721" s="1">
        <f t="shared" si="65"/>
        <v>45778.479166666664</v>
      </c>
      <c r="M1721" s="1">
        <f t="shared" si="66"/>
        <v>45778.479166666664</v>
      </c>
      <c r="N1721" s="1"/>
      <c r="O1721" t="str">
        <f t="shared" si="67"/>
        <v>PIX</v>
      </c>
      <c r="P1721" t="s">
        <v>149</v>
      </c>
      <c r="Q1721" t="str">
        <f t="shared" si="68"/>
        <v>Produtos</v>
      </c>
      <c r="R1721" t="str">
        <f t="shared" si="69"/>
        <v>pasta caramelo fox</v>
      </c>
      <c r="T1721" s="14">
        <f t="shared" si="70"/>
        <v>25</v>
      </c>
      <c r="U1721" s="14">
        <f t="shared" si="71"/>
        <v>0</v>
      </c>
      <c r="V1721" s="14"/>
      <c r="W1721" t="str">
        <f>IF(A1721=$A$1707,base!$I$3,IF(A1721=$A$1709,base!$I$2,IF(Receitas!A1721=Receitas!$A$1701,base!$I$4,"")))</f>
        <v>Gustavo de Castro</v>
      </c>
      <c r="X1721" t="str">
        <f t="shared" si="72"/>
        <v>Daniel Almeida</v>
      </c>
    </row>
    <row r="1722" spans="1:24">
      <c r="A1722" t="s">
        <v>519</v>
      </c>
      <c r="B1722" t="s">
        <v>163</v>
      </c>
      <c r="C1722" t="s">
        <v>2723</v>
      </c>
      <c r="D1722" s="14">
        <v>35</v>
      </c>
      <c r="E1722" s="14">
        <v>55</v>
      </c>
      <c r="F1722" s="13">
        <v>45778.447916666664</v>
      </c>
      <c r="G1722" t="s">
        <v>1</v>
      </c>
      <c r="H1722" t="s">
        <v>864</v>
      </c>
      <c r="I1722" t="str">
        <f>IF(A1722="","Pacote",IF(B1722=IFERROR(VLOOKUP(B1722,base!$L$1:$L$20,1,0),""),"Produtos",IF(B1722=IFERROR(VLOOKUP(B1722,base!$K$2:$K$20,1,0),""),"Serviços",IF(B1722="Gorjeta","Gorjeta","Combos"))))</f>
        <v>Serviços</v>
      </c>
      <c r="J1722">
        <f t="shared" si="63"/>
        <v>15.75</v>
      </c>
      <c r="K1722" s="1">
        <f t="shared" si="64"/>
        <v>45778.447916666664</v>
      </c>
      <c r="L1722" s="1">
        <f t="shared" si="65"/>
        <v>45778.447916666664</v>
      </c>
      <c r="M1722" s="1">
        <f t="shared" si="66"/>
        <v>45778.447916666664</v>
      </c>
      <c r="N1722" s="1"/>
      <c r="O1722" t="str">
        <f t="shared" si="67"/>
        <v>PIX</v>
      </c>
      <c r="P1722" t="s">
        <v>149</v>
      </c>
      <c r="Q1722" t="str">
        <f t="shared" si="68"/>
        <v>Serviços</v>
      </c>
      <c r="R1722" t="str">
        <f t="shared" si="69"/>
        <v>Corte</v>
      </c>
      <c r="T1722" s="14">
        <f t="shared" si="70"/>
        <v>35</v>
      </c>
      <c r="U1722" s="14">
        <f t="shared" si="71"/>
        <v>55</v>
      </c>
      <c r="V1722" s="14"/>
      <c r="W1722" t="str">
        <f>IF(A1722=$A$1707,base!$I$3,IF(A1722=$A$1709,base!$I$2,IF(Receitas!A1722=Receitas!$A$1701,base!$I$4,"")))</f>
        <v>Gustavo de Castro</v>
      </c>
      <c r="X1722" t="str">
        <f t="shared" si="72"/>
        <v>alfierre dos santos</v>
      </c>
    </row>
    <row r="1723" spans="1:24">
      <c r="A1723" t="s">
        <v>519</v>
      </c>
      <c r="B1723" t="s">
        <v>2477</v>
      </c>
      <c r="C1723" t="s">
        <v>2723</v>
      </c>
      <c r="D1723" s="14">
        <v>20</v>
      </c>
      <c r="F1723" s="13">
        <v>45778.447916666664</v>
      </c>
      <c r="G1723" t="s">
        <v>1</v>
      </c>
      <c r="H1723" t="s">
        <v>864</v>
      </c>
      <c r="I1723" t="str">
        <f>IF(A1723="","Pacote",IF(B1723=IFERROR(VLOOKUP(B1723,base!$L$1:$L$20,1,0),""),"Produtos",IF(B1723=IFERROR(VLOOKUP(B1723,base!$K$2:$K$20,1,0),""),"Serviços",IF(B1723="Gorjeta","Gorjeta","Combos"))))</f>
        <v>Produtos</v>
      </c>
      <c r="J1723">
        <f t="shared" si="63"/>
        <v>8</v>
      </c>
      <c r="K1723" s="1">
        <f t="shared" si="64"/>
        <v>45778.447916666664</v>
      </c>
      <c r="L1723" s="1">
        <f t="shared" si="65"/>
        <v>45778.447916666664</v>
      </c>
      <c r="M1723" s="1">
        <f t="shared" si="66"/>
        <v>45778.447916666664</v>
      </c>
      <c r="N1723" s="1"/>
      <c r="O1723" t="str">
        <f t="shared" si="67"/>
        <v>PIX</v>
      </c>
      <c r="P1723" t="s">
        <v>149</v>
      </c>
      <c r="Q1723" t="str">
        <f t="shared" si="68"/>
        <v>Produtos</v>
      </c>
      <c r="R1723" t="str">
        <f t="shared" si="69"/>
        <v>pasta caramelo fox</v>
      </c>
      <c r="T1723" s="14">
        <f t="shared" si="70"/>
        <v>20</v>
      </c>
      <c r="U1723" s="14">
        <f t="shared" si="71"/>
        <v>0</v>
      </c>
      <c r="V1723" s="14"/>
      <c r="W1723" t="str">
        <f>IF(A1723=$A$1707,base!$I$3,IF(A1723=$A$1709,base!$I$2,IF(Receitas!A1723=Receitas!$A$1701,base!$I$4,"")))</f>
        <v>Gustavo de Castro</v>
      </c>
      <c r="X1723" t="str">
        <f t="shared" si="72"/>
        <v>alfierre dos santos</v>
      </c>
    </row>
    <row r="1724" spans="1:24">
      <c r="A1724" t="s">
        <v>519</v>
      </c>
      <c r="B1724" t="s">
        <v>353</v>
      </c>
      <c r="C1724" t="s">
        <v>2724</v>
      </c>
      <c r="D1724" s="14">
        <v>50</v>
      </c>
      <c r="E1724" s="14">
        <v>90</v>
      </c>
      <c r="F1724" s="13">
        <v>45778.4375</v>
      </c>
      <c r="G1724" t="s">
        <v>1</v>
      </c>
      <c r="H1724" t="s">
        <v>88</v>
      </c>
      <c r="I1724" t="str">
        <f>IF(A1724="","Pacote",IF(B1724=IFERROR(VLOOKUP(B1724,base!$L$1:$L$20,1,0),""),"Produtos",IF(B1724=IFERROR(VLOOKUP(B1724,base!$K$2:$K$20,1,0),""),"Serviços",IF(B1724="Gorjeta","Gorjeta","Combos"))))</f>
        <v>Combos</v>
      </c>
      <c r="J1724">
        <f t="shared" si="63"/>
        <v>22.5</v>
      </c>
      <c r="K1724" s="1">
        <f t="shared" si="64"/>
        <v>45778.4375</v>
      </c>
      <c r="L1724" s="1">
        <f t="shared" si="65"/>
        <v>45778.4375</v>
      </c>
      <c r="M1724" s="1">
        <f t="shared" si="66"/>
        <v>45778.4375</v>
      </c>
      <c r="N1724" s="1"/>
      <c r="O1724" t="str">
        <f t="shared" si="67"/>
        <v>PIX</v>
      </c>
      <c r="P1724" t="s">
        <v>149</v>
      </c>
      <c r="Q1724" t="str">
        <f t="shared" si="68"/>
        <v>Combos</v>
      </c>
      <c r="R1724" t="str">
        <f t="shared" si="69"/>
        <v>Combo ( Corte + Barba )</v>
      </c>
      <c r="T1724" s="14">
        <f t="shared" si="70"/>
        <v>50</v>
      </c>
      <c r="U1724" s="14">
        <f t="shared" si="71"/>
        <v>90</v>
      </c>
      <c r="V1724" s="14"/>
      <c r="W1724" t="str">
        <f>IF(A1724=$A$1707,base!$I$3,IF(A1724=$A$1709,base!$I$2,IF(Receitas!A1724=Receitas!$A$1701,base!$I$4,"")))</f>
        <v>Gustavo de Castro</v>
      </c>
      <c r="X1724" t="str">
        <f t="shared" si="72"/>
        <v>Luciano Teixeira Silva</v>
      </c>
    </row>
    <row r="1725" spans="1:24">
      <c r="A1725" t="s">
        <v>519</v>
      </c>
      <c r="B1725" t="s">
        <v>472</v>
      </c>
      <c r="C1725" t="s">
        <v>2724</v>
      </c>
      <c r="D1725" s="14">
        <v>40</v>
      </c>
      <c r="F1725" s="13">
        <v>45778.4375</v>
      </c>
      <c r="G1725" t="s">
        <v>1</v>
      </c>
      <c r="H1725" t="s">
        <v>88</v>
      </c>
      <c r="I1725" t="str">
        <f>IF(A1725="","Pacote",IF(B1725=IFERROR(VLOOKUP(B1725,base!$L$1:$L$20,1,0),""),"Produtos",IF(B1725=IFERROR(VLOOKUP(B1725,base!$K$2:$K$20,1,0),""),"Serviços",IF(B1725="Gorjeta","Gorjeta","Combos"))))</f>
        <v>Produtos</v>
      </c>
      <c r="J1725">
        <f t="shared" si="63"/>
        <v>16</v>
      </c>
      <c r="K1725" s="1">
        <f t="shared" si="64"/>
        <v>45778.4375</v>
      </c>
      <c r="L1725" s="1">
        <f t="shared" si="65"/>
        <v>45778.4375</v>
      </c>
      <c r="M1725" s="1">
        <f t="shared" si="66"/>
        <v>45778.4375</v>
      </c>
      <c r="N1725" s="1"/>
      <c r="O1725" t="str">
        <f t="shared" si="67"/>
        <v>PIX</v>
      </c>
      <c r="P1725" t="s">
        <v>149</v>
      </c>
      <c r="Q1725" t="str">
        <f t="shared" si="68"/>
        <v>Produtos</v>
      </c>
      <c r="R1725" t="str">
        <f t="shared" si="69"/>
        <v>minox serum</v>
      </c>
      <c r="T1725" s="14">
        <f t="shared" si="70"/>
        <v>40</v>
      </c>
      <c r="U1725" s="14">
        <f t="shared" si="71"/>
        <v>0</v>
      </c>
      <c r="V1725" s="14"/>
      <c r="W1725" t="str">
        <f>IF(A1725=$A$1707,base!$I$3,IF(A1725=$A$1709,base!$I$2,IF(Receitas!A1725=Receitas!$A$1701,base!$I$4,"")))</f>
        <v>Gustavo de Castro</v>
      </c>
      <c r="X1725" t="str">
        <f t="shared" si="72"/>
        <v>Luciano Teixeira Silva</v>
      </c>
    </row>
    <row r="1726" spans="1:24">
      <c r="A1726" t="s">
        <v>519</v>
      </c>
      <c r="B1726" t="s">
        <v>163</v>
      </c>
      <c r="C1726" t="s">
        <v>2725</v>
      </c>
      <c r="D1726" s="14">
        <v>40</v>
      </c>
      <c r="E1726" s="14">
        <v>80</v>
      </c>
      <c r="F1726" s="13">
        <v>45778.4375</v>
      </c>
      <c r="G1726" t="s">
        <v>1</v>
      </c>
      <c r="H1726" t="s">
        <v>2726</v>
      </c>
      <c r="I1726" t="str">
        <f>IF(A1726="","Pacote",IF(B1726=IFERROR(VLOOKUP(B1726,base!$L$1:$L$20,1,0),""),"Produtos",IF(B1726=IFERROR(VLOOKUP(B1726,base!$K$2:$K$20,1,0),""),"Serviços",IF(B1726="Gorjeta","Gorjeta","Combos"))))</f>
        <v>Serviços</v>
      </c>
      <c r="J1726">
        <f t="shared" si="63"/>
        <v>18</v>
      </c>
      <c r="K1726" s="1">
        <f t="shared" si="64"/>
        <v>45778.4375</v>
      </c>
      <c r="L1726" s="1">
        <f t="shared" si="65"/>
        <v>45778.4375</v>
      </c>
      <c r="M1726" s="1">
        <f t="shared" si="66"/>
        <v>45778.4375</v>
      </c>
      <c r="N1726" s="1"/>
      <c r="O1726" t="str">
        <f t="shared" si="67"/>
        <v>PIX</v>
      </c>
      <c r="P1726" t="s">
        <v>149</v>
      </c>
      <c r="Q1726" t="str">
        <f t="shared" si="68"/>
        <v>Serviços</v>
      </c>
      <c r="R1726" t="str">
        <f t="shared" si="69"/>
        <v>Corte</v>
      </c>
      <c r="T1726" s="14">
        <f t="shared" si="70"/>
        <v>40</v>
      </c>
      <c r="U1726" s="14">
        <f t="shared" si="71"/>
        <v>80</v>
      </c>
      <c r="V1726" s="14"/>
      <c r="W1726" t="str">
        <f>IF(A1726=$A$1707,base!$I$3,IF(A1726=$A$1709,base!$I$2,IF(Receitas!A1726=Receitas!$A$1701,base!$I$4,"")))</f>
        <v>Gustavo de Castro</v>
      </c>
      <c r="X1726" t="str">
        <f t="shared" si="72"/>
        <v>Renan Andrade</v>
      </c>
    </row>
    <row r="1727" spans="1:24">
      <c r="A1727" t="s">
        <v>519</v>
      </c>
      <c r="B1727" t="s">
        <v>472</v>
      </c>
      <c r="C1727" t="s">
        <v>2725</v>
      </c>
      <c r="D1727" s="14">
        <v>40</v>
      </c>
      <c r="F1727" s="13">
        <v>45778.4375</v>
      </c>
      <c r="G1727" t="s">
        <v>1</v>
      </c>
      <c r="H1727" t="s">
        <v>2726</v>
      </c>
      <c r="I1727" t="str">
        <f>IF(A1727="","Pacote",IF(B1727=IFERROR(VLOOKUP(B1727,base!$L$1:$L$20,1,0),""),"Produtos",IF(B1727=IFERROR(VLOOKUP(B1727,base!$K$2:$K$20,1,0),""),"Serviços",IF(B1727="Gorjeta","Gorjeta","Combos"))))</f>
        <v>Produtos</v>
      </c>
      <c r="J1727">
        <f t="shared" si="63"/>
        <v>16</v>
      </c>
      <c r="K1727" s="1">
        <f t="shared" si="64"/>
        <v>45778.4375</v>
      </c>
      <c r="L1727" s="1">
        <f t="shared" si="65"/>
        <v>45778.4375</v>
      </c>
      <c r="M1727" s="1">
        <f t="shared" si="66"/>
        <v>45778.4375</v>
      </c>
      <c r="N1727" s="1"/>
      <c r="O1727" t="str">
        <f t="shared" si="67"/>
        <v>PIX</v>
      </c>
      <c r="P1727" t="s">
        <v>149</v>
      </c>
      <c r="Q1727" t="str">
        <f t="shared" si="68"/>
        <v>Produtos</v>
      </c>
      <c r="R1727" t="str">
        <f t="shared" si="69"/>
        <v>minox serum</v>
      </c>
      <c r="T1727" s="14">
        <f t="shared" si="70"/>
        <v>40</v>
      </c>
      <c r="U1727" s="14">
        <f t="shared" si="71"/>
        <v>0</v>
      </c>
      <c r="V1727" s="14"/>
      <c r="W1727" t="str">
        <f>IF(A1727=$A$1707,base!$I$3,IF(A1727=$A$1709,base!$I$2,IF(Receitas!A1727=Receitas!$A$1701,base!$I$4,"")))</f>
        <v>Gustavo de Castro</v>
      </c>
      <c r="X1727" t="str">
        <f t="shared" si="72"/>
        <v>Renan Andrade</v>
      </c>
    </row>
    <row r="1728" spans="1:24">
      <c r="A1728" t="s">
        <v>519</v>
      </c>
      <c r="B1728" t="s">
        <v>163</v>
      </c>
      <c r="C1728" t="s">
        <v>2727</v>
      </c>
      <c r="D1728" s="14">
        <v>35</v>
      </c>
      <c r="E1728" s="14">
        <v>35</v>
      </c>
      <c r="F1728" s="13">
        <v>45778.46875</v>
      </c>
      <c r="G1728" t="s">
        <v>1</v>
      </c>
      <c r="H1728" t="s">
        <v>8</v>
      </c>
      <c r="I1728" t="str">
        <f>IF(A1728="","Pacote",IF(B1728=IFERROR(VLOOKUP(B1728,base!$L$1:$L$20,1,0),""),"Produtos",IF(B1728=IFERROR(VLOOKUP(B1728,base!$K$2:$K$20,1,0),""),"Serviços",IF(B1728="Gorjeta","Gorjeta","Combos"))))</f>
        <v>Serviços</v>
      </c>
      <c r="J1728">
        <f t="shared" si="63"/>
        <v>15.75</v>
      </c>
      <c r="K1728" s="1">
        <f t="shared" si="64"/>
        <v>45778.46875</v>
      </c>
      <c r="L1728" s="1">
        <f t="shared" si="65"/>
        <v>45778.46875</v>
      </c>
      <c r="M1728" s="1">
        <f t="shared" si="66"/>
        <v>45778.46875</v>
      </c>
      <c r="N1728" s="1"/>
      <c r="O1728" t="str">
        <f t="shared" si="67"/>
        <v>PIX</v>
      </c>
      <c r="P1728" t="s">
        <v>149</v>
      </c>
      <c r="Q1728" t="str">
        <f t="shared" si="68"/>
        <v>Serviços</v>
      </c>
      <c r="R1728" t="str">
        <f t="shared" si="69"/>
        <v>Corte</v>
      </c>
      <c r="T1728" s="14">
        <f t="shared" si="70"/>
        <v>35</v>
      </c>
      <c r="U1728" s="14">
        <f t="shared" si="71"/>
        <v>35</v>
      </c>
      <c r="V1728" s="14"/>
      <c r="W1728" t="str">
        <f>IF(A1728=$A$1707,base!$I$3,IF(A1728=$A$1709,base!$I$2,IF(Receitas!A1728=Receitas!$A$1701,base!$I$4,"")))</f>
        <v>Gustavo de Castro</v>
      </c>
      <c r="X1728" t="str">
        <f t="shared" si="72"/>
        <v>William marinho</v>
      </c>
    </row>
    <row r="1729" spans="1:24">
      <c r="A1729" t="s">
        <v>519</v>
      </c>
      <c r="B1729" t="s">
        <v>163</v>
      </c>
      <c r="C1729" t="s">
        <v>2728</v>
      </c>
      <c r="D1729" s="14">
        <v>35</v>
      </c>
      <c r="E1729" s="14">
        <v>55</v>
      </c>
      <c r="F1729" s="13">
        <v>45778.46875</v>
      </c>
      <c r="G1729" t="s">
        <v>310</v>
      </c>
      <c r="H1729" t="s">
        <v>112</v>
      </c>
      <c r="I1729" t="str">
        <f>IF(A1729="","Pacote",IF(B1729=IFERROR(VLOOKUP(B1729,base!$L$1:$L$20,1,0),""),"Produtos",IF(B1729=IFERROR(VLOOKUP(B1729,base!$K$2:$K$20,1,0),""),"Serviços",IF(B1729="Gorjeta","Gorjeta","Combos"))))</f>
        <v>Serviços</v>
      </c>
      <c r="J1729">
        <f t="shared" si="63"/>
        <v>15.75</v>
      </c>
      <c r="K1729" s="1">
        <f t="shared" si="64"/>
        <v>45778.46875</v>
      </c>
      <c r="L1729" s="1">
        <f t="shared" si="65"/>
        <v>45778.46875</v>
      </c>
      <c r="M1729" s="1">
        <f t="shared" si="66"/>
        <v>45778.46875</v>
      </c>
      <c r="N1729" s="1"/>
      <c r="O1729" t="str">
        <f t="shared" si="67"/>
        <v>Cartão de Débito</v>
      </c>
      <c r="P1729" t="s">
        <v>149</v>
      </c>
      <c r="Q1729" t="str">
        <f t="shared" si="68"/>
        <v>Serviços</v>
      </c>
      <c r="R1729" t="str">
        <f t="shared" si="69"/>
        <v>Corte</v>
      </c>
      <c r="T1729" s="14">
        <f t="shared" si="70"/>
        <v>35</v>
      </c>
      <c r="U1729" s="14">
        <f t="shared" si="71"/>
        <v>55</v>
      </c>
      <c r="V1729" s="14"/>
      <c r="W1729" t="str">
        <f>IF(A1729=$A$1707,base!$I$3,IF(A1729=$A$1709,base!$I$2,IF(Receitas!A1729=Receitas!$A$1701,base!$I$4,"")))</f>
        <v>Gustavo de Castro</v>
      </c>
      <c r="X1729" t="str">
        <f t="shared" si="72"/>
        <v>Rafael Pereira de Lima</v>
      </c>
    </row>
    <row r="1730" spans="1:24">
      <c r="A1730" t="s">
        <v>519</v>
      </c>
      <c r="B1730" t="s">
        <v>352</v>
      </c>
      <c r="C1730" t="s">
        <v>2728</v>
      </c>
      <c r="D1730" s="14">
        <v>20</v>
      </c>
      <c r="F1730" s="13">
        <v>45778.46875</v>
      </c>
      <c r="G1730" t="s">
        <v>310</v>
      </c>
      <c r="H1730" t="s">
        <v>112</v>
      </c>
      <c r="I1730" t="str">
        <f>IF(A1730="","Pacote",IF(B1730=IFERROR(VLOOKUP(B1730,base!$L$1:$L$20,1,0),""),"Produtos",IF(B1730=IFERROR(VLOOKUP(B1730,base!$K$2:$K$20,1,0),""),"Serviços",IF(B1730="Gorjeta","Gorjeta","Combos"))))</f>
        <v>Combos</v>
      </c>
      <c r="J1730">
        <f t="shared" si="63"/>
        <v>9</v>
      </c>
      <c r="K1730" s="1">
        <f t="shared" si="64"/>
        <v>45778.46875</v>
      </c>
      <c r="L1730" s="1">
        <f t="shared" si="65"/>
        <v>45778.46875</v>
      </c>
      <c r="M1730" s="1">
        <f t="shared" si="66"/>
        <v>45778.46875</v>
      </c>
      <c r="N1730" s="1"/>
      <c r="O1730" t="str">
        <f t="shared" si="67"/>
        <v>Cartão de Débito</v>
      </c>
      <c r="P1730" t="s">
        <v>149</v>
      </c>
      <c r="Q1730" t="str">
        <f t="shared" si="68"/>
        <v>Combos</v>
      </c>
      <c r="R1730" t="str">
        <f t="shared" si="69"/>
        <v>Combo ( depilação nariz e orelha )</v>
      </c>
      <c r="T1730" s="14">
        <f t="shared" si="70"/>
        <v>20</v>
      </c>
      <c r="U1730" s="14">
        <f t="shared" si="71"/>
        <v>0</v>
      </c>
      <c r="V1730" s="14"/>
      <c r="W1730" t="str">
        <f>IF(A1730=$A$1707,base!$I$3,IF(A1730=$A$1709,base!$I$2,IF(Receitas!A1730=Receitas!$A$1701,base!$I$4,"")))</f>
        <v>Gustavo de Castro</v>
      </c>
      <c r="X1730" t="str">
        <f t="shared" si="72"/>
        <v>Rafael Pereira de Lima</v>
      </c>
    </row>
    <row r="1731" spans="1:24">
      <c r="A1731" t="s">
        <v>519</v>
      </c>
      <c r="B1731" t="s">
        <v>163</v>
      </c>
      <c r="C1731" t="s">
        <v>2729</v>
      </c>
      <c r="D1731" s="14">
        <v>35</v>
      </c>
      <c r="E1731" s="14">
        <v>35</v>
      </c>
      <c r="F1731" s="13">
        <v>45779.4375</v>
      </c>
      <c r="G1731" t="s">
        <v>1</v>
      </c>
      <c r="H1731" t="s">
        <v>1457</v>
      </c>
      <c r="I1731" t="str">
        <f>IF(A1731="","Pacote",IF(B1731=IFERROR(VLOOKUP(B1731,base!$L$1:$L$20,1,0),""),"Produtos",IF(B1731=IFERROR(VLOOKUP(B1731,base!$K$2:$K$20,1,0),""),"Serviços",IF(B1731="Gorjeta","Gorjeta","Combos"))))</f>
        <v>Serviços</v>
      </c>
      <c r="J1731">
        <f t="shared" si="63"/>
        <v>15.75</v>
      </c>
      <c r="K1731" s="1">
        <f t="shared" si="64"/>
        <v>45779.4375</v>
      </c>
      <c r="L1731" s="1">
        <f t="shared" si="65"/>
        <v>45779.4375</v>
      </c>
      <c r="M1731" s="1">
        <f t="shared" si="66"/>
        <v>45779.4375</v>
      </c>
      <c r="N1731" s="1"/>
      <c r="O1731" t="str">
        <f t="shared" si="67"/>
        <v>PIX</v>
      </c>
      <c r="P1731" t="s">
        <v>149</v>
      </c>
      <c r="Q1731" t="str">
        <f t="shared" si="68"/>
        <v>Serviços</v>
      </c>
      <c r="R1731" t="str">
        <f t="shared" si="69"/>
        <v>Corte</v>
      </c>
      <c r="T1731" s="14">
        <f t="shared" si="70"/>
        <v>35</v>
      </c>
      <c r="U1731" s="14">
        <f t="shared" si="71"/>
        <v>35</v>
      </c>
      <c r="V1731" s="14"/>
      <c r="W1731" t="str">
        <f>IF(A1731=$A$1707,base!$I$3,IF(A1731=$A$1709,base!$I$2,IF(Receitas!A1731=Receitas!$A$1701,base!$I$4,"")))</f>
        <v>Gustavo de Castro</v>
      </c>
      <c r="X1731" t="str">
        <f t="shared" si="72"/>
        <v>jonatas fernandes</v>
      </c>
    </row>
    <row r="1732" spans="1:24">
      <c r="A1732" t="s">
        <v>536</v>
      </c>
      <c r="B1732" t="s">
        <v>163</v>
      </c>
      <c r="C1732" t="s">
        <v>2730</v>
      </c>
      <c r="D1732" s="14">
        <v>20</v>
      </c>
      <c r="E1732" s="14">
        <v>80</v>
      </c>
      <c r="F1732" s="13">
        <v>45780.416666666664</v>
      </c>
      <c r="G1732" t="s">
        <v>354</v>
      </c>
      <c r="H1732" t="s">
        <v>401</v>
      </c>
      <c r="I1732" t="str">
        <f>IF(A1732="","Pacote",IF(B1732=IFERROR(VLOOKUP(B1732,base!$L$1:$L$20,1,0),""),"Produtos",IF(B1732=IFERROR(VLOOKUP(B1732,base!$K$2:$K$20,1,0),""),"Serviços",IF(B1732="Gorjeta","Gorjeta","Combos"))))</f>
        <v>Serviços</v>
      </c>
      <c r="J1732">
        <f t="shared" si="63"/>
        <v>9</v>
      </c>
      <c r="K1732" s="1">
        <f t="shared" si="64"/>
        <v>45780.416666666664</v>
      </c>
      <c r="L1732" s="1">
        <f t="shared" si="65"/>
        <v>45780.416666666664</v>
      </c>
      <c r="M1732" s="1">
        <f t="shared" si="66"/>
        <v>45780.416666666664</v>
      </c>
      <c r="N1732" s="1"/>
      <c r="O1732" t="str">
        <f t="shared" si="67"/>
        <v>Cartão de Crédito</v>
      </c>
      <c r="P1732" t="s">
        <v>149</v>
      </c>
      <c r="Q1732" t="str">
        <f t="shared" si="68"/>
        <v>Serviços</v>
      </c>
      <c r="R1732" t="str">
        <f t="shared" si="69"/>
        <v>Corte</v>
      </c>
      <c r="T1732" s="14">
        <f t="shared" si="70"/>
        <v>20</v>
      </c>
      <c r="U1732" s="14">
        <f t="shared" si="71"/>
        <v>80</v>
      </c>
      <c r="V1732" s="14"/>
      <c r="W1732" t="str">
        <f>IF(A1732=$A$1707,base!$I$3,IF(A1732=$A$1709,base!$I$2,IF(Receitas!A1732=Receitas!$A$1701,base!$I$4,"")))</f>
        <v>PATRICK CARDOSO</v>
      </c>
      <c r="X1732" t="str">
        <f t="shared" si="72"/>
        <v>Daniel Ramos</v>
      </c>
    </row>
    <row r="1733" spans="1:24">
      <c r="A1733" t="s">
        <v>536</v>
      </c>
      <c r="B1733" t="s">
        <v>2731</v>
      </c>
      <c r="C1733" t="s">
        <v>2730</v>
      </c>
      <c r="D1733" s="14">
        <v>50</v>
      </c>
      <c r="F1733" s="13">
        <v>45780.416666666664</v>
      </c>
      <c r="G1733" t="s">
        <v>354</v>
      </c>
      <c r="H1733" t="s">
        <v>401</v>
      </c>
      <c r="I1733" t="str">
        <f>IF(A1733="","Pacote",IF(B1733=IFERROR(VLOOKUP(B1733,base!$L$1:$L$20,1,0),""),"Produtos",IF(B1733=IFERROR(VLOOKUP(B1733,base!$K$2:$K$20,1,0),""),"Serviços",IF(B1733="Gorjeta","Gorjeta","Combos"))))</f>
        <v>Produtos</v>
      </c>
      <c r="J1733">
        <f t="shared" si="63"/>
        <v>20</v>
      </c>
      <c r="K1733" s="1">
        <f t="shared" si="64"/>
        <v>45780.416666666664</v>
      </c>
      <c r="L1733" s="1">
        <f t="shared" si="65"/>
        <v>45780.416666666664</v>
      </c>
      <c r="M1733" s="1">
        <f t="shared" si="66"/>
        <v>45780.416666666664</v>
      </c>
      <c r="N1733" s="1"/>
      <c r="O1733" t="str">
        <f t="shared" si="67"/>
        <v>Cartão de Crédito</v>
      </c>
      <c r="P1733" t="s">
        <v>149</v>
      </c>
      <c r="Q1733" t="str">
        <f t="shared" si="68"/>
        <v>Produtos</v>
      </c>
      <c r="R1733" t="str">
        <f t="shared" si="69"/>
        <v>shampoo anti caspa</v>
      </c>
      <c r="T1733" s="14">
        <f t="shared" si="70"/>
        <v>50</v>
      </c>
      <c r="U1733" s="14">
        <f t="shared" si="71"/>
        <v>0</v>
      </c>
      <c r="V1733" s="14"/>
      <c r="W1733" t="str">
        <f>IF(A1733=$A$1707,base!$I$3,IF(A1733=$A$1709,base!$I$2,IF(Receitas!A1733=Receitas!$A$1701,base!$I$4,"")))</f>
        <v>PATRICK CARDOSO</v>
      </c>
      <c r="X1733" t="str">
        <f t="shared" si="72"/>
        <v>Daniel Ramos</v>
      </c>
    </row>
    <row r="1734" spans="1:24">
      <c r="A1734" t="s">
        <v>536</v>
      </c>
      <c r="B1734" t="s">
        <v>167</v>
      </c>
      <c r="C1734" t="s">
        <v>2730</v>
      </c>
      <c r="D1734" s="14">
        <v>10</v>
      </c>
      <c r="F1734" s="13">
        <v>45780.416666666664</v>
      </c>
      <c r="G1734" t="s">
        <v>354</v>
      </c>
      <c r="H1734" t="s">
        <v>401</v>
      </c>
      <c r="I1734" t="str">
        <f>IF(A1734="","Pacote",IF(B1734=IFERROR(VLOOKUP(B1734,base!$L$1:$L$20,1,0),""),"Produtos",IF(B1734=IFERROR(VLOOKUP(B1734,base!$K$2:$K$20,1,0),""),"Serviços",IF(B1734="Gorjeta","Gorjeta","Combos"))))</f>
        <v>Serviços</v>
      </c>
      <c r="J1734">
        <f t="shared" si="63"/>
        <v>4.5</v>
      </c>
      <c r="K1734" s="1">
        <f t="shared" si="64"/>
        <v>45780.416666666664</v>
      </c>
      <c r="L1734" s="1">
        <f t="shared" si="65"/>
        <v>45780.416666666664</v>
      </c>
      <c r="M1734" s="1">
        <f t="shared" si="66"/>
        <v>45780.416666666664</v>
      </c>
      <c r="N1734" s="1"/>
      <c r="O1734" t="str">
        <f t="shared" si="67"/>
        <v>Cartão de Crédito</v>
      </c>
      <c r="P1734" t="s">
        <v>149</v>
      </c>
      <c r="Q1734" t="str">
        <f t="shared" si="68"/>
        <v>Serviços</v>
      </c>
      <c r="R1734" t="str">
        <f t="shared" si="69"/>
        <v>Sobrancelha</v>
      </c>
      <c r="T1734" s="14">
        <f t="shared" si="70"/>
        <v>10</v>
      </c>
      <c r="U1734" s="14">
        <f t="shared" si="71"/>
        <v>0</v>
      </c>
      <c r="V1734" s="14"/>
      <c r="W1734" t="str">
        <f>IF(A1734=$A$1707,base!$I$3,IF(A1734=$A$1709,base!$I$2,IF(Receitas!A1734=Receitas!$A$1701,base!$I$4,"")))</f>
        <v>PATRICK CARDOSO</v>
      </c>
      <c r="X1734" t="str">
        <f t="shared" si="72"/>
        <v>Daniel Ramos</v>
      </c>
    </row>
    <row r="1735" spans="1:24">
      <c r="A1735" t="s">
        <v>252</v>
      </c>
      <c r="B1735" t="s">
        <v>163</v>
      </c>
      <c r="C1735" t="s">
        <v>2732</v>
      </c>
      <c r="D1735" s="14">
        <v>35</v>
      </c>
      <c r="E1735" s="14">
        <v>35</v>
      </c>
      <c r="F1735" s="13">
        <v>45779.4375</v>
      </c>
      <c r="G1735" t="s">
        <v>1</v>
      </c>
      <c r="H1735" t="s">
        <v>80</v>
      </c>
      <c r="I1735" t="str">
        <f>IF(A1735="","Pacote",IF(B1735=IFERROR(VLOOKUP(B1735,base!$L$1:$L$20,1,0),""),"Produtos",IF(B1735=IFERROR(VLOOKUP(B1735,base!$K$2:$K$20,1,0),""),"Serviços",IF(B1735="Gorjeta","Gorjeta","Combos"))))</f>
        <v>Serviços</v>
      </c>
      <c r="J1735">
        <f t="shared" si="63"/>
        <v>15.75</v>
      </c>
      <c r="K1735" s="1">
        <f t="shared" si="64"/>
        <v>45779.4375</v>
      </c>
      <c r="L1735" s="1">
        <f t="shared" si="65"/>
        <v>45779.4375</v>
      </c>
      <c r="M1735" s="1">
        <f t="shared" si="66"/>
        <v>45779.4375</v>
      </c>
      <c r="N1735" s="1"/>
      <c r="O1735" t="str">
        <f t="shared" si="67"/>
        <v>PIX</v>
      </c>
      <c r="P1735" t="s">
        <v>149</v>
      </c>
      <c r="Q1735" t="str">
        <f t="shared" si="68"/>
        <v>Serviços</v>
      </c>
      <c r="R1735" t="str">
        <f t="shared" si="69"/>
        <v>Corte</v>
      </c>
      <c r="T1735" s="14">
        <f t="shared" si="70"/>
        <v>35</v>
      </c>
      <c r="U1735" s="14">
        <f t="shared" si="71"/>
        <v>35</v>
      </c>
      <c r="V1735" s="14"/>
      <c r="W1735" t="str">
        <f>IF(A1735=$A$1707,base!$I$3,IF(A1735=$A$1709,base!$I$2,IF(Receitas!A1735=Receitas!$A$1701,base!$I$4,"")))</f>
        <v>Christian Magon</v>
      </c>
      <c r="X1735" t="str">
        <f t="shared" si="72"/>
        <v>Gabriel Pereira</v>
      </c>
    </row>
    <row r="1736" spans="1:24">
      <c r="A1736" t="s">
        <v>519</v>
      </c>
      <c r="B1736" t="s">
        <v>163</v>
      </c>
      <c r="C1736" t="s">
        <v>2733</v>
      </c>
      <c r="D1736" s="14">
        <v>35</v>
      </c>
      <c r="E1736" s="14">
        <v>35</v>
      </c>
      <c r="F1736" s="13">
        <v>45779.791666666664</v>
      </c>
      <c r="G1736" t="s">
        <v>310</v>
      </c>
      <c r="H1736" t="s">
        <v>1306</v>
      </c>
      <c r="I1736" t="str">
        <f>IF(A1736="","Pacote",IF(B1736=IFERROR(VLOOKUP(B1736,base!$L$1:$L$20,1,0),""),"Produtos",IF(B1736=IFERROR(VLOOKUP(B1736,base!$K$2:$K$20,1,0),""),"Serviços",IF(B1736="Gorjeta","Gorjeta","Combos"))))</f>
        <v>Serviços</v>
      </c>
      <c r="J1736">
        <f t="shared" si="63"/>
        <v>15.75</v>
      </c>
      <c r="K1736" s="1">
        <f t="shared" si="64"/>
        <v>45779.791666666664</v>
      </c>
      <c r="L1736" s="1">
        <f t="shared" si="65"/>
        <v>45779.791666666664</v>
      </c>
      <c r="M1736" s="1">
        <f t="shared" si="66"/>
        <v>45779.791666666664</v>
      </c>
      <c r="N1736" s="1"/>
      <c r="O1736" t="str">
        <f t="shared" si="67"/>
        <v>Cartão de Débito</v>
      </c>
      <c r="P1736" t="s">
        <v>149</v>
      </c>
      <c r="Q1736" t="str">
        <f t="shared" si="68"/>
        <v>Serviços</v>
      </c>
      <c r="R1736" t="str">
        <f t="shared" si="69"/>
        <v>Corte</v>
      </c>
      <c r="T1736" s="14">
        <f t="shared" si="70"/>
        <v>35</v>
      </c>
      <c r="U1736" s="14">
        <f t="shared" si="71"/>
        <v>35</v>
      </c>
      <c r="V1736" s="14"/>
      <c r="W1736" t="str">
        <f>IF(A1736=$A$1707,base!$I$3,IF(A1736=$A$1709,base!$I$2,IF(Receitas!A1736=Receitas!$A$1701,base!$I$4,"")))</f>
        <v>Gustavo de Castro</v>
      </c>
      <c r="X1736" t="str">
        <f t="shared" si="72"/>
        <v>LUANA MENDES</v>
      </c>
    </row>
    <row r="1737" spans="1:24">
      <c r="A1737" t="s">
        <v>536</v>
      </c>
      <c r="B1737" t="s">
        <v>163</v>
      </c>
      <c r="C1737" t="s">
        <v>2734</v>
      </c>
      <c r="D1737" s="14">
        <v>35</v>
      </c>
      <c r="E1737" s="14">
        <v>35</v>
      </c>
      <c r="F1737" s="13">
        <v>45779.416666666664</v>
      </c>
      <c r="G1737" t="s">
        <v>354</v>
      </c>
      <c r="H1737" t="s">
        <v>67</v>
      </c>
      <c r="I1737" t="str">
        <f>IF(A1737="","Pacote",IF(B1737=IFERROR(VLOOKUP(B1737,base!$L$1:$L$20,1,0),""),"Produtos",IF(B1737=IFERROR(VLOOKUP(B1737,base!$K$2:$K$20,1,0),""),"Serviços",IF(B1737="Gorjeta","Gorjeta","Combos"))))</f>
        <v>Serviços</v>
      </c>
      <c r="J1737">
        <f t="shared" si="63"/>
        <v>15.75</v>
      </c>
      <c r="K1737" s="1">
        <f t="shared" si="64"/>
        <v>45779.416666666664</v>
      </c>
      <c r="L1737" s="1">
        <f t="shared" si="65"/>
        <v>45779.416666666664</v>
      </c>
      <c r="M1737" s="1">
        <f t="shared" si="66"/>
        <v>45779.416666666664</v>
      </c>
      <c r="N1737" s="1"/>
      <c r="O1737" t="str">
        <f t="shared" si="67"/>
        <v>Cartão de Crédito</v>
      </c>
      <c r="P1737" t="s">
        <v>149</v>
      </c>
      <c r="Q1737" t="str">
        <f t="shared" si="68"/>
        <v>Serviços</v>
      </c>
      <c r="R1737" t="str">
        <f t="shared" si="69"/>
        <v>Corte</v>
      </c>
      <c r="T1737" s="14">
        <f t="shared" si="70"/>
        <v>35</v>
      </c>
      <c r="U1737" s="14">
        <f t="shared" si="71"/>
        <v>35</v>
      </c>
      <c r="V1737" s="14"/>
      <c r="W1737" t="str">
        <f>IF(A1737=$A$1707,base!$I$3,IF(A1737=$A$1709,base!$I$2,IF(Receitas!A1737=Receitas!$A$1701,base!$I$4,"")))</f>
        <v>PATRICK CARDOSO</v>
      </c>
      <c r="X1737" t="str">
        <f t="shared" si="72"/>
        <v>Felipe de Souza Macedo</v>
      </c>
    </row>
    <row r="1738" spans="1:24">
      <c r="A1738" t="s">
        <v>519</v>
      </c>
      <c r="B1738" t="s">
        <v>163</v>
      </c>
      <c r="C1738" t="s">
        <v>2735</v>
      </c>
      <c r="D1738" s="14">
        <v>35</v>
      </c>
      <c r="E1738" s="14">
        <v>75</v>
      </c>
      <c r="F1738" s="13">
        <v>45779.458333333336</v>
      </c>
      <c r="G1738" t="s">
        <v>1</v>
      </c>
      <c r="H1738" t="s">
        <v>1561</v>
      </c>
      <c r="I1738" t="str">
        <f>IF(A1738="","Pacote",IF(B1738=IFERROR(VLOOKUP(B1738,base!$L$1:$L$20,1,0),""),"Produtos",IF(B1738=IFERROR(VLOOKUP(B1738,base!$K$2:$K$20,1,0),""),"Serviços",IF(B1738="Gorjeta","Gorjeta","Combos"))))</f>
        <v>Serviços</v>
      </c>
      <c r="J1738">
        <f t="shared" si="63"/>
        <v>15.75</v>
      </c>
      <c r="K1738" s="1">
        <f t="shared" si="64"/>
        <v>45779.458333333336</v>
      </c>
      <c r="L1738" s="1">
        <f t="shared" si="65"/>
        <v>45779.458333333336</v>
      </c>
      <c r="M1738" s="1">
        <f t="shared" si="66"/>
        <v>45779.458333333336</v>
      </c>
      <c r="N1738" s="1"/>
      <c r="O1738" t="str">
        <f t="shared" si="67"/>
        <v>PIX</v>
      </c>
      <c r="P1738" t="s">
        <v>149</v>
      </c>
      <c r="Q1738" t="str">
        <f t="shared" si="68"/>
        <v>Serviços</v>
      </c>
      <c r="R1738" t="str">
        <f t="shared" si="69"/>
        <v>Corte</v>
      </c>
      <c r="T1738" s="14">
        <f t="shared" si="70"/>
        <v>35</v>
      </c>
      <c r="U1738" s="14">
        <f t="shared" si="71"/>
        <v>75</v>
      </c>
      <c r="V1738" s="14"/>
      <c r="W1738" t="str">
        <f>IF(A1738=$A$1707,base!$I$3,IF(A1738=$A$1709,base!$I$2,IF(Receitas!A1738=Receitas!$A$1701,base!$I$4,"")))</f>
        <v>Gustavo de Castro</v>
      </c>
      <c r="X1738" t="str">
        <f t="shared" si="72"/>
        <v>Eduardo morais</v>
      </c>
    </row>
    <row r="1739" spans="1:24">
      <c r="A1739" t="s">
        <v>519</v>
      </c>
      <c r="B1739" t="s">
        <v>2731</v>
      </c>
      <c r="C1739" t="s">
        <v>2735</v>
      </c>
      <c r="D1739" s="14">
        <v>40</v>
      </c>
      <c r="F1739" s="13">
        <v>45779.458333333336</v>
      </c>
      <c r="G1739" t="s">
        <v>1</v>
      </c>
      <c r="H1739" t="s">
        <v>1561</v>
      </c>
      <c r="I1739" t="str">
        <f>IF(A1739="","Pacote",IF(B1739=IFERROR(VLOOKUP(B1739,base!$L$1:$L$20,1,0),""),"Produtos",IF(B1739=IFERROR(VLOOKUP(B1739,base!$K$2:$K$20,1,0),""),"Serviços",IF(B1739="Gorjeta","Gorjeta","Combos"))))</f>
        <v>Produtos</v>
      </c>
      <c r="J1739">
        <f t="shared" si="63"/>
        <v>16</v>
      </c>
      <c r="K1739" s="1">
        <f t="shared" si="64"/>
        <v>45779.458333333336</v>
      </c>
      <c r="L1739" s="1">
        <f t="shared" si="65"/>
        <v>45779.458333333336</v>
      </c>
      <c r="M1739" s="1">
        <f t="shared" si="66"/>
        <v>45779.458333333336</v>
      </c>
      <c r="N1739" s="1"/>
      <c r="O1739" t="str">
        <f t="shared" si="67"/>
        <v>PIX</v>
      </c>
      <c r="P1739" t="s">
        <v>149</v>
      </c>
      <c r="Q1739" t="str">
        <f t="shared" si="68"/>
        <v>Produtos</v>
      </c>
      <c r="R1739" t="str">
        <f t="shared" si="69"/>
        <v>shampoo anti caspa</v>
      </c>
      <c r="T1739" s="14">
        <f t="shared" si="70"/>
        <v>40</v>
      </c>
      <c r="U1739" s="14">
        <f t="shared" si="71"/>
        <v>0</v>
      </c>
      <c r="V1739" s="14"/>
      <c r="W1739" t="str">
        <f>IF(A1739=$A$1707,base!$I$3,IF(A1739=$A$1709,base!$I$2,IF(Receitas!A1739=Receitas!$A$1701,base!$I$4,"")))</f>
        <v>Gustavo de Castro</v>
      </c>
      <c r="X1739" t="str">
        <f t="shared" si="72"/>
        <v>Eduardo morais</v>
      </c>
    </row>
    <row r="1740" spans="1:24">
      <c r="A1740" t="s">
        <v>536</v>
      </c>
      <c r="B1740" t="s">
        <v>163</v>
      </c>
      <c r="C1740" t="s">
        <v>2736</v>
      </c>
      <c r="D1740" s="14">
        <v>35</v>
      </c>
      <c r="E1740" s="14">
        <v>35</v>
      </c>
      <c r="F1740" s="13">
        <v>45779.46875</v>
      </c>
      <c r="G1740" t="s">
        <v>310</v>
      </c>
      <c r="H1740" t="s">
        <v>1179</v>
      </c>
      <c r="I1740" t="str">
        <f>IF(A1740="","Pacote",IF(B1740=IFERROR(VLOOKUP(B1740,base!$L$1:$L$20,1,0),""),"Produtos",IF(B1740=IFERROR(VLOOKUP(B1740,base!$K$2:$K$20,1,0),""),"Serviços",IF(B1740="Gorjeta","Gorjeta","Combos"))))</f>
        <v>Serviços</v>
      </c>
      <c r="J1740">
        <f t="shared" si="63"/>
        <v>15.75</v>
      </c>
      <c r="K1740" s="1">
        <f t="shared" si="64"/>
        <v>45779.46875</v>
      </c>
      <c r="L1740" s="1">
        <f t="shared" si="65"/>
        <v>45779.46875</v>
      </c>
      <c r="M1740" s="1">
        <f t="shared" si="66"/>
        <v>45779.46875</v>
      </c>
      <c r="N1740" s="1"/>
      <c r="O1740" t="str">
        <f t="shared" si="67"/>
        <v>Cartão de Débito</v>
      </c>
      <c r="P1740" t="s">
        <v>149</v>
      </c>
      <c r="Q1740" t="str">
        <f t="shared" si="68"/>
        <v>Serviços</v>
      </c>
      <c r="R1740" t="str">
        <f t="shared" si="69"/>
        <v>Corte</v>
      </c>
      <c r="T1740" s="14">
        <f t="shared" si="70"/>
        <v>35</v>
      </c>
      <c r="U1740" s="14">
        <f t="shared" si="71"/>
        <v>35</v>
      </c>
      <c r="V1740" s="14"/>
      <c r="W1740" t="str">
        <f>IF(A1740=$A$1707,base!$I$3,IF(A1740=$A$1709,base!$I$2,IF(Receitas!A1740=Receitas!$A$1701,base!$I$4,"")))</f>
        <v>PATRICK CARDOSO</v>
      </c>
      <c r="X1740" t="str">
        <f t="shared" si="72"/>
        <v>antonio carlos</v>
      </c>
    </row>
    <row r="1741" spans="1:24">
      <c r="A1741" t="s">
        <v>252</v>
      </c>
      <c r="B1741" t="s">
        <v>163</v>
      </c>
      <c r="C1741" t="s">
        <v>2737</v>
      </c>
      <c r="D1741" s="14">
        <v>35</v>
      </c>
      <c r="E1741" s="14">
        <v>35</v>
      </c>
      <c r="F1741" s="13">
        <v>45779.510416666664</v>
      </c>
      <c r="G1741" t="s">
        <v>354</v>
      </c>
      <c r="H1741" t="s">
        <v>484</v>
      </c>
      <c r="I1741" t="str">
        <f>IF(A1741="","Pacote",IF(B1741=IFERROR(VLOOKUP(B1741,base!$L$1:$L$20,1,0),""),"Produtos",IF(B1741=IFERROR(VLOOKUP(B1741,base!$K$2:$K$20,1,0),""),"Serviços",IF(B1741="Gorjeta","Gorjeta","Combos"))))</f>
        <v>Serviços</v>
      </c>
      <c r="J1741">
        <f t="shared" si="63"/>
        <v>15.75</v>
      </c>
      <c r="K1741" s="1">
        <f t="shared" si="64"/>
        <v>45779.510416666664</v>
      </c>
      <c r="L1741" s="1">
        <f t="shared" si="65"/>
        <v>45779.510416666664</v>
      </c>
      <c r="M1741" s="1">
        <f t="shared" si="66"/>
        <v>45779.510416666664</v>
      </c>
      <c r="N1741" s="1"/>
      <c r="O1741" t="str">
        <f t="shared" si="67"/>
        <v>Cartão de Crédito</v>
      </c>
      <c r="P1741" t="s">
        <v>149</v>
      </c>
      <c r="Q1741" t="str">
        <f t="shared" si="68"/>
        <v>Serviços</v>
      </c>
      <c r="R1741" t="str">
        <f t="shared" si="69"/>
        <v>Corte</v>
      </c>
      <c r="T1741" s="14">
        <f t="shared" si="70"/>
        <v>35</v>
      </c>
      <c r="U1741" s="14">
        <f t="shared" si="71"/>
        <v>35</v>
      </c>
      <c r="V1741" s="14"/>
      <c r="W1741" t="str">
        <f>IF(A1741=$A$1707,base!$I$3,IF(A1741=$A$1709,base!$I$2,IF(Receitas!A1741=Receitas!$A$1701,base!$I$4,"")))</f>
        <v>Christian Magon</v>
      </c>
      <c r="X1741" t="str">
        <f t="shared" si="72"/>
        <v>hemerson lira</v>
      </c>
    </row>
    <row r="1742" spans="1:24">
      <c r="A1742" t="s">
        <v>536</v>
      </c>
      <c r="B1742" t="s">
        <v>163</v>
      </c>
      <c r="C1742" t="s">
        <v>2738</v>
      </c>
      <c r="D1742" s="14">
        <v>35</v>
      </c>
      <c r="E1742" s="14">
        <v>55</v>
      </c>
      <c r="F1742" s="13">
        <v>45779.5</v>
      </c>
      <c r="G1742" t="s">
        <v>310</v>
      </c>
      <c r="H1742" t="s">
        <v>2739</v>
      </c>
      <c r="I1742" t="str">
        <f>IF(A1742="","Pacote",IF(B1742=IFERROR(VLOOKUP(B1742,base!$L$1:$L$20,1,0),""),"Produtos",IF(B1742=IFERROR(VLOOKUP(B1742,base!$K$2:$K$20,1,0),""),"Serviços",IF(B1742="Gorjeta","Gorjeta","Combos"))))</f>
        <v>Serviços</v>
      </c>
      <c r="J1742">
        <f t="shared" si="63"/>
        <v>15.75</v>
      </c>
      <c r="K1742" s="1">
        <f t="shared" si="64"/>
        <v>45779.5</v>
      </c>
      <c r="L1742" s="1">
        <f t="shared" si="65"/>
        <v>45779.5</v>
      </c>
      <c r="M1742" s="1">
        <f t="shared" si="66"/>
        <v>45779.5</v>
      </c>
      <c r="N1742" s="1"/>
      <c r="O1742" t="str">
        <f t="shared" si="67"/>
        <v>Cartão de Débito</v>
      </c>
      <c r="P1742" t="s">
        <v>149</v>
      </c>
      <c r="Q1742" t="str">
        <f t="shared" si="68"/>
        <v>Serviços</v>
      </c>
      <c r="R1742" t="str">
        <f t="shared" si="69"/>
        <v>Corte</v>
      </c>
      <c r="T1742" s="14">
        <f t="shared" si="70"/>
        <v>35</v>
      </c>
      <c r="U1742" s="14">
        <f t="shared" si="71"/>
        <v>55</v>
      </c>
      <c r="V1742" s="14"/>
      <c r="W1742" t="str">
        <f>IF(A1742=$A$1707,base!$I$3,IF(A1742=$A$1709,base!$I$2,IF(Receitas!A1742=Receitas!$A$1701,base!$I$4,"")))</f>
        <v>PATRICK CARDOSO</v>
      </c>
      <c r="X1742" t="str">
        <f t="shared" si="72"/>
        <v>Jorge Berdoneti</v>
      </c>
    </row>
    <row r="1743" spans="1:24">
      <c r="A1743" t="s">
        <v>536</v>
      </c>
      <c r="B1743" t="s">
        <v>352</v>
      </c>
      <c r="C1743" t="s">
        <v>2738</v>
      </c>
      <c r="D1743" s="14">
        <v>20</v>
      </c>
      <c r="F1743" s="13">
        <v>45779.5</v>
      </c>
      <c r="G1743" t="s">
        <v>310</v>
      </c>
      <c r="H1743" t="s">
        <v>2739</v>
      </c>
      <c r="I1743" t="str">
        <f>IF(A1743="","Pacote",IF(B1743=IFERROR(VLOOKUP(B1743,base!$L$1:$L$20,1,0),""),"Produtos",IF(B1743=IFERROR(VLOOKUP(B1743,base!$K$2:$K$20,1,0),""),"Serviços",IF(B1743="Gorjeta","Gorjeta","Combos"))))</f>
        <v>Combos</v>
      </c>
      <c r="J1743">
        <f t="shared" si="63"/>
        <v>9</v>
      </c>
      <c r="K1743" s="1">
        <f t="shared" si="64"/>
        <v>45779.5</v>
      </c>
      <c r="L1743" s="1">
        <f t="shared" si="65"/>
        <v>45779.5</v>
      </c>
      <c r="M1743" s="1">
        <f t="shared" si="66"/>
        <v>45779.5</v>
      </c>
      <c r="N1743" s="1"/>
      <c r="O1743" t="str">
        <f t="shared" si="67"/>
        <v>Cartão de Débito</v>
      </c>
      <c r="P1743" t="s">
        <v>149</v>
      </c>
      <c r="Q1743" t="str">
        <f t="shared" si="68"/>
        <v>Combos</v>
      </c>
      <c r="R1743" t="str">
        <f t="shared" si="69"/>
        <v>Combo ( depilação nariz e orelha )</v>
      </c>
      <c r="T1743" s="14">
        <f t="shared" si="70"/>
        <v>20</v>
      </c>
      <c r="U1743" s="14">
        <f t="shared" si="71"/>
        <v>0</v>
      </c>
      <c r="V1743" s="14"/>
      <c r="W1743" t="str">
        <f>IF(A1743=$A$1707,base!$I$3,IF(A1743=$A$1709,base!$I$2,IF(Receitas!A1743=Receitas!$A$1701,base!$I$4,"")))</f>
        <v>PATRICK CARDOSO</v>
      </c>
      <c r="X1743" t="str">
        <f t="shared" si="72"/>
        <v>Jorge Berdoneti</v>
      </c>
    </row>
    <row r="1744" spans="1:24">
      <c r="A1744" t="s">
        <v>519</v>
      </c>
      <c r="B1744" t="s">
        <v>163</v>
      </c>
      <c r="C1744" t="s">
        <v>2740</v>
      </c>
      <c r="D1744" s="14">
        <v>35</v>
      </c>
      <c r="E1744" s="14">
        <v>50</v>
      </c>
      <c r="F1744" s="13">
        <v>45780.4375</v>
      </c>
      <c r="G1744" t="s">
        <v>1</v>
      </c>
      <c r="H1744" t="s">
        <v>414</v>
      </c>
      <c r="I1744" t="str">
        <f>IF(A1744="","Pacote",IF(B1744=IFERROR(VLOOKUP(B1744,base!$L$1:$L$20,1,0),""),"Produtos",IF(B1744=IFERROR(VLOOKUP(B1744,base!$K$2:$K$20,1,0),""),"Serviços",IF(B1744="Gorjeta","Gorjeta","Combos"))))</f>
        <v>Serviços</v>
      </c>
      <c r="J1744">
        <f t="shared" si="63"/>
        <v>15.75</v>
      </c>
      <c r="K1744" s="1">
        <f t="shared" si="64"/>
        <v>45780.4375</v>
      </c>
      <c r="L1744" s="1">
        <f t="shared" si="65"/>
        <v>45780.4375</v>
      </c>
      <c r="M1744" s="1">
        <f t="shared" si="66"/>
        <v>45780.4375</v>
      </c>
      <c r="N1744" s="1"/>
      <c r="O1744" t="str">
        <f t="shared" si="67"/>
        <v>PIX</v>
      </c>
      <c r="P1744" t="s">
        <v>149</v>
      </c>
      <c r="Q1744" t="str">
        <f t="shared" si="68"/>
        <v>Serviços</v>
      </c>
      <c r="R1744" t="str">
        <f t="shared" si="69"/>
        <v>Corte</v>
      </c>
      <c r="T1744" s="14">
        <f t="shared" si="70"/>
        <v>35</v>
      </c>
      <c r="U1744" s="14">
        <f t="shared" si="71"/>
        <v>50</v>
      </c>
      <c r="V1744" s="14"/>
      <c r="W1744" t="str">
        <f>IF(A1744=$A$1707,base!$I$3,IF(A1744=$A$1709,base!$I$2,IF(Receitas!A1744=Receitas!$A$1701,base!$I$4,"")))</f>
        <v>Gustavo de Castro</v>
      </c>
      <c r="X1744" t="str">
        <f t="shared" si="72"/>
        <v>Alexandre andrade</v>
      </c>
    </row>
    <row r="1745" spans="1:24">
      <c r="A1745" t="s">
        <v>519</v>
      </c>
      <c r="B1745" t="s">
        <v>1046</v>
      </c>
      <c r="C1745" t="s">
        <v>2740</v>
      </c>
      <c r="D1745" s="14">
        <v>15</v>
      </c>
      <c r="F1745" s="13">
        <v>45780.4375</v>
      </c>
      <c r="G1745" t="s">
        <v>1</v>
      </c>
      <c r="H1745" t="s">
        <v>414</v>
      </c>
      <c r="I1745" t="str">
        <f>IF(A1745="","Pacote",IF(B1745=IFERROR(VLOOKUP(B1745,base!$L$1:$L$20,1,0),""),"Produtos",IF(B1745=IFERROR(VLOOKUP(B1745,base!$K$2:$K$20,1,0),""),"Serviços",IF(B1745="Gorjeta","Gorjeta","Combos"))))</f>
        <v>Serviços</v>
      </c>
      <c r="J1745">
        <f t="shared" si="63"/>
        <v>6.75</v>
      </c>
      <c r="K1745" s="1">
        <f t="shared" si="64"/>
        <v>45780.4375</v>
      </c>
      <c r="L1745" s="1">
        <f t="shared" si="65"/>
        <v>45780.4375</v>
      </c>
      <c r="M1745" s="1">
        <f t="shared" si="66"/>
        <v>45780.4375</v>
      </c>
      <c r="N1745" s="1"/>
      <c r="O1745" t="str">
        <f t="shared" si="67"/>
        <v>PIX</v>
      </c>
      <c r="P1745" t="s">
        <v>149</v>
      </c>
      <c r="Q1745" t="str">
        <f t="shared" si="68"/>
        <v>Serviços</v>
      </c>
      <c r="R1745" t="str">
        <f t="shared" si="69"/>
        <v>Barba</v>
      </c>
      <c r="T1745" s="14">
        <f t="shared" si="70"/>
        <v>15</v>
      </c>
      <c r="U1745" s="14">
        <f t="shared" si="71"/>
        <v>0</v>
      </c>
      <c r="V1745" s="14"/>
      <c r="W1745" t="str">
        <f>IF(A1745=$A$1707,base!$I$3,IF(A1745=$A$1709,base!$I$2,IF(Receitas!A1745=Receitas!$A$1701,base!$I$4,"")))</f>
        <v>Gustavo de Castro</v>
      </c>
      <c r="X1745" t="str">
        <f t="shared" si="72"/>
        <v>Alexandre andrade</v>
      </c>
    </row>
    <row r="1746" spans="1:24">
      <c r="A1746" t="s">
        <v>519</v>
      </c>
      <c r="B1746" t="s">
        <v>163</v>
      </c>
      <c r="C1746" t="s">
        <v>2741</v>
      </c>
      <c r="D1746" s="14">
        <v>35</v>
      </c>
      <c r="E1746" s="14">
        <v>35</v>
      </c>
      <c r="F1746" s="13">
        <v>45779.614583333336</v>
      </c>
      <c r="G1746" t="s">
        <v>2</v>
      </c>
      <c r="H1746" t="s">
        <v>485</v>
      </c>
      <c r="I1746" t="str">
        <f>IF(A1746="","Pacote",IF(B1746=IFERROR(VLOOKUP(B1746,base!$L$1:$L$20,1,0),""),"Produtos",IF(B1746=IFERROR(VLOOKUP(B1746,base!$K$2:$K$20,1,0),""),"Serviços",IF(B1746="Gorjeta","Gorjeta","Combos"))))</f>
        <v>Serviços</v>
      </c>
      <c r="J1746">
        <f t="shared" si="63"/>
        <v>15.75</v>
      </c>
      <c r="K1746" s="1">
        <f t="shared" si="64"/>
        <v>45779.614583333336</v>
      </c>
      <c r="L1746" s="1">
        <f t="shared" si="65"/>
        <v>45779.614583333336</v>
      </c>
      <c r="M1746" s="1">
        <f t="shared" si="66"/>
        <v>45779.614583333336</v>
      </c>
      <c r="N1746" s="1"/>
      <c r="O1746" t="str">
        <f t="shared" si="67"/>
        <v>Dinheiro</v>
      </c>
      <c r="P1746" t="s">
        <v>149</v>
      </c>
      <c r="Q1746" t="str">
        <f t="shared" si="68"/>
        <v>Serviços</v>
      </c>
      <c r="R1746" t="str">
        <f t="shared" si="69"/>
        <v>Corte</v>
      </c>
      <c r="T1746" s="14">
        <f t="shared" si="70"/>
        <v>35</v>
      </c>
      <c r="U1746" s="14">
        <f t="shared" si="71"/>
        <v>35</v>
      </c>
      <c r="V1746" s="14"/>
      <c r="W1746" t="str">
        <f>IF(A1746=$A$1707,base!$I$3,IF(A1746=$A$1709,base!$I$2,IF(Receitas!A1746=Receitas!$A$1701,base!$I$4,"")))</f>
        <v>Gustavo de Castro</v>
      </c>
      <c r="X1746" t="str">
        <f t="shared" si="72"/>
        <v>Eduardo Moura</v>
      </c>
    </row>
    <row r="1747" spans="1:24">
      <c r="A1747" t="s">
        <v>536</v>
      </c>
      <c r="B1747" t="s">
        <v>353</v>
      </c>
      <c r="C1747" t="s">
        <v>2742</v>
      </c>
      <c r="D1747" s="14">
        <v>60</v>
      </c>
      <c r="E1747" s="14">
        <v>60</v>
      </c>
      <c r="F1747" s="13">
        <v>45780.375</v>
      </c>
      <c r="G1747" t="s">
        <v>310</v>
      </c>
      <c r="H1747" t="s">
        <v>184</v>
      </c>
      <c r="I1747" t="str">
        <f>IF(A1747="","Pacote",IF(B1747=IFERROR(VLOOKUP(B1747,base!$L$1:$L$20,1,0),""),"Produtos",IF(B1747=IFERROR(VLOOKUP(B1747,base!$K$2:$K$20,1,0),""),"Serviços",IF(B1747="Gorjeta","Gorjeta","Combos"))))</f>
        <v>Combos</v>
      </c>
      <c r="J1747">
        <f t="shared" si="63"/>
        <v>27</v>
      </c>
      <c r="K1747" s="1">
        <f t="shared" si="64"/>
        <v>45780.375</v>
      </c>
      <c r="L1747" s="1">
        <f t="shared" si="65"/>
        <v>45780.375</v>
      </c>
      <c r="M1747" s="1">
        <f t="shared" si="66"/>
        <v>45780.375</v>
      </c>
      <c r="N1747" s="1"/>
      <c r="O1747" t="str">
        <f t="shared" si="67"/>
        <v>Cartão de Débito</v>
      </c>
      <c r="P1747" t="s">
        <v>149</v>
      </c>
      <c r="Q1747" t="str">
        <f t="shared" si="68"/>
        <v>Combos</v>
      </c>
      <c r="R1747" t="str">
        <f t="shared" si="69"/>
        <v>Combo ( Corte + Barba )</v>
      </c>
      <c r="T1747" s="14">
        <f t="shared" si="70"/>
        <v>60</v>
      </c>
      <c r="U1747" s="14">
        <f t="shared" si="71"/>
        <v>60</v>
      </c>
      <c r="V1747" s="14"/>
      <c r="W1747" t="str">
        <f>IF(A1747=$A$1707,base!$I$3,IF(A1747=$A$1709,base!$I$2,IF(Receitas!A1747=Receitas!$A$1701,base!$I$4,"")))</f>
        <v>PATRICK CARDOSO</v>
      </c>
      <c r="X1747" t="str">
        <f t="shared" si="72"/>
        <v>Marcus Piza</v>
      </c>
    </row>
    <row r="1748" spans="1:24">
      <c r="A1748" t="s">
        <v>519</v>
      </c>
      <c r="B1748" t="s">
        <v>163</v>
      </c>
      <c r="C1748" t="s">
        <v>2743</v>
      </c>
      <c r="D1748" s="14">
        <v>35</v>
      </c>
      <c r="E1748" s="14">
        <v>35</v>
      </c>
      <c r="F1748" s="13">
        <v>45779.666666666664</v>
      </c>
      <c r="G1748" t="s">
        <v>1</v>
      </c>
      <c r="H1748" t="s">
        <v>282</v>
      </c>
      <c r="I1748" t="str">
        <f>IF(A1748="","Pacote",IF(B1748=IFERROR(VLOOKUP(B1748,base!$L$1:$L$20,1,0),""),"Produtos",IF(B1748=IFERROR(VLOOKUP(B1748,base!$K$2:$K$20,1,0),""),"Serviços",IF(B1748="Gorjeta","Gorjeta","Combos"))))</f>
        <v>Serviços</v>
      </c>
      <c r="J1748">
        <f t="shared" si="63"/>
        <v>15.75</v>
      </c>
      <c r="K1748" s="1">
        <f t="shared" si="64"/>
        <v>45779.666666666664</v>
      </c>
      <c r="L1748" s="1">
        <f t="shared" si="65"/>
        <v>45779.666666666664</v>
      </c>
      <c r="M1748" s="1">
        <f t="shared" si="66"/>
        <v>45779.666666666664</v>
      </c>
      <c r="N1748" s="1"/>
      <c r="O1748" t="str">
        <f t="shared" si="67"/>
        <v>PIX</v>
      </c>
      <c r="P1748" t="s">
        <v>149</v>
      </c>
      <c r="Q1748" t="str">
        <f t="shared" si="68"/>
        <v>Serviços</v>
      </c>
      <c r="R1748" t="str">
        <f t="shared" si="69"/>
        <v>Corte</v>
      </c>
      <c r="T1748" s="14">
        <f t="shared" si="70"/>
        <v>35</v>
      </c>
      <c r="U1748" s="14">
        <f t="shared" si="71"/>
        <v>35</v>
      </c>
      <c r="V1748" s="14"/>
      <c r="W1748" t="str">
        <f>IF(A1748=$A$1707,base!$I$3,IF(A1748=$A$1709,base!$I$2,IF(Receitas!A1748=Receitas!$A$1701,base!$I$4,"")))</f>
        <v>Gustavo de Castro</v>
      </c>
      <c r="X1748" t="str">
        <f t="shared" si="72"/>
        <v>Eduardo Menndes</v>
      </c>
    </row>
    <row r="1749" spans="1:24">
      <c r="A1749" t="s">
        <v>536</v>
      </c>
      <c r="B1749" t="s">
        <v>163</v>
      </c>
      <c r="C1749" t="s">
        <v>2744</v>
      </c>
      <c r="D1749" s="14">
        <v>35</v>
      </c>
      <c r="E1749" s="14">
        <v>45</v>
      </c>
      <c r="F1749" s="13">
        <v>45779.604166666664</v>
      </c>
      <c r="G1749" t="s">
        <v>1</v>
      </c>
      <c r="H1749" t="s">
        <v>2745</v>
      </c>
      <c r="I1749" t="str">
        <f>IF(A1749="","Pacote",IF(B1749=IFERROR(VLOOKUP(B1749,base!$L$1:$L$20,1,0),""),"Produtos",IF(B1749=IFERROR(VLOOKUP(B1749,base!$K$2:$K$20,1,0),""),"Serviços",IF(B1749="Gorjeta","Gorjeta","Combos"))))</f>
        <v>Serviços</v>
      </c>
      <c r="J1749">
        <f t="shared" si="63"/>
        <v>15.75</v>
      </c>
      <c r="K1749" s="1">
        <f t="shared" si="64"/>
        <v>45779.604166666664</v>
      </c>
      <c r="L1749" s="1">
        <f t="shared" si="65"/>
        <v>45779.604166666664</v>
      </c>
      <c r="M1749" s="1">
        <f t="shared" si="66"/>
        <v>45779.604166666664</v>
      </c>
      <c r="N1749" s="1"/>
      <c r="O1749" t="str">
        <f t="shared" si="67"/>
        <v>PIX</v>
      </c>
      <c r="P1749" t="s">
        <v>149</v>
      </c>
      <c r="Q1749" t="str">
        <f t="shared" si="68"/>
        <v>Serviços</v>
      </c>
      <c r="R1749" t="str">
        <f t="shared" si="69"/>
        <v>Corte</v>
      </c>
      <c r="T1749" s="14">
        <f t="shared" si="70"/>
        <v>35</v>
      </c>
      <c r="U1749" s="14">
        <f t="shared" si="71"/>
        <v>45</v>
      </c>
      <c r="V1749" s="14"/>
      <c r="W1749" t="str">
        <f>IF(A1749=$A$1707,base!$I$3,IF(A1749=$A$1709,base!$I$2,IF(Receitas!A1749=Receitas!$A$1701,base!$I$4,"")))</f>
        <v>PATRICK CARDOSO</v>
      </c>
      <c r="X1749" t="str">
        <f t="shared" si="72"/>
        <v>Leonardo Teelles</v>
      </c>
    </row>
    <row r="1750" spans="1:24">
      <c r="A1750" t="s">
        <v>536</v>
      </c>
      <c r="B1750" t="s">
        <v>167</v>
      </c>
      <c r="C1750" t="s">
        <v>2744</v>
      </c>
      <c r="D1750" s="14">
        <v>10</v>
      </c>
      <c r="F1750" s="13">
        <v>45779.604166666664</v>
      </c>
      <c r="G1750" t="s">
        <v>1</v>
      </c>
      <c r="H1750" t="s">
        <v>2745</v>
      </c>
      <c r="I1750" t="str">
        <f>IF(A1750="","Pacote",IF(B1750=IFERROR(VLOOKUP(B1750,base!$L$1:$L$20,1,0),""),"Produtos",IF(B1750=IFERROR(VLOOKUP(B1750,base!$K$2:$K$20,1,0),""),"Serviços",IF(B1750="Gorjeta","Gorjeta","Combos"))))</f>
        <v>Serviços</v>
      </c>
      <c r="J1750">
        <f t="shared" si="63"/>
        <v>4.5</v>
      </c>
      <c r="K1750" s="1">
        <f t="shared" si="64"/>
        <v>45779.604166666664</v>
      </c>
      <c r="L1750" s="1">
        <f t="shared" si="65"/>
        <v>45779.604166666664</v>
      </c>
      <c r="M1750" s="1">
        <f t="shared" si="66"/>
        <v>45779.604166666664</v>
      </c>
      <c r="N1750" s="1"/>
      <c r="O1750" t="str">
        <f t="shared" si="67"/>
        <v>PIX</v>
      </c>
      <c r="P1750" t="s">
        <v>149</v>
      </c>
      <c r="Q1750" t="str">
        <f t="shared" si="68"/>
        <v>Serviços</v>
      </c>
      <c r="R1750" t="str">
        <f t="shared" si="69"/>
        <v>Sobrancelha</v>
      </c>
      <c r="T1750" s="14">
        <f t="shared" si="70"/>
        <v>10</v>
      </c>
      <c r="U1750" s="14">
        <f t="shared" si="71"/>
        <v>0</v>
      </c>
      <c r="V1750" s="14"/>
      <c r="W1750" t="str">
        <f>IF(A1750=$A$1707,base!$I$3,IF(A1750=$A$1709,base!$I$2,IF(Receitas!A1750=Receitas!$A$1701,base!$I$4,"")))</f>
        <v>PATRICK CARDOSO</v>
      </c>
      <c r="X1750" t="str">
        <f t="shared" si="72"/>
        <v>Leonardo Teelles</v>
      </c>
    </row>
    <row r="1751" spans="1:24">
      <c r="A1751" t="s">
        <v>519</v>
      </c>
      <c r="B1751" t="s">
        <v>163</v>
      </c>
      <c r="C1751" t="s">
        <v>2746</v>
      </c>
      <c r="D1751" s="14">
        <v>35</v>
      </c>
      <c r="E1751" s="14">
        <v>45</v>
      </c>
      <c r="F1751" s="13">
        <v>45779.621527777781</v>
      </c>
      <c r="G1751" t="s">
        <v>1</v>
      </c>
      <c r="H1751" t="s">
        <v>2747</v>
      </c>
      <c r="I1751" t="str">
        <f>IF(A1751="","Pacote",IF(B1751=IFERROR(VLOOKUP(B1751,base!$L$1:$L$20,1,0),""),"Produtos",IF(B1751=IFERROR(VLOOKUP(B1751,base!$K$2:$K$20,1,0),""),"Serviços",IF(B1751="Gorjeta","Gorjeta","Combos"))))</f>
        <v>Serviços</v>
      </c>
      <c r="J1751">
        <f t="shared" si="63"/>
        <v>15.75</v>
      </c>
      <c r="K1751" s="1">
        <f t="shared" si="64"/>
        <v>45779.621527777781</v>
      </c>
      <c r="L1751" s="1">
        <f t="shared" si="65"/>
        <v>45779.621527777781</v>
      </c>
      <c r="M1751" s="1">
        <f t="shared" si="66"/>
        <v>45779.621527777781</v>
      </c>
      <c r="N1751" s="1"/>
      <c r="O1751" t="str">
        <f t="shared" si="67"/>
        <v>PIX</v>
      </c>
      <c r="P1751" t="s">
        <v>149</v>
      </c>
      <c r="Q1751" t="str">
        <f t="shared" si="68"/>
        <v>Serviços</v>
      </c>
      <c r="R1751" t="str">
        <f t="shared" si="69"/>
        <v>Corte</v>
      </c>
      <c r="T1751" s="14">
        <f t="shared" si="70"/>
        <v>35</v>
      </c>
      <c r="U1751" s="14">
        <f t="shared" si="71"/>
        <v>45</v>
      </c>
      <c r="V1751" s="14"/>
      <c r="W1751" t="str">
        <f>IF(A1751=$A$1707,base!$I$3,IF(A1751=$A$1709,base!$I$2,IF(Receitas!A1751=Receitas!$A$1701,base!$I$4,"")))</f>
        <v>Gustavo de Castro</v>
      </c>
      <c r="X1751" t="str">
        <f t="shared" si="72"/>
        <v>rosevelt rodrigues</v>
      </c>
    </row>
    <row r="1752" spans="1:24">
      <c r="A1752" t="s">
        <v>519</v>
      </c>
      <c r="B1752" t="s">
        <v>167</v>
      </c>
      <c r="C1752" t="s">
        <v>2746</v>
      </c>
      <c r="D1752" s="14">
        <v>10</v>
      </c>
      <c r="F1752" s="13">
        <v>45779.621527777781</v>
      </c>
      <c r="G1752" t="s">
        <v>1</v>
      </c>
      <c r="H1752" t="s">
        <v>2747</v>
      </c>
      <c r="I1752" t="str">
        <f>IF(A1752="","Pacote",IF(B1752=IFERROR(VLOOKUP(B1752,base!$L$1:$L$20,1,0),""),"Produtos",IF(B1752=IFERROR(VLOOKUP(B1752,base!$K$2:$K$20,1,0),""),"Serviços",IF(B1752="Gorjeta","Gorjeta","Combos"))))</f>
        <v>Serviços</v>
      </c>
      <c r="J1752">
        <f t="shared" si="63"/>
        <v>4.5</v>
      </c>
      <c r="K1752" s="1">
        <f t="shared" si="64"/>
        <v>45779.621527777781</v>
      </c>
      <c r="L1752" s="1">
        <f t="shared" si="65"/>
        <v>45779.621527777781</v>
      </c>
      <c r="M1752" s="1">
        <f t="shared" si="66"/>
        <v>45779.621527777781</v>
      </c>
      <c r="N1752" s="1"/>
      <c r="O1752" t="str">
        <f t="shared" si="67"/>
        <v>PIX</v>
      </c>
      <c r="P1752" t="s">
        <v>149</v>
      </c>
      <c r="Q1752" t="str">
        <f t="shared" si="68"/>
        <v>Serviços</v>
      </c>
      <c r="R1752" t="str">
        <f t="shared" si="69"/>
        <v>Sobrancelha</v>
      </c>
      <c r="T1752" s="14">
        <f t="shared" si="70"/>
        <v>10</v>
      </c>
      <c r="U1752" s="14">
        <f t="shared" si="71"/>
        <v>0</v>
      </c>
      <c r="V1752" s="14"/>
      <c r="W1752" t="str">
        <f>IF(A1752=$A$1707,base!$I$3,IF(A1752=$A$1709,base!$I$2,IF(Receitas!A1752=Receitas!$A$1701,base!$I$4,"")))</f>
        <v>Gustavo de Castro</v>
      </c>
      <c r="X1752" t="str">
        <f t="shared" si="72"/>
        <v>rosevelt rodrigues</v>
      </c>
    </row>
    <row r="1753" spans="1:24">
      <c r="A1753" t="s">
        <v>519</v>
      </c>
      <c r="B1753" t="s">
        <v>353</v>
      </c>
      <c r="C1753" t="s">
        <v>2748</v>
      </c>
      <c r="D1753" s="14">
        <v>60</v>
      </c>
      <c r="E1753" s="14">
        <v>100</v>
      </c>
      <c r="F1753" s="13">
        <v>45779.708333333336</v>
      </c>
      <c r="G1753" t="s">
        <v>310</v>
      </c>
      <c r="H1753" t="s">
        <v>1950</v>
      </c>
      <c r="I1753" t="str">
        <f>IF(A1753="","Pacote",IF(B1753=IFERROR(VLOOKUP(B1753,base!$L$1:$L$20,1,0),""),"Produtos",IF(B1753=IFERROR(VLOOKUP(B1753,base!$K$2:$K$20,1,0),""),"Serviços",IF(B1753="Gorjeta","Gorjeta","Combos"))))</f>
        <v>Combos</v>
      </c>
      <c r="J1753">
        <f t="shared" si="63"/>
        <v>27</v>
      </c>
      <c r="K1753" s="1">
        <f t="shared" si="64"/>
        <v>45779.708333333336</v>
      </c>
      <c r="L1753" s="1">
        <f t="shared" si="65"/>
        <v>45779.708333333336</v>
      </c>
      <c r="M1753" s="1">
        <f t="shared" si="66"/>
        <v>45779.708333333336</v>
      </c>
      <c r="N1753" s="1"/>
      <c r="O1753" t="str">
        <f t="shared" si="67"/>
        <v>Cartão de Débito</v>
      </c>
      <c r="P1753" t="s">
        <v>149</v>
      </c>
      <c r="Q1753" t="str">
        <f t="shared" si="68"/>
        <v>Combos</v>
      </c>
      <c r="R1753" t="str">
        <f t="shared" si="69"/>
        <v>Combo ( Corte + Barba )</v>
      </c>
      <c r="T1753" s="14">
        <f t="shared" si="70"/>
        <v>60</v>
      </c>
      <c r="U1753" s="14">
        <f t="shared" si="71"/>
        <v>100</v>
      </c>
      <c r="V1753" s="14"/>
      <c r="W1753" t="str">
        <f>IF(A1753=$A$1707,base!$I$3,IF(A1753=$A$1709,base!$I$2,IF(Receitas!A1753=Receitas!$A$1701,base!$I$4,"")))</f>
        <v>Gustavo de Castro</v>
      </c>
      <c r="X1753" t="str">
        <f t="shared" si="72"/>
        <v>Alcemar da Silva</v>
      </c>
    </row>
    <row r="1754" spans="1:24">
      <c r="A1754" t="s">
        <v>519</v>
      </c>
      <c r="B1754" t="s">
        <v>2536</v>
      </c>
      <c r="C1754" t="s">
        <v>2748</v>
      </c>
      <c r="D1754" s="14">
        <v>40</v>
      </c>
      <c r="F1754" s="13">
        <v>45779.708333333336</v>
      </c>
      <c r="G1754" t="s">
        <v>310</v>
      </c>
      <c r="H1754" t="s">
        <v>1950</v>
      </c>
      <c r="I1754" t="str">
        <f>IF(A1754="","Pacote",IF(B1754=IFERROR(VLOOKUP(B1754,base!$L$1:$L$20,1,0),""),"Produtos",IF(B1754=IFERROR(VLOOKUP(B1754,base!$K$2:$K$20,1,0),""),"Serviços",IF(B1754="Gorjeta","Gorjeta","Combos"))))</f>
        <v>Produtos</v>
      </c>
      <c r="J1754">
        <f t="shared" si="63"/>
        <v>16</v>
      </c>
      <c r="K1754" s="1">
        <f t="shared" si="64"/>
        <v>45779.708333333336</v>
      </c>
      <c r="L1754" s="1">
        <f t="shared" si="65"/>
        <v>45779.708333333336</v>
      </c>
      <c r="M1754" s="1">
        <f t="shared" si="66"/>
        <v>45779.708333333336</v>
      </c>
      <c r="N1754" s="1"/>
      <c r="O1754" t="str">
        <f t="shared" si="67"/>
        <v>Cartão de Débito</v>
      </c>
      <c r="P1754" t="s">
        <v>149</v>
      </c>
      <c r="Q1754" t="str">
        <f t="shared" si="68"/>
        <v>Produtos</v>
      </c>
      <c r="R1754" t="str">
        <f t="shared" si="69"/>
        <v>Oleo para barba fox</v>
      </c>
      <c r="T1754" s="14">
        <f t="shared" si="70"/>
        <v>40</v>
      </c>
      <c r="U1754" s="14">
        <f t="shared" si="71"/>
        <v>0</v>
      </c>
      <c r="V1754" s="14"/>
      <c r="W1754" t="str">
        <f>IF(A1754=$A$1707,base!$I$3,IF(A1754=$A$1709,base!$I$2,IF(Receitas!A1754=Receitas!$A$1701,base!$I$4,"")))</f>
        <v>Gustavo de Castro</v>
      </c>
      <c r="X1754" t="str">
        <f t="shared" si="72"/>
        <v>Alcemar da Silva</v>
      </c>
    </row>
    <row r="1755" spans="1:24">
      <c r="A1755" t="s">
        <v>252</v>
      </c>
      <c r="B1755" t="s">
        <v>163</v>
      </c>
      <c r="C1755" t="s">
        <v>2749</v>
      </c>
      <c r="D1755" s="14">
        <v>35</v>
      </c>
      <c r="E1755" s="14">
        <v>35</v>
      </c>
      <c r="F1755" s="13">
        <v>45779.6875</v>
      </c>
      <c r="G1755" t="s">
        <v>310</v>
      </c>
      <c r="H1755" t="s">
        <v>499</v>
      </c>
      <c r="I1755" t="str">
        <f>IF(A1755="","Pacote",IF(B1755=IFERROR(VLOOKUP(B1755,base!$L$1:$L$20,1,0),""),"Produtos",IF(B1755=IFERROR(VLOOKUP(B1755,base!$K$2:$K$20,1,0),""),"Serviços",IF(B1755="Gorjeta","Gorjeta","Combos"))))</f>
        <v>Serviços</v>
      </c>
      <c r="J1755">
        <f t="shared" si="63"/>
        <v>15.75</v>
      </c>
      <c r="K1755" s="1">
        <f t="shared" si="64"/>
        <v>45779.6875</v>
      </c>
      <c r="L1755" s="1">
        <f t="shared" si="65"/>
        <v>45779.6875</v>
      </c>
      <c r="M1755" s="1">
        <f t="shared" si="66"/>
        <v>45779.6875</v>
      </c>
      <c r="N1755" s="1"/>
      <c r="O1755" t="str">
        <f t="shared" si="67"/>
        <v>Cartão de Débito</v>
      </c>
      <c r="P1755" t="s">
        <v>149</v>
      </c>
      <c r="Q1755" t="str">
        <f t="shared" si="68"/>
        <v>Serviços</v>
      </c>
      <c r="R1755" t="str">
        <f t="shared" si="69"/>
        <v>Corte</v>
      </c>
      <c r="T1755" s="14">
        <f t="shared" si="70"/>
        <v>35</v>
      </c>
      <c r="U1755" s="14">
        <f t="shared" si="71"/>
        <v>35</v>
      </c>
      <c r="V1755" s="14"/>
      <c r="W1755" t="str">
        <f>IF(A1755=$A$1707,base!$I$3,IF(A1755=$A$1709,base!$I$2,IF(Receitas!A1755=Receitas!$A$1701,base!$I$4,"")))</f>
        <v>Christian Magon</v>
      </c>
      <c r="X1755" t="str">
        <f t="shared" si="72"/>
        <v>israel davy</v>
      </c>
    </row>
    <row r="1756" spans="1:24">
      <c r="A1756" t="s">
        <v>519</v>
      </c>
      <c r="B1756" t="s">
        <v>163</v>
      </c>
      <c r="C1756" t="s">
        <v>2750</v>
      </c>
      <c r="D1756" s="14">
        <v>35</v>
      </c>
      <c r="E1756" s="14">
        <v>35</v>
      </c>
      <c r="F1756" s="13">
        <v>45779.6875</v>
      </c>
      <c r="G1756" t="s">
        <v>310</v>
      </c>
      <c r="H1756" t="s">
        <v>2751</v>
      </c>
      <c r="I1756" t="str">
        <f>IF(A1756="","Pacote",IF(B1756=IFERROR(VLOOKUP(B1756,base!$L$1:$L$20,1,0),""),"Produtos",IF(B1756=IFERROR(VLOOKUP(B1756,base!$K$2:$K$20,1,0),""),"Serviços",IF(B1756="Gorjeta","Gorjeta","Combos"))))</f>
        <v>Serviços</v>
      </c>
      <c r="J1756">
        <f t="shared" si="63"/>
        <v>15.75</v>
      </c>
      <c r="K1756" s="1">
        <f t="shared" si="64"/>
        <v>45779.6875</v>
      </c>
      <c r="L1756" s="1">
        <f t="shared" si="65"/>
        <v>45779.6875</v>
      </c>
      <c r="M1756" s="1">
        <f t="shared" si="66"/>
        <v>45779.6875</v>
      </c>
      <c r="N1756" s="1"/>
      <c r="O1756" t="str">
        <f t="shared" si="67"/>
        <v>Cartão de Débito</v>
      </c>
      <c r="P1756" t="s">
        <v>149</v>
      </c>
      <c r="Q1756" t="str">
        <f t="shared" si="68"/>
        <v>Serviços</v>
      </c>
      <c r="R1756" t="str">
        <f t="shared" si="69"/>
        <v>Corte</v>
      </c>
      <c r="T1756" s="14">
        <f t="shared" si="70"/>
        <v>35</v>
      </c>
      <c r="U1756" s="14">
        <f t="shared" si="71"/>
        <v>35</v>
      </c>
      <c r="V1756" s="14"/>
      <c r="W1756" t="str">
        <f>IF(A1756=$A$1707,base!$I$3,IF(A1756=$A$1709,base!$I$2,IF(Receitas!A1756=Receitas!$A$1701,base!$I$4,"")))</f>
        <v>Gustavo de Castro</v>
      </c>
      <c r="X1756" t="str">
        <f t="shared" si="72"/>
        <v>Ana Paula</v>
      </c>
    </row>
    <row r="1757" spans="1:24">
      <c r="A1757" t="s">
        <v>252</v>
      </c>
      <c r="B1757" t="s">
        <v>163</v>
      </c>
      <c r="C1757" t="s">
        <v>2752</v>
      </c>
      <c r="D1757" s="14">
        <v>35</v>
      </c>
      <c r="E1757" s="14">
        <v>60</v>
      </c>
      <c r="F1757" s="13">
        <v>45779.708333333336</v>
      </c>
      <c r="G1757" t="s">
        <v>2</v>
      </c>
      <c r="H1757" t="s">
        <v>1089</v>
      </c>
      <c r="I1757" t="str">
        <f>IF(A1757="","Pacote",IF(B1757=IFERROR(VLOOKUP(B1757,base!$L$1:$L$20,1,0),""),"Produtos",IF(B1757=IFERROR(VLOOKUP(B1757,base!$K$2:$K$20,1,0),""),"Serviços",IF(B1757="Gorjeta","Gorjeta","Combos"))))</f>
        <v>Serviços</v>
      </c>
      <c r="J1757">
        <f t="shared" si="63"/>
        <v>15.75</v>
      </c>
      <c r="K1757" s="1">
        <f t="shared" si="64"/>
        <v>45779.708333333336</v>
      </c>
      <c r="L1757" s="1">
        <f t="shared" si="65"/>
        <v>45779.708333333336</v>
      </c>
      <c r="M1757" s="1">
        <f t="shared" si="66"/>
        <v>45779.708333333336</v>
      </c>
      <c r="N1757" s="1"/>
      <c r="O1757" t="str">
        <f t="shared" si="67"/>
        <v>Dinheiro</v>
      </c>
      <c r="P1757" t="s">
        <v>149</v>
      </c>
      <c r="Q1757" t="str">
        <f t="shared" si="68"/>
        <v>Serviços</v>
      </c>
      <c r="R1757" t="str">
        <f t="shared" si="69"/>
        <v>Corte</v>
      </c>
      <c r="T1757" s="14">
        <f t="shared" si="70"/>
        <v>35</v>
      </c>
      <c r="U1757" s="14">
        <f t="shared" si="71"/>
        <v>60</v>
      </c>
      <c r="V1757" s="14"/>
      <c r="W1757" t="str">
        <f>IF(A1757=$A$1707,base!$I$3,IF(A1757=$A$1709,base!$I$2,IF(Receitas!A1757=Receitas!$A$1701,base!$I$4,"")))</f>
        <v>Christian Magon</v>
      </c>
      <c r="X1757" t="str">
        <f t="shared" si="72"/>
        <v>matheus lopes veloso</v>
      </c>
    </row>
    <row r="1758" spans="1:24">
      <c r="A1758" t="s">
        <v>252</v>
      </c>
      <c r="B1758" t="s">
        <v>2477</v>
      </c>
      <c r="C1758" t="s">
        <v>2752</v>
      </c>
      <c r="D1758" s="14">
        <v>25</v>
      </c>
      <c r="F1758" s="13">
        <v>45779.708333333336</v>
      </c>
      <c r="G1758" t="s">
        <v>2</v>
      </c>
      <c r="H1758" t="s">
        <v>1089</v>
      </c>
      <c r="I1758" t="str">
        <f>IF(A1758="","Pacote",IF(B1758=IFERROR(VLOOKUP(B1758,base!$L$1:$L$20,1,0),""),"Produtos",IF(B1758=IFERROR(VLOOKUP(B1758,base!$K$2:$K$20,1,0),""),"Serviços",IF(B1758="Gorjeta","Gorjeta","Combos"))))</f>
        <v>Produtos</v>
      </c>
      <c r="J1758">
        <f t="shared" si="63"/>
        <v>10</v>
      </c>
      <c r="K1758" s="1">
        <f t="shared" si="64"/>
        <v>45779.708333333336</v>
      </c>
      <c r="L1758" s="1">
        <f t="shared" si="65"/>
        <v>45779.708333333336</v>
      </c>
      <c r="M1758" s="1">
        <f t="shared" si="66"/>
        <v>45779.708333333336</v>
      </c>
      <c r="N1758" s="1"/>
      <c r="O1758" t="str">
        <f t="shared" si="67"/>
        <v>Dinheiro</v>
      </c>
      <c r="P1758" t="s">
        <v>149</v>
      </c>
      <c r="Q1758" t="str">
        <f t="shared" si="68"/>
        <v>Produtos</v>
      </c>
      <c r="R1758" t="str">
        <f t="shared" si="69"/>
        <v>pasta caramelo fox</v>
      </c>
      <c r="T1758" s="14">
        <f t="shared" si="70"/>
        <v>25</v>
      </c>
      <c r="U1758" s="14">
        <f t="shared" si="71"/>
        <v>0</v>
      </c>
      <c r="V1758" s="14"/>
      <c r="W1758" t="str">
        <f>IF(A1758=$A$1707,base!$I$3,IF(A1758=$A$1709,base!$I$2,IF(Receitas!A1758=Receitas!$A$1701,base!$I$4,"")))</f>
        <v>Christian Magon</v>
      </c>
      <c r="X1758" t="str">
        <f t="shared" si="72"/>
        <v>matheus lopes veloso</v>
      </c>
    </row>
    <row r="1759" spans="1:24">
      <c r="A1759" t="s">
        <v>519</v>
      </c>
      <c r="B1759" t="s">
        <v>163</v>
      </c>
      <c r="C1759" t="s">
        <v>2753</v>
      </c>
      <c r="D1759" s="14">
        <v>20</v>
      </c>
      <c r="E1759" s="14">
        <v>20</v>
      </c>
      <c r="F1759" s="13">
        <v>45779.6875</v>
      </c>
      <c r="G1759" t="s">
        <v>2</v>
      </c>
      <c r="H1759" t="s">
        <v>491</v>
      </c>
      <c r="I1759" t="str">
        <f>IF(A1759="","Pacote",IF(B1759=IFERROR(VLOOKUP(B1759,base!$L$1:$L$20,1,0),""),"Produtos",IF(B1759=IFERROR(VLOOKUP(B1759,base!$K$2:$K$20,1,0),""),"Serviços",IF(B1759="Gorjeta","Gorjeta","Combos"))))</f>
        <v>Serviços</v>
      </c>
      <c r="J1759">
        <f t="shared" si="63"/>
        <v>9</v>
      </c>
      <c r="K1759" s="1">
        <f t="shared" si="64"/>
        <v>45779.6875</v>
      </c>
      <c r="L1759" s="1">
        <f t="shared" si="65"/>
        <v>45779.6875</v>
      </c>
      <c r="M1759" s="1">
        <f t="shared" si="66"/>
        <v>45779.6875</v>
      </c>
      <c r="N1759" s="1"/>
      <c r="O1759" t="str">
        <f t="shared" si="67"/>
        <v>Dinheiro</v>
      </c>
      <c r="P1759" t="s">
        <v>149</v>
      </c>
      <c r="Q1759" t="str">
        <f t="shared" si="68"/>
        <v>Serviços</v>
      </c>
      <c r="R1759" t="str">
        <f t="shared" si="69"/>
        <v>Corte</v>
      </c>
      <c r="T1759" s="14">
        <f t="shared" si="70"/>
        <v>20</v>
      </c>
      <c r="U1759" s="14">
        <f t="shared" si="71"/>
        <v>20</v>
      </c>
      <c r="V1759" s="14"/>
      <c r="W1759" t="str">
        <f>IF(A1759=$A$1707,base!$I$3,IF(A1759=$A$1709,base!$I$2,IF(Receitas!A1759=Receitas!$A$1701,base!$I$4,"")))</f>
        <v>Gustavo de Castro</v>
      </c>
      <c r="X1759" t="str">
        <f t="shared" si="72"/>
        <v>Flavio dias Mota</v>
      </c>
    </row>
    <row r="1760" spans="1:24">
      <c r="A1760" t="s">
        <v>252</v>
      </c>
      <c r="B1760" t="s">
        <v>163</v>
      </c>
      <c r="C1760" t="s">
        <v>2754</v>
      </c>
      <c r="D1760" s="14">
        <v>35</v>
      </c>
      <c r="E1760" s="14">
        <v>35</v>
      </c>
      <c r="F1760" s="13">
        <v>45779.739583333336</v>
      </c>
      <c r="G1760" t="s">
        <v>1</v>
      </c>
      <c r="H1760" t="s">
        <v>469</v>
      </c>
      <c r="I1760" t="str">
        <f>IF(A1760="","Pacote",IF(B1760=IFERROR(VLOOKUP(B1760,base!$L$1:$L$20,1,0),""),"Produtos",IF(B1760=IFERROR(VLOOKUP(B1760,base!$K$2:$K$20,1,0),""),"Serviços",IF(B1760="Gorjeta","Gorjeta","Combos"))))</f>
        <v>Serviços</v>
      </c>
      <c r="J1760">
        <f t="shared" si="63"/>
        <v>15.75</v>
      </c>
      <c r="K1760" s="1">
        <f t="shared" si="64"/>
        <v>45779.739583333336</v>
      </c>
      <c r="L1760" s="1">
        <f t="shared" si="65"/>
        <v>45779.739583333336</v>
      </c>
      <c r="M1760" s="1">
        <f t="shared" si="66"/>
        <v>45779.739583333336</v>
      </c>
      <c r="N1760" s="1"/>
      <c r="O1760" t="str">
        <f t="shared" si="67"/>
        <v>PIX</v>
      </c>
      <c r="P1760" t="s">
        <v>149</v>
      </c>
      <c r="Q1760" t="str">
        <f t="shared" si="68"/>
        <v>Serviços</v>
      </c>
      <c r="R1760" t="str">
        <f t="shared" si="69"/>
        <v>Corte</v>
      </c>
      <c r="T1760" s="14">
        <f t="shared" si="70"/>
        <v>35</v>
      </c>
      <c r="U1760" s="14">
        <f t="shared" si="71"/>
        <v>35</v>
      </c>
      <c r="V1760" s="14"/>
      <c r="W1760" t="str">
        <f>IF(A1760=$A$1707,base!$I$3,IF(A1760=$A$1709,base!$I$2,IF(Receitas!A1760=Receitas!$A$1701,base!$I$4,"")))</f>
        <v>Christian Magon</v>
      </c>
      <c r="X1760" t="str">
        <f t="shared" si="72"/>
        <v>andre dantas</v>
      </c>
    </row>
    <row r="1761" spans="1:24">
      <c r="A1761" t="s">
        <v>536</v>
      </c>
      <c r="B1761" t="s">
        <v>353</v>
      </c>
      <c r="C1761" t="s">
        <v>2755</v>
      </c>
      <c r="D1761" s="14">
        <v>60</v>
      </c>
      <c r="E1761" s="14">
        <v>81</v>
      </c>
      <c r="F1761" s="13">
        <v>45779.767361111109</v>
      </c>
      <c r="G1761" t="s">
        <v>2</v>
      </c>
      <c r="H1761" t="s">
        <v>213</v>
      </c>
      <c r="I1761" t="str">
        <f>IF(A1761="","Pacote",IF(B1761=IFERROR(VLOOKUP(B1761,base!$L$1:$L$20,1,0),""),"Produtos",IF(B1761=IFERROR(VLOOKUP(B1761,base!$K$2:$K$20,1,0),""),"Serviços",IF(B1761="Gorjeta","Gorjeta","Combos"))))</f>
        <v>Combos</v>
      </c>
      <c r="J1761">
        <f t="shared" si="63"/>
        <v>27</v>
      </c>
      <c r="K1761" s="1">
        <f t="shared" si="64"/>
        <v>45779.767361111109</v>
      </c>
      <c r="L1761" s="1">
        <f t="shared" si="65"/>
        <v>45779.767361111109</v>
      </c>
      <c r="M1761" s="1">
        <f t="shared" si="66"/>
        <v>45779.767361111109</v>
      </c>
      <c r="N1761" s="1"/>
      <c r="O1761" t="str">
        <f t="shared" si="67"/>
        <v>Dinheiro</v>
      </c>
      <c r="P1761" t="s">
        <v>149</v>
      </c>
      <c r="Q1761" t="str">
        <f t="shared" si="68"/>
        <v>Combos</v>
      </c>
      <c r="R1761" t="str">
        <f t="shared" si="69"/>
        <v>Combo ( Corte + Barba )</v>
      </c>
      <c r="T1761" s="14">
        <f t="shared" si="70"/>
        <v>60</v>
      </c>
      <c r="U1761" s="14">
        <f t="shared" si="71"/>
        <v>81</v>
      </c>
      <c r="V1761" s="14"/>
      <c r="W1761" t="str">
        <f>IF(A1761=$A$1707,base!$I$3,IF(A1761=$A$1709,base!$I$2,IF(Receitas!A1761=Receitas!$A$1701,base!$I$4,"")))</f>
        <v>PATRICK CARDOSO</v>
      </c>
      <c r="X1761" t="str">
        <f t="shared" si="72"/>
        <v>Rafael borges</v>
      </c>
    </row>
    <row r="1762" spans="1:24">
      <c r="A1762" t="s">
        <v>536</v>
      </c>
      <c r="B1762" t="s">
        <v>352</v>
      </c>
      <c r="C1762" t="s">
        <v>2755</v>
      </c>
      <c r="D1762" s="14">
        <v>20</v>
      </c>
      <c r="F1762" s="13">
        <v>45779.767361111109</v>
      </c>
      <c r="G1762" t="s">
        <v>2</v>
      </c>
      <c r="H1762" t="s">
        <v>213</v>
      </c>
      <c r="I1762" t="str">
        <f>IF(A1762="","Pacote",IF(B1762=IFERROR(VLOOKUP(B1762,base!$L$1:$L$20,1,0),""),"Produtos",IF(B1762=IFERROR(VLOOKUP(B1762,base!$K$2:$K$20,1,0),""),"Serviços",IF(B1762="Gorjeta","Gorjeta","Combos"))))</f>
        <v>Combos</v>
      </c>
      <c r="J1762">
        <f t="shared" si="63"/>
        <v>9</v>
      </c>
      <c r="K1762" s="1">
        <f t="shared" si="64"/>
        <v>45779.767361111109</v>
      </c>
      <c r="L1762" s="1">
        <f t="shared" si="65"/>
        <v>45779.767361111109</v>
      </c>
      <c r="M1762" s="1">
        <f t="shared" si="66"/>
        <v>45779.767361111109</v>
      </c>
      <c r="N1762" s="1"/>
      <c r="O1762" t="str">
        <f t="shared" si="67"/>
        <v>Dinheiro</v>
      </c>
      <c r="P1762" t="s">
        <v>149</v>
      </c>
      <c r="Q1762" t="str">
        <f t="shared" si="68"/>
        <v>Combos</v>
      </c>
      <c r="R1762" t="str">
        <f t="shared" si="69"/>
        <v>Combo ( depilação nariz e orelha )</v>
      </c>
      <c r="T1762" s="14">
        <f t="shared" si="70"/>
        <v>20</v>
      </c>
      <c r="U1762" s="14">
        <f t="shared" si="71"/>
        <v>0</v>
      </c>
      <c r="V1762" s="14"/>
      <c r="W1762" t="str">
        <f>IF(A1762=$A$1707,base!$I$3,IF(A1762=$A$1709,base!$I$2,IF(Receitas!A1762=Receitas!$A$1701,base!$I$4,"")))</f>
        <v>PATRICK CARDOSO</v>
      </c>
      <c r="X1762" t="str">
        <f t="shared" si="72"/>
        <v>Rafael borges</v>
      </c>
    </row>
    <row r="1763" spans="1:24">
      <c r="A1763" t="s">
        <v>536</v>
      </c>
      <c r="B1763" t="s">
        <v>910</v>
      </c>
      <c r="C1763" t="s">
        <v>2755</v>
      </c>
      <c r="D1763" s="14">
        <v>1</v>
      </c>
      <c r="F1763" s="13">
        <v>45779.767361111109</v>
      </c>
      <c r="G1763" t="s">
        <v>2</v>
      </c>
      <c r="H1763" t="s">
        <v>213</v>
      </c>
      <c r="I1763" t="str">
        <f>IF(A1763="","Pacote",IF(B1763=IFERROR(VLOOKUP(B1763,base!$L$1:$L$20,1,0),""),"Produtos",IF(B1763=IFERROR(VLOOKUP(B1763,base!$K$2:$K$20,1,0),""),"Serviços",IF(B1763="Gorjeta","Gorjeta","Combos"))))</f>
        <v>Gorjeta</v>
      </c>
      <c r="J1763">
        <f t="shared" si="63"/>
        <v>0.45</v>
      </c>
      <c r="K1763" s="1">
        <f t="shared" si="64"/>
        <v>45779.767361111109</v>
      </c>
      <c r="L1763" s="1">
        <f t="shared" si="65"/>
        <v>45779.767361111109</v>
      </c>
      <c r="M1763" s="1">
        <f t="shared" si="66"/>
        <v>45779.767361111109</v>
      </c>
      <c r="N1763" s="1"/>
      <c r="O1763" t="str">
        <f t="shared" si="67"/>
        <v>Dinheiro</v>
      </c>
      <c r="P1763" t="s">
        <v>149</v>
      </c>
      <c r="Q1763" t="str">
        <f t="shared" si="68"/>
        <v>Gorjeta</v>
      </c>
      <c r="R1763" t="str">
        <f t="shared" si="69"/>
        <v>Gorjeta</v>
      </c>
      <c r="T1763" s="14">
        <f t="shared" si="70"/>
        <v>1</v>
      </c>
      <c r="U1763" s="14">
        <f t="shared" si="71"/>
        <v>0</v>
      </c>
      <c r="V1763" s="14"/>
      <c r="W1763" t="str">
        <f>IF(A1763=$A$1707,base!$I$3,IF(A1763=$A$1709,base!$I$2,IF(Receitas!A1763=Receitas!$A$1701,base!$I$4,"")))</f>
        <v>PATRICK CARDOSO</v>
      </c>
      <c r="X1763" t="str">
        <f t="shared" si="72"/>
        <v>Rafael borges</v>
      </c>
    </row>
    <row r="1764" spans="1:24">
      <c r="A1764" t="s">
        <v>252</v>
      </c>
      <c r="B1764" t="s">
        <v>163</v>
      </c>
      <c r="C1764" t="s">
        <v>2756</v>
      </c>
      <c r="D1764" s="14">
        <v>35</v>
      </c>
      <c r="E1764" s="14">
        <v>35</v>
      </c>
      <c r="F1764" s="13">
        <v>45779.791666666664</v>
      </c>
      <c r="G1764" t="s">
        <v>354</v>
      </c>
      <c r="H1764" t="s">
        <v>1008</v>
      </c>
      <c r="I1764" t="str">
        <f>IF(A1764="","Pacote",IF(B1764=IFERROR(VLOOKUP(B1764,base!$L$1:$L$20,1,0),""),"Produtos",IF(B1764=IFERROR(VLOOKUP(B1764,base!$K$2:$K$20,1,0),""),"Serviços",IF(B1764="Gorjeta","Gorjeta","Combos"))))</f>
        <v>Serviços</v>
      </c>
      <c r="J1764">
        <f t="shared" si="63"/>
        <v>15.75</v>
      </c>
      <c r="K1764" s="1">
        <f t="shared" si="64"/>
        <v>45779.791666666664</v>
      </c>
      <c r="L1764" s="1">
        <f t="shared" si="65"/>
        <v>45779.791666666664</v>
      </c>
      <c r="M1764" s="1">
        <f t="shared" si="66"/>
        <v>45779.791666666664</v>
      </c>
      <c r="N1764" s="1"/>
      <c r="O1764" t="str">
        <f t="shared" si="67"/>
        <v>Cartão de Crédito</v>
      </c>
      <c r="P1764" t="s">
        <v>149</v>
      </c>
      <c r="Q1764" t="str">
        <f t="shared" si="68"/>
        <v>Serviços</v>
      </c>
      <c r="R1764" t="str">
        <f t="shared" si="69"/>
        <v>Corte</v>
      </c>
      <c r="T1764" s="14">
        <f t="shared" si="70"/>
        <v>35</v>
      </c>
      <c r="U1764" s="14">
        <f t="shared" si="71"/>
        <v>35</v>
      </c>
      <c r="V1764" s="14"/>
      <c r="W1764" t="str">
        <f>IF(A1764=$A$1707,base!$I$3,IF(A1764=$A$1709,base!$I$2,IF(Receitas!A1764=Receitas!$A$1701,base!$I$4,"")))</f>
        <v>Christian Magon</v>
      </c>
      <c r="X1764" t="str">
        <f t="shared" si="72"/>
        <v>tulinho maduro</v>
      </c>
    </row>
    <row r="1765" spans="1:24">
      <c r="A1765" t="s">
        <v>519</v>
      </c>
      <c r="B1765" t="s">
        <v>163</v>
      </c>
      <c r="C1765" t="s">
        <v>2757</v>
      </c>
      <c r="D1765" s="14">
        <v>35</v>
      </c>
      <c r="E1765" s="14">
        <v>35</v>
      </c>
      <c r="F1765" s="13">
        <v>45779.822916666664</v>
      </c>
      <c r="G1765" t="s">
        <v>354</v>
      </c>
      <c r="H1765" t="s">
        <v>1574</v>
      </c>
      <c r="I1765" t="str">
        <f>IF(A1765="","Pacote",IF(B1765=IFERROR(VLOOKUP(B1765,base!$L$1:$L$20,1,0),""),"Produtos",IF(B1765=IFERROR(VLOOKUP(B1765,base!$K$2:$K$20,1,0),""),"Serviços",IF(B1765="Gorjeta","Gorjeta","Combos"))))</f>
        <v>Serviços</v>
      </c>
      <c r="J1765">
        <f t="shared" si="63"/>
        <v>15.75</v>
      </c>
      <c r="K1765" s="1">
        <f t="shared" si="64"/>
        <v>45779.822916666664</v>
      </c>
      <c r="L1765" s="1">
        <f t="shared" si="65"/>
        <v>45779.822916666664</v>
      </c>
      <c r="M1765" s="1">
        <f t="shared" si="66"/>
        <v>45779.822916666664</v>
      </c>
      <c r="N1765" s="1"/>
      <c r="O1765" t="str">
        <f t="shared" si="67"/>
        <v>Cartão de Crédito</v>
      </c>
      <c r="P1765" t="s">
        <v>149</v>
      </c>
      <c r="Q1765" t="str">
        <f t="shared" si="68"/>
        <v>Serviços</v>
      </c>
      <c r="R1765" t="str">
        <f t="shared" si="69"/>
        <v>Corte</v>
      </c>
      <c r="T1765" s="14">
        <f t="shared" si="70"/>
        <v>35</v>
      </c>
      <c r="U1765" s="14">
        <f t="shared" si="71"/>
        <v>35</v>
      </c>
      <c r="V1765" s="14"/>
      <c r="W1765" t="str">
        <f>IF(A1765=$A$1707,base!$I$3,IF(A1765=$A$1709,base!$I$2,IF(Receitas!A1765=Receitas!$A$1701,base!$I$4,"")))</f>
        <v>Gustavo de Castro</v>
      </c>
      <c r="X1765" t="str">
        <f t="shared" si="72"/>
        <v>THIAGO RAEDER</v>
      </c>
    </row>
    <row r="1766" spans="1:24">
      <c r="A1766" t="s">
        <v>536</v>
      </c>
      <c r="B1766" t="s">
        <v>1046</v>
      </c>
      <c r="C1766" t="s">
        <v>2758</v>
      </c>
      <c r="D1766" s="14">
        <v>35</v>
      </c>
      <c r="E1766" s="14">
        <v>35</v>
      </c>
      <c r="F1766" s="13">
        <v>45779.836805555555</v>
      </c>
      <c r="G1766" t="s">
        <v>2</v>
      </c>
      <c r="H1766" t="s">
        <v>1191</v>
      </c>
      <c r="I1766" t="str">
        <f>IF(A1766="","Pacote",IF(B1766=IFERROR(VLOOKUP(B1766,base!$L$1:$L$20,1,0),""),"Produtos",IF(B1766=IFERROR(VLOOKUP(B1766,base!$K$2:$K$20,1,0),""),"Serviços",IF(B1766="Gorjeta","Gorjeta","Combos"))))</f>
        <v>Serviços</v>
      </c>
      <c r="J1766">
        <f t="shared" si="63"/>
        <v>15.75</v>
      </c>
      <c r="K1766" s="1">
        <f t="shared" si="64"/>
        <v>45779.836805555555</v>
      </c>
      <c r="L1766" s="1">
        <f t="shared" si="65"/>
        <v>45779.836805555555</v>
      </c>
      <c r="M1766" s="1">
        <f t="shared" si="66"/>
        <v>45779.836805555555</v>
      </c>
      <c r="N1766" s="1"/>
      <c r="O1766" t="str">
        <f t="shared" si="67"/>
        <v>Dinheiro</v>
      </c>
      <c r="P1766" t="s">
        <v>149</v>
      </c>
      <c r="Q1766" t="str">
        <f t="shared" si="68"/>
        <v>Serviços</v>
      </c>
      <c r="R1766" t="str">
        <f t="shared" si="69"/>
        <v>Barba</v>
      </c>
      <c r="T1766" s="14">
        <f t="shared" si="70"/>
        <v>35</v>
      </c>
      <c r="U1766" s="14">
        <f t="shared" si="71"/>
        <v>35</v>
      </c>
      <c r="V1766" s="14"/>
      <c r="W1766" t="str">
        <f>IF(A1766=$A$1707,base!$I$3,IF(A1766=$A$1709,base!$I$2,IF(Receitas!A1766=Receitas!$A$1701,base!$I$4,"")))</f>
        <v>PATRICK CARDOSO</v>
      </c>
      <c r="X1766" t="str">
        <f t="shared" si="72"/>
        <v>ulisses cardoso</v>
      </c>
    </row>
    <row r="1767" spans="1:24">
      <c r="A1767" t="s">
        <v>536</v>
      </c>
      <c r="B1767" t="s">
        <v>163</v>
      </c>
      <c r="C1767" t="s">
        <v>2759</v>
      </c>
      <c r="D1767" s="14">
        <v>20</v>
      </c>
      <c r="E1767" s="14">
        <v>75</v>
      </c>
      <c r="F1767" s="13">
        <v>45779.836805555555</v>
      </c>
      <c r="G1767" t="s">
        <v>1</v>
      </c>
      <c r="H1767" t="s">
        <v>271</v>
      </c>
      <c r="I1767" t="str">
        <f>IF(A1767="","Pacote",IF(B1767=IFERROR(VLOOKUP(B1767,base!$L$1:$L$20,1,0),""),"Produtos",IF(B1767=IFERROR(VLOOKUP(B1767,base!$K$2:$K$20,1,0),""),"Serviços",IF(B1767="Gorjeta","Gorjeta","Combos"))))</f>
        <v>Serviços</v>
      </c>
      <c r="J1767">
        <f t="shared" si="63"/>
        <v>9</v>
      </c>
      <c r="K1767" s="1">
        <f t="shared" si="64"/>
        <v>45779.836805555555</v>
      </c>
      <c r="L1767" s="1">
        <f t="shared" si="65"/>
        <v>45779.836805555555</v>
      </c>
      <c r="M1767" s="1">
        <f t="shared" si="66"/>
        <v>45779.836805555555</v>
      </c>
      <c r="N1767" s="1"/>
      <c r="O1767" t="str">
        <f t="shared" si="67"/>
        <v>PIX</v>
      </c>
      <c r="P1767" t="s">
        <v>149</v>
      </c>
      <c r="Q1767" t="str">
        <f t="shared" si="68"/>
        <v>Serviços</v>
      </c>
      <c r="R1767" t="str">
        <f t="shared" si="69"/>
        <v>Corte</v>
      </c>
      <c r="T1767" s="14">
        <f t="shared" si="70"/>
        <v>20</v>
      </c>
      <c r="U1767" s="14">
        <f t="shared" si="71"/>
        <v>75</v>
      </c>
      <c r="V1767" s="14"/>
      <c r="W1767" t="str">
        <f>IF(A1767=$A$1707,base!$I$3,IF(A1767=$A$1709,base!$I$2,IF(Receitas!A1767=Receitas!$A$1701,base!$I$4,"")))</f>
        <v>PATRICK CARDOSO</v>
      </c>
      <c r="X1767" t="str">
        <f t="shared" si="72"/>
        <v>MARCIO ANDRE BARROSO</v>
      </c>
    </row>
    <row r="1768" spans="1:24">
      <c r="A1768" t="s">
        <v>536</v>
      </c>
      <c r="B1768" t="s">
        <v>167</v>
      </c>
      <c r="C1768" t="s">
        <v>2759</v>
      </c>
      <c r="D1768" s="14">
        <v>10</v>
      </c>
      <c r="F1768" s="13">
        <v>45779.836805555555</v>
      </c>
      <c r="G1768" t="s">
        <v>1</v>
      </c>
      <c r="H1768" t="s">
        <v>271</v>
      </c>
      <c r="I1768" t="str">
        <f>IF(A1768="","Pacote",IF(B1768=IFERROR(VLOOKUP(B1768,base!$L$1:$L$20,1,0),""),"Produtos",IF(B1768=IFERROR(VLOOKUP(B1768,base!$K$2:$K$20,1,0),""),"Serviços",IF(B1768="Gorjeta","Gorjeta","Combos"))))</f>
        <v>Serviços</v>
      </c>
      <c r="J1768">
        <f t="shared" si="63"/>
        <v>4.5</v>
      </c>
      <c r="K1768" s="1">
        <f t="shared" si="64"/>
        <v>45779.836805555555</v>
      </c>
      <c r="L1768" s="1">
        <f t="shared" si="65"/>
        <v>45779.836805555555</v>
      </c>
      <c r="M1768" s="1">
        <f t="shared" si="66"/>
        <v>45779.836805555555</v>
      </c>
      <c r="N1768" s="1"/>
      <c r="O1768" t="str">
        <f t="shared" si="67"/>
        <v>PIX</v>
      </c>
      <c r="P1768" t="s">
        <v>149</v>
      </c>
      <c r="Q1768" t="str">
        <f t="shared" si="68"/>
        <v>Serviços</v>
      </c>
      <c r="R1768" t="str">
        <f t="shared" si="69"/>
        <v>Sobrancelha</v>
      </c>
      <c r="T1768" s="14">
        <f t="shared" si="70"/>
        <v>10</v>
      </c>
      <c r="U1768" s="14">
        <f t="shared" si="71"/>
        <v>0</v>
      </c>
      <c r="V1768" s="14"/>
      <c r="W1768" t="str">
        <f>IF(A1768=$A$1707,base!$I$3,IF(A1768=$A$1709,base!$I$2,IF(Receitas!A1768=Receitas!$A$1701,base!$I$4,"")))</f>
        <v>PATRICK CARDOSO</v>
      </c>
      <c r="X1768" t="str">
        <f t="shared" si="72"/>
        <v>MARCIO ANDRE BARROSO</v>
      </c>
    </row>
    <row r="1769" spans="1:24">
      <c r="A1769" t="s">
        <v>536</v>
      </c>
      <c r="B1769" t="s">
        <v>1187</v>
      </c>
      <c r="C1769" t="s">
        <v>2759</v>
      </c>
      <c r="D1769" s="14">
        <v>15</v>
      </c>
      <c r="F1769" s="13">
        <v>45779.836805555555</v>
      </c>
      <c r="G1769" t="s">
        <v>1</v>
      </c>
      <c r="H1769" t="s">
        <v>271</v>
      </c>
      <c r="I1769" t="str">
        <f>IF(A1769="","Pacote",IF(B1769=IFERROR(VLOOKUP(B1769,base!$L$1:$L$20,1,0),""),"Produtos",IF(B1769=IFERROR(VLOOKUP(B1769,base!$K$2:$K$20,1,0),""),"Serviços",IF(B1769="Gorjeta","Gorjeta","Combos"))))</f>
        <v>Serviços</v>
      </c>
      <c r="J1769">
        <f t="shared" si="63"/>
        <v>6.75</v>
      </c>
      <c r="K1769" s="1">
        <f t="shared" si="64"/>
        <v>45779.836805555555</v>
      </c>
      <c r="L1769" s="1">
        <f t="shared" si="65"/>
        <v>45779.836805555555</v>
      </c>
      <c r="M1769" s="1">
        <f t="shared" si="66"/>
        <v>45779.836805555555</v>
      </c>
      <c r="N1769" s="1"/>
      <c r="O1769" t="str">
        <f t="shared" si="67"/>
        <v>PIX</v>
      </c>
      <c r="P1769" t="s">
        <v>149</v>
      </c>
      <c r="Q1769" t="str">
        <f t="shared" si="68"/>
        <v>Serviços</v>
      </c>
      <c r="R1769" t="str">
        <f t="shared" si="69"/>
        <v>depilação nariz</v>
      </c>
      <c r="T1769" s="14">
        <f t="shared" si="70"/>
        <v>15</v>
      </c>
      <c r="U1769" s="14">
        <f t="shared" si="71"/>
        <v>0</v>
      </c>
      <c r="V1769" s="14"/>
      <c r="W1769" t="str">
        <f>IF(A1769=$A$1707,base!$I$3,IF(A1769=$A$1709,base!$I$2,IF(Receitas!A1769=Receitas!$A$1701,base!$I$4,"")))</f>
        <v>PATRICK CARDOSO</v>
      </c>
      <c r="X1769" t="str">
        <f t="shared" si="72"/>
        <v>MARCIO ANDRE BARROSO</v>
      </c>
    </row>
    <row r="1770" spans="1:24">
      <c r="A1770" t="s">
        <v>536</v>
      </c>
      <c r="B1770" t="s">
        <v>2526</v>
      </c>
      <c r="C1770" t="s">
        <v>2759</v>
      </c>
      <c r="D1770" s="14">
        <v>20</v>
      </c>
      <c r="F1770" s="13">
        <v>45779.836805555555</v>
      </c>
      <c r="G1770" t="s">
        <v>1</v>
      </c>
      <c r="H1770" t="s">
        <v>271</v>
      </c>
      <c r="I1770" t="str">
        <f>IF(A1770="","Pacote",IF(B1770=IFERROR(VLOOKUP(B1770,base!$L$1:$L$20,1,0),""),"Produtos",IF(B1770=IFERROR(VLOOKUP(B1770,base!$K$2:$K$20,1,0),""),"Serviços",IF(B1770="Gorjeta","Gorjeta","Combos"))))</f>
        <v>Produtos</v>
      </c>
      <c r="J1770">
        <f t="shared" si="63"/>
        <v>8</v>
      </c>
      <c r="K1770" s="1">
        <f t="shared" si="64"/>
        <v>45779.836805555555</v>
      </c>
      <c r="L1770" s="1">
        <f t="shared" si="65"/>
        <v>45779.836805555555</v>
      </c>
      <c r="M1770" s="1">
        <f t="shared" si="66"/>
        <v>45779.836805555555</v>
      </c>
      <c r="N1770" s="1"/>
      <c r="O1770" t="str">
        <f t="shared" si="67"/>
        <v>PIX</v>
      </c>
      <c r="P1770" t="s">
        <v>149</v>
      </c>
      <c r="Q1770" t="str">
        <f t="shared" si="68"/>
        <v>Produtos</v>
      </c>
      <c r="R1770" t="str">
        <f t="shared" si="69"/>
        <v>POMADA INCOLOR FOX</v>
      </c>
      <c r="T1770" s="14">
        <f t="shared" si="70"/>
        <v>20</v>
      </c>
      <c r="U1770" s="14">
        <f t="shared" si="71"/>
        <v>0</v>
      </c>
      <c r="V1770" s="14"/>
      <c r="W1770" t="str">
        <f>IF(A1770=$A$1707,base!$I$3,IF(A1770=$A$1709,base!$I$2,IF(Receitas!A1770=Receitas!$A$1701,base!$I$4,"")))</f>
        <v>PATRICK CARDOSO</v>
      </c>
      <c r="X1770" t="str">
        <f t="shared" si="72"/>
        <v>MARCIO ANDRE BARROSO</v>
      </c>
    </row>
    <row r="1771" spans="1:24">
      <c r="A1771" t="s">
        <v>536</v>
      </c>
      <c r="B1771" t="s">
        <v>910</v>
      </c>
      <c r="C1771" t="s">
        <v>2759</v>
      </c>
      <c r="D1771" s="14">
        <v>10</v>
      </c>
      <c r="F1771" s="13">
        <v>45779.836805555555</v>
      </c>
      <c r="G1771" t="s">
        <v>1</v>
      </c>
      <c r="H1771" t="s">
        <v>271</v>
      </c>
      <c r="I1771" t="str">
        <f>IF(A1771="","Pacote",IF(B1771=IFERROR(VLOOKUP(B1771,base!$L$1:$L$20,1,0),""),"Produtos",IF(B1771=IFERROR(VLOOKUP(B1771,base!$K$2:$K$20,1,0),""),"Serviços",IF(B1771="Gorjeta","Gorjeta","Combos"))))</f>
        <v>Gorjeta</v>
      </c>
      <c r="J1771">
        <f t="shared" si="63"/>
        <v>4.5</v>
      </c>
      <c r="K1771" s="1">
        <f t="shared" si="64"/>
        <v>45779.836805555555</v>
      </c>
      <c r="L1771" s="1">
        <f t="shared" si="65"/>
        <v>45779.836805555555</v>
      </c>
      <c r="M1771" s="1">
        <f t="shared" si="66"/>
        <v>45779.836805555555</v>
      </c>
      <c r="N1771" s="1"/>
      <c r="O1771" t="str">
        <f t="shared" si="67"/>
        <v>PIX</v>
      </c>
      <c r="P1771" t="s">
        <v>149</v>
      </c>
      <c r="Q1771" t="str">
        <f t="shared" si="68"/>
        <v>Gorjeta</v>
      </c>
      <c r="R1771" t="str">
        <f t="shared" si="69"/>
        <v>Gorjeta</v>
      </c>
      <c r="T1771" s="14">
        <f t="shared" si="70"/>
        <v>10</v>
      </c>
      <c r="U1771" s="14">
        <f t="shared" si="71"/>
        <v>0</v>
      </c>
      <c r="V1771" s="14"/>
      <c r="W1771" t="str">
        <f>IF(A1771=$A$1707,base!$I$3,IF(A1771=$A$1709,base!$I$2,IF(Receitas!A1771=Receitas!$A$1701,base!$I$4,"")))</f>
        <v>PATRICK CARDOSO</v>
      </c>
      <c r="X1771" t="str">
        <f t="shared" si="72"/>
        <v>MARCIO ANDRE BARROSO</v>
      </c>
    </row>
    <row r="1772" spans="1:24">
      <c r="A1772" t="s">
        <v>252</v>
      </c>
      <c r="B1772" t="s">
        <v>163</v>
      </c>
      <c r="C1772" t="s">
        <v>2760</v>
      </c>
      <c r="D1772" s="14">
        <v>35</v>
      </c>
      <c r="E1772" s="14">
        <v>35</v>
      </c>
      <c r="F1772" s="13">
        <v>45779.850694444445</v>
      </c>
      <c r="G1772" t="s">
        <v>1</v>
      </c>
      <c r="H1772" t="s">
        <v>2761</v>
      </c>
      <c r="I1772" t="str">
        <f>IF(A1772="","Pacote",IF(B1772=IFERROR(VLOOKUP(B1772,base!$L$1:$L$20,1,0),""),"Produtos",IF(B1772=IFERROR(VLOOKUP(B1772,base!$K$2:$K$20,1,0),""),"Serviços",IF(B1772="Gorjeta","Gorjeta","Combos"))))</f>
        <v>Serviços</v>
      </c>
      <c r="J1772">
        <f t="shared" si="63"/>
        <v>15.75</v>
      </c>
      <c r="K1772" s="1">
        <f t="shared" si="64"/>
        <v>45779.850694444445</v>
      </c>
      <c r="L1772" s="1">
        <f t="shared" si="65"/>
        <v>45779.850694444445</v>
      </c>
      <c r="M1772" s="1">
        <f t="shared" si="66"/>
        <v>45779.850694444445</v>
      </c>
      <c r="N1772" s="1"/>
      <c r="O1772" t="str">
        <f t="shared" si="67"/>
        <v>PIX</v>
      </c>
      <c r="P1772" t="s">
        <v>149</v>
      </c>
      <c r="Q1772" t="str">
        <f t="shared" si="68"/>
        <v>Serviços</v>
      </c>
      <c r="R1772" t="str">
        <f t="shared" si="69"/>
        <v>Corte</v>
      </c>
      <c r="T1772" s="14">
        <f t="shared" si="70"/>
        <v>35</v>
      </c>
      <c r="U1772" s="14">
        <f t="shared" si="71"/>
        <v>35</v>
      </c>
      <c r="V1772" s="14"/>
      <c r="W1772" t="str">
        <f>IF(A1772=$A$1707,base!$I$3,IF(A1772=$A$1709,base!$I$2,IF(Receitas!A1772=Receitas!$A$1701,base!$I$4,"")))</f>
        <v>Christian Magon</v>
      </c>
      <c r="X1772" t="str">
        <f t="shared" si="72"/>
        <v>fernando jose pereira</v>
      </c>
    </row>
    <row r="1773" spans="1:24">
      <c r="A1773" t="s">
        <v>252</v>
      </c>
      <c r="B1773" t="s">
        <v>163</v>
      </c>
      <c r="C1773" t="s">
        <v>2762</v>
      </c>
      <c r="D1773" s="14">
        <v>35</v>
      </c>
      <c r="E1773" s="14">
        <v>35</v>
      </c>
      <c r="F1773" s="13">
        <v>45780.635416666664</v>
      </c>
      <c r="G1773" t="s">
        <v>1</v>
      </c>
      <c r="H1773" t="s">
        <v>302</v>
      </c>
      <c r="I1773" t="str">
        <f>IF(A1773="","Pacote",IF(B1773=IFERROR(VLOOKUP(B1773,base!$L$1:$L$20,1,0),""),"Produtos",IF(B1773=IFERROR(VLOOKUP(B1773,base!$K$2:$K$20,1,0),""),"Serviços",IF(B1773="Gorjeta","Gorjeta","Combos"))))</f>
        <v>Serviços</v>
      </c>
      <c r="J1773">
        <f t="shared" si="63"/>
        <v>15.75</v>
      </c>
      <c r="K1773" s="1">
        <f t="shared" si="64"/>
        <v>45780.635416666664</v>
      </c>
      <c r="L1773" s="1">
        <f t="shared" si="65"/>
        <v>45780.635416666664</v>
      </c>
      <c r="M1773" s="1">
        <f t="shared" si="66"/>
        <v>45780.635416666664</v>
      </c>
      <c r="N1773" s="1"/>
      <c r="O1773" t="str">
        <f t="shared" si="67"/>
        <v>PIX</v>
      </c>
      <c r="P1773" t="s">
        <v>149</v>
      </c>
      <c r="Q1773" t="str">
        <f t="shared" si="68"/>
        <v>Serviços</v>
      </c>
      <c r="R1773" t="str">
        <f t="shared" si="69"/>
        <v>Corte</v>
      </c>
      <c r="T1773" s="14">
        <f t="shared" si="70"/>
        <v>35</v>
      </c>
      <c r="U1773" s="14">
        <f t="shared" si="71"/>
        <v>35</v>
      </c>
      <c r="V1773" s="14"/>
      <c r="W1773" t="str">
        <f>IF(A1773=$A$1707,base!$I$3,IF(A1773=$A$1709,base!$I$2,IF(Receitas!A1773=Receitas!$A$1701,base!$I$4,"")))</f>
        <v>Christian Magon</v>
      </c>
      <c r="X1773" t="str">
        <f t="shared" si="72"/>
        <v>Laís da Silva Soares Cassiano</v>
      </c>
    </row>
    <row r="1774" spans="1:24">
      <c r="A1774" t="s">
        <v>519</v>
      </c>
      <c r="B1774" t="s">
        <v>163</v>
      </c>
      <c r="C1774" t="s">
        <v>2763</v>
      </c>
      <c r="D1774" s="14">
        <v>35</v>
      </c>
      <c r="E1774" s="14">
        <v>35</v>
      </c>
      <c r="F1774" s="13">
        <v>45780.420138888891</v>
      </c>
      <c r="G1774" t="s">
        <v>1</v>
      </c>
      <c r="H1774" t="s">
        <v>59</v>
      </c>
      <c r="I1774" t="str">
        <f>IF(A1774="","Pacote",IF(B1774=IFERROR(VLOOKUP(B1774,base!$L$1:$L$20,1,0),""),"Produtos",IF(B1774=IFERROR(VLOOKUP(B1774,base!$K$2:$K$20,1,0),""),"Serviços",IF(B1774="Gorjeta","Gorjeta","Combos"))))</f>
        <v>Serviços</v>
      </c>
      <c r="J1774">
        <f t="shared" si="63"/>
        <v>15.75</v>
      </c>
      <c r="K1774" s="1">
        <f t="shared" si="64"/>
        <v>45780.420138888891</v>
      </c>
      <c r="L1774" s="1">
        <f t="shared" si="65"/>
        <v>45780.420138888891</v>
      </c>
      <c r="M1774" s="1">
        <f t="shared" si="66"/>
        <v>45780.420138888891</v>
      </c>
      <c r="N1774" s="1"/>
      <c r="O1774" t="str">
        <f t="shared" si="67"/>
        <v>PIX</v>
      </c>
      <c r="P1774" t="s">
        <v>149</v>
      </c>
      <c r="Q1774" t="str">
        <f t="shared" si="68"/>
        <v>Serviços</v>
      </c>
      <c r="R1774" t="str">
        <f t="shared" si="69"/>
        <v>Corte</v>
      </c>
      <c r="T1774" s="14">
        <f t="shared" si="70"/>
        <v>35</v>
      </c>
      <c r="U1774" s="14">
        <f t="shared" si="71"/>
        <v>35</v>
      </c>
      <c r="V1774" s="14"/>
      <c r="W1774" t="str">
        <f>IF(A1774=$A$1707,base!$I$3,IF(A1774=$A$1709,base!$I$2,IF(Receitas!A1774=Receitas!$A$1701,base!$I$4,"")))</f>
        <v>Gustavo de Castro</v>
      </c>
      <c r="X1774" t="str">
        <f t="shared" si="72"/>
        <v>Maria Eduarda Pereira Camargo</v>
      </c>
    </row>
    <row r="1775" spans="1:24">
      <c r="A1775" t="s">
        <v>252</v>
      </c>
      <c r="B1775" t="s">
        <v>163</v>
      </c>
      <c r="C1775" t="s">
        <v>2764</v>
      </c>
      <c r="D1775" s="14">
        <v>35</v>
      </c>
      <c r="E1775" s="14">
        <v>35</v>
      </c>
      <c r="F1775" s="13">
        <v>45780.4375</v>
      </c>
      <c r="G1775" t="s">
        <v>2</v>
      </c>
      <c r="H1775" t="s">
        <v>417</v>
      </c>
      <c r="I1775" t="str">
        <f>IF(A1775="","Pacote",IF(B1775=IFERROR(VLOOKUP(B1775,base!$L$1:$L$20,1,0),""),"Produtos",IF(B1775=IFERROR(VLOOKUP(B1775,base!$K$2:$K$20,1,0),""),"Serviços",IF(B1775="Gorjeta","Gorjeta","Combos"))))</f>
        <v>Serviços</v>
      </c>
      <c r="J1775">
        <f t="shared" si="63"/>
        <v>15.75</v>
      </c>
      <c r="K1775" s="1">
        <f t="shared" si="64"/>
        <v>45780.4375</v>
      </c>
      <c r="L1775" s="1">
        <f t="shared" si="65"/>
        <v>45780.4375</v>
      </c>
      <c r="M1775" s="1">
        <f t="shared" si="66"/>
        <v>45780.4375</v>
      </c>
      <c r="N1775" s="1"/>
      <c r="O1775" t="str">
        <f t="shared" si="67"/>
        <v>Dinheiro</v>
      </c>
      <c r="P1775" t="s">
        <v>149</v>
      </c>
      <c r="Q1775" t="str">
        <f t="shared" si="68"/>
        <v>Serviços</v>
      </c>
      <c r="R1775" t="str">
        <f t="shared" si="69"/>
        <v>Corte</v>
      </c>
      <c r="T1775" s="14">
        <f t="shared" si="70"/>
        <v>35</v>
      </c>
      <c r="U1775" s="14">
        <f t="shared" si="71"/>
        <v>35</v>
      </c>
      <c r="V1775" s="14"/>
      <c r="W1775" t="str">
        <f>IF(A1775=$A$1707,base!$I$3,IF(A1775=$A$1709,base!$I$2,IF(Receitas!A1775=Receitas!$A$1701,base!$I$4,"")))</f>
        <v>Christian Magon</v>
      </c>
      <c r="X1775" t="str">
        <f t="shared" si="72"/>
        <v>DANIEL MOREIRA DA SILVA</v>
      </c>
    </row>
    <row r="1776" spans="1:24">
      <c r="A1776" t="s">
        <v>519</v>
      </c>
      <c r="B1776" t="s">
        <v>163</v>
      </c>
      <c r="C1776" t="s">
        <v>2765</v>
      </c>
      <c r="D1776" s="14">
        <v>40</v>
      </c>
      <c r="E1776" s="14">
        <v>40</v>
      </c>
      <c r="F1776" s="13">
        <v>45780.454861111109</v>
      </c>
      <c r="G1776" t="s">
        <v>1</v>
      </c>
      <c r="H1776" t="s">
        <v>1019</v>
      </c>
      <c r="I1776" t="str">
        <f>IF(A1776="","Pacote",IF(B1776=IFERROR(VLOOKUP(B1776,base!$L$1:$L$20,1,0),""),"Produtos",IF(B1776=IFERROR(VLOOKUP(B1776,base!$K$2:$K$20,1,0),""),"Serviços",IF(B1776="Gorjeta","Gorjeta","Combos"))))</f>
        <v>Serviços</v>
      </c>
      <c r="J1776">
        <f t="shared" si="63"/>
        <v>18</v>
      </c>
      <c r="K1776" s="1">
        <f t="shared" si="64"/>
        <v>45780.454861111109</v>
      </c>
      <c r="L1776" s="1">
        <f t="shared" si="65"/>
        <v>45780.454861111109</v>
      </c>
      <c r="M1776" s="1">
        <f t="shared" si="66"/>
        <v>45780.454861111109</v>
      </c>
      <c r="N1776" s="1"/>
      <c r="O1776" t="str">
        <f t="shared" si="67"/>
        <v>PIX</v>
      </c>
      <c r="P1776" t="s">
        <v>149</v>
      </c>
      <c r="Q1776" t="str">
        <f t="shared" si="68"/>
        <v>Serviços</v>
      </c>
      <c r="R1776" t="str">
        <f t="shared" si="69"/>
        <v>Corte</v>
      </c>
      <c r="T1776" s="14">
        <f t="shared" si="70"/>
        <v>40</v>
      </c>
      <c r="U1776" s="14">
        <f t="shared" si="71"/>
        <v>40</v>
      </c>
      <c r="V1776" s="14"/>
      <c r="W1776" t="str">
        <f>IF(A1776=$A$1707,base!$I$3,IF(A1776=$A$1709,base!$I$2,IF(Receitas!A1776=Receitas!$A$1701,base!$I$4,"")))</f>
        <v>Gustavo de Castro</v>
      </c>
      <c r="X1776" t="str">
        <f t="shared" si="72"/>
        <v>Felipe Fontes</v>
      </c>
    </row>
    <row r="1777" spans="1:24">
      <c r="A1777" t="s">
        <v>536</v>
      </c>
      <c r="B1777" t="s">
        <v>163</v>
      </c>
      <c r="C1777" t="s">
        <v>2766</v>
      </c>
      <c r="D1777" s="14">
        <v>35</v>
      </c>
      <c r="E1777" s="14">
        <v>60</v>
      </c>
      <c r="F1777" s="13">
        <v>45780.458333333336</v>
      </c>
      <c r="G1777" t="s">
        <v>1</v>
      </c>
      <c r="H1777" t="s">
        <v>1981</v>
      </c>
      <c r="I1777" t="str">
        <f>IF(A1777="","Pacote",IF(B1777=IFERROR(VLOOKUP(B1777,base!$L$1:$L$20,1,0),""),"Produtos",IF(B1777=IFERROR(VLOOKUP(B1777,base!$K$2:$K$20,1,0),""),"Serviços",IF(B1777="Gorjeta","Gorjeta","Combos"))))</f>
        <v>Serviços</v>
      </c>
      <c r="J1777">
        <f t="shared" si="63"/>
        <v>15.75</v>
      </c>
      <c r="K1777" s="1">
        <f t="shared" si="64"/>
        <v>45780.458333333336</v>
      </c>
      <c r="L1777" s="1">
        <f t="shared" si="65"/>
        <v>45780.458333333336</v>
      </c>
      <c r="M1777" s="1">
        <f t="shared" si="66"/>
        <v>45780.458333333336</v>
      </c>
      <c r="N1777" s="1"/>
      <c r="O1777" t="str">
        <f t="shared" si="67"/>
        <v>PIX</v>
      </c>
      <c r="P1777" t="s">
        <v>149</v>
      </c>
      <c r="Q1777" t="str">
        <f t="shared" si="68"/>
        <v>Serviços</v>
      </c>
      <c r="R1777" t="str">
        <f t="shared" si="69"/>
        <v>Corte</v>
      </c>
      <c r="T1777" s="14">
        <f t="shared" si="70"/>
        <v>35</v>
      </c>
      <c r="U1777" s="14">
        <f t="shared" si="71"/>
        <v>60</v>
      </c>
      <c r="V1777" s="14"/>
      <c r="W1777" t="str">
        <f>IF(A1777=$A$1707,base!$I$3,IF(A1777=$A$1709,base!$I$2,IF(Receitas!A1777=Receitas!$A$1701,base!$I$4,"")))</f>
        <v>PATRICK CARDOSO</v>
      </c>
      <c r="X1777" t="str">
        <f t="shared" si="72"/>
        <v>anderson terto</v>
      </c>
    </row>
    <row r="1778" spans="1:24">
      <c r="A1778" t="s">
        <v>536</v>
      </c>
      <c r="B1778" t="s">
        <v>2526</v>
      </c>
      <c r="C1778" t="s">
        <v>2766</v>
      </c>
      <c r="D1778" s="14">
        <v>25</v>
      </c>
      <c r="F1778" s="13">
        <v>45780.458333333336</v>
      </c>
      <c r="G1778" t="s">
        <v>1</v>
      </c>
      <c r="H1778" t="s">
        <v>1981</v>
      </c>
      <c r="I1778" t="str">
        <f>IF(A1778="","Pacote",IF(B1778=IFERROR(VLOOKUP(B1778,base!$L$1:$L$20,1,0),""),"Produtos",IF(B1778=IFERROR(VLOOKUP(B1778,base!$K$2:$K$20,1,0),""),"Serviços",IF(B1778="Gorjeta","Gorjeta","Combos"))))</f>
        <v>Produtos</v>
      </c>
      <c r="J1778">
        <f t="shared" si="63"/>
        <v>10</v>
      </c>
      <c r="K1778" s="1">
        <f t="shared" si="64"/>
        <v>45780.458333333336</v>
      </c>
      <c r="L1778" s="1">
        <f t="shared" si="65"/>
        <v>45780.458333333336</v>
      </c>
      <c r="M1778" s="1">
        <f t="shared" si="66"/>
        <v>45780.458333333336</v>
      </c>
      <c r="N1778" s="1"/>
      <c r="O1778" t="str">
        <f t="shared" si="67"/>
        <v>PIX</v>
      </c>
      <c r="P1778" t="s">
        <v>149</v>
      </c>
      <c r="Q1778" t="str">
        <f t="shared" si="68"/>
        <v>Produtos</v>
      </c>
      <c r="R1778" t="str">
        <f t="shared" si="69"/>
        <v>POMADA INCOLOR FOX</v>
      </c>
      <c r="T1778" s="14">
        <f t="shared" si="70"/>
        <v>25</v>
      </c>
      <c r="U1778" s="14">
        <f t="shared" si="71"/>
        <v>0</v>
      </c>
      <c r="V1778" s="14"/>
      <c r="W1778" t="str">
        <f>IF(A1778=$A$1707,base!$I$3,IF(A1778=$A$1709,base!$I$2,IF(Receitas!A1778=Receitas!$A$1701,base!$I$4,"")))</f>
        <v>PATRICK CARDOSO</v>
      </c>
      <c r="X1778" t="str">
        <f t="shared" si="72"/>
        <v>anderson terto</v>
      </c>
    </row>
    <row r="1779" spans="1:24">
      <c r="A1779" t="s">
        <v>519</v>
      </c>
      <c r="B1779" t="s">
        <v>166</v>
      </c>
      <c r="C1779" t="s">
        <v>2767</v>
      </c>
      <c r="D1779" s="14">
        <v>20</v>
      </c>
      <c r="E1779" s="14">
        <v>75</v>
      </c>
      <c r="F1779" s="13">
        <v>45780.583333333336</v>
      </c>
      <c r="G1779" t="s">
        <v>310</v>
      </c>
      <c r="H1779" t="s">
        <v>281</v>
      </c>
      <c r="I1779" t="str">
        <f>IF(A1779="","Pacote",IF(B1779=IFERROR(VLOOKUP(B1779,base!$L$1:$L$20,1,0),""),"Produtos",IF(B1779=IFERROR(VLOOKUP(B1779,base!$K$2:$K$20,1,0),""),"Serviços",IF(B1779="Gorjeta","Gorjeta","Combos"))))</f>
        <v>Serviços</v>
      </c>
      <c r="J1779">
        <f t="shared" si="63"/>
        <v>9</v>
      </c>
      <c r="K1779" s="1">
        <f t="shared" si="64"/>
        <v>45780.583333333336</v>
      </c>
      <c r="L1779" s="1">
        <f t="shared" si="65"/>
        <v>45780.583333333336</v>
      </c>
      <c r="M1779" s="1">
        <f t="shared" ref="M1779:M1842" si="73">F1779</f>
        <v>45780.583333333336</v>
      </c>
      <c r="N1779" s="1"/>
      <c r="O1779" t="str">
        <f t="shared" si="67"/>
        <v>Cartão de Débito</v>
      </c>
      <c r="P1779" t="s">
        <v>149</v>
      </c>
      <c r="Q1779" t="str">
        <f t="shared" si="68"/>
        <v>Serviços</v>
      </c>
      <c r="R1779" t="str">
        <f t="shared" si="69"/>
        <v>Pigmentação</v>
      </c>
      <c r="T1779" s="14">
        <f t="shared" si="70"/>
        <v>20</v>
      </c>
      <c r="U1779" s="14">
        <f t="shared" si="71"/>
        <v>75</v>
      </c>
      <c r="V1779" s="14"/>
      <c r="W1779" t="str">
        <f>IF(A1779=$A$1707,base!$I$3,IF(A1779=$A$1709,base!$I$2,IF(Receitas!A1779=Receitas!$A$1701,base!$I$4,"")))</f>
        <v>Gustavo de Castro</v>
      </c>
      <c r="X1779" t="str">
        <f t="shared" si="72"/>
        <v>Jonas evangelista</v>
      </c>
    </row>
    <row r="1780" spans="1:24">
      <c r="A1780" t="s">
        <v>252</v>
      </c>
      <c r="B1780" t="s">
        <v>163</v>
      </c>
      <c r="C1780" t="s">
        <v>2767</v>
      </c>
      <c r="D1780" s="14">
        <v>35</v>
      </c>
      <c r="F1780" s="13">
        <v>45780.583333333336</v>
      </c>
      <c r="G1780" t="s">
        <v>310</v>
      </c>
      <c r="H1780" t="s">
        <v>281</v>
      </c>
      <c r="I1780" t="str">
        <f>IF(A1780="","Pacote",IF(B1780=IFERROR(VLOOKUP(B1780,base!$L$1:$L$20,1,0),""),"Produtos",IF(B1780=IFERROR(VLOOKUP(B1780,base!$K$2:$K$20,1,0),""),"Serviços",IF(B1780="Gorjeta","Gorjeta","Combos"))))</f>
        <v>Serviços</v>
      </c>
      <c r="J1780">
        <f t="shared" ref="J1780:J1843" si="74">IF(AND(I1780="Serviços",E1780&gt;0),ROUND(D1780*45%,2),IF(I1780="Produtos",ROUND(D1780*40%,2),D1780*45%))</f>
        <v>15.75</v>
      </c>
      <c r="K1780" s="1">
        <f t="shared" ref="K1780:K1843" si="75">F1780</f>
        <v>45780.583333333336</v>
      </c>
      <c r="L1780" s="1">
        <f t="shared" ref="L1780:L1843" si="76">F1780</f>
        <v>45780.583333333336</v>
      </c>
      <c r="M1780" s="1">
        <f t="shared" si="73"/>
        <v>45780.583333333336</v>
      </c>
      <c r="N1780" s="1"/>
      <c r="O1780" t="str">
        <f t="shared" ref="O1780:O1843" si="77">G1780</f>
        <v>Cartão de Débito</v>
      </c>
      <c r="P1780" t="s">
        <v>149</v>
      </c>
      <c r="Q1780" t="str">
        <f t="shared" ref="Q1780:Q1843" si="78">I1780</f>
        <v>Serviços</v>
      </c>
      <c r="R1780" t="str">
        <f t="shared" ref="R1780:R1843" si="79">B1780</f>
        <v>Corte</v>
      </c>
      <c r="T1780" s="14">
        <f t="shared" ref="T1780:T1843" si="80">D1780</f>
        <v>35</v>
      </c>
      <c r="U1780" s="14">
        <f t="shared" ref="U1780:U1843" si="81">E1780</f>
        <v>0</v>
      </c>
      <c r="V1780" s="14"/>
      <c r="W1780" t="str">
        <f>IF(A1780=$A$1707,base!$I$3,IF(A1780=$A$1709,base!$I$2,IF(Receitas!A1780=Receitas!$A$1701,base!$I$4,"")))</f>
        <v>Christian Magon</v>
      </c>
      <c r="X1780" t="str">
        <f t="shared" ref="X1780:X1843" si="82">H1780</f>
        <v>Jonas evangelista</v>
      </c>
    </row>
    <row r="1781" spans="1:24">
      <c r="A1781" t="s">
        <v>252</v>
      </c>
      <c r="B1781" t="s">
        <v>166</v>
      </c>
      <c r="C1781" t="s">
        <v>2767</v>
      </c>
      <c r="D1781" s="14">
        <v>20</v>
      </c>
      <c r="F1781" s="13">
        <v>45780.583333333336</v>
      </c>
      <c r="G1781" t="s">
        <v>310</v>
      </c>
      <c r="H1781" t="s">
        <v>281</v>
      </c>
      <c r="I1781" t="str">
        <f>IF(A1781="","Pacote",IF(B1781=IFERROR(VLOOKUP(B1781,base!$L$1:$L$20,1,0),""),"Produtos",IF(B1781=IFERROR(VLOOKUP(B1781,base!$K$2:$K$20,1,0),""),"Serviços",IF(B1781="Gorjeta","Gorjeta","Combos"))))</f>
        <v>Serviços</v>
      </c>
      <c r="J1781">
        <f t="shared" si="74"/>
        <v>9</v>
      </c>
      <c r="K1781" s="1">
        <f t="shared" si="75"/>
        <v>45780.583333333336</v>
      </c>
      <c r="L1781" s="1">
        <f t="shared" si="76"/>
        <v>45780.583333333336</v>
      </c>
      <c r="M1781" s="1">
        <f t="shared" si="73"/>
        <v>45780.583333333336</v>
      </c>
      <c r="N1781" s="1"/>
      <c r="O1781" t="str">
        <f t="shared" si="77"/>
        <v>Cartão de Débito</v>
      </c>
      <c r="P1781" t="s">
        <v>149</v>
      </c>
      <c r="Q1781" t="str">
        <f t="shared" si="78"/>
        <v>Serviços</v>
      </c>
      <c r="R1781" t="str">
        <f t="shared" si="79"/>
        <v>Pigmentação</v>
      </c>
      <c r="T1781" s="14">
        <f t="shared" si="80"/>
        <v>20</v>
      </c>
      <c r="U1781" s="14">
        <f t="shared" si="81"/>
        <v>0</v>
      </c>
      <c r="V1781" s="14"/>
      <c r="W1781" t="str">
        <f>IF(A1781=$A$1707,base!$I$3,IF(A1781=$A$1709,base!$I$2,IF(Receitas!A1781=Receitas!$A$1701,base!$I$4,"")))</f>
        <v>Christian Magon</v>
      </c>
      <c r="X1781" t="str">
        <f t="shared" si="82"/>
        <v>Jonas evangelista</v>
      </c>
    </row>
    <row r="1782" spans="1:24">
      <c r="A1782" t="s">
        <v>536</v>
      </c>
      <c r="B1782" t="s">
        <v>353</v>
      </c>
      <c r="C1782" t="s">
        <v>2768</v>
      </c>
      <c r="D1782" s="14">
        <v>55</v>
      </c>
      <c r="E1782" s="14">
        <v>55</v>
      </c>
      <c r="F1782" s="13">
        <v>45780.489583333336</v>
      </c>
      <c r="G1782" t="s">
        <v>310</v>
      </c>
      <c r="H1782" t="s">
        <v>1317</v>
      </c>
      <c r="I1782" t="str">
        <f>IF(A1782="","Pacote",IF(B1782=IFERROR(VLOOKUP(B1782,base!$L$1:$L$20,1,0),""),"Produtos",IF(B1782=IFERROR(VLOOKUP(B1782,base!$K$2:$K$20,1,0),""),"Serviços",IF(B1782="Gorjeta","Gorjeta","Combos"))))</f>
        <v>Combos</v>
      </c>
      <c r="J1782">
        <f t="shared" si="74"/>
        <v>24.75</v>
      </c>
      <c r="K1782" s="1">
        <f t="shared" si="75"/>
        <v>45780.489583333336</v>
      </c>
      <c r="L1782" s="1">
        <f t="shared" si="76"/>
        <v>45780.489583333336</v>
      </c>
      <c r="M1782" s="1">
        <f t="shared" si="73"/>
        <v>45780.489583333336</v>
      </c>
      <c r="N1782" s="1"/>
      <c r="O1782" t="str">
        <f t="shared" si="77"/>
        <v>Cartão de Débito</v>
      </c>
      <c r="P1782" t="s">
        <v>149</v>
      </c>
      <c r="Q1782" t="str">
        <f t="shared" si="78"/>
        <v>Combos</v>
      </c>
      <c r="R1782" t="str">
        <f t="shared" si="79"/>
        <v>Combo ( Corte + Barba )</v>
      </c>
      <c r="T1782" s="14">
        <f t="shared" si="80"/>
        <v>55</v>
      </c>
      <c r="U1782" s="14">
        <f t="shared" si="81"/>
        <v>55</v>
      </c>
      <c r="V1782" s="14"/>
      <c r="W1782" t="str">
        <f>IF(A1782=$A$1707,base!$I$3,IF(A1782=$A$1709,base!$I$2,IF(Receitas!A1782=Receitas!$A$1701,base!$I$4,"")))</f>
        <v>PATRICK CARDOSO</v>
      </c>
      <c r="X1782" t="str">
        <f t="shared" si="82"/>
        <v>Naldo Fidelis</v>
      </c>
    </row>
    <row r="1783" spans="1:24">
      <c r="A1783" t="s">
        <v>519</v>
      </c>
      <c r="B1783" t="s">
        <v>163</v>
      </c>
      <c r="C1783" t="s">
        <v>2769</v>
      </c>
      <c r="D1783" s="14">
        <v>35</v>
      </c>
      <c r="E1783" s="14">
        <v>35</v>
      </c>
      <c r="F1783" s="13">
        <v>45780.59375</v>
      </c>
      <c r="G1783" t="s">
        <v>310</v>
      </c>
      <c r="H1783" t="s">
        <v>377</v>
      </c>
      <c r="I1783" t="str">
        <f>IF(A1783="","Pacote",IF(B1783=IFERROR(VLOOKUP(B1783,base!$L$1:$L$20,1,0),""),"Produtos",IF(B1783=IFERROR(VLOOKUP(B1783,base!$K$2:$K$20,1,0),""),"Serviços",IF(B1783="Gorjeta","Gorjeta","Combos"))))</f>
        <v>Serviços</v>
      </c>
      <c r="J1783">
        <f t="shared" si="74"/>
        <v>15.75</v>
      </c>
      <c r="K1783" s="1">
        <f t="shared" si="75"/>
        <v>45780.59375</v>
      </c>
      <c r="L1783" s="1">
        <f t="shared" si="76"/>
        <v>45780.59375</v>
      </c>
      <c r="M1783" s="1">
        <f t="shared" si="73"/>
        <v>45780.59375</v>
      </c>
      <c r="N1783" s="1"/>
      <c r="O1783" t="str">
        <f t="shared" si="77"/>
        <v>Cartão de Débito</v>
      </c>
      <c r="P1783" t="s">
        <v>149</v>
      </c>
      <c r="Q1783" t="str">
        <f t="shared" si="78"/>
        <v>Serviços</v>
      </c>
      <c r="R1783" t="str">
        <f t="shared" si="79"/>
        <v>Corte</v>
      </c>
      <c r="T1783" s="14">
        <f t="shared" si="80"/>
        <v>35</v>
      </c>
      <c r="U1783" s="14">
        <f t="shared" si="81"/>
        <v>35</v>
      </c>
      <c r="V1783" s="14"/>
      <c r="W1783" t="str">
        <f>IF(A1783=$A$1707,base!$I$3,IF(A1783=$A$1709,base!$I$2,IF(Receitas!A1783=Receitas!$A$1701,base!$I$4,"")))</f>
        <v>Gustavo de Castro</v>
      </c>
      <c r="X1783" t="str">
        <f t="shared" si="82"/>
        <v>Jonatan</v>
      </c>
    </row>
    <row r="1784" spans="1:24">
      <c r="A1784" t="s">
        <v>519</v>
      </c>
      <c r="B1784" t="s">
        <v>163</v>
      </c>
      <c r="C1784" t="s">
        <v>2770</v>
      </c>
      <c r="D1784" s="14">
        <v>35</v>
      </c>
      <c r="E1784" s="14">
        <v>35</v>
      </c>
      <c r="F1784" s="13">
        <v>45780.53125</v>
      </c>
      <c r="G1784" t="s">
        <v>354</v>
      </c>
      <c r="H1784" t="s">
        <v>2771</v>
      </c>
      <c r="I1784" t="str">
        <f>IF(A1784="","Pacote",IF(B1784=IFERROR(VLOOKUP(B1784,base!$L$1:$L$20,1,0),""),"Produtos",IF(B1784=IFERROR(VLOOKUP(B1784,base!$K$2:$K$20,1,0),""),"Serviços",IF(B1784="Gorjeta","Gorjeta","Combos"))))</f>
        <v>Serviços</v>
      </c>
      <c r="J1784">
        <f t="shared" si="74"/>
        <v>15.75</v>
      </c>
      <c r="K1784" s="1">
        <f t="shared" si="75"/>
        <v>45780.53125</v>
      </c>
      <c r="L1784" s="1">
        <f t="shared" si="76"/>
        <v>45780.53125</v>
      </c>
      <c r="M1784" s="1">
        <f t="shared" si="73"/>
        <v>45780.53125</v>
      </c>
      <c r="N1784" s="1"/>
      <c r="O1784" t="str">
        <f t="shared" si="77"/>
        <v>Cartão de Crédito</v>
      </c>
      <c r="P1784" t="s">
        <v>149</v>
      </c>
      <c r="Q1784" t="str">
        <f t="shared" si="78"/>
        <v>Serviços</v>
      </c>
      <c r="R1784" t="str">
        <f t="shared" si="79"/>
        <v>Corte</v>
      </c>
      <c r="T1784" s="14">
        <f t="shared" si="80"/>
        <v>35</v>
      </c>
      <c r="U1784" s="14">
        <f t="shared" si="81"/>
        <v>35</v>
      </c>
      <c r="V1784" s="14"/>
      <c r="W1784" t="str">
        <f>IF(A1784=$A$1707,base!$I$3,IF(A1784=$A$1709,base!$I$2,IF(Receitas!A1784=Receitas!$A$1701,base!$I$4,"")))</f>
        <v>Gustavo de Castro</v>
      </c>
      <c r="X1784" t="str">
        <f t="shared" si="82"/>
        <v>guilherme saldanha</v>
      </c>
    </row>
    <row r="1785" spans="1:24">
      <c r="A1785" t="s">
        <v>252</v>
      </c>
      <c r="B1785" t="s">
        <v>353</v>
      </c>
      <c r="C1785" t="s">
        <v>2772</v>
      </c>
      <c r="D1785" s="14">
        <v>60</v>
      </c>
      <c r="E1785" s="14">
        <v>100</v>
      </c>
      <c r="F1785" s="13">
        <v>45780.541666666664</v>
      </c>
      <c r="G1785" t="s">
        <v>1</v>
      </c>
      <c r="H1785" t="s">
        <v>1823</v>
      </c>
      <c r="I1785" t="str">
        <f>IF(A1785="","Pacote",IF(B1785=IFERROR(VLOOKUP(B1785,base!$L$1:$L$20,1,0),""),"Produtos",IF(B1785=IFERROR(VLOOKUP(B1785,base!$K$2:$K$20,1,0),""),"Serviços",IF(B1785="Gorjeta","Gorjeta","Combos"))))</f>
        <v>Combos</v>
      </c>
      <c r="J1785">
        <f t="shared" si="74"/>
        <v>27</v>
      </c>
      <c r="K1785" s="1">
        <f t="shared" si="75"/>
        <v>45780.541666666664</v>
      </c>
      <c r="L1785" s="1">
        <f t="shared" si="76"/>
        <v>45780.541666666664</v>
      </c>
      <c r="M1785" s="1">
        <f t="shared" si="73"/>
        <v>45780.541666666664</v>
      </c>
      <c r="N1785" s="1"/>
      <c r="O1785" t="str">
        <f t="shared" si="77"/>
        <v>PIX</v>
      </c>
      <c r="P1785" t="s">
        <v>149</v>
      </c>
      <c r="Q1785" t="str">
        <f t="shared" si="78"/>
        <v>Combos</v>
      </c>
      <c r="R1785" t="str">
        <f t="shared" si="79"/>
        <v>Combo ( Corte + Barba )</v>
      </c>
      <c r="T1785" s="14">
        <f t="shared" si="80"/>
        <v>60</v>
      </c>
      <c r="U1785" s="14">
        <f t="shared" si="81"/>
        <v>100</v>
      </c>
      <c r="V1785" s="14"/>
      <c r="W1785" t="str">
        <f>IF(A1785=$A$1707,base!$I$3,IF(A1785=$A$1709,base!$I$2,IF(Receitas!A1785=Receitas!$A$1701,base!$I$4,"")))</f>
        <v>Christian Magon</v>
      </c>
      <c r="X1785" t="str">
        <f t="shared" si="82"/>
        <v>marco aurelio souza</v>
      </c>
    </row>
    <row r="1786" spans="1:24">
      <c r="A1786" t="s">
        <v>252</v>
      </c>
      <c r="B1786" t="s">
        <v>2477</v>
      </c>
      <c r="C1786" t="s">
        <v>2772</v>
      </c>
      <c r="D1786" s="14">
        <v>25</v>
      </c>
      <c r="F1786" s="13">
        <v>45780.541666666664</v>
      </c>
      <c r="G1786" t="s">
        <v>1</v>
      </c>
      <c r="H1786" t="s">
        <v>1823</v>
      </c>
      <c r="I1786" t="str">
        <f>IF(A1786="","Pacote",IF(B1786=IFERROR(VLOOKUP(B1786,base!$L$1:$L$20,1,0),""),"Produtos",IF(B1786=IFERROR(VLOOKUP(B1786,base!$K$2:$K$20,1,0),""),"Serviços",IF(B1786="Gorjeta","Gorjeta","Combos"))))</f>
        <v>Produtos</v>
      </c>
      <c r="J1786">
        <f t="shared" si="74"/>
        <v>10</v>
      </c>
      <c r="K1786" s="1">
        <f t="shared" si="75"/>
        <v>45780.541666666664</v>
      </c>
      <c r="L1786" s="1">
        <f t="shared" si="76"/>
        <v>45780.541666666664</v>
      </c>
      <c r="M1786" s="1">
        <f t="shared" si="73"/>
        <v>45780.541666666664</v>
      </c>
      <c r="N1786" s="1"/>
      <c r="O1786" t="str">
        <f t="shared" si="77"/>
        <v>PIX</v>
      </c>
      <c r="P1786" t="s">
        <v>149</v>
      </c>
      <c r="Q1786" t="str">
        <f t="shared" si="78"/>
        <v>Produtos</v>
      </c>
      <c r="R1786" t="str">
        <f t="shared" si="79"/>
        <v>pasta caramelo fox</v>
      </c>
      <c r="T1786" s="14">
        <f t="shared" si="80"/>
        <v>25</v>
      </c>
      <c r="U1786" s="14">
        <f t="shared" si="81"/>
        <v>0</v>
      </c>
      <c r="V1786" s="14"/>
      <c r="W1786" t="str">
        <f>IF(A1786=$A$1707,base!$I$3,IF(A1786=$A$1709,base!$I$2,IF(Receitas!A1786=Receitas!$A$1701,base!$I$4,"")))</f>
        <v>Christian Magon</v>
      </c>
      <c r="X1786" t="str">
        <f t="shared" si="82"/>
        <v>marco aurelio souza</v>
      </c>
    </row>
    <row r="1787" spans="1:24">
      <c r="A1787" t="s">
        <v>252</v>
      </c>
      <c r="B1787" t="s">
        <v>910</v>
      </c>
      <c r="C1787" t="s">
        <v>2772</v>
      </c>
      <c r="D1787" s="14">
        <v>15</v>
      </c>
      <c r="F1787" s="13">
        <v>45780.541666666664</v>
      </c>
      <c r="G1787" t="s">
        <v>1</v>
      </c>
      <c r="H1787" t="s">
        <v>1823</v>
      </c>
      <c r="I1787" t="str">
        <f>IF(A1787="","Pacote",IF(B1787=IFERROR(VLOOKUP(B1787,base!$L$1:$L$20,1,0),""),"Produtos",IF(B1787=IFERROR(VLOOKUP(B1787,base!$K$2:$K$20,1,0),""),"Serviços",IF(B1787="Gorjeta","Gorjeta","Combos"))))</f>
        <v>Gorjeta</v>
      </c>
      <c r="J1787">
        <f t="shared" si="74"/>
        <v>6.75</v>
      </c>
      <c r="K1787" s="1">
        <f t="shared" si="75"/>
        <v>45780.541666666664</v>
      </c>
      <c r="L1787" s="1">
        <f t="shared" si="76"/>
        <v>45780.541666666664</v>
      </c>
      <c r="M1787" s="1">
        <f t="shared" si="73"/>
        <v>45780.541666666664</v>
      </c>
      <c r="N1787" s="1"/>
      <c r="O1787" t="str">
        <f t="shared" si="77"/>
        <v>PIX</v>
      </c>
      <c r="P1787" t="s">
        <v>149</v>
      </c>
      <c r="Q1787" t="str">
        <f t="shared" si="78"/>
        <v>Gorjeta</v>
      </c>
      <c r="R1787" t="str">
        <f t="shared" si="79"/>
        <v>Gorjeta</v>
      </c>
      <c r="T1787" s="14">
        <f t="shared" si="80"/>
        <v>15</v>
      </c>
      <c r="U1787" s="14">
        <f t="shared" si="81"/>
        <v>0</v>
      </c>
      <c r="V1787" s="14"/>
      <c r="W1787" t="str">
        <f>IF(A1787=$A$1707,base!$I$3,IF(A1787=$A$1709,base!$I$2,IF(Receitas!A1787=Receitas!$A$1701,base!$I$4,"")))</f>
        <v>Christian Magon</v>
      </c>
      <c r="X1787" t="str">
        <f t="shared" si="82"/>
        <v>marco aurelio souza</v>
      </c>
    </row>
    <row r="1788" spans="1:24">
      <c r="A1788" t="s">
        <v>252</v>
      </c>
      <c r="B1788" t="s">
        <v>353</v>
      </c>
      <c r="C1788" t="s">
        <v>2773</v>
      </c>
      <c r="D1788" s="14">
        <v>60</v>
      </c>
      <c r="E1788" s="14">
        <v>60</v>
      </c>
      <c r="F1788" s="13">
        <v>45780.770833333336</v>
      </c>
      <c r="G1788" t="s">
        <v>1</v>
      </c>
      <c r="H1788" t="s">
        <v>1049</v>
      </c>
      <c r="I1788" t="str">
        <f>IF(A1788="","Pacote",IF(B1788=IFERROR(VLOOKUP(B1788,base!$L$1:$L$20,1,0),""),"Produtos",IF(B1788=IFERROR(VLOOKUP(B1788,base!$K$2:$K$20,1,0),""),"Serviços",IF(B1788="Gorjeta","Gorjeta","Combos"))))</f>
        <v>Combos</v>
      </c>
      <c r="J1788">
        <f t="shared" si="74"/>
        <v>27</v>
      </c>
      <c r="K1788" s="1">
        <f t="shared" si="75"/>
        <v>45780.770833333336</v>
      </c>
      <c r="L1788" s="1">
        <f t="shared" si="76"/>
        <v>45780.770833333336</v>
      </c>
      <c r="M1788" s="1">
        <f t="shared" si="73"/>
        <v>45780.770833333336</v>
      </c>
      <c r="N1788" s="1"/>
      <c r="O1788" t="str">
        <f t="shared" si="77"/>
        <v>PIX</v>
      </c>
      <c r="P1788" t="s">
        <v>149</v>
      </c>
      <c r="Q1788" t="str">
        <f t="shared" si="78"/>
        <v>Combos</v>
      </c>
      <c r="R1788" t="str">
        <f t="shared" si="79"/>
        <v>Combo ( Corte + Barba )</v>
      </c>
      <c r="T1788" s="14">
        <f t="shared" si="80"/>
        <v>60</v>
      </c>
      <c r="U1788" s="14">
        <f t="shared" si="81"/>
        <v>60</v>
      </c>
      <c r="V1788" s="14"/>
      <c r="W1788" t="str">
        <f>IF(A1788=$A$1707,base!$I$3,IF(A1788=$A$1709,base!$I$2,IF(Receitas!A1788=Receitas!$A$1701,base!$I$4,"")))</f>
        <v>Christian Magon</v>
      </c>
      <c r="X1788" t="str">
        <f t="shared" si="82"/>
        <v>Matheus Magon</v>
      </c>
    </row>
    <row r="1789" spans="1:24">
      <c r="A1789" t="s">
        <v>519</v>
      </c>
      <c r="B1789" t="s">
        <v>163</v>
      </c>
      <c r="C1789" t="s">
        <v>2774</v>
      </c>
      <c r="D1789" s="14">
        <v>35</v>
      </c>
      <c r="E1789" s="14">
        <v>35</v>
      </c>
      <c r="F1789" s="13">
        <v>45780.604166666664</v>
      </c>
      <c r="G1789" t="s">
        <v>2</v>
      </c>
      <c r="H1789" t="s">
        <v>2775</v>
      </c>
      <c r="I1789" t="str">
        <f>IF(A1789="","Pacote",IF(B1789=IFERROR(VLOOKUP(B1789,base!$L$1:$L$20,1,0),""),"Produtos",IF(B1789=IFERROR(VLOOKUP(B1789,base!$K$2:$K$20,1,0),""),"Serviços",IF(B1789="Gorjeta","Gorjeta","Combos"))))</f>
        <v>Serviços</v>
      </c>
      <c r="J1789">
        <f t="shared" si="74"/>
        <v>15.75</v>
      </c>
      <c r="K1789" s="1">
        <f t="shared" si="75"/>
        <v>45780.604166666664</v>
      </c>
      <c r="L1789" s="1">
        <f t="shared" si="76"/>
        <v>45780.604166666664</v>
      </c>
      <c r="M1789" s="1">
        <f t="shared" si="73"/>
        <v>45780.604166666664</v>
      </c>
      <c r="N1789" s="1"/>
      <c r="O1789" t="str">
        <f t="shared" si="77"/>
        <v>Dinheiro</v>
      </c>
      <c r="P1789" t="s">
        <v>149</v>
      </c>
      <c r="Q1789" t="str">
        <f t="shared" si="78"/>
        <v>Serviços</v>
      </c>
      <c r="R1789" t="str">
        <f t="shared" si="79"/>
        <v>Corte</v>
      </c>
      <c r="T1789" s="14">
        <f t="shared" si="80"/>
        <v>35</v>
      </c>
      <c r="U1789" s="14">
        <f t="shared" si="81"/>
        <v>35</v>
      </c>
      <c r="V1789" s="14"/>
      <c r="W1789" t="str">
        <f>IF(A1789=$A$1707,base!$I$3,IF(A1789=$A$1709,base!$I$2,IF(Receitas!A1789=Receitas!$A$1701,base!$I$4,"")))</f>
        <v>Gustavo de Castro</v>
      </c>
      <c r="X1789" t="str">
        <f t="shared" si="82"/>
        <v>Fellipe Pinho</v>
      </c>
    </row>
    <row r="1790" spans="1:24">
      <c r="A1790" t="s">
        <v>536</v>
      </c>
      <c r="B1790" t="s">
        <v>353</v>
      </c>
      <c r="C1790" t="s">
        <v>2776</v>
      </c>
      <c r="D1790" s="14">
        <v>55</v>
      </c>
      <c r="E1790" s="14">
        <v>80</v>
      </c>
      <c r="F1790" s="13">
        <v>45780.625</v>
      </c>
      <c r="G1790" t="s">
        <v>1</v>
      </c>
      <c r="H1790" t="s">
        <v>502</v>
      </c>
      <c r="I1790" t="str">
        <f>IF(A1790="","Pacote",IF(B1790=IFERROR(VLOOKUP(B1790,base!$L$1:$L$20,1,0),""),"Produtos",IF(B1790=IFERROR(VLOOKUP(B1790,base!$K$2:$K$20,1,0),""),"Serviços",IF(B1790="Gorjeta","Gorjeta","Combos"))))</f>
        <v>Combos</v>
      </c>
      <c r="J1790">
        <f t="shared" si="74"/>
        <v>24.75</v>
      </c>
      <c r="K1790" s="1">
        <f t="shared" si="75"/>
        <v>45780.625</v>
      </c>
      <c r="L1790" s="1">
        <f t="shared" si="76"/>
        <v>45780.625</v>
      </c>
      <c r="M1790" s="1">
        <f t="shared" si="73"/>
        <v>45780.625</v>
      </c>
      <c r="N1790" s="1"/>
      <c r="O1790" t="str">
        <f t="shared" si="77"/>
        <v>PIX</v>
      </c>
      <c r="P1790" t="s">
        <v>149</v>
      </c>
      <c r="Q1790" t="str">
        <f t="shared" si="78"/>
        <v>Combos</v>
      </c>
      <c r="R1790" t="str">
        <f t="shared" si="79"/>
        <v>Combo ( Corte + Barba )</v>
      </c>
      <c r="T1790" s="14">
        <f t="shared" si="80"/>
        <v>55</v>
      </c>
      <c r="U1790" s="14">
        <f t="shared" si="81"/>
        <v>80</v>
      </c>
      <c r="V1790" s="14"/>
      <c r="W1790" t="str">
        <f>IF(A1790=$A$1707,base!$I$3,IF(A1790=$A$1709,base!$I$2,IF(Receitas!A1790=Receitas!$A$1701,base!$I$4,"")))</f>
        <v>PATRICK CARDOSO</v>
      </c>
      <c r="X1790" t="str">
        <f t="shared" si="82"/>
        <v>Flavio Fernandes</v>
      </c>
    </row>
    <row r="1791" spans="1:24">
      <c r="A1791" t="s">
        <v>536</v>
      </c>
      <c r="B1791" t="s">
        <v>910</v>
      </c>
      <c r="C1791" t="s">
        <v>2776</v>
      </c>
      <c r="D1791" s="14">
        <v>25</v>
      </c>
      <c r="F1791" s="13">
        <v>45780.625</v>
      </c>
      <c r="G1791" t="s">
        <v>1</v>
      </c>
      <c r="H1791" t="s">
        <v>502</v>
      </c>
      <c r="I1791" t="str">
        <f>IF(A1791="","Pacote",IF(B1791=IFERROR(VLOOKUP(B1791,base!$L$1:$L$20,1,0),""),"Produtos",IF(B1791=IFERROR(VLOOKUP(B1791,base!$K$2:$K$20,1,0),""),"Serviços",IF(B1791="Gorjeta","Gorjeta","Combos"))))</f>
        <v>Gorjeta</v>
      </c>
      <c r="J1791">
        <f t="shared" si="74"/>
        <v>11.25</v>
      </c>
      <c r="K1791" s="1">
        <f t="shared" si="75"/>
        <v>45780.625</v>
      </c>
      <c r="L1791" s="1">
        <f t="shared" si="76"/>
        <v>45780.625</v>
      </c>
      <c r="M1791" s="1">
        <f t="shared" si="73"/>
        <v>45780.625</v>
      </c>
      <c r="N1791" s="1"/>
      <c r="O1791" t="str">
        <f t="shared" si="77"/>
        <v>PIX</v>
      </c>
      <c r="P1791" t="s">
        <v>149</v>
      </c>
      <c r="Q1791" t="str">
        <f t="shared" si="78"/>
        <v>Gorjeta</v>
      </c>
      <c r="R1791" t="str">
        <f t="shared" si="79"/>
        <v>Gorjeta</v>
      </c>
      <c r="T1791" s="14">
        <f t="shared" si="80"/>
        <v>25</v>
      </c>
      <c r="U1791" s="14">
        <f t="shared" si="81"/>
        <v>0</v>
      </c>
      <c r="V1791" s="14"/>
      <c r="W1791" t="str">
        <f>IF(A1791=$A$1707,base!$I$3,IF(A1791=$A$1709,base!$I$2,IF(Receitas!A1791=Receitas!$A$1701,base!$I$4,"")))</f>
        <v>PATRICK CARDOSO</v>
      </c>
      <c r="X1791" t="str">
        <f t="shared" si="82"/>
        <v>Flavio Fernandes</v>
      </c>
    </row>
    <row r="1792" spans="1:24">
      <c r="A1792" t="s">
        <v>519</v>
      </c>
      <c r="B1792" t="s">
        <v>160</v>
      </c>
      <c r="C1792" t="s">
        <v>2777</v>
      </c>
      <c r="D1792" s="14">
        <v>12</v>
      </c>
      <c r="E1792" s="14">
        <v>12</v>
      </c>
      <c r="F1792" s="13">
        <v>45780.708333333336</v>
      </c>
      <c r="G1792" t="s">
        <v>2</v>
      </c>
      <c r="H1792" t="s">
        <v>115</v>
      </c>
      <c r="I1792" t="str">
        <f>IF(A1792="","Pacote",IF(B1792=IFERROR(VLOOKUP(B1792,base!$L$1:$L$20,1,0),""),"Produtos",IF(B1792=IFERROR(VLOOKUP(B1792,base!$K$2:$K$20,1,0),""),"Serviços",IF(B1792="Gorjeta","Gorjeta","Combos"))))</f>
        <v>Serviços</v>
      </c>
      <c r="J1792">
        <f t="shared" si="74"/>
        <v>5.4</v>
      </c>
      <c r="K1792" s="1">
        <f t="shared" si="75"/>
        <v>45780.708333333336</v>
      </c>
      <c r="L1792" s="1">
        <f t="shared" si="76"/>
        <v>45780.708333333336</v>
      </c>
      <c r="M1792" s="1">
        <f t="shared" si="73"/>
        <v>45780.708333333336</v>
      </c>
      <c r="N1792" s="1"/>
      <c r="O1792" t="str">
        <f t="shared" si="77"/>
        <v>Dinheiro</v>
      </c>
      <c r="P1792" t="s">
        <v>149</v>
      </c>
      <c r="Q1792" t="str">
        <f t="shared" si="78"/>
        <v>Serviços</v>
      </c>
      <c r="R1792" t="str">
        <f t="shared" si="79"/>
        <v>Acabamento</v>
      </c>
      <c r="T1792" s="14">
        <f t="shared" si="80"/>
        <v>12</v>
      </c>
      <c r="U1792" s="14">
        <f t="shared" si="81"/>
        <v>12</v>
      </c>
      <c r="V1792" s="14"/>
      <c r="W1792" t="str">
        <f>IF(A1792=$A$1707,base!$I$3,IF(A1792=$A$1709,base!$I$2,IF(Receitas!A1792=Receitas!$A$1701,base!$I$4,"")))</f>
        <v>Gustavo de Castro</v>
      </c>
      <c r="X1792" t="str">
        <f t="shared" si="82"/>
        <v>Cleyton Correa cordeiro</v>
      </c>
    </row>
    <row r="1793" spans="1:24">
      <c r="A1793" t="s">
        <v>536</v>
      </c>
      <c r="B1793" t="s">
        <v>163</v>
      </c>
      <c r="C1793" t="s">
        <v>2778</v>
      </c>
      <c r="D1793" s="14">
        <v>35</v>
      </c>
      <c r="E1793" s="14">
        <v>40</v>
      </c>
      <c r="F1793" s="13">
        <v>45780.6875</v>
      </c>
      <c r="G1793" t="s">
        <v>2</v>
      </c>
      <c r="H1793" t="s">
        <v>382</v>
      </c>
      <c r="I1793" t="str">
        <f>IF(A1793="","Pacote",IF(B1793=IFERROR(VLOOKUP(B1793,base!$L$1:$L$20,1,0),""),"Produtos",IF(B1793=IFERROR(VLOOKUP(B1793,base!$K$2:$K$20,1,0),""),"Serviços",IF(B1793="Gorjeta","Gorjeta","Combos"))))</f>
        <v>Serviços</v>
      </c>
      <c r="J1793">
        <f t="shared" si="74"/>
        <v>15.75</v>
      </c>
      <c r="K1793" s="1">
        <f t="shared" si="75"/>
        <v>45780.6875</v>
      </c>
      <c r="L1793" s="1">
        <f t="shared" si="76"/>
        <v>45780.6875</v>
      </c>
      <c r="M1793" s="1">
        <f t="shared" si="73"/>
        <v>45780.6875</v>
      </c>
      <c r="N1793" s="1"/>
      <c r="O1793" t="str">
        <f t="shared" si="77"/>
        <v>Dinheiro</v>
      </c>
      <c r="P1793" t="s">
        <v>149</v>
      </c>
      <c r="Q1793" t="str">
        <f t="shared" si="78"/>
        <v>Serviços</v>
      </c>
      <c r="R1793" t="str">
        <f t="shared" si="79"/>
        <v>Corte</v>
      </c>
      <c r="T1793" s="14">
        <f t="shared" si="80"/>
        <v>35</v>
      </c>
      <c r="U1793" s="14">
        <f t="shared" si="81"/>
        <v>40</v>
      </c>
      <c r="V1793" s="14"/>
      <c r="W1793" t="str">
        <f>IF(A1793=$A$1707,base!$I$3,IF(A1793=$A$1709,base!$I$2,IF(Receitas!A1793=Receitas!$A$1701,base!$I$4,"")))</f>
        <v>PATRICK CARDOSO</v>
      </c>
      <c r="X1793" t="str">
        <f t="shared" si="82"/>
        <v>Sem Cadastro</v>
      </c>
    </row>
    <row r="1794" spans="1:24">
      <c r="A1794" t="s">
        <v>536</v>
      </c>
      <c r="B1794" t="s">
        <v>910</v>
      </c>
      <c r="C1794" t="s">
        <v>2778</v>
      </c>
      <c r="D1794" s="14">
        <v>5</v>
      </c>
      <c r="F1794" s="13">
        <v>45780.6875</v>
      </c>
      <c r="G1794" t="s">
        <v>2</v>
      </c>
      <c r="H1794" t="s">
        <v>382</v>
      </c>
      <c r="I1794" t="str">
        <f>IF(A1794="","Pacote",IF(B1794=IFERROR(VLOOKUP(B1794,base!$L$1:$L$20,1,0),""),"Produtos",IF(B1794=IFERROR(VLOOKUP(B1794,base!$K$2:$K$20,1,0),""),"Serviços",IF(B1794="Gorjeta","Gorjeta","Combos"))))</f>
        <v>Gorjeta</v>
      </c>
      <c r="J1794">
        <f t="shared" si="74"/>
        <v>2.25</v>
      </c>
      <c r="K1794" s="1">
        <f t="shared" si="75"/>
        <v>45780.6875</v>
      </c>
      <c r="L1794" s="1">
        <f t="shared" si="76"/>
        <v>45780.6875</v>
      </c>
      <c r="M1794" s="1">
        <f t="shared" si="73"/>
        <v>45780.6875</v>
      </c>
      <c r="N1794" s="1"/>
      <c r="O1794" t="str">
        <f t="shared" si="77"/>
        <v>Dinheiro</v>
      </c>
      <c r="P1794" t="s">
        <v>149</v>
      </c>
      <c r="Q1794" t="str">
        <f t="shared" si="78"/>
        <v>Gorjeta</v>
      </c>
      <c r="R1794" t="str">
        <f t="shared" si="79"/>
        <v>Gorjeta</v>
      </c>
      <c r="T1794" s="14">
        <f t="shared" si="80"/>
        <v>5</v>
      </c>
      <c r="U1794" s="14">
        <f t="shared" si="81"/>
        <v>0</v>
      </c>
      <c r="V1794" s="14"/>
      <c r="W1794" t="str">
        <f>IF(A1794=$A$1707,base!$I$3,IF(A1794=$A$1709,base!$I$2,IF(Receitas!A1794=Receitas!$A$1701,base!$I$4,"")))</f>
        <v>PATRICK CARDOSO</v>
      </c>
      <c r="X1794" t="str">
        <f t="shared" si="82"/>
        <v>Sem Cadastro</v>
      </c>
    </row>
    <row r="1795" spans="1:24">
      <c r="A1795" t="s">
        <v>519</v>
      </c>
      <c r="B1795" t="s">
        <v>163</v>
      </c>
      <c r="C1795" t="s">
        <v>2779</v>
      </c>
      <c r="D1795" s="14">
        <v>35</v>
      </c>
      <c r="E1795" s="14">
        <v>110</v>
      </c>
      <c r="F1795" s="13">
        <v>45780.673611111109</v>
      </c>
      <c r="G1795" t="s">
        <v>310</v>
      </c>
      <c r="H1795" t="s">
        <v>2780</v>
      </c>
      <c r="I1795" t="str">
        <f>IF(A1795="","Pacote",IF(B1795=IFERROR(VLOOKUP(B1795,base!$L$1:$L$20,1,0),""),"Produtos",IF(B1795=IFERROR(VLOOKUP(B1795,base!$K$2:$K$20,1,0),""),"Serviços",IF(B1795="Gorjeta","Gorjeta","Combos"))))</f>
        <v>Serviços</v>
      </c>
      <c r="J1795">
        <f t="shared" si="74"/>
        <v>15.75</v>
      </c>
      <c r="K1795" s="1">
        <f t="shared" si="75"/>
        <v>45780.673611111109</v>
      </c>
      <c r="L1795" s="1">
        <f t="shared" si="76"/>
        <v>45780.673611111109</v>
      </c>
      <c r="M1795" s="1">
        <f t="shared" si="73"/>
        <v>45780.673611111109</v>
      </c>
      <c r="N1795" s="1"/>
      <c r="O1795" t="str">
        <f t="shared" si="77"/>
        <v>Cartão de Débito</v>
      </c>
      <c r="P1795" t="s">
        <v>149</v>
      </c>
      <c r="Q1795" t="str">
        <f t="shared" si="78"/>
        <v>Serviços</v>
      </c>
      <c r="R1795" t="str">
        <f t="shared" si="79"/>
        <v>Corte</v>
      </c>
      <c r="T1795" s="14">
        <f t="shared" si="80"/>
        <v>35</v>
      </c>
      <c r="U1795" s="14">
        <f t="shared" si="81"/>
        <v>110</v>
      </c>
      <c r="V1795" s="14"/>
      <c r="W1795" t="str">
        <f>IF(A1795=$A$1707,base!$I$3,IF(A1795=$A$1709,base!$I$2,IF(Receitas!A1795=Receitas!$A$1701,base!$I$4,"")))</f>
        <v>Gustavo de Castro</v>
      </c>
      <c r="X1795" t="str">
        <f t="shared" si="82"/>
        <v>gleydson nascimento</v>
      </c>
    </row>
    <row r="1796" spans="1:24">
      <c r="A1796" t="s">
        <v>519</v>
      </c>
      <c r="B1796" t="s">
        <v>163</v>
      </c>
      <c r="C1796" t="s">
        <v>2779</v>
      </c>
      <c r="D1796" s="14">
        <v>35</v>
      </c>
      <c r="F1796" s="13">
        <v>45780.673611111109</v>
      </c>
      <c r="G1796" t="s">
        <v>310</v>
      </c>
      <c r="H1796" t="s">
        <v>2780</v>
      </c>
      <c r="I1796" t="str">
        <f>IF(A1796="","Pacote",IF(B1796=IFERROR(VLOOKUP(B1796,base!$L$1:$L$20,1,0),""),"Produtos",IF(B1796=IFERROR(VLOOKUP(B1796,base!$K$2:$K$20,1,0),""),"Serviços",IF(B1796="Gorjeta","Gorjeta","Combos"))))</f>
        <v>Serviços</v>
      </c>
      <c r="J1796">
        <f t="shared" si="74"/>
        <v>15.75</v>
      </c>
      <c r="K1796" s="1">
        <f t="shared" si="75"/>
        <v>45780.673611111109</v>
      </c>
      <c r="L1796" s="1">
        <f t="shared" si="76"/>
        <v>45780.673611111109</v>
      </c>
      <c r="M1796" s="1">
        <f t="shared" si="73"/>
        <v>45780.673611111109</v>
      </c>
      <c r="N1796" s="1"/>
      <c r="O1796" t="str">
        <f t="shared" si="77"/>
        <v>Cartão de Débito</v>
      </c>
      <c r="P1796" t="s">
        <v>149</v>
      </c>
      <c r="Q1796" t="str">
        <f t="shared" si="78"/>
        <v>Serviços</v>
      </c>
      <c r="R1796" t="str">
        <f t="shared" si="79"/>
        <v>Corte</v>
      </c>
      <c r="T1796" s="14">
        <f t="shared" si="80"/>
        <v>35</v>
      </c>
      <c r="U1796" s="14">
        <f t="shared" si="81"/>
        <v>0</v>
      </c>
      <c r="V1796" s="14"/>
      <c r="W1796" t="str">
        <f>IF(A1796=$A$1707,base!$I$3,IF(A1796=$A$1709,base!$I$2,IF(Receitas!A1796=Receitas!$A$1701,base!$I$4,"")))</f>
        <v>Gustavo de Castro</v>
      </c>
      <c r="X1796" t="str">
        <f t="shared" si="82"/>
        <v>gleydson nascimento</v>
      </c>
    </row>
    <row r="1797" spans="1:24">
      <c r="A1797" t="s">
        <v>519</v>
      </c>
      <c r="B1797" t="s">
        <v>1446</v>
      </c>
      <c r="C1797" t="s">
        <v>2779</v>
      </c>
      <c r="D1797" s="14">
        <v>15</v>
      </c>
      <c r="F1797" s="13">
        <v>45780.673611111109</v>
      </c>
      <c r="G1797" t="s">
        <v>310</v>
      </c>
      <c r="H1797" t="s">
        <v>2780</v>
      </c>
      <c r="I1797" t="str">
        <f>IF(A1797="","Pacote",IF(B1797=IFERROR(VLOOKUP(B1797,base!$L$1:$L$20,1,0),""),"Produtos",IF(B1797=IFERROR(VLOOKUP(B1797,base!$K$2:$K$20,1,0),""),"Serviços",IF(B1797="Gorjeta","Gorjeta","Combos"))))</f>
        <v>Serviços</v>
      </c>
      <c r="J1797">
        <f t="shared" si="74"/>
        <v>6.75</v>
      </c>
      <c r="K1797" s="1">
        <f t="shared" si="75"/>
        <v>45780.673611111109</v>
      </c>
      <c r="L1797" s="1">
        <f t="shared" si="76"/>
        <v>45780.673611111109</v>
      </c>
      <c r="M1797" s="1">
        <f t="shared" si="73"/>
        <v>45780.673611111109</v>
      </c>
      <c r="N1797" s="1"/>
      <c r="O1797" t="str">
        <f t="shared" si="77"/>
        <v>Cartão de Débito</v>
      </c>
      <c r="P1797" t="s">
        <v>149</v>
      </c>
      <c r="Q1797" t="str">
        <f t="shared" si="78"/>
        <v>Serviços</v>
      </c>
      <c r="R1797" t="str">
        <f t="shared" si="79"/>
        <v>depilação orelha</v>
      </c>
      <c r="T1797" s="14">
        <f t="shared" si="80"/>
        <v>15</v>
      </c>
      <c r="U1797" s="14">
        <f t="shared" si="81"/>
        <v>0</v>
      </c>
      <c r="V1797" s="14"/>
      <c r="W1797" t="str">
        <f>IF(A1797=$A$1707,base!$I$3,IF(A1797=$A$1709,base!$I$2,IF(Receitas!A1797=Receitas!$A$1701,base!$I$4,"")))</f>
        <v>Gustavo de Castro</v>
      </c>
      <c r="X1797" t="str">
        <f t="shared" si="82"/>
        <v>gleydson nascimento</v>
      </c>
    </row>
    <row r="1798" spans="1:24">
      <c r="A1798" t="s">
        <v>519</v>
      </c>
      <c r="B1798" t="s">
        <v>2526</v>
      </c>
      <c r="C1798" t="s">
        <v>2779</v>
      </c>
      <c r="D1798" s="14">
        <v>25</v>
      </c>
      <c r="F1798" s="13">
        <v>45780.673611111109</v>
      </c>
      <c r="G1798" t="s">
        <v>310</v>
      </c>
      <c r="H1798" t="s">
        <v>2780</v>
      </c>
      <c r="I1798" t="str">
        <f>IF(A1798="","Pacote",IF(B1798=IFERROR(VLOOKUP(B1798,base!$L$1:$L$20,1,0),""),"Produtos",IF(B1798=IFERROR(VLOOKUP(B1798,base!$K$2:$K$20,1,0),""),"Serviços",IF(B1798="Gorjeta","Gorjeta","Combos"))))</f>
        <v>Produtos</v>
      </c>
      <c r="J1798">
        <f t="shared" si="74"/>
        <v>10</v>
      </c>
      <c r="K1798" s="1">
        <f t="shared" si="75"/>
        <v>45780.673611111109</v>
      </c>
      <c r="L1798" s="1">
        <f t="shared" si="76"/>
        <v>45780.673611111109</v>
      </c>
      <c r="M1798" s="1">
        <f t="shared" si="73"/>
        <v>45780.673611111109</v>
      </c>
      <c r="N1798" s="1"/>
      <c r="O1798" t="str">
        <f t="shared" si="77"/>
        <v>Cartão de Débito</v>
      </c>
      <c r="P1798" t="s">
        <v>149</v>
      </c>
      <c r="Q1798" t="str">
        <f t="shared" si="78"/>
        <v>Produtos</v>
      </c>
      <c r="R1798" t="str">
        <f t="shared" si="79"/>
        <v>POMADA INCOLOR FOX</v>
      </c>
      <c r="T1798" s="14">
        <f t="shared" si="80"/>
        <v>25</v>
      </c>
      <c r="U1798" s="14">
        <f t="shared" si="81"/>
        <v>0</v>
      </c>
      <c r="V1798" s="14"/>
      <c r="W1798" t="str">
        <f>IF(A1798=$A$1707,base!$I$3,IF(A1798=$A$1709,base!$I$2,IF(Receitas!A1798=Receitas!$A$1701,base!$I$4,"")))</f>
        <v>Gustavo de Castro</v>
      </c>
      <c r="X1798" t="str">
        <f t="shared" si="82"/>
        <v>gleydson nascimento</v>
      </c>
    </row>
    <row r="1799" spans="1:24">
      <c r="A1799" t="s">
        <v>519</v>
      </c>
      <c r="B1799" t="s">
        <v>163</v>
      </c>
      <c r="C1799" t="s">
        <v>2781</v>
      </c>
      <c r="D1799" s="14">
        <v>35</v>
      </c>
      <c r="E1799" s="14">
        <v>45</v>
      </c>
      <c r="F1799" s="13">
        <v>45780.75</v>
      </c>
      <c r="G1799" t="s">
        <v>1</v>
      </c>
      <c r="H1799" t="s">
        <v>393</v>
      </c>
      <c r="I1799" t="str">
        <f>IF(A1799="","Pacote",IF(B1799=IFERROR(VLOOKUP(B1799,base!$L$1:$L$20,1,0),""),"Produtos",IF(B1799=IFERROR(VLOOKUP(B1799,base!$K$2:$K$20,1,0),""),"Serviços",IF(B1799="Gorjeta","Gorjeta","Combos"))))</f>
        <v>Serviços</v>
      </c>
      <c r="J1799">
        <f t="shared" si="74"/>
        <v>15.75</v>
      </c>
      <c r="K1799" s="1">
        <f t="shared" si="75"/>
        <v>45780.75</v>
      </c>
      <c r="L1799" s="1">
        <f t="shared" si="76"/>
        <v>45780.75</v>
      </c>
      <c r="M1799" s="1">
        <f t="shared" si="73"/>
        <v>45780.75</v>
      </c>
      <c r="N1799" s="1"/>
      <c r="O1799" t="str">
        <f t="shared" si="77"/>
        <v>PIX</v>
      </c>
      <c r="P1799" t="s">
        <v>149</v>
      </c>
      <c r="Q1799" t="str">
        <f t="shared" si="78"/>
        <v>Serviços</v>
      </c>
      <c r="R1799" t="str">
        <f t="shared" si="79"/>
        <v>Corte</v>
      </c>
      <c r="T1799" s="14">
        <f t="shared" si="80"/>
        <v>35</v>
      </c>
      <c r="U1799" s="14">
        <f t="shared" si="81"/>
        <v>45</v>
      </c>
      <c r="V1799" s="14"/>
      <c r="W1799" t="str">
        <f>IF(A1799=$A$1707,base!$I$3,IF(A1799=$A$1709,base!$I$2,IF(Receitas!A1799=Receitas!$A$1701,base!$I$4,"")))</f>
        <v>Gustavo de Castro</v>
      </c>
      <c r="X1799" t="str">
        <f t="shared" si="82"/>
        <v>Ian Murilo</v>
      </c>
    </row>
    <row r="1800" spans="1:24">
      <c r="A1800" t="s">
        <v>519</v>
      </c>
      <c r="B1800" t="s">
        <v>167</v>
      </c>
      <c r="C1800" t="s">
        <v>2781</v>
      </c>
      <c r="D1800" s="14">
        <v>10</v>
      </c>
      <c r="F1800" s="13">
        <v>45780.75</v>
      </c>
      <c r="G1800" t="s">
        <v>1</v>
      </c>
      <c r="H1800" t="s">
        <v>393</v>
      </c>
      <c r="I1800" t="str">
        <f>IF(A1800="","Pacote",IF(B1800=IFERROR(VLOOKUP(B1800,base!$L$1:$L$20,1,0),""),"Produtos",IF(B1800=IFERROR(VLOOKUP(B1800,base!$K$2:$K$20,1,0),""),"Serviços",IF(B1800="Gorjeta","Gorjeta","Combos"))))</f>
        <v>Serviços</v>
      </c>
      <c r="J1800">
        <f t="shared" si="74"/>
        <v>4.5</v>
      </c>
      <c r="K1800" s="1">
        <f t="shared" si="75"/>
        <v>45780.75</v>
      </c>
      <c r="L1800" s="1">
        <f t="shared" si="76"/>
        <v>45780.75</v>
      </c>
      <c r="M1800" s="1">
        <f t="shared" si="73"/>
        <v>45780.75</v>
      </c>
      <c r="N1800" s="1"/>
      <c r="O1800" t="str">
        <f t="shared" si="77"/>
        <v>PIX</v>
      </c>
      <c r="P1800" t="s">
        <v>149</v>
      </c>
      <c r="Q1800" t="str">
        <f t="shared" si="78"/>
        <v>Serviços</v>
      </c>
      <c r="R1800" t="str">
        <f t="shared" si="79"/>
        <v>Sobrancelha</v>
      </c>
      <c r="T1800" s="14">
        <f t="shared" si="80"/>
        <v>10</v>
      </c>
      <c r="U1800" s="14">
        <f t="shared" si="81"/>
        <v>0</v>
      </c>
      <c r="V1800" s="14"/>
      <c r="W1800" t="str">
        <f>IF(A1800=$A$1707,base!$I$3,IF(A1800=$A$1709,base!$I$2,IF(Receitas!A1800=Receitas!$A$1701,base!$I$4,"")))</f>
        <v>Gustavo de Castro</v>
      </c>
      <c r="X1800" t="str">
        <f t="shared" si="82"/>
        <v>Ian Murilo</v>
      </c>
    </row>
    <row r="1801" spans="1:24">
      <c r="A1801" t="s">
        <v>536</v>
      </c>
      <c r="B1801" t="s">
        <v>353</v>
      </c>
      <c r="C1801" t="s">
        <v>2782</v>
      </c>
      <c r="D1801" s="14">
        <v>60</v>
      </c>
      <c r="E1801" s="14">
        <v>60</v>
      </c>
      <c r="F1801" s="13">
        <v>45780.704861111109</v>
      </c>
      <c r="G1801" t="s">
        <v>354</v>
      </c>
      <c r="H1801" t="s">
        <v>2783</v>
      </c>
      <c r="I1801" t="str">
        <f>IF(A1801="","Pacote",IF(B1801=IFERROR(VLOOKUP(B1801,base!$L$1:$L$20,1,0),""),"Produtos",IF(B1801=IFERROR(VLOOKUP(B1801,base!$K$2:$K$20,1,0),""),"Serviços",IF(B1801="Gorjeta","Gorjeta","Combos"))))</f>
        <v>Combos</v>
      </c>
      <c r="J1801">
        <f t="shared" si="74"/>
        <v>27</v>
      </c>
      <c r="K1801" s="1">
        <f t="shared" si="75"/>
        <v>45780.704861111109</v>
      </c>
      <c r="L1801" s="1">
        <f t="shared" si="76"/>
        <v>45780.704861111109</v>
      </c>
      <c r="M1801" s="1">
        <f t="shared" si="73"/>
        <v>45780.704861111109</v>
      </c>
      <c r="N1801" s="1"/>
      <c r="O1801" t="str">
        <f t="shared" si="77"/>
        <v>Cartão de Crédito</v>
      </c>
      <c r="P1801" t="s">
        <v>149</v>
      </c>
      <c r="Q1801" t="str">
        <f t="shared" si="78"/>
        <v>Combos</v>
      </c>
      <c r="R1801" t="str">
        <f t="shared" si="79"/>
        <v>Combo ( Corte + Barba )</v>
      </c>
      <c r="T1801" s="14">
        <f t="shared" si="80"/>
        <v>60</v>
      </c>
      <c r="U1801" s="14">
        <f t="shared" si="81"/>
        <v>60</v>
      </c>
      <c r="V1801" s="14"/>
      <c r="W1801" t="str">
        <f>IF(A1801=$A$1707,base!$I$3,IF(A1801=$A$1709,base!$I$2,IF(Receitas!A1801=Receitas!$A$1701,base!$I$4,"")))</f>
        <v>PATRICK CARDOSO</v>
      </c>
      <c r="X1801" t="str">
        <f t="shared" si="82"/>
        <v>Renan Ramos</v>
      </c>
    </row>
    <row r="1802" spans="1:24">
      <c r="A1802" t="s">
        <v>519</v>
      </c>
      <c r="B1802" t="s">
        <v>163</v>
      </c>
      <c r="C1802" t="s">
        <v>2784</v>
      </c>
      <c r="D1802" s="14">
        <v>35</v>
      </c>
      <c r="E1802" s="14">
        <v>45</v>
      </c>
      <c r="F1802" s="13">
        <v>45780.6875</v>
      </c>
      <c r="G1802" t="s">
        <v>2</v>
      </c>
      <c r="H1802" t="s">
        <v>2785</v>
      </c>
      <c r="I1802" t="str">
        <f>IF(A1802="","Pacote",IF(B1802=IFERROR(VLOOKUP(B1802,base!$L$1:$L$20,1,0),""),"Produtos",IF(B1802=IFERROR(VLOOKUP(B1802,base!$K$2:$K$20,1,0),""),"Serviços",IF(B1802="Gorjeta","Gorjeta","Combos"))))</f>
        <v>Serviços</v>
      </c>
      <c r="J1802">
        <f t="shared" si="74"/>
        <v>15.75</v>
      </c>
      <c r="K1802" s="1">
        <f t="shared" si="75"/>
        <v>45780.6875</v>
      </c>
      <c r="L1802" s="1">
        <f t="shared" si="76"/>
        <v>45780.6875</v>
      </c>
      <c r="M1802" s="1">
        <f t="shared" si="73"/>
        <v>45780.6875</v>
      </c>
      <c r="N1802" s="1"/>
      <c r="O1802" t="str">
        <f t="shared" si="77"/>
        <v>Dinheiro</v>
      </c>
      <c r="P1802" t="s">
        <v>149</v>
      </c>
      <c r="Q1802" t="str">
        <f t="shared" si="78"/>
        <v>Serviços</v>
      </c>
      <c r="R1802" t="str">
        <f t="shared" si="79"/>
        <v>Corte</v>
      </c>
      <c r="T1802" s="14">
        <f t="shared" si="80"/>
        <v>35</v>
      </c>
      <c r="U1802" s="14">
        <f t="shared" si="81"/>
        <v>45</v>
      </c>
      <c r="V1802" s="14"/>
      <c r="W1802" t="str">
        <f>IF(A1802=$A$1707,base!$I$3,IF(A1802=$A$1709,base!$I$2,IF(Receitas!A1802=Receitas!$A$1701,base!$I$4,"")))</f>
        <v>Gustavo de Castro</v>
      </c>
      <c r="X1802" t="str">
        <f t="shared" si="82"/>
        <v>Enderson Kauê</v>
      </c>
    </row>
    <row r="1803" spans="1:24">
      <c r="A1803" t="s">
        <v>519</v>
      </c>
      <c r="B1803" t="s">
        <v>167</v>
      </c>
      <c r="C1803" t="s">
        <v>2784</v>
      </c>
      <c r="D1803" s="14">
        <v>10</v>
      </c>
      <c r="F1803" s="13">
        <v>45780.6875</v>
      </c>
      <c r="G1803" t="s">
        <v>2</v>
      </c>
      <c r="H1803" t="s">
        <v>2785</v>
      </c>
      <c r="I1803" t="str">
        <f>IF(A1803="","Pacote",IF(B1803=IFERROR(VLOOKUP(B1803,base!$L$1:$L$20,1,0),""),"Produtos",IF(B1803=IFERROR(VLOOKUP(B1803,base!$K$2:$K$20,1,0),""),"Serviços",IF(B1803="Gorjeta","Gorjeta","Combos"))))</f>
        <v>Serviços</v>
      </c>
      <c r="J1803">
        <f t="shared" si="74"/>
        <v>4.5</v>
      </c>
      <c r="K1803" s="1">
        <f t="shared" si="75"/>
        <v>45780.6875</v>
      </c>
      <c r="L1803" s="1">
        <f t="shared" si="76"/>
        <v>45780.6875</v>
      </c>
      <c r="M1803" s="1">
        <f t="shared" si="73"/>
        <v>45780.6875</v>
      </c>
      <c r="N1803" s="1"/>
      <c r="O1803" t="str">
        <f t="shared" si="77"/>
        <v>Dinheiro</v>
      </c>
      <c r="P1803" t="s">
        <v>149</v>
      </c>
      <c r="Q1803" t="str">
        <f t="shared" si="78"/>
        <v>Serviços</v>
      </c>
      <c r="R1803" t="str">
        <f t="shared" si="79"/>
        <v>Sobrancelha</v>
      </c>
      <c r="T1803" s="14">
        <f t="shared" si="80"/>
        <v>10</v>
      </c>
      <c r="U1803" s="14">
        <f t="shared" si="81"/>
        <v>0</v>
      </c>
      <c r="V1803" s="14"/>
      <c r="W1803" t="str">
        <f>IF(A1803=$A$1707,base!$I$3,IF(A1803=$A$1709,base!$I$2,IF(Receitas!A1803=Receitas!$A$1701,base!$I$4,"")))</f>
        <v>Gustavo de Castro</v>
      </c>
      <c r="X1803" t="str">
        <f t="shared" si="82"/>
        <v>Enderson Kauê</v>
      </c>
    </row>
    <row r="1804" spans="1:24">
      <c r="A1804" t="s">
        <v>252</v>
      </c>
      <c r="B1804" t="s">
        <v>163</v>
      </c>
      <c r="C1804" t="s">
        <v>2786</v>
      </c>
      <c r="D1804" s="14">
        <v>35</v>
      </c>
      <c r="E1804" s="14">
        <v>40</v>
      </c>
      <c r="F1804" s="13">
        <v>45780.71875</v>
      </c>
      <c r="G1804" t="s">
        <v>1</v>
      </c>
      <c r="H1804" t="s">
        <v>2787</v>
      </c>
      <c r="I1804" t="str">
        <f>IF(A1804="","Pacote",IF(B1804=IFERROR(VLOOKUP(B1804,base!$L$1:$L$20,1,0),""),"Produtos",IF(B1804=IFERROR(VLOOKUP(B1804,base!$K$2:$K$20,1,0),""),"Serviços",IF(B1804="Gorjeta","Gorjeta","Combos"))))</f>
        <v>Serviços</v>
      </c>
      <c r="J1804">
        <f t="shared" si="74"/>
        <v>15.75</v>
      </c>
      <c r="K1804" s="1">
        <f t="shared" si="75"/>
        <v>45780.71875</v>
      </c>
      <c r="L1804" s="1">
        <f t="shared" si="76"/>
        <v>45780.71875</v>
      </c>
      <c r="M1804" s="1">
        <f t="shared" si="73"/>
        <v>45780.71875</v>
      </c>
      <c r="N1804" s="1"/>
      <c r="O1804" t="str">
        <f t="shared" si="77"/>
        <v>PIX</v>
      </c>
      <c r="P1804" t="s">
        <v>149</v>
      </c>
      <c r="Q1804" t="str">
        <f t="shared" si="78"/>
        <v>Serviços</v>
      </c>
      <c r="R1804" t="str">
        <f t="shared" si="79"/>
        <v>Corte</v>
      </c>
      <c r="T1804" s="14">
        <f t="shared" si="80"/>
        <v>35</v>
      </c>
      <c r="U1804" s="14">
        <f t="shared" si="81"/>
        <v>40</v>
      </c>
      <c r="V1804" s="14"/>
      <c r="W1804" t="str">
        <f>IF(A1804=$A$1707,base!$I$3,IF(A1804=$A$1709,base!$I$2,IF(Receitas!A1804=Receitas!$A$1701,base!$I$4,"")))</f>
        <v>Christian Magon</v>
      </c>
      <c r="X1804" t="str">
        <f t="shared" si="82"/>
        <v>icaro gomes</v>
      </c>
    </row>
    <row r="1805" spans="1:24">
      <c r="A1805" t="s">
        <v>252</v>
      </c>
      <c r="B1805" t="s">
        <v>910</v>
      </c>
      <c r="C1805" t="s">
        <v>2786</v>
      </c>
      <c r="D1805" s="14">
        <v>5</v>
      </c>
      <c r="F1805" s="13">
        <v>45780.71875</v>
      </c>
      <c r="G1805" t="s">
        <v>1</v>
      </c>
      <c r="H1805" t="s">
        <v>2787</v>
      </c>
      <c r="I1805" t="str">
        <f>IF(A1805="","Pacote",IF(B1805=IFERROR(VLOOKUP(B1805,base!$L$1:$L$20,1,0),""),"Produtos",IF(B1805=IFERROR(VLOOKUP(B1805,base!$K$2:$K$20,1,0),""),"Serviços",IF(B1805="Gorjeta","Gorjeta","Combos"))))</f>
        <v>Gorjeta</v>
      </c>
      <c r="J1805">
        <f t="shared" si="74"/>
        <v>2.25</v>
      </c>
      <c r="K1805" s="1">
        <f t="shared" si="75"/>
        <v>45780.71875</v>
      </c>
      <c r="L1805" s="1">
        <f t="shared" si="76"/>
        <v>45780.71875</v>
      </c>
      <c r="M1805" s="1">
        <f t="shared" si="73"/>
        <v>45780.71875</v>
      </c>
      <c r="N1805" s="1"/>
      <c r="O1805" t="str">
        <f t="shared" si="77"/>
        <v>PIX</v>
      </c>
      <c r="P1805" t="s">
        <v>149</v>
      </c>
      <c r="Q1805" t="str">
        <f t="shared" si="78"/>
        <v>Gorjeta</v>
      </c>
      <c r="R1805" t="str">
        <f t="shared" si="79"/>
        <v>Gorjeta</v>
      </c>
      <c r="T1805" s="14">
        <f t="shared" si="80"/>
        <v>5</v>
      </c>
      <c r="U1805" s="14">
        <f t="shared" si="81"/>
        <v>0</v>
      </c>
      <c r="V1805" s="14"/>
      <c r="W1805" t="str">
        <f>IF(A1805=$A$1707,base!$I$3,IF(A1805=$A$1709,base!$I$2,IF(Receitas!A1805=Receitas!$A$1701,base!$I$4,"")))</f>
        <v>Christian Magon</v>
      </c>
      <c r="X1805" t="str">
        <f t="shared" si="82"/>
        <v>icaro gomes</v>
      </c>
    </row>
    <row r="1806" spans="1:24">
      <c r="A1806" t="s">
        <v>252</v>
      </c>
      <c r="B1806" t="s">
        <v>353</v>
      </c>
      <c r="C1806" t="s">
        <v>2788</v>
      </c>
      <c r="D1806" s="14">
        <v>55</v>
      </c>
      <c r="E1806" s="14">
        <v>70</v>
      </c>
      <c r="F1806" s="13">
        <v>45780.71875</v>
      </c>
      <c r="G1806" t="s">
        <v>1</v>
      </c>
      <c r="H1806" t="s">
        <v>105</v>
      </c>
      <c r="I1806" t="str">
        <f>IF(A1806="","Pacote",IF(B1806=IFERROR(VLOOKUP(B1806,base!$L$1:$L$20,1,0),""),"Produtos",IF(B1806=IFERROR(VLOOKUP(B1806,base!$K$2:$K$20,1,0),""),"Serviços",IF(B1806="Gorjeta","Gorjeta","Combos"))))</f>
        <v>Combos</v>
      </c>
      <c r="J1806">
        <f t="shared" si="74"/>
        <v>24.75</v>
      </c>
      <c r="K1806" s="1">
        <f t="shared" si="75"/>
        <v>45780.71875</v>
      </c>
      <c r="L1806" s="1">
        <f t="shared" si="76"/>
        <v>45780.71875</v>
      </c>
      <c r="M1806" s="1">
        <f t="shared" si="73"/>
        <v>45780.71875</v>
      </c>
      <c r="N1806" s="1"/>
      <c r="O1806" t="str">
        <f t="shared" si="77"/>
        <v>PIX</v>
      </c>
      <c r="P1806" t="s">
        <v>149</v>
      </c>
      <c r="Q1806" t="str">
        <f t="shared" si="78"/>
        <v>Combos</v>
      </c>
      <c r="R1806" t="str">
        <f t="shared" si="79"/>
        <v>Combo ( Corte + Barba )</v>
      </c>
      <c r="T1806" s="14">
        <f t="shared" si="80"/>
        <v>55</v>
      </c>
      <c r="U1806" s="14">
        <f t="shared" si="81"/>
        <v>70</v>
      </c>
      <c r="V1806" s="14"/>
      <c r="W1806" t="str">
        <f>IF(A1806=$A$1707,base!$I$3,IF(A1806=$A$1709,base!$I$2,IF(Receitas!A1806=Receitas!$A$1701,base!$I$4,"")))</f>
        <v>Christian Magon</v>
      </c>
      <c r="X1806" t="str">
        <f t="shared" si="82"/>
        <v>Rodrigo Alves Ribeiro</v>
      </c>
    </row>
    <row r="1807" spans="1:24">
      <c r="A1807" t="s">
        <v>252</v>
      </c>
      <c r="B1807" t="s">
        <v>1446</v>
      </c>
      <c r="C1807" t="s">
        <v>2788</v>
      </c>
      <c r="D1807" s="14">
        <v>15</v>
      </c>
      <c r="F1807" s="13">
        <v>45780.71875</v>
      </c>
      <c r="G1807" t="s">
        <v>1</v>
      </c>
      <c r="H1807" t="s">
        <v>105</v>
      </c>
      <c r="I1807" t="str">
        <f>IF(A1807="","Pacote",IF(B1807=IFERROR(VLOOKUP(B1807,base!$L$1:$L$20,1,0),""),"Produtos",IF(B1807=IFERROR(VLOOKUP(B1807,base!$K$2:$K$20,1,0),""),"Serviços",IF(B1807="Gorjeta","Gorjeta","Combos"))))</f>
        <v>Serviços</v>
      </c>
      <c r="J1807">
        <f t="shared" si="74"/>
        <v>6.75</v>
      </c>
      <c r="K1807" s="1">
        <f t="shared" si="75"/>
        <v>45780.71875</v>
      </c>
      <c r="L1807" s="1">
        <f t="shared" si="76"/>
        <v>45780.71875</v>
      </c>
      <c r="M1807" s="1">
        <f t="shared" si="73"/>
        <v>45780.71875</v>
      </c>
      <c r="N1807" s="1"/>
      <c r="O1807" t="str">
        <f t="shared" si="77"/>
        <v>PIX</v>
      </c>
      <c r="P1807" t="s">
        <v>149</v>
      </c>
      <c r="Q1807" t="str">
        <f t="shared" si="78"/>
        <v>Serviços</v>
      </c>
      <c r="R1807" t="str">
        <f t="shared" si="79"/>
        <v>depilação orelha</v>
      </c>
      <c r="T1807" s="14">
        <f t="shared" si="80"/>
        <v>15</v>
      </c>
      <c r="U1807" s="14">
        <f t="shared" si="81"/>
        <v>0</v>
      </c>
      <c r="V1807" s="14"/>
      <c r="W1807" t="str">
        <f>IF(A1807=$A$1707,base!$I$3,IF(A1807=$A$1709,base!$I$2,IF(Receitas!A1807=Receitas!$A$1701,base!$I$4,"")))</f>
        <v>Christian Magon</v>
      </c>
      <c r="X1807" t="str">
        <f t="shared" si="82"/>
        <v>Rodrigo Alves Ribeiro</v>
      </c>
    </row>
    <row r="1808" spans="1:24">
      <c r="A1808" t="s">
        <v>536</v>
      </c>
      <c r="B1808" t="s">
        <v>163</v>
      </c>
      <c r="C1808" t="s">
        <v>2789</v>
      </c>
      <c r="D1808" s="14">
        <v>35</v>
      </c>
      <c r="E1808" s="14">
        <v>70</v>
      </c>
      <c r="F1808" s="13">
        <v>45780.75</v>
      </c>
      <c r="G1808" t="s">
        <v>354</v>
      </c>
      <c r="H1808" t="s">
        <v>895</v>
      </c>
      <c r="I1808" t="str">
        <f>IF(A1808="","Pacote",IF(B1808=IFERROR(VLOOKUP(B1808,base!$L$1:$L$20,1,0),""),"Produtos",IF(B1808=IFERROR(VLOOKUP(B1808,base!$K$2:$K$20,1,0),""),"Serviços",IF(B1808="Gorjeta","Gorjeta","Combos"))))</f>
        <v>Serviços</v>
      </c>
      <c r="J1808">
        <f t="shared" si="74"/>
        <v>15.75</v>
      </c>
      <c r="K1808" s="1">
        <f t="shared" si="75"/>
        <v>45780.75</v>
      </c>
      <c r="L1808" s="1">
        <f t="shared" si="76"/>
        <v>45780.75</v>
      </c>
      <c r="M1808" s="1">
        <f t="shared" si="73"/>
        <v>45780.75</v>
      </c>
      <c r="N1808" s="1"/>
      <c r="O1808" t="str">
        <f t="shared" si="77"/>
        <v>Cartão de Crédito</v>
      </c>
      <c r="P1808" t="s">
        <v>149</v>
      </c>
      <c r="Q1808" t="str">
        <f t="shared" si="78"/>
        <v>Serviços</v>
      </c>
      <c r="R1808" t="str">
        <f t="shared" si="79"/>
        <v>Corte</v>
      </c>
      <c r="T1808" s="14">
        <f t="shared" si="80"/>
        <v>35</v>
      </c>
      <c r="U1808" s="14">
        <f t="shared" si="81"/>
        <v>70</v>
      </c>
      <c r="V1808" s="14"/>
      <c r="W1808" t="str">
        <f>IF(A1808=$A$1707,base!$I$3,IF(A1808=$A$1709,base!$I$2,IF(Receitas!A1808=Receitas!$A$1701,base!$I$4,"")))</f>
        <v>PATRICK CARDOSO</v>
      </c>
      <c r="X1808" t="str">
        <f t="shared" si="82"/>
        <v>Daniella</v>
      </c>
    </row>
    <row r="1809" spans="1:24">
      <c r="A1809" t="s">
        <v>252</v>
      </c>
      <c r="B1809" t="s">
        <v>163</v>
      </c>
      <c r="C1809" t="s">
        <v>2789</v>
      </c>
      <c r="D1809" s="14">
        <v>35</v>
      </c>
      <c r="F1809" s="13">
        <v>45780.75</v>
      </c>
      <c r="G1809" t="s">
        <v>354</v>
      </c>
      <c r="H1809" t="s">
        <v>895</v>
      </c>
      <c r="I1809" t="str">
        <f>IF(A1809="","Pacote",IF(B1809=IFERROR(VLOOKUP(B1809,base!$L$1:$L$20,1,0),""),"Produtos",IF(B1809=IFERROR(VLOOKUP(B1809,base!$K$2:$K$20,1,0),""),"Serviços",IF(B1809="Gorjeta","Gorjeta","Combos"))))</f>
        <v>Serviços</v>
      </c>
      <c r="J1809">
        <f t="shared" si="74"/>
        <v>15.75</v>
      </c>
      <c r="K1809" s="1">
        <f t="shared" si="75"/>
        <v>45780.75</v>
      </c>
      <c r="L1809" s="1">
        <f t="shared" si="76"/>
        <v>45780.75</v>
      </c>
      <c r="M1809" s="1">
        <f t="shared" si="73"/>
        <v>45780.75</v>
      </c>
      <c r="N1809" s="1"/>
      <c r="O1809" t="str">
        <f t="shared" si="77"/>
        <v>Cartão de Crédito</v>
      </c>
      <c r="P1809" t="s">
        <v>149</v>
      </c>
      <c r="Q1809" t="str">
        <f t="shared" si="78"/>
        <v>Serviços</v>
      </c>
      <c r="R1809" t="str">
        <f t="shared" si="79"/>
        <v>Corte</v>
      </c>
      <c r="T1809" s="14">
        <f t="shared" si="80"/>
        <v>35</v>
      </c>
      <c r="U1809" s="14">
        <f t="shared" si="81"/>
        <v>0</v>
      </c>
      <c r="V1809" s="14"/>
      <c r="W1809" t="str">
        <f>IF(A1809=$A$1707,base!$I$3,IF(A1809=$A$1709,base!$I$2,IF(Receitas!A1809=Receitas!$A$1701,base!$I$4,"")))</f>
        <v>Christian Magon</v>
      </c>
      <c r="X1809" t="str">
        <f t="shared" si="82"/>
        <v>Daniella</v>
      </c>
    </row>
    <row r="1810" spans="1:24">
      <c r="A1810" t="s">
        <v>536</v>
      </c>
      <c r="B1810" t="s">
        <v>353</v>
      </c>
      <c r="C1810" t="s">
        <v>2790</v>
      </c>
      <c r="D1810" s="14">
        <v>40</v>
      </c>
      <c r="E1810" s="14">
        <v>40</v>
      </c>
      <c r="F1810" s="13">
        <v>45780.791666666664</v>
      </c>
      <c r="G1810" t="s">
        <v>2</v>
      </c>
      <c r="H1810" t="s">
        <v>2791</v>
      </c>
      <c r="I1810" t="str">
        <f>IF(A1810="","Pacote",IF(B1810=IFERROR(VLOOKUP(B1810,base!$L$1:$L$20,1,0),""),"Produtos",IF(B1810=IFERROR(VLOOKUP(B1810,base!$K$2:$K$20,1,0),""),"Serviços",IF(B1810="Gorjeta","Gorjeta","Combos"))))</f>
        <v>Combos</v>
      </c>
      <c r="J1810">
        <f t="shared" si="74"/>
        <v>18</v>
      </c>
      <c r="K1810" s="1">
        <f t="shared" si="75"/>
        <v>45780.791666666664</v>
      </c>
      <c r="L1810" s="1">
        <f t="shared" si="76"/>
        <v>45780.791666666664</v>
      </c>
      <c r="M1810" s="1">
        <f t="shared" si="73"/>
        <v>45780.791666666664</v>
      </c>
      <c r="N1810" s="1"/>
      <c r="O1810" t="str">
        <f t="shared" si="77"/>
        <v>Dinheiro</v>
      </c>
      <c r="P1810" t="s">
        <v>149</v>
      </c>
      <c r="Q1810" t="str">
        <f t="shared" si="78"/>
        <v>Combos</v>
      </c>
      <c r="R1810" t="str">
        <f t="shared" si="79"/>
        <v>Combo ( Corte + Barba )</v>
      </c>
      <c r="T1810" s="14">
        <f t="shared" si="80"/>
        <v>40</v>
      </c>
      <c r="U1810" s="14">
        <f t="shared" si="81"/>
        <v>40</v>
      </c>
      <c r="V1810" s="14"/>
      <c r="W1810" t="str">
        <f>IF(A1810=$A$1707,base!$I$3,IF(A1810=$A$1709,base!$I$2,IF(Receitas!A1810=Receitas!$A$1701,base!$I$4,"")))</f>
        <v>PATRICK CARDOSO</v>
      </c>
      <c r="X1810" t="str">
        <f t="shared" si="82"/>
        <v>Marcelo Honorio</v>
      </c>
    </row>
    <row r="1811" spans="1:24">
      <c r="A1811" t="s">
        <v>536</v>
      </c>
      <c r="B1811" t="s">
        <v>1446</v>
      </c>
      <c r="C1811" t="s">
        <v>2792</v>
      </c>
      <c r="D1811" s="14">
        <v>15</v>
      </c>
      <c r="E1811" s="14">
        <v>15</v>
      </c>
      <c r="F1811" s="13">
        <v>45780.819444444445</v>
      </c>
      <c r="G1811" t="s">
        <v>310</v>
      </c>
      <c r="H1811" t="s">
        <v>464</v>
      </c>
      <c r="I1811" t="str">
        <f>IF(A1811="","Pacote",IF(B1811=IFERROR(VLOOKUP(B1811,base!$L$1:$L$20,1,0),""),"Produtos",IF(B1811=IFERROR(VLOOKUP(B1811,base!$K$2:$K$20,1,0),""),"Serviços",IF(B1811="Gorjeta","Gorjeta","Combos"))))</f>
        <v>Serviços</v>
      </c>
      <c r="J1811">
        <f t="shared" si="74"/>
        <v>6.75</v>
      </c>
      <c r="K1811" s="1">
        <f t="shared" si="75"/>
        <v>45780.819444444445</v>
      </c>
      <c r="L1811" s="1">
        <f t="shared" si="76"/>
        <v>45780.819444444445</v>
      </c>
      <c r="M1811" s="1">
        <f t="shared" si="73"/>
        <v>45780.819444444445</v>
      </c>
      <c r="N1811" s="1"/>
      <c r="O1811" t="str">
        <f t="shared" si="77"/>
        <v>Cartão de Débito</v>
      </c>
      <c r="P1811" t="s">
        <v>149</v>
      </c>
      <c r="Q1811" t="str">
        <f t="shared" si="78"/>
        <v>Serviços</v>
      </c>
      <c r="R1811" t="str">
        <f t="shared" si="79"/>
        <v>depilação orelha</v>
      </c>
      <c r="T1811" s="14">
        <f t="shared" si="80"/>
        <v>15</v>
      </c>
      <c r="U1811" s="14">
        <f t="shared" si="81"/>
        <v>15</v>
      </c>
      <c r="V1811" s="14"/>
      <c r="W1811" t="str">
        <f>IF(A1811=$A$1707,base!$I$3,IF(A1811=$A$1709,base!$I$2,IF(Receitas!A1811=Receitas!$A$1701,base!$I$4,"")))</f>
        <v>PATRICK CARDOSO</v>
      </c>
      <c r="X1811" t="str">
        <f t="shared" si="82"/>
        <v>Rafael de carvalho</v>
      </c>
    </row>
    <row r="1812" spans="1:24">
      <c r="A1812" t="s">
        <v>536</v>
      </c>
      <c r="B1812" t="s">
        <v>163</v>
      </c>
      <c r="C1812" t="s">
        <v>2793</v>
      </c>
      <c r="D1812" s="14">
        <v>20</v>
      </c>
      <c r="E1812" s="14">
        <v>40</v>
      </c>
      <c r="F1812" s="13">
        <v>45780.833333333336</v>
      </c>
      <c r="G1812" t="s">
        <v>1</v>
      </c>
      <c r="H1812" t="s">
        <v>796</v>
      </c>
      <c r="I1812" t="str">
        <f>IF(A1812="","Pacote",IF(B1812=IFERROR(VLOOKUP(B1812,base!$L$1:$L$20,1,0),""),"Produtos",IF(B1812=IFERROR(VLOOKUP(B1812,base!$K$2:$K$20,1,0),""),"Serviços",IF(B1812="Gorjeta","Gorjeta","Combos"))))</f>
        <v>Serviços</v>
      </c>
      <c r="J1812">
        <f t="shared" si="74"/>
        <v>9</v>
      </c>
      <c r="K1812" s="1">
        <f t="shared" si="75"/>
        <v>45780.833333333336</v>
      </c>
      <c r="L1812" s="1">
        <f t="shared" si="76"/>
        <v>45780.833333333336</v>
      </c>
      <c r="M1812" s="1">
        <f t="shared" si="73"/>
        <v>45780.833333333336</v>
      </c>
      <c r="N1812" s="1"/>
      <c r="O1812" t="str">
        <f t="shared" si="77"/>
        <v>PIX</v>
      </c>
      <c r="P1812" t="s">
        <v>149</v>
      </c>
      <c r="Q1812" t="str">
        <f t="shared" si="78"/>
        <v>Serviços</v>
      </c>
      <c r="R1812" t="str">
        <f t="shared" si="79"/>
        <v>Corte</v>
      </c>
      <c r="T1812" s="14">
        <f t="shared" si="80"/>
        <v>20</v>
      </c>
      <c r="U1812" s="14">
        <f t="shared" si="81"/>
        <v>40</v>
      </c>
      <c r="V1812" s="14"/>
      <c r="W1812" t="str">
        <f>IF(A1812=$A$1707,base!$I$3,IF(A1812=$A$1709,base!$I$2,IF(Receitas!A1812=Receitas!$A$1701,base!$I$4,"")))</f>
        <v>PATRICK CARDOSO</v>
      </c>
      <c r="X1812" t="str">
        <f t="shared" si="82"/>
        <v>Carlos Gama</v>
      </c>
    </row>
    <row r="1813" spans="1:24">
      <c r="A1813" t="s">
        <v>536</v>
      </c>
      <c r="B1813" t="s">
        <v>910</v>
      </c>
      <c r="C1813" t="s">
        <v>2793</v>
      </c>
      <c r="D1813" s="14">
        <v>20</v>
      </c>
      <c r="F1813" s="13">
        <v>45780.833333333336</v>
      </c>
      <c r="G1813" t="s">
        <v>1</v>
      </c>
      <c r="H1813" t="s">
        <v>796</v>
      </c>
      <c r="I1813" t="str">
        <f>IF(A1813="","Pacote",IF(B1813=IFERROR(VLOOKUP(B1813,base!$L$1:$L$20,1,0),""),"Produtos",IF(B1813=IFERROR(VLOOKUP(B1813,base!$K$2:$K$20,1,0),""),"Serviços",IF(B1813="Gorjeta","Gorjeta","Combos"))))</f>
        <v>Gorjeta</v>
      </c>
      <c r="J1813">
        <f t="shared" si="74"/>
        <v>9</v>
      </c>
      <c r="K1813" s="1">
        <f t="shared" si="75"/>
        <v>45780.833333333336</v>
      </c>
      <c r="L1813" s="1">
        <f t="shared" si="76"/>
        <v>45780.833333333336</v>
      </c>
      <c r="M1813" s="1">
        <f t="shared" si="73"/>
        <v>45780.833333333336</v>
      </c>
      <c r="N1813" s="1"/>
      <c r="O1813" t="str">
        <f t="shared" si="77"/>
        <v>PIX</v>
      </c>
      <c r="P1813" t="s">
        <v>149</v>
      </c>
      <c r="Q1813" t="str">
        <f t="shared" si="78"/>
        <v>Gorjeta</v>
      </c>
      <c r="R1813" t="str">
        <f t="shared" si="79"/>
        <v>Gorjeta</v>
      </c>
      <c r="T1813" s="14">
        <f t="shared" si="80"/>
        <v>20</v>
      </c>
      <c r="U1813" s="14">
        <f t="shared" si="81"/>
        <v>0</v>
      </c>
      <c r="V1813" s="14"/>
      <c r="W1813" t="str">
        <f>IF(A1813=$A$1707,base!$I$3,IF(A1813=$A$1709,base!$I$2,IF(Receitas!A1813=Receitas!$A$1701,base!$I$4,"")))</f>
        <v>PATRICK CARDOSO</v>
      </c>
      <c r="X1813" t="str">
        <f t="shared" si="82"/>
        <v>Carlos Gama</v>
      </c>
    </row>
    <row r="1814" spans="1:24">
      <c r="A1814" t="s">
        <v>252</v>
      </c>
      <c r="B1814" t="s">
        <v>163</v>
      </c>
      <c r="C1814" t="s">
        <v>2794</v>
      </c>
      <c r="D1814" s="14">
        <v>35</v>
      </c>
      <c r="E1814" s="14">
        <v>50</v>
      </c>
      <c r="F1814" s="13">
        <v>45782.645833333336</v>
      </c>
      <c r="G1814" t="s">
        <v>1</v>
      </c>
      <c r="H1814" t="s">
        <v>372</v>
      </c>
      <c r="I1814" t="str">
        <f>IF(A1814="","Pacote",IF(B1814=IFERROR(VLOOKUP(B1814,base!$L$1:$L$20,1,0),""),"Produtos",IF(B1814=IFERROR(VLOOKUP(B1814,base!$K$2:$K$20,1,0),""),"Serviços",IF(B1814="Gorjeta","Gorjeta","Combos"))))</f>
        <v>Serviços</v>
      </c>
      <c r="J1814">
        <f t="shared" si="74"/>
        <v>15.75</v>
      </c>
      <c r="K1814" s="1">
        <f t="shared" si="75"/>
        <v>45782.645833333336</v>
      </c>
      <c r="L1814" s="1">
        <f t="shared" si="76"/>
        <v>45782.645833333336</v>
      </c>
      <c r="M1814" s="1">
        <f t="shared" si="73"/>
        <v>45782.645833333336</v>
      </c>
      <c r="N1814" s="1"/>
      <c r="O1814" t="str">
        <f t="shared" si="77"/>
        <v>PIX</v>
      </c>
      <c r="P1814" t="s">
        <v>149</v>
      </c>
      <c r="Q1814" t="str">
        <f t="shared" si="78"/>
        <v>Serviços</v>
      </c>
      <c r="R1814" t="str">
        <f t="shared" si="79"/>
        <v>Corte</v>
      </c>
      <c r="T1814" s="14">
        <f t="shared" si="80"/>
        <v>35</v>
      </c>
      <c r="U1814" s="14">
        <f t="shared" si="81"/>
        <v>50</v>
      </c>
      <c r="V1814" s="14"/>
      <c r="W1814" t="str">
        <f>IF(A1814=$A$1707,base!$I$3,IF(A1814=$A$1709,base!$I$2,IF(Receitas!A1814=Receitas!$A$1701,base!$I$4,"")))</f>
        <v>Christian Magon</v>
      </c>
      <c r="X1814" t="str">
        <f t="shared" si="82"/>
        <v>Joao Paulo</v>
      </c>
    </row>
    <row r="1815" spans="1:24">
      <c r="A1815" t="s">
        <v>252</v>
      </c>
      <c r="B1815" t="s">
        <v>910</v>
      </c>
      <c r="C1815" t="s">
        <v>2794</v>
      </c>
      <c r="D1815" s="14">
        <v>5</v>
      </c>
      <c r="F1815" s="13">
        <v>45782.645833333336</v>
      </c>
      <c r="G1815" t="s">
        <v>1</v>
      </c>
      <c r="H1815" t="s">
        <v>372</v>
      </c>
      <c r="I1815" t="str">
        <f>IF(A1815="","Pacote",IF(B1815=IFERROR(VLOOKUP(B1815,base!$L$1:$L$20,1,0),""),"Produtos",IF(B1815=IFERROR(VLOOKUP(B1815,base!$K$2:$K$20,1,0),""),"Serviços",IF(B1815="Gorjeta","Gorjeta","Combos"))))</f>
        <v>Gorjeta</v>
      </c>
      <c r="J1815">
        <f t="shared" si="74"/>
        <v>2.25</v>
      </c>
      <c r="K1815" s="1">
        <f t="shared" si="75"/>
        <v>45782.645833333336</v>
      </c>
      <c r="L1815" s="1">
        <f t="shared" si="76"/>
        <v>45782.645833333336</v>
      </c>
      <c r="M1815" s="1">
        <f t="shared" si="73"/>
        <v>45782.645833333336</v>
      </c>
      <c r="N1815" s="1"/>
      <c r="O1815" t="str">
        <f t="shared" si="77"/>
        <v>PIX</v>
      </c>
      <c r="P1815" t="s">
        <v>149</v>
      </c>
      <c r="Q1815" t="str">
        <f t="shared" si="78"/>
        <v>Gorjeta</v>
      </c>
      <c r="R1815" t="str">
        <f t="shared" si="79"/>
        <v>Gorjeta</v>
      </c>
      <c r="T1815" s="14">
        <f t="shared" si="80"/>
        <v>5</v>
      </c>
      <c r="U1815" s="14">
        <f t="shared" si="81"/>
        <v>0</v>
      </c>
      <c r="V1815" s="14"/>
      <c r="W1815" t="str">
        <f>IF(A1815=$A$1707,base!$I$3,IF(A1815=$A$1709,base!$I$2,IF(Receitas!A1815=Receitas!$A$1701,base!$I$4,"")))</f>
        <v>Christian Magon</v>
      </c>
      <c r="X1815" t="str">
        <f t="shared" si="82"/>
        <v>Joao Paulo</v>
      </c>
    </row>
    <row r="1816" spans="1:24">
      <c r="A1816" t="s">
        <v>252</v>
      </c>
      <c r="B1816" t="s">
        <v>167</v>
      </c>
      <c r="C1816" t="s">
        <v>2794</v>
      </c>
      <c r="D1816" s="14">
        <v>10</v>
      </c>
      <c r="F1816" s="13">
        <v>45782.645833333336</v>
      </c>
      <c r="G1816" t="s">
        <v>1</v>
      </c>
      <c r="H1816" t="s">
        <v>372</v>
      </c>
      <c r="I1816" t="str">
        <f>IF(A1816="","Pacote",IF(B1816=IFERROR(VLOOKUP(B1816,base!$L$1:$L$20,1,0),""),"Produtos",IF(B1816=IFERROR(VLOOKUP(B1816,base!$K$2:$K$20,1,0),""),"Serviços",IF(B1816="Gorjeta","Gorjeta","Combos"))))</f>
        <v>Serviços</v>
      </c>
      <c r="J1816">
        <f t="shared" si="74"/>
        <v>4.5</v>
      </c>
      <c r="K1816" s="1">
        <f t="shared" si="75"/>
        <v>45782.645833333336</v>
      </c>
      <c r="L1816" s="1">
        <f t="shared" si="76"/>
        <v>45782.645833333336</v>
      </c>
      <c r="M1816" s="1">
        <f t="shared" si="73"/>
        <v>45782.645833333336</v>
      </c>
      <c r="N1816" s="1"/>
      <c r="O1816" t="str">
        <f t="shared" si="77"/>
        <v>PIX</v>
      </c>
      <c r="P1816" t="s">
        <v>149</v>
      </c>
      <c r="Q1816" t="str">
        <f t="shared" si="78"/>
        <v>Serviços</v>
      </c>
      <c r="R1816" t="str">
        <f t="shared" si="79"/>
        <v>Sobrancelha</v>
      </c>
      <c r="T1816" s="14">
        <f t="shared" si="80"/>
        <v>10</v>
      </c>
      <c r="U1816" s="14">
        <f t="shared" si="81"/>
        <v>0</v>
      </c>
      <c r="V1816" s="14"/>
      <c r="W1816" t="str">
        <f>IF(A1816=$A$1707,base!$I$3,IF(A1816=$A$1709,base!$I$2,IF(Receitas!A1816=Receitas!$A$1701,base!$I$4,"")))</f>
        <v>Christian Magon</v>
      </c>
      <c r="X1816" t="str">
        <f t="shared" si="82"/>
        <v>Joao Paulo</v>
      </c>
    </row>
    <row r="1817" spans="1:24">
      <c r="A1817" t="s">
        <v>519</v>
      </c>
      <c r="B1817" t="s">
        <v>163</v>
      </c>
      <c r="C1817" t="s">
        <v>2795</v>
      </c>
      <c r="D1817" s="14">
        <v>20</v>
      </c>
      <c r="E1817" s="14">
        <v>20</v>
      </c>
      <c r="F1817" s="13">
        <v>45782.520833333336</v>
      </c>
      <c r="G1817" t="s">
        <v>2</v>
      </c>
      <c r="H1817" t="s">
        <v>1368</v>
      </c>
      <c r="I1817" t="str">
        <f>IF(A1817="","Pacote",IF(B1817=IFERROR(VLOOKUP(B1817,base!$L$1:$L$20,1,0),""),"Produtos",IF(B1817=IFERROR(VLOOKUP(B1817,base!$K$2:$K$20,1,0),""),"Serviços",IF(B1817="Gorjeta","Gorjeta","Combos"))))</f>
        <v>Serviços</v>
      </c>
      <c r="J1817">
        <f t="shared" si="74"/>
        <v>9</v>
      </c>
      <c r="K1817" s="1">
        <f t="shared" si="75"/>
        <v>45782.520833333336</v>
      </c>
      <c r="L1817" s="1">
        <f t="shared" si="76"/>
        <v>45782.520833333336</v>
      </c>
      <c r="M1817" s="1">
        <f t="shared" si="73"/>
        <v>45782.520833333336</v>
      </c>
      <c r="N1817" s="1"/>
      <c r="O1817" t="str">
        <f t="shared" si="77"/>
        <v>Dinheiro</v>
      </c>
      <c r="P1817" t="s">
        <v>149</v>
      </c>
      <c r="Q1817" t="str">
        <f t="shared" si="78"/>
        <v>Serviços</v>
      </c>
      <c r="R1817" t="str">
        <f t="shared" si="79"/>
        <v>Corte</v>
      </c>
      <c r="T1817" s="14">
        <f t="shared" si="80"/>
        <v>20</v>
      </c>
      <c r="U1817" s="14">
        <f t="shared" si="81"/>
        <v>20</v>
      </c>
      <c r="V1817" s="14"/>
      <c r="W1817" t="str">
        <f>IF(A1817=$A$1707,base!$I$3,IF(A1817=$A$1709,base!$I$2,IF(Receitas!A1817=Receitas!$A$1701,base!$I$4,"")))</f>
        <v>Gustavo de Castro</v>
      </c>
      <c r="X1817" t="str">
        <f t="shared" si="82"/>
        <v>denner carvalho barbosa</v>
      </c>
    </row>
    <row r="1818" spans="1:24">
      <c r="A1818" t="s">
        <v>252</v>
      </c>
      <c r="B1818" t="s">
        <v>163</v>
      </c>
      <c r="C1818" t="s">
        <v>2796</v>
      </c>
      <c r="D1818" s="14">
        <v>35</v>
      </c>
      <c r="E1818" s="14">
        <v>35</v>
      </c>
      <c r="F1818" s="13">
        <v>45782.569444444445</v>
      </c>
      <c r="G1818" t="s">
        <v>1</v>
      </c>
      <c r="H1818" t="s">
        <v>58</v>
      </c>
      <c r="I1818" t="str">
        <f>IF(A1818="","Pacote",IF(B1818=IFERROR(VLOOKUP(B1818,base!$L$1:$L$20,1,0),""),"Produtos",IF(B1818=IFERROR(VLOOKUP(B1818,base!$K$2:$K$20,1,0),""),"Serviços",IF(B1818="Gorjeta","Gorjeta","Combos"))))</f>
        <v>Serviços</v>
      </c>
      <c r="J1818">
        <f t="shared" si="74"/>
        <v>15.75</v>
      </c>
      <c r="K1818" s="1">
        <f t="shared" si="75"/>
        <v>45782.569444444445</v>
      </c>
      <c r="L1818" s="1">
        <f t="shared" si="76"/>
        <v>45782.569444444445</v>
      </c>
      <c r="M1818" s="1">
        <f t="shared" si="73"/>
        <v>45782.569444444445</v>
      </c>
      <c r="N1818" s="1"/>
      <c r="O1818" t="str">
        <f t="shared" si="77"/>
        <v>PIX</v>
      </c>
      <c r="P1818" t="s">
        <v>149</v>
      </c>
      <c r="Q1818" t="str">
        <f t="shared" si="78"/>
        <v>Serviços</v>
      </c>
      <c r="R1818" t="str">
        <f t="shared" si="79"/>
        <v>Corte</v>
      </c>
      <c r="T1818" s="14">
        <f t="shared" si="80"/>
        <v>35</v>
      </c>
      <c r="U1818" s="14">
        <f t="shared" si="81"/>
        <v>35</v>
      </c>
      <c r="V1818" s="14"/>
      <c r="W1818" t="str">
        <f>IF(A1818=$A$1707,base!$I$3,IF(A1818=$A$1709,base!$I$2,IF(Receitas!A1818=Receitas!$A$1701,base!$I$4,"")))</f>
        <v>Christian Magon</v>
      </c>
      <c r="X1818" t="str">
        <f t="shared" si="82"/>
        <v>Carlos Vinicius Amaral da Silva</v>
      </c>
    </row>
    <row r="1819" spans="1:24">
      <c r="A1819" t="s">
        <v>519</v>
      </c>
      <c r="B1819" t="s">
        <v>353</v>
      </c>
      <c r="C1819" t="s">
        <v>2797</v>
      </c>
      <c r="D1819" s="14">
        <v>60</v>
      </c>
      <c r="E1819" s="14">
        <v>115</v>
      </c>
      <c r="F1819" s="13">
        <v>45782.586805555555</v>
      </c>
      <c r="G1819" t="s">
        <v>1</v>
      </c>
      <c r="H1819" t="s">
        <v>2162</v>
      </c>
      <c r="I1819" t="str">
        <f>IF(A1819="","Pacote",IF(B1819=IFERROR(VLOOKUP(B1819,base!$L$1:$L$20,1,0),""),"Produtos",IF(B1819=IFERROR(VLOOKUP(B1819,base!$K$2:$K$20,1,0),""),"Serviços",IF(B1819="Gorjeta","Gorjeta","Combos"))))</f>
        <v>Combos</v>
      </c>
      <c r="J1819">
        <f t="shared" si="74"/>
        <v>27</v>
      </c>
      <c r="K1819" s="1">
        <f t="shared" si="75"/>
        <v>45782.586805555555</v>
      </c>
      <c r="L1819" s="1">
        <f t="shared" si="76"/>
        <v>45782.586805555555</v>
      </c>
      <c r="M1819" s="1">
        <f t="shared" si="73"/>
        <v>45782.586805555555</v>
      </c>
      <c r="N1819" s="1"/>
      <c r="O1819" t="str">
        <f t="shared" si="77"/>
        <v>PIX</v>
      </c>
      <c r="P1819" t="s">
        <v>149</v>
      </c>
      <c r="Q1819" t="str">
        <f t="shared" si="78"/>
        <v>Combos</v>
      </c>
      <c r="R1819" t="str">
        <f t="shared" si="79"/>
        <v>Combo ( Corte + Barba )</v>
      </c>
      <c r="T1819" s="14">
        <f t="shared" si="80"/>
        <v>60</v>
      </c>
      <c r="U1819" s="14">
        <f t="shared" si="81"/>
        <v>115</v>
      </c>
      <c r="V1819" s="14"/>
      <c r="W1819" t="str">
        <f>IF(A1819=$A$1707,base!$I$3,IF(A1819=$A$1709,base!$I$2,IF(Receitas!A1819=Receitas!$A$1701,base!$I$4,"")))</f>
        <v>Gustavo de Castro</v>
      </c>
      <c r="X1819" t="str">
        <f t="shared" si="82"/>
        <v>Thiago Franco</v>
      </c>
    </row>
    <row r="1820" spans="1:24">
      <c r="A1820" t="s">
        <v>519</v>
      </c>
      <c r="B1820" t="s">
        <v>2536</v>
      </c>
      <c r="C1820" t="s">
        <v>2797</v>
      </c>
      <c r="D1820" s="14">
        <v>35</v>
      </c>
      <c r="F1820" s="13">
        <v>45782.586805555555</v>
      </c>
      <c r="G1820" t="s">
        <v>1</v>
      </c>
      <c r="H1820" t="s">
        <v>2162</v>
      </c>
      <c r="I1820" t="str">
        <f>IF(A1820="","Pacote",IF(B1820=IFERROR(VLOOKUP(B1820,base!$L$1:$L$20,1,0),""),"Produtos",IF(B1820=IFERROR(VLOOKUP(B1820,base!$K$2:$K$20,1,0),""),"Serviços",IF(B1820="Gorjeta","Gorjeta","Combos"))))</f>
        <v>Produtos</v>
      </c>
      <c r="J1820">
        <f t="shared" si="74"/>
        <v>14</v>
      </c>
      <c r="K1820" s="1">
        <f t="shared" si="75"/>
        <v>45782.586805555555</v>
      </c>
      <c r="L1820" s="1">
        <f t="shared" si="76"/>
        <v>45782.586805555555</v>
      </c>
      <c r="M1820" s="1">
        <f t="shared" si="73"/>
        <v>45782.586805555555</v>
      </c>
      <c r="N1820" s="1"/>
      <c r="O1820" t="str">
        <f t="shared" si="77"/>
        <v>PIX</v>
      </c>
      <c r="P1820" t="s">
        <v>149</v>
      </c>
      <c r="Q1820" t="str">
        <f t="shared" si="78"/>
        <v>Produtos</v>
      </c>
      <c r="R1820" t="str">
        <f t="shared" si="79"/>
        <v>Oleo para barba fox</v>
      </c>
      <c r="T1820" s="14">
        <f t="shared" si="80"/>
        <v>35</v>
      </c>
      <c r="U1820" s="14">
        <f t="shared" si="81"/>
        <v>0</v>
      </c>
      <c r="V1820" s="14"/>
      <c r="W1820" t="str">
        <f>IF(A1820=$A$1707,base!$I$3,IF(A1820=$A$1709,base!$I$2,IF(Receitas!A1820=Receitas!$A$1701,base!$I$4,"")))</f>
        <v>Gustavo de Castro</v>
      </c>
      <c r="X1820" t="str">
        <f t="shared" si="82"/>
        <v>Thiago Franco</v>
      </c>
    </row>
    <row r="1821" spans="1:24">
      <c r="A1821" t="s">
        <v>519</v>
      </c>
      <c r="B1821" t="s">
        <v>352</v>
      </c>
      <c r="C1821" t="s">
        <v>2797</v>
      </c>
      <c r="D1821" s="14">
        <v>20</v>
      </c>
      <c r="F1821" s="13">
        <v>45782.586805555555</v>
      </c>
      <c r="G1821" t="s">
        <v>1</v>
      </c>
      <c r="H1821" t="s">
        <v>2162</v>
      </c>
      <c r="I1821" t="str">
        <f>IF(A1821="","Pacote",IF(B1821=IFERROR(VLOOKUP(B1821,base!$L$1:$L$20,1,0),""),"Produtos",IF(B1821=IFERROR(VLOOKUP(B1821,base!$K$2:$K$20,1,0),""),"Serviços",IF(B1821="Gorjeta","Gorjeta","Combos"))))</f>
        <v>Combos</v>
      </c>
      <c r="J1821">
        <f t="shared" si="74"/>
        <v>9</v>
      </c>
      <c r="K1821" s="1">
        <f t="shared" si="75"/>
        <v>45782.586805555555</v>
      </c>
      <c r="L1821" s="1">
        <f t="shared" si="76"/>
        <v>45782.586805555555</v>
      </c>
      <c r="M1821" s="1">
        <f t="shared" si="73"/>
        <v>45782.586805555555</v>
      </c>
      <c r="N1821" s="1"/>
      <c r="O1821" t="str">
        <f t="shared" si="77"/>
        <v>PIX</v>
      </c>
      <c r="P1821" t="s">
        <v>149</v>
      </c>
      <c r="Q1821" t="str">
        <f t="shared" si="78"/>
        <v>Combos</v>
      </c>
      <c r="R1821" t="str">
        <f t="shared" si="79"/>
        <v>Combo ( depilação nariz e orelha )</v>
      </c>
      <c r="T1821" s="14">
        <f t="shared" si="80"/>
        <v>20</v>
      </c>
      <c r="U1821" s="14">
        <f t="shared" si="81"/>
        <v>0</v>
      </c>
      <c r="V1821" s="14"/>
      <c r="W1821" t="str">
        <f>IF(A1821=$A$1707,base!$I$3,IF(A1821=$A$1709,base!$I$2,IF(Receitas!A1821=Receitas!$A$1701,base!$I$4,"")))</f>
        <v>Gustavo de Castro</v>
      </c>
      <c r="X1821" t="str">
        <f t="shared" si="82"/>
        <v>Thiago Franco</v>
      </c>
    </row>
    <row r="1822" spans="1:24">
      <c r="A1822" t="s">
        <v>252</v>
      </c>
      <c r="B1822" t="s">
        <v>163</v>
      </c>
      <c r="C1822" t="s">
        <v>2798</v>
      </c>
      <c r="D1822" s="14">
        <v>35</v>
      </c>
      <c r="E1822" s="14">
        <v>35</v>
      </c>
      <c r="F1822" s="13">
        <v>45782.625</v>
      </c>
      <c r="G1822" t="s">
        <v>354</v>
      </c>
      <c r="H1822" t="s">
        <v>2799</v>
      </c>
      <c r="I1822" t="str">
        <f>IF(A1822="","Pacote",IF(B1822=IFERROR(VLOOKUP(B1822,base!$L$1:$L$20,1,0),""),"Produtos",IF(B1822=IFERROR(VLOOKUP(B1822,base!$K$2:$K$20,1,0),""),"Serviços",IF(B1822="Gorjeta","Gorjeta","Combos"))))</f>
        <v>Serviços</v>
      </c>
      <c r="J1822">
        <f t="shared" si="74"/>
        <v>15.75</v>
      </c>
      <c r="K1822" s="1">
        <f t="shared" si="75"/>
        <v>45782.625</v>
      </c>
      <c r="L1822" s="1">
        <f t="shared" si="76"/>
        <v>45782.625</v>
      </c>
      <c r="M1822" s="1">
        <f t="shared" si="73"/>
        <v>45782.625</v>
      </c>
      <c r="N1822" s="1"/>
      <c r="O1822" t="str">
        <f t="shared" si="77"/>
        <v>Cartão de Crédito</v>
      </c>
      <c r="P1822" t="s">
        <v>149</v>
      </c>
      <c r="Q1822" t="str">
        <f t="shared" si="78"/>
        <v>Serviços</v>
      </c>
      <c r="R1822" t="str">
        <f t="shared" si="79"/>
        <v>Corte</v>
      </c>
      <c r="T1822" s="14">
        <f t="shared" si="80"/>
        <v>35</v>
      </c>
      <c r="U1822" s="14">
        <f t="shared" si="81"/>
        <v>35</v>
      </c>
      <c r="V1822" s="14"/>
      <c r="W1822" t="str">
        <f>IF(A1822=$A$1707,base!$I$3,IF(A1822=$A$1709,base!$I$2,IF(Receitas!A1822=Receitas!$A$1701,base!$I$4,"")))</f>
        <v>Christian Magon</v>
      </c>
      <c r="X1822" t="str">
        <f t="shared" si="82"/>
        <v>izabela ferreira</v>
      </c>
    </row>
    <row r="1823" spans="1:24">
      <c r="A1823" t="s">
        <v>519</v>
      </c>
      <c r="B1823" t="s">
        <v>163</v>
      </c>
      <c r="C1823" t="s">
        <v>2800</v>
      </c>
      <c r="D1823" s="14">
        <v>35</v>
      </c>
      <c r="E1823" s="14">
        <v>45</v>
      </c>
      <c r="F1823" s="13">
        <v>45782.607638888891</v>
      </c>
      <c r="G1823" t="s">
        <v>1</v>
      </c>
      <c r="H1823" t="s">
        <v>35</v>
      </c>
      <c r="I1823" t="str">
        <f>IF(A1823="","Pacote",IF(B1823=IFERROR(VLOOKUP(B1823,base!$L$1:$L$20,1,0),""),"Produtos",IF(B1823=IFERROR(VLOOKUP(B1823,base!$K$2:$K$20,1,0),""),"Serviços",IF(B1823="Gorjeta","Gorjeta","Combos"))))</f>
        <v>Serviços</v>
      </c>
      <c r="J1823">
        <f t="shared" si="74"/>
        <v>15.75</v>
      </c>
      <c r="K1823" s="1">
        <f t="shared" si="75"/>
        <v>45782.607638888891</v>
      </c>
      <c r="L1823" s="1">
        <f t="shared" si="76"/>
        <v>45782.607638888891</v>
      </c>
      <c r="M1823" s="1">
        <f t="shared" si="73"/>
        <v>45782.607638888891</v>
      </c>
      <c r="N1823" s="1"/>
      <c r="O1823" t="str">
        <f t="shared" si="77"/>
        <v>PIX</v>
      </c>
      <c r="P1823" t="s">
        <v>149</v>
      </c>
      <c r="Q1823" t="str">
        <f t="shared" si="78"/>
        <v>Serviços</v>
      </c>
      <c r="R1823" t="str">
        <f t="shared" si="79"/>
        <v>Corte</v>
      </c>
      <c r="T1823" s="14">
        <f t="shared" si="80"/>
        <v>35</v>
      </c>
      <c r="U1823" s="14">
        <f t="shared" si="81"/>
        <v>45</v>
      </c>
      <c r="V1823" s="14"/>
      <c r="W1823" t="str">
        <f>IF(A1823=$A$1707,base!$I$3,IF(A1823=$A$1709,base!$I$2,IF(Receitas!A1823=Receitas!$A$1701,base!$I$4,"")))</f>
        <v>Gustavo de Castro</v>
      </c>
      <c r="X1823" t="str">
        <f t="shared" si="82"/>
        <v>Warley vitor</v>
      </c>
    </row>
    <row r="1824" spans="1:24">
      <c r="A1824" t="s">
        <v>519</v>
      </c>
      <c r="B1824" t="s">
        <v>167</v>
      </c>
      <c r="C1824" t="s">
        <v>2800</v>
      </c>
      <c r="D1824" s="14">
        <v>10</v>
      </c>
      <c r="F1824" s="13">
        <v>45782.607638888891</v>
      </c>
      <c r="G1824" t="s">
        <v>1</v>
      </c>
      <c r="H1824" t="s">
        <v>35</v>
      </c>
      <c r="I1824" t="str">
        <f>IF(A1824="","Pacote",IF(B1824=IFERROR(VLOOKUP(B1824,base!$L$1:$L$20,1,0),""),"Produtos",IF(B1824=IFERROR(VLOOKUP(B1824,base!$K$2:$K$20,1,0),""),"Serviços",IF(B1824="Gorjeta","Gorjeta","Combos"))))</f>
        <v>Serviços</v>
      </c>
      <c r="J1824">
        <f t="shared" si="74"/>
        <v>4.5</v>
      </c>
      <c r="K1824" s="1">
        <f t="shared" si="75"/>
        <v>45782.607638888891</v>
      </c>
      <c r="L1824" s="1">
        <f t="shared" si="76"/>
        <v>45782.607638888891</v>
      </c>
      <c r="M1824" s="1">
        <f t="shared" si="73"/>
        <v>45782.607638888891</v>
      </c>
      <c r="N1824" s="1"/>
      <c r="O1824" t="str">
        <f t="shared" si="77"/>
        <v>PIX</v>
      </c>
      <c r="P1824" t="s">
        <v>149</v>
      </c>
      <c r="Q1824" t="str">
        <f t="shared" si="78"/>
        <v>Serviços</v>
      </c>
      <c r="R1824" t="str">
        <f t="shared" si="79"/>
        <v>Sobrancelha</v>
      </c>
      <c r="T1824" s="14">
        <f t="shared" si="80"/>
        <v>10</v>
      </c>
      <c r="U1824" s="14">
        <f t="shared" si="81"/>
        <v>0</v>
      </c>
      <c r="V1824" s="14"/>
      <c r="W1824" t="str">
        <f>IF(A1824=$A$1707,base!$I$3,IF(A1824=$A$1709,base!$I$2,IF(Receitas!A1824=Receitas!$A$1701,base!$I$4,"")))</f>
        <v>Gustavo de Castro</v>
      </c>
      <c r="X1824" t="str">
        <f t="shared" si="82"/>
        <v>Warley vitor</v>
      </c>
    </row>
    <row r="1825" spans="1:24">
      <c r="A1825" t="s">
        <v>252</v>
      </c>
      <c r="B1825" t="s">
        <v>1446</v>
      </c>
      <c r="C1825" t="s">
        <v>2801</v>
      </c>
      <c r="D1825" s="14">
        <v>15</v>
      </c>
      <c r="E1825" s="14">
        <v>35</v>
      </c>
      <c r="F1825" s="13">
        <v>45782.614583333336</v>
      </c>
      <c r="G1825" t="s">
        <v>310</v>
      </c>
      <c r="H1825" t="s">
        <v>2802</v>
      </c>
      <c r="I1825" t="str">
        <f>IF(A1825="","Pacote",IF(B1825=IFERROR(VLOOKUP(B1825,base!$L$1:$L$20,1,0),""),"Produtos",IF(B1825=IFERROR(VLOOKUP(B1825,base!$K$2:$K$20,1,0),""),"Serviços",IF(B1825="Gorjeta","Gorjeta","Combos"))))</f>
        <v>Serviços</v>
      </c>
      <c r="J1825">
        <f t="shared" si="74"/>
        <v>6.75</v>
      </c>
      <c r="K1825" s="1">
        <f t="shared" si="75"/>
        <v>45782.614583333336</v>
      </c>
      <c r="L1825" s="1">
        <f t="shared" si="76"/>
        <v>45782.614583333336</v>
      </c>
      <c r="M1825" s="1">
        <f t="shared" si="73"/>
        <v>45782.614583333336</v>
      </c>
      <c r="N1825" s="1"/>
      <c r="O1825" t="str">
        <f t="shared" si="77"/>
        <v>Cartão de Débito</v>
      </c>
      <c r="P1825" t="s">
        <v>149</v>
      </c>
      <c r="Q1825" t="str">
        <f t="shared" si="78"/>
        <v>Serviços</v>
      </c>
      <c r="R1825" t="str">
        <f t="shared" si="79"/>
        <v>depilação orelha</v>
      </c>
      <c r="T1825" s="14">
        <f t="shared" si="80"/>
        <v>15</v>
      </c>
      <c r="U1825" s="14">
        <f t="shared" si="81"/>
        <v>35</v>
      </c>
      <c r="V1825" s="14"/>
      <c r="W1825" t="str">
        <f>IF(A1825=$A$1707,base!$I$3,IF(A1825=$A$1709,base!$I$2,IF(Receitas!A1825=Receitas!$A$1701,base!$I$4,"")))</f>
        <v>Christian Magon</v>
      </c>
      <c r="X1825" t="str">
        <f t="shared" si="82"/>
        <v>rafael santiago</v>
      </c>
    </row>
    <row r="1826" spans="1:24">
      <c r="A1826" t="s">
        <v>252</v>
      </c>
      <c r="B1826" t="s">
        <v>910</v>
      </c>
      <c r="C1826" t="s">
        <v>2801</v>
      </c>
      <c r="D1826" s="14">
        <v>20</v>
      </c>
      <c r="F1826" s="13">
        <v>45782.614583333336</v>
      </c>
      <c r="G1826" t="s">
        <v>310</v>
      </c>
      <c r="H1826" t="s">
        <v>2802</v>
      </c>
      <c r="I1826" t="str">
        <f>IF(A1826="","Pacote",IF(B1826=IFERROR(VLOOKUP(B1826,base!$L$1:$L$20,1,0),""),"Produtos",IF(B1826=IFERROR(VLOOKUP(B1826,base!$K$2:$K$20,1,0),""),"Serviços",IF(B1826="Gorjeta","Gorjeta","Combos"))))</f>
        <v>Gorjeta</v>
      </c>
      <c r="J1826">
        <f t="shared" si="74"/>
        <v>9</v>
      </c>
      <c r="K1826" s="1">
        <f t="shared" si="75"/>
        <v>45782.614583333336</v>
      </c>
      <c r="L1826" s="1">
        <f t="shared" si="76"/>
        <v>45782.614583333336</v>
      </c>
      <c r="M1826" s="1">
        <f t="shared" si="73"/>
        <v>45782.614583333336</v>
      </c>
      <c r="N1826" s="1"/>
      <c r="O1826" t="str">
        <f t="shared" si="77"/>
        <v>Cartão de Débito</v>
      </c>
      <c r="P1826" t="s">
        <v>149</v>
      </c>
      <c r="Q1826" t="str">
        <f t="shared" si="78"/>
        <v>Gorjeta</v>
      </c>
      <c r="R1826" t="str">
        <f t="shared" si="79"/>
        <v>Gorjeta</v>
      </c>
      <c r="T1826" s="14">
        <f t="shared" si="80"/>
        <v>20</v>
      </c>
      <c r="U1826" s="14">
        <f t="shared" si="81"/>
        <v>0</v>
      </c>
      <c r="V1826" s="14"/>
      <c r="W1826" t="str">
        <f>IF(A1826=$A$1707,base!$I$3,IF(A1826=$A$1709,base!$I$2,IF(Receitas!A1826=Receitas!$A$1701,base!$I$4,"")))</f>
        <v>Christian Magon</v>
      </c>
      <c r="X1826" t="str">
        <f t="shared" si="82"/>
        <v>rafael santiago</v>
      </c>
    </row>
    <row r="1827" spans="1:24">
      <c r="A1827" t="s">
        <v>252</v>
      </c>
      <c r="B1827" t="s">
        <v>353</v>
      </c>
      <c r="C1827" t="s">
        <v>2803</v>
      </c>
      <c r="D1827" s="14">
        <v>60</v>
      </c>
      <c r="E1827" s="14">
        <v>60</v>
      </c>
      <c r="F1827" s="13">
        <v>45782.5</v>
      </c>
      <c r="G1827" t="s">
        <v>354</v>
      </c>
      <c r="H1827" t="s">
        <v>2613</v>
      </c>
      <c r="I1827" t="str">
        <f>IF(A1827="","Pacote",IF(B1827=IFERROR(VLOOKUP(B1827,base!$L$1:$L$20,1,0),""),"Produtos",IF(B1827=IFERROR(VLOOKUP(B1827,base!$K$2:$K$20,1,0),""),"Serviços",IF(B1827="Gorjeta","Gorjeta","Combos"))))</f>
        <v>Combos</v>
      </c>
      <c r="J1827">
        <f t="shared" si="74"/>
        <v>27</v>
      </c>
      <c r="K1827" s="1">
        <f t="shared" si="75"/>
        <v>45782.5</v>
      </c>
      <c r="L1827" s="1">
        <f t="shared" si="76"/>
        <v>45782.5</v>
      </c>
      <c r="M1827" s="1">
        <f t="shared" si="73"/>
        <v>45782.5</v>
      </c>
      <c r="N1827" s="1"/>
      <c r="O1827" t="str">
        <f t="shared" si="77"/>
        <v>Cartão de Crédito</v>
      </c>
      <c r="P1827" t="s">
        <v>149</v>
      </c>
      <c r="Q1827" t="str">
        <f t="shared" si="78"/>
        <v>Combos</v>
      </c>
      <c r="R1827" t="str">
        <f t="shared" si="79"/>
        <v>Combo ( Corte + Barba )</v>
      </c>
      <c r="T1827" s="14">
        <f t="shared" si="80"/>
        <v>60</v>
      </c>
      <c r="U1827" s="14">
        <f t="shared" si="81"/>
        <v>60</v>
      </c>
      <c r="V1827" s="14"/>
      <c r="W1827" t="str">
        <f>IF(A1827=$A$1707,base!$I$3,IF(A1827=$A$1709,base!$I$2,IF(Receitas!A1827=Receitas!$A$1701,base!$I$4,"")))</f>
        <v>Christian Magon</v>
      </c>
      <c r="X1827" t="str">
        <f t="shared" si="82"/>
        <v>josue felipe</v>
      </c>
    </row>
    <row r="1828" spans="1:24">
      <c r="A1828" t="s">
        <v>519</v>
      </c>
      <c r="B1828" t="s">
        <v>163</v>
      </c>
      <c r="C1828" t="s">
        <v>2804</v>
      </c>
      <c r="D1828" s="14">
        <v>35</v>
      </c>
      <c r="E1828" s="14">
        <v>35</v>
      </c>
      <c r="F1828" s="13">
        <v>45782.6875</v>
      </c>
      <c r="G1828" t="s">
        <v>354</v>
      </c>
      <c r="H1828" t="s">
        <v>1874</v>
      </c>
      <c r="I1828" t="str">
        <f>IF(A1828="","Pacote",IF(B1828=IFERROR(VLOOKUP(B1828,base!$L$1:$L$20,1,0),""),"Produtos",IF(B1828=IFERROR(VLOOKUP(B1828,base!$K$2:$K$20,1,0),""),"Serviços",IF(B1828="Gorjeta","Gorjeta","Combos"))))</f>
        <v>Serviços</v>
      </c>
      <c r="J1828">
        <f t="shared" si="74"/>
        <v>15.75</v>
      </c>
      <c r="K1828" s="1">
        <f t="shared" si="75"/>
        <v>45782.6875</v>
      </c>
      <c r="L1828" s="1">
        <f t="shared" si="76"/>
        <v>45782.6875</v>
      </c>
      <c r="M1828" s="1">
        <f t="shared" si="73"/>
        <v>45782.6875</v>
      </c>
      <c r="N1828" s="1"/>
      <c r="O1828" t="str">
        <f t="shared" si="77"/>
        <v>Cartão de Crédito</v>
      </c>
      <c r="P1828" t="s">
        <v>149</v>
      </c>
      <c r="Q1828" t="str">
        <f t="shared" si="78"/>
        <v>Serviços</v>
      </c>
      <c r="R1828" t="str">
        <f t="shared" si="79"/>
        <v>Corte</v>
      </c>
      <c r="T1828" s="14">
        <f t="shared" si="80"/>
        <v>35</v>
      </c>
      <c r="U1828" s="14">
        <f t="shared" si="81"/>
        <v>35</v>
      </c>
      <c r="V1828" s="14"/>
      <c r="W1828" t="str">
        <f>IF(A1828=$A$1707,base!$I$3,IF(A1828=$A$1709,base!$I$2,IF(Receitas!A1828=Receitas!$A$1701,base!$I$4,"")))</f>
        <v>Gustavo de Castro</v>
      </c>
      <c r="X1828" t="str">
        <f t="shared" si="82"/>
        <v>elder dos santos</v>
      </c>
    </row>
    <row r="1829" spans="1:24">
      <c r="A1829" t="s">
        <v>252</v>
      </c>
      <c r="B1829" t="s">
        <v>353</v>
      </c>
      <c r="C1829" t="s">
        <v>2805</v>
      </c>
      <c r="D1829" s="14">
        <v>60</v>
      </c>
      <c r="E1829" s="14">
        <v>150</v>
      </c>
      <c r="F1829" s="13">
        <v>45786.416666666664</v>
      </c>
      <c r="G1829" t="s">
        <v>1</v>
      </c>
      <c r="H1829" t="s">
        <v>2806</v>
      </c>
      <c r="I1829" t="str">
        <f>IF(A1829="","Pacote",IF(B1829=IFERROR(VLOOKUP(B1829,base!$L$1:$L$20,1,0),""),"Produtos",IF(B1829=IFERROR(VLOOKUP(B1829,base!$K$2:$K$20,1,0),""),"Serviços",IF(B1829="Gorjeta","Gorjeta","Combos"))))</f>
        <v>Combos</v>
      </c>
      <c r="J1829">
        <f t="shared" si="74"/>
        <v>27</v>
      </c>
      <c r="K1829" s="1">
        <f t="shared" si="75"/>
        <v>45786.416666666664</v>
      </c>
      <c r="L1829" s="1">
        <f t="shared" si="76"/>
        <v>45786.416666666664</v>
      </c>
      <c r="M1829" s="1">
        <f t="shared" si="73"/>
        <v>45786.416666666664</v>
      </c>
      <c r="N1829" s="1"/>
      <c r="O1829" t="str">
        <f t="shared" si="77"/>
        <v>PIX</v>
      </c>
      <c r="P1829" t="s">
        <v>149</v>
      </c>
      <c r="Q1829" t="str">
        <f t="shared" si="78"/>
        <v>Combos</v>
      </c>
      <c r="R1829" t="str">
        <f t="shared" si="79"/>
        <v>Combo ( Corte + Barba )</v>
      </c>
      <c r="T1829" s="14">
        <f t="shared" si="80"/>
        <v>60</v>
      </c>
      <c r="U1829" s="14">
        <f t="shared" si="81"/>
        <v>150</v>
      </c>
      <c r="V1829" s="14"/>
      <c r="W1829" t="str">
        <f>IF(A1829=$A$1707,base!$I$3,IF(A1829=$A$1709,base!$I$2,IF(Receitas!A1829=Receitas!$A$1701,base!$I$4,"")))</f>
        <v>Christian Magon</v>
      </c>
      <c r="X1829" t="str">
        <f t="shared" si="82"/>
        <v>jeferson mendonça</v>
      </c>
    </row>
    <row r="1830" spans="1:24">
      <c r="A1830" t="s">
        <v>252</v>
      </c>
      <c r="B1830" t="s">
        <v>2536</v>
      </c>
      <c r="C1830" t="s">
        <v>2805</v>
      </c>
      <c r="D1830" s="14">
        <v>40</v>
      </c>
      <c r="F1830" s="13">
        <v>45786.416666666664</v>
      </c>
      <c r="G1830" t="s">
        <v>1</v>
      </c>
      <c r="H1830" t="s">
        <v>2806</v>
      </c>
      <c r="I1830" t="str">
        <f>IF(A1830="","Pacote",IF(B1830=IFERROR(VLOOKUP(B1830,base!$L$1:$L$20,1,0),""),"Produtos",IF(B1830=IFERROR(VLOOKUP(B1830,base!$K$2:$K$20,1,0),""),"Serviços",IF(B1830="Gorjeta","Gorjeta","Combos"))))</f>
        <v>Produtos</v>
      </c>
      <c r="J1830">
        <f t="shared" si="74"/>
        <v>16</v>
      </c>
      <c r="K1830" s="1">
        <f t="shared" si="75"/>
        <v>45786.416666666664</v>
      </c>
      <c r="L1830" s="1">
        <f t="shared" si="76"/>
        <v>45786.416666666664</v>
      </c>
      <c r="M1830" s="1">
        <f t="shared" si="73"/>
        <v>45786.416666666664</v>
      </c>
      <c r="N1830" s="1"/>
      <c r="O1830" t="str">
        <f t="shared" si="77"/>
        <v>PIX</v>
      </c>
      <c r="P1830" t="s">
        <v>149</v>
      </c>
      <c r="Q1830" t="str">
        <f t="shared" si="78"/>
        <v>Produtos</v>
      </c>
      <c r="R1830" t="str">
        <f t="shared" si="79"/>
        <v>Oleo para barba fox</v>
      </c>
      <c r="T1830" s="14">
        <f t="shared" si="80"/>
        <v>40</v>
      </c>
      <c r="U1830" s="14">
        <f t="shared" si="81"/>
        <v>0</v>
      </c>
      <c r="V1830" s="14"/>
      <c r="W1830" t="str">
        <f>IF(A1830=$A$1707,base!$I$3,IF(A1830=$A$1709,base!$I$2,IF(Receitas!A1830=Receitas!$A$1701,base!$I$4,"")))</f>
        <v>Christian Magon</v>
      </c>
      <c r="X1830" t="str">
        <f t="shared" si="82"/>
        <v>jeferson mendonça</v>
      </c>
    </row>
    <row r="1831" spans="1:24">
      <c r="A1831" t="s">
        <v>252</v>
      </c>
      <c r="B1831" t="s">
        <v>2526</v>
      </c>
      <c r="C1831" t="s">
        <v>2805</v>
      </c>
      <c r="D1831" s="14">
        <v>25</v>
      </c>
      <c r="F1831" s="13">
        <v>45786.416666666664</v>
      </c>
      <c r="G1831" t="s">
        <v>1</v>
      </c>
      <c r="H1831" t="s">
        <v>2806</v>
      </c>
      <c r="I1831" t="str">
        <f>IF(A1831="","Pacote",IF(B1831=IFERROR(VLOOKUP(B1831,base!$L$1:$L$20,1,0),""),"Produtos",IF(B1831=IFERROR(VLOOKUP(B1831,base!$K$2:$K$20,1,0),""),"Serviços",IF(B1831="Gorjeta","Gorjeta","Combos"))))</f>
        <v>Produtos</v>
      </c>
      <c r="J1831">
        <f t="shared" si="74"/>
        <v>10</v>
      </c>
      <c r="K1831" s="1">
        <f t="shared" si="75"/>
        <v>45786.416666666664</v>
      </c>
      <c r="L1831" s="1">
        <f t="shared" si="76"/>
        <v>45786.416666666664</v>
      </c>
      <c r="M1831" s="1">
        <f t="shared" si="73"/>
        <v>45786.416666666664</v>
      </c>
      <c r="N1831" s="1"/>
      <c r="O1831" t="str">
        <f t="shared" si="77"/>
        <v>PIX</v>
      </c>
      <c r="P1831" t="s">
        <v>149</v>
      </c>
      <c r="Q1831" t="str">
        <f t="shared" si="78"/>
        <v>Produtos</v>
      </c>
      <c r="R1831" t="str">
        <f t="shared" si="79"/>
        <v>POMADA INCOLOR FOX</v>
      </c>
      <c r="T1831" s="14">
        <f t="shared" si="80"/>
        <v>25</v>
      </c>
      <c r="U1831" s="14">
        <f t="shared" si="81"/>
        <v>0</v>
      </c>
      <c r="V1831" s="14"/>
      <c r="W1831" t="str">
        <f>IF(A1831=$A$1707,base!$I$3,IF(A1831=$A$1709,base!$I$2,IF(Receitas!A1831=Receitas!$A$1701,base!$I$4,"")))</f>
        <v>Christian Magon</v>
      </c>
      <c r="X1831" t="str">
        <f t="shared" si="82"/>
        <v>jeferson mendonça</v>
      </c>
    </row>
    <row r="1832" spans="1:24">
      <c r="A1832" t="s">
        <v>252</v>
      </c>
      <c r="B1832" t="s">
        <v>1187</v>
      </c>
      <c r="C1832" t="s">
        <v>2805</v>
      </c>
      <c r="D1832" s="14">
        <v>15</v>
      </c>
      <c r="F1832" s="13">
        <v>45786.416666666664</v>
      </c>
      <c r="G1832" t="s">
        <v>1</v>
      </c>
      <c r="H1832" t="s">
        <v>2806</v>
      </c>
      <c r="I1832" t="str">
        <f>IF(A1832="","Pacote",IF(B1832=IFERROR(VLOOKUP(B1832,base!$L$1:$L$20,1,0),""),"Produtos",IF(B1832=IFERROR(VLOOKUP(B1832,base!$K$2:$K$20,1,0),""),"Serviços",IF(B1832="Gorjeta","Gorjeta","Combos"))))</f>
        <v>Serviços</v>
      </c>
      <c r="J1832">
        <f t="shared" si="74"/>
        <v>6.75</v>
      </c>
      <c r="K1832" s="1">
        <f t="shared" si="75"/>
        <v>45786.416666666664</v>
      </c>
      <c r="L1832" s="1">
        <f t="shared" si="76"/>
        <v>45786.416666666664</v>
      </c>
      <c r="M1832" s="1">
        <f t="shared" si="73"/>
        <v>45786.416666666664</v>
      </c>
      <c r="N1832" s="1"/>
      <c r="O1832" t="str">
        <f t="shared" si="77"/>
        <v>PIX</v>
      </c>
      <c r="P1832" t="s">
        <v>149</v>
      </c>
      <c r="Q1832" t="str">
        <f t="shared" si="78"/>
        <v>Serviços</v>
      </c>
      <c r="R1832" t="str">
        <f t="shared" si="79"/>
        <v>depilação nariz</v>
      </c>
      <c r="T1832" s="14">
        <f t="shared" si="80"/>
        <v>15</v>
      </c>
      <c r="U1832" s="14">
        <f t="shared" si="81"/>
        <v>0</v>
      </c>
      <c r="V1832" s="14"/>
      <c r="W1832" t="str">
        <f>IF(A1832=$A$1707,base!$I$3,IF(A1832=$A$1709,base!$I$2,IF(Receitas!A1832=Receitas!$A$1701,base!$I$4,"")))</f>
        <v>Christian Magon</v>
      </c>
      <c r="X1832" t="str">
        <f t="shared" si="82"/>
        <v>jeferson mendonça</v>
      </c>
    </row>
    <row r="1833" spans="1:24">
      <c r="A1833" t="s">
        <v>252</v>
      </c>
      <c r="B1833" t="s">
        <v>910</v>
      </c>
      <c r="C1833" t="s">
        <v>2805</v>
      </c>
      <c r="D1833" s="14">
        <v>10</v>
      </c>
      <c r="F1833" s="13">
        <v>45786.416666666664</v>
      </c>
      <c r="G1833" t="s">
        <v>1</v>
      </c>
      <c r="H1833" t="s">
        <v>2806</v>
      </c>
      <c r="I1833" t="str">
        <f>IF(A1833="","Pacote",IF(B1833=IFERROR(VLOOKUP(B1833,base!$L$1:$L$20,1,0),""),"Produtos",IF(B1833=IFERROR(VLOOKUP(B1833,base!$K$2:$K$20,1,0),""),"Serviços",IF(B1833="Gorjeta","Gorjeta","Combos"))))</f>
        <v>Gorjeta</v>
      </c>
      <c r="J1833">
        <f t="shared" si="74"/>
        <v>4.5</v>
      </c>
      <c r="K1833" s="1">
        <f t="shared" si="75"/>
        <v>45786.416666666664</v>
      </c>
      <c r="L1833" s="1">
        <f t="shared" si="76"/>
        <v>45786.416666666664</v>
      </c>
      <c r="M1833" s="1">
        <f t="shared" si="73"/>
        <v>45786.416666666664</v>
      </c>
      <c r="N1833" s="1"/>
      <c r="O1833" t="str">
        <f t="shared" si="77"/>
        <v>PIX</v>
      </c>
      <c r="P1833" t="s">
        <v>149</v>
      </c>
      <c r="Q1833" t="str">
        <f t="shared" si="78"/>
        <v>Gorjeta</v>
      </c>
      <c r="R1833" t="str">
        <f t="shared" si="79"/>
        <v>Gorjeta</v>
      </c>
      <c r="T1833" s="14">
        <f t="shared" si="80"/>
        <v>10</v>
      </c>
      <c r="U1833" s="14">
        <f t="shared" si="81"/>
        <v>0</v>
      </c>
      <c r="V1833" s="14"/>
      <c r="W1833" t="str">
        <f>IF(A1833=$A$1707,base!$I$3,IF(A1833=$A$1709,base!$I$2,IF(Receitas!A1833=Receitas!$A$1701,base!$I$4,"")))</f>
        <v>Christian Magon</v>
      </c>
      <c r="X1833" t="str">
        <f t="shared" si="82"/>
        <v>jeferson mendonça</v>
      </c>
    </row>
    <row r="1834" spans="1:24">
      <c r="A1834" t="s">
        <v>252</v>
      </c>
      <c r="B1834" t="s">
        <v>163</v>
      </c>
      <c r="C1834" t="s">
        <v>2807</v>
      </c>
      <c r="D1834" s="14">
        <v>35</v>
      </c>
      <c r="E1834" s="14">
        <v>20</v>
      </c>
      <c r="F1834" s="13">
        <v>45783.541666666664</v>
      </c>
      <c r="G1834" t="s">
        <v>1</v>
      </c>
      <c r="H1834" t="s">
        <v>2808</v>
      </c>
      <c r="I1834" t="str">
        <f>IF(A1834="","Pacote",IF(B1834=IFERROR(VLOOKUP(B1834,base!$L$1:$L$20,1,0),""),"Produtos",IF(B1834=IFERROR(VLOOKUP(B1834,base!$K$2:$K$20,1,0),""),"Serviços",IF(B1834="Gorjeta","Gorjeta","Combos"))))</f>
        <v>Serviços</v>
      </c>
      <c r="J1834">
        <f t="shared" si="74"/>
        <v>15.75</v>
      </c>
      <c r="K1834" s="1">
        <f t="shared" si="75"/>
        <v>45783.541666666664</v>
      </c>
      <c r="L1834" s="1">
        <f t="shared" si="76"/>
        <v>45783.541666666664</v>
      </c>
      <c r="M1834" s="1">
        <f t="shared" si="73"/>
        <v>45783.541666666664</v>
      </c>
      <c r="N1834" s="1"/>
      <c r="O1834" t="str">
        <f t="shared" si="77"/>
        <v>PIX</v>
      </c>
      <c r="P1834" t="s">
        <v>149</v>
      </c>
      <c r="Q1834" t="str">
        <f t="shared" si="78"/>
        <v>Serviços</v>
      </c>
      <c r="R1834" t="str">
        <f t="shared" si="79"/>
        <v>Corte</v>
      </c>
      <c r="T1834" s="14">
        <f t="shared" si="80"/>
        <v>35</v>
      </c>
      <c r="U1834" s="14">
        <f t="shared" si="81"/>
        <v>20</v>
      </c>
      <c r="V1834" s="14"/>
      <c r="W1834" t="str">
        <f>IF(A1834=$A$1707,base!$I$3,IF(A1834=$A$1709,base!$I$2,IF(Receitas!A1834=Receitas!$A$1701,base!$I$4,"")))</f>
        <v>Christian Magon</v>
      </c>
      <c r="X1834" t="str">
        <f t="shared" si="82"/>
        <v>marcos vinicus pinho</v>
      </c>
    </row>
    <row r="1835" spans="1:24">
      <c r="A1835" t="s">
        <v>252</v>
      </c>
      <c r="B1835" t="s">
        <v>163</v>
      </c>
      <c r="C1835" t="s">
        <v>2809</v>
      </c>
      <c r="D1835" s="14">
        <v>35</v>
      </c>
      <c r="E1835" s="14">
        <v>45</v>
      </c>
      <c r="F1835" s="13">
        <v>45785.416666666664</v>
      </c>
      <c r="G1835" t="s">
        <v>1</v>
      </c>
      <c r="H1835" t="s">
        <v>364</v>
      </c>
      <c r="I1835" t="str">
        <f>IF(A1835="","Pacote",IF(B1835=IFERROR(VLOOKUP(B1835,base!$L$1:$L$20,1,0),""),"Produtos",IF(B1835=IFERROR(VLOOKUP(B1835,base!$K$2:$K$20,1,0),""),"Serviços",IF(B1835="Gorjeta","Gorjeta","Combos"))))</f>
        <v>Serviços</v>
      </c>
      <c r="J1835">
        <f t="shared" si="74"/>
        <v>15.75</v>
      </c>
      <c r="K1835" s="1">
        <f t="shared" si="75"/>
        <v>45785.416666666664</v>
      </c>
      <c r="L1835" s="1">
        <f t="shared" si="76"/>
        <v>45785.416666666664</v>
      </c>
      <c r="M1835" s="1">
        <f t="shared" si="73"/>
        <v>45785.416666666664</v>
      </c>
      <c r="N1835" s="1"/>
      <c r="O1835" t="str">
        <f t="shared" si="77"/>
        <v>PIX</v>
      </c>
      <c r="P1835" t="s">
        <v>149</v>
      </c>
      <c r="Q1835" t="str">
        <f t="shared" si="78"/>
        <v>Serviços</v>
      </c>
      <c r="R1835" t="str">
        <f t="shared" si="79"/>
        <v>Corte</v>
      </c>
      <c r="T1835" s="14">
        <f t="shared" si="80"/>
        <v>35</v>
      </c>
      <c r="U1835" s="14">
        <f t="shared" si="81"/>
        <v>45</v>
      </c>
      <c r="V1835" s="14"/>
      <c r="W1835" t="str">
        <f>IF(A1835=$A$1707,base!$I$3,IF(A1835=$A$1709,base!$I$2,IF(Receitas!A1835=Receitas!$A$1701,base!$I$4,"")))</f>
        <v>Christian Magon</v>
      </c>
      <c r="X1835" t="str">
        <f t="shared" si="82"/>
        <v>Gabriel lucas</v>
      </c>
    </row>
    <row r="1836" spans="1:24">
      <c r="A1836" t="s">
        <v>252</v>
      </c>
      <c r="B1836" t="s">
        <v>167</v>
      </c>
      <c r="C1836" t="s">
        <v>2809</v>
      </c>
      <c r="D1836" s="14">
        <v>10</v>
      </c>
      <c r="F1836" s="13">
        <v>45785.416666666664</v>
      </c>
      <c r="G1836" t="s">
        <v>1</v>
      </c>
      <c r="H1836" t="s">
        <v>364</v>
      </c>
      <c r="I1836" t="str">
        <f>IF(A1836="","Pacote",IF(B1836=IFERROR(VLOOKUP(B1836,base!$L$1:$L$20,1,0),""),"Produtos",IF(B1836=IFERROR(VLOOKUP(B1836,base!$K$2:$K$20,1,0),""),"Serviços",IF(B1836="Gorjeta","Gorjeta","Combos"))))</f>
        <v>Serviços</v>
      </c>
      <c r="J1836">
        <f t="shared" si="74"/>
        <v>4.5</v>
      </c>
      <c r="K1836" s="1">
        <f t="shared" si="75"/>
        <v>45785.416666666664</v>
      </c>
      <c r="L1836" s="1">
        <f t="shared" si="76"/>
        <v>45785.416666666664</v>
      </c>
      <c r="M1836" s="1">
        <f t="shared" si="73"/>
        <v>45785.416666666664</v>
      </c>
      <c r="N1836" s="1"/>
      <c r="O1836" t="str">
        <f t="shared" si="77"/>
        <v>PIX</v>
      </c>
      <c r="P1836" t="s">
        <v>149</v>
      </c>
      <c r="Q1836" t="str">
        <f t="shared" si="78"/>
        <v>Serviços</v>
      </c>
      <c r="R1836" t="str">
        <f t="shared" si="79"/>
        <v>Sobrancelha</v>
      </c>
      <c r="T1836" s="14">
        <f t="shared" si="80"/>
        <v>10</v>
      </c>
      <c r="U1836" s="14">
        <f t="shared" si="81"/>
        <v>0</v>
      </c>
      <c r="V1836" s="14"/>
      <c r="W1836" t="str">
        <f>IF(A1836=$A$1707,base!$I$3,IF(A1836=$A$1709,base!$I$2,IF(Receitas!A1836=Receitas!$A$1701,base!$I$4,"")))</f>
        <v>Christian Magon</v>
      </c>
      <c r="X1836" t="str">
        <f t="shared" si="82"/>
        <v>Gabriel lucas</v>
      </c>
    </row>
    <row r="1837" spans="1:24">
      <c r="A1837" t="s">
        <v>536</v>
      </c>
      <c r="B1837" t="s">
        <v>163</v>
      </c>
      <c r="C1837" t="s">
        <v>2810</v>
      </c>
      <c r="D1837" s="14">
        <v>35</v>
      </c>
      <c r="E1837" s="14">
        <v>35</v>
      </c>
      <c r="F1837" s="13">
        <v>45783.614583333336</v>
      </c>
      <c r="G1837" t="s">
        <v>2</v>
      </c>
      <c r="H1837" t="s">
        <v>2811</v>
      </c>
      <c r="I1837" t="str">
        <f>IF(A1837="","Pacote",IF(B1837=IFERROR(VLOOKUP(B1837,base!$L$1:$L$20,1,0),""),"Produtos",IF(B1837=IFERROR(VLOOKUP(B1837,base!$K$2:$K$20,1,0),""),"Serviços",IF(B1837="Gorjeta","Gorjeta","Combos"))))</f>
        <v>Serviços</v>
      </c>
      <c r="J1837">
        <f t="shared" si="74"/>
        <v>15.75</v>
      </c>
      <c r="K1837" s="1">
        <f t="shared" si="75"/>
        <v>45783.614583333336</v>
      </c>
      <c r="L1837" s="1">
        <f t="shared" si="76"/>
        <v>45783.614583333336</v>
      </c>
      <c r="M1837" s="1">
        <f t="shared" si="73"/>
        <v>45783.614583333336</v>
      </c>
      <c r="N1837" s="1"/>
      <c r="O1837" t="str">
        <f t="shared" si="77"/>
        <v>Dinheiro</v>
      </c>
      <c r="P1837" t="s">
        <v>149</v>
      </c>
      <c r="Q1837" t="str">
        <f t="shared" si="78"/>
        <v>Serviços</v>
      </c>
      <c r="R1837" t="str">
        <f t="shared" si="79"/>
        <v>Corte</v>
      </c>
      <c r="T1837" s="14">
        <f t="shared" si="80"/>
        <v>35</v>
      </c>
      <c r="U1837" s="14">
        <f t="shared" si="81"/>
        <v>35</v>
      </c>
      <c r="V1837" s="14"/>
      <c r="W1837" t="str">
        <f>IF(A1837=$A$1707,base!$I$3,IF(A1837=$A$1709,base!$I$2,IF(Receitas!A1837=Receitas!$A$1701,base!$I$4,"")))</f>
        <v>PATRICK CARDOSO</v>
      </c>
      <c r="X1837" t="str">
        <f t="shared" si="82"/>
        <v>kelly juliana</v>
      </c>
    </row>
    <row r="1838" spans="1:24">
      <c r="A1838" t="s">
        <v>519</v>
      </c>
      <c r="B1838" t="s">
        <v>353</v>
      </c>
      <c r="C1838" t="s">
        <v>2812</v>
      </c>
      <c r="D1838" s="14">
        <v>50</v>
      </c>
      <c r="E1838" s="14">
        <v>50</v>
      </c>
      <c r="F1838" s="13">
        <v>45783.621527777781</v>
      </c>
      <c r="G1838" t="s">
        <v>2</v>
      </c>
      <c r="H1838" t="s">
        <v>383</v>
      </c>
      <c r="I1838" t="str">
        <f>IF(A1838="","Pacote",IF(B1838=IFERROR(VLOOKUP(B1838,base!$L$1:$L$20,1,0),""),"Produtos",IF(B1838=IFERROR(VLOOKUP(B1838,base!$K$2:$K$20,1,0),""),"Serviços",IF(B1838="Gorjeta","Gorjeta","Combos"))))</f>
        <v>Combos</v>
      </c>
      <c r="J1838">
        <f t="shared" si="74"/>
        <v>22.5</v>
      </c>
      <c r="K1838" s="1">
        <f t="shared" si="75"/>
        <v>45783.621527777781</v>
      </c>
      <c r="L1838" s="1">
        <f t="shared" si="76"/>
        <v>45783.621527777781</v>
      </c>
      <c r="M1838" s="1">
        <f t="shared" si="73"/>
        <v>45783.621527777781</v>
      </c>
      <c r="N1838" s="1"/>
      <c r="O1838" t="str">
        <f t="shared" si="77"/>
        <v>Dinheiro</v>
      </c>
      <c r="P1838" t="s">
        <v>149</v>
      </c>
      <c r="Q1838" t="str">
        <f t="shared" si="78"/>
        <v>Combos</v>
      </c>
      <c r="R1838" t="str">
        <f t="shared" si="79"/>
        <v>Combo ( Corte + Barba )</v>
      </c>
      <c r="T1838" s="14">
        <f t="shared" si="80"/>
        <v>50</v>
      </c>
      <c r="U1838" s="14">
        <f t="shared" si="81"/>
        <v>50</v>
      </c>
      <c r="V1838" s="14"/>
      <c r="W1838" t="str">
        <f>IF(A1838=$A$1707,base!$I$3,IF(A1838=$A$1709,base!$I$2,IF(Receitas!A1838=Receitas!$A$1701,base!$I$4,"")))</f>
        <v>Gustavo de Castro</v>
      </c>
      <c r="X1838" t="str">
        <f t="shared" si="82"/>
        <v>Ycaro frança</v>
      </c>
    </row>
    <row r="1839" spans="1:24">
      <c r="A1839" t="s">
        <v>252</v>
      </c>
      <c r="B1839" t="s">
        <v>163</v>
      </c>
      <c r="C1839" t="s">
        <v>2813</v>
      </c>
      <c r="D1839" s="14">
        <v>35</v>
      </c>
      <c r="E1839" s="14">
        <v>35</v>
      </c>
      <c r="F1839" s="13">
        <v>45783.71875</v>
      </c>
      <c r="G1839" t="s">
        <v>1</v>
      </c>
      <c r="H1839" t="s">
        <v>1968</v>
      </c>
      <c r="I1839" t="str">
        <f>IF(A1839="","Pacote",IF(B1839=IFERROR(VLOOKUP(B1839,base!$L$1:$L$20,1,0),""),"Produtos",IF(B1839=IFERROR(VLOOKUP(B1839,base!$K$2:$K$20,1,0),""),"Serviços",IF(B1839="Gorjeta","Gorjeta","Combos"))))</f>
        <v>Serviços</v>
      </c>
      <c r="J1839">
        <f t="shared" si="74"/>
        <v>15.75</v>
      </c>
      <c r="K1839" s="1">
        <f t="shared" si="75"/>
        <v>45783.71875</v>
      </c>
      <c r="L1839" s="1">
        <f t="shared" si="76"/>
        <v>45783.71875</v>
      </c>
      <c r="M1839" s="1">
        <f t="shared" si="73"/>
        <v>45783.71875</v>
      </c>
      <c r="N1839" s="1"/>
      <c r="O1839" t="str">
        <f t="shared" si="77"/>
        <v>PIX</v>
      </c>
      <c r="P1839" t="s">
        <v>149</v>
      </c>
      <c r="Q1839" t="str">
        <f t="shared" si="78"/>
        <v>Serviços</v>
      </c>
      <c r="R1839" t="str">
        <f t="shared" si="79"/>
        <v>Corte</v>
      </c>
      <c r="T1839" s="14">
        <f t="shared" si="80"/>
        <v>35</v>
      </c>
      <c r="U1839" s="14">
        <f t="shared" si="81"/>
        <v>35</v>
      </c>
      <c r="V1839" s="14"/>
      <c r="W1839" t="str">
        <f>IF(A1839=$A$1707,base!$I$3,IF(A1839=$A$1709,base!$I$2,IF(Receitas!A1839=Receitas!$A$1701,base!$I$4,"")))</f>
        <v>Christian Magon</v>
      </c>
      <c r="X1839" t="str">
        <f t="shared" si="82"/>
        <v>jose rodrigo da silva</v>
      </c>
    </row>
    <row r="1840" spans="1:24">
      <c r="A1840" t="s">
        <v>519</v>
      </c>
      <c r="B1840" t="s">
        <v>163</v>
      </c>
      <c r="C1840" t="s">
        <v>2814</v>
      </c>
      <c r="D1840" s="14">
        <v>35</v>
      </c>
      <c r="E1840" s="14">
        <v>0</v>
      </c>
      <c r="F1840" s="13">
        <v>45783.71875</v>
      </c>
      <c r="G1840" t="s">
        <v>1</v>
      </c>
      <c r="H1840" t="s">
        <v>378</v>
      </c>
      <c r="I1840" t="str">
        <f>IF(A1840="","Pacote",IF(B1840=IFERROR(VLOOKUP(B1840,base!$L$1:$L$20,1,0),""),"Produtos",IF(B1840=IFERROR(VLOOKUP(B1840,base!$K$2:$K$20,1,0),""),"Serviços",IF(B1840="Gorjeta","Gorjeta","Combos"))))</f>
        <v>Serviços</v>
      </c>
      <c r="J1840">
        <f t="shared" si="74"/>
        <v>15.75</v>
      </c>
      <c r="K1840" s="1">
        <f t="shared" si="75"/>
        <v>45783.71875</v>
      </c>
      <c r="L1840" s="1">
        <f t="shared" si="76"/>
        <v>45783.71875</v>
      </c>
      <c r="M1840" s="1">
        <f t="shared" si="73"/>
        <v>45783.71875</v>
      </c>
      <c r="N1840" s="1"/>
      <c r="O1840" t="str">
        <f t="shared" si="77"/>
        <v>PIX</v>
      </c>
      <c r="P1840" t="s">
        <v>149</v>
      </c>
      <c r="Q1840" t="str">
        <f t="shared" si="78"/>
        <v>Serviços</v>
      </c>
      <c r="R1840" t="str">
        <f t="shared" si="79"/>
        <v>Corte</v>
      </c>
      <c r="T1840" s="14">
        <f t="shared" si="80"/>
        <v>35</v>
      </c>
      <c r="U1840" s="14">
        <f t="shared" si="81"/>
        <v>0</v>
      </c>
      <c r="V1840" s="14"/>
      <c r="W1840" t="str">
        <f>IF(A1840=$A$1707,base!$I$3,IF(A1840=$A$1709,base!$I$2,IF(Receitas!A1840=Receitas!$A$1701,base!$I$4,"")))</f>
        <v>Gustavo de Castro</v>
      </c>
      <c r="X1840" t="str">
        <f t="shared" si="82"/>
        <v>Fellipe Figueiredo Maia</v>
      </c>
    </row>
    <row r="1841" spans="1:24">
      <c r="A1841" t="s">
        <v>519</v>
      </c>
      <c r="B1841" t="s">
        <v>163</v>
      </c>
      <c r="C1841" t="s">
        <v>2815</v>
      </c>
      <c r="D1841" s="14">
        <v>35</v>
      </c>
      <c r="E1841" s="14">
        <v>35</v>
      </c>
      <c r="F1841" s="13">
        <v>45783.739583333336</v>
      </c>
      <c r="G1841" t="s">
        <v>1</v>
      </c>
      <c r="H1841" t="s">
        <v>869</v>
      </c>
      <c r="I1841" t="str">
        <f>IF(A1841="","Pacote",IF(B1841=IFERROR(VLOOKUP(B1841,base!$L$1:$L$20,1,0),""),"Produtos",IF(B1841=IFERROR(VLOOKUP(B1841,base!$K$2:$K$20,1,0),""),"Serviços",IF(B1841="Gorjeta","Gorjeta","Combos"))))</f>
        <v>Serviços</v>
      </c>
      <c r="J1841">
        <f t="shared" si="74"/>
        <v>15.75</v>
      </c>
      <c r="K1841" s="1">
        <f t="shared" si="75"/>
        <v>45783.739583333336</v>
      </c>
      <c r="L1841" s="1">
        <f t="shared" si="76"/>
        <v>45783.739583333336</v>
      </c>
      <c r="M1841" s="1">
        <f t="shared" si="73"/>
        <v>45783.739583333336</v>
      </c>
      <c r="N1841" s="1"/>
      <c r="O1841" t="str">
        <f t="shared" si="77"/>
        <v>PIX</v>
      </c>
      <c r="P1841" t="s">
        <v>149</v>
      </c>
      <c r="Q1841" t="str">
        <f t="shared" si="78"/>
        <v>Serviços</v>
      </c>
      <c r="R1841" t="str">
        <f t="shared" si="79"/>
        <v>Corte</v>
      </c>
      <c r="T1841" s="14">
        <f t="shared" si="80"/>
        <v>35</v>
      </c>
      <c r="U1841" s="14">
        <f t="shared" si="81"/>
        <v>35</v>
      </c>
      <c r="V1841" s="14"/>
      <c r="W1841" t="str">
        <f>IF(A1841=$A$1707,base!$I$3,IF(A1841=$A$1709,base!$I$2,IF(Receitas!A1841=Receitas!$A$1701,base!$I$4,"")))</f>
        <v>Gustavo de Castro</v>
      </c>
      <c r="X1841" t="str">
        <f t="shared" si="82"/>
        <v>Anderson Costa</v>
      </c>
    </row>
    <row r="1842" spans="1:24">
      <c r="A1842" t="s">
        <v>252</v>
      </c>
      <c r="B1842" t="s">
        <v>163</v>
      </c>
      <c r="C1842" t="s">
        <v>2816</v>
      </c>
      <c r="D1842" s="14">
        <v>35</v>
      </c>
      <c r="E1842" s="14">
        <v>35</v>
      </c>
      <c r="F1842" s="13">
        <v>45783.78125</v>
      </c>
      <c r="G1842" t="s">
        <v>1</v>
      </c>
      <c r="H1842" t="s">
        <v>2817</v>
      </c>
      <c r="I1842" t="str">
        <f>IF(A1842="","Pacote",IF(B1842=IFERROR(VLOOKUP(B1842,base!$L$1:$L$20,1,0),""),"Produtos",IF(B1842=IFERROR(VLOOKUP(B1842,base!$K$2:$K$20,1,0),""),"Serviços",IF(B1842="Gorjeta","Gorjeta","Combos"))))</f>
        <v>Serviços</v>
      </c>
      <c r="J1842">
        <f t="shared" si="74"/>
        <v>15.75</v>
      </c>
      <c r="K1842" s="1">
        <f t="shared" si="75"/>
        <v>45783.78125</v>
      </c>
      <c r="L1842" s="1">
        <f t="shared" si="76"/>
        <v>45783.78125</v>
      </c>
      <c r="M1842" s="1">
        <f t="shared" si="73"/>
        <v>45783.78125</v>
      </c>
      <c r="N1842" s="1"/>
      <c r="O1842" t="str">
        <f t="shared" si="77"/>
        <v>PIX</v>
      </c>
      <c r="P1842" t="s">
        <v>149</v>
      </c>
      <c r="Q1842" t="str">
        <f t="shared" si="78"/>
        <v>Serviços</v>
      </c>
      <c r="R1842" t="str">
        <f t="shared" si="79"/>
        <v>Corte</v>
      </c>
      <c r="T1842" s="14">
        <f t="shared" si="80"/>
        <v>35</v>
      </c>
      <c r="U1842" s="14">
        <f t="shared" si="81"/>
        <v>35</v>
      </c>
      <c r="V1842" s="14"/>
      <c r="W1842" t="str">
        <f>IF(A1842=$A$1707,base!$I$3,IF(A1842=$A$1709,base!$I$2,IF(Receitas!A1842=Receitas!$A$1701,base!$I$4,"")))</f>
        <v>Christian Magon</v>
      </c>
      <c r="X1842" t="str">
        <f t="shared" si="82"/>
        <v>suellen cristina machado</v>
      </c>
    </row>
    <row r="1843" spans="1:24">
      <c r="A1843" t="s">
        <v>519</v>
      </c>
      <c r="B1843" t="s">
        <v>163</v>
      </c>
      <c r="C1843" t="s">
        <v>2818</v>
      </c>
      <c r="D1843" s="14">
        <v>35</v>
      </c>
      <c r="E1843" s="14">
        <v>35</v>
      </c>
      <c r="F1843" s="13">
        <v>45783.770833333336</v>
      </c>
      <c r="G1843" t="s">
        <v>1</v>
      </c>
      <c r="H1843" t="s">
        <v>1216</v>
      </c>
      <c r="I1843" t="str">
        <f>IF(A1843="","Pacote",IF(B1843=IFERROR(VLOOKUP(B1843,base!$L$1:$L$20,1,0),""),"Produtos",IF(B1843=IFERROR(VLOOKUP(B1843,base!$K$2:$K$20,1,0),""),"Serviços",IF(B1843="Gorjeta","Gorjeta","Combos"))))</f>
        <v>Serviços</v>
      </c>
      <c r="J1843">
        <f t="shared" si="74"/>
        <v>15.75</v>
      </c>
      <c r="K1843" s="1">
        <f t="shared" si="75"/>
        <v>45783.770833333336</v>
      </c>
      <c r="L1843" s="1">
        <f t="shared" si="76"/>
        <v>45783.770833333336</v>
      </c>
      <c r="M1843" s="1">
        <f t="shared" ref="M1843:M1906" si="83">F1843</f>
        <v>45783.770833333336</v>
      </c>
      <c r="N1843" s="1"/>
      <c r="O1843" t="str">
        <f t="shared" si="77"/>
        <v>PIX</v>
      </c>
      <c r="P1843" t="s">
        <v>149</v>
      </c>
      <c r="Q1843" t="str">
        <f t="shared" si="78"/>
        <v>Serviços</v>
      </c>
      <c r="R1843" t="str">
        <f t="shared" si="79"/>
        <v>Corte</v>
      </c>
      <c r="T1843" s="14">
        <f t="shared" si="80"/>
        <v>35</v>
      </c>
      <c r="U1843" s="14">
        <f t="shared" si="81"/>
        <v>35</v>
      </c>
      <c r="V1843" s="14"/>
      <c r="W1843" t="str">
        <f>IF(A1843=$A$1707,base!$I$3,IF(A1843=$A$1709,base!$I$2,IF(Receitas!A1843=Receitas!$A$1701,base!$I$4,"")))</f>
        <v>Gustavo de Castro</v>
      </c>
      <c r="X1843" t="str">
        <f t="shared" si="82"/>
        <v>eder dos santos</v>
      </c>
    </row>
    <row r="1844" spans="1:24">
      <c r="A1844" t="s">
        <v>519</v>
      </c>
      <c r="B1844" t="s">
        <v>163</v>
      </c>
      <c r="C1844" t="s">
        <v>2819</v>
      </c>
      <c r="D1844" s="14">
        <v>35</v>
      </c>
      <c r="E1844" s="14">
        <v>70</v>
      </c>
      <c r="F1844" s="13">
        <v>45784.479166666664</v>
      </c>
      <c r="G1844" t="s">
        <v>1</v>
      </c>
      <c r="H1844" t="s">
        <v>63</v>
      </c>
      <c r="I1844" t="str">
        <f>IF(A1844="","Pacote",IF(B1844=IFERROR(VLOOKUP(B1844,base!$L$1:$L$20,1,0),""),"Produtos",IF(B1844=IFERROR(VLOOKUP(B1844,base!$K$2:$K$20,1,0),""),"Serviços",IF(B1844="Gorjeta","Gorjeta","Combos"))))</f>
        <v>Serviços</v>
      </c>
      <c r="J1844">
        <f t="shared" ref="J1844:J1907" si="84">IF(AND(I1844="Serviços",E1844&gt;0),ROUND(D1844*45%,2),IF(I1844="Produtos",ROUND(D1844*40%,2),D1844*45%))</f>
        <v>15.75</v>
      </c>
      <c r="K1844" s="1">
        <f t="shared" ref="K1844:K1907" si="85">F1844</f>
        <v>45784.479166666664</v>
      </c>
      <c r="L1844" s="1">
        <f t="shared" ref="L1844:L1907" si="86">F1844</f>
        <v>45784.479166666664</v>
      </c>
      <c r="M1844" s="1">
        <f t="shared" si="83"/>
        <v>45784.479166666664</v>
      </c>
      <c r="N1844" s="1"/>
      <c r="O1844" t="str">
        <f t="shared" ref="O1844:O1907" si="87">G1844</f>
        <v>PIX</v>
      </c>
      <c r="P1844" t="s">
        <v>149</v>
      </c>
      <c r="Q1844" t="str">
        <f t="shared" ref="Q1844:Q1907" si="88">I1844</f>
        <v>Serviços</v>
      </c>
      <c r="R1844" t="str">
        <f t="shared" ref="R1844:R1907" si="89">B1844</f>
        <v>Corte</v>
      </c>
      <c r="T1844" s="14">
        <f t="shared" ref="T1844:T1907" si="90">D1844</f>
        <v>35</v>
      </c>
      <c r="U1844" s="14">
        <f t="shared" ref="U1844:U1907" si="91">E1844</f>
        <v>70</v>
      </c>
      <c r="V1844" s="14"/>
      <c r="W1844" t="str">
        <f>IF(A1844=$A$1707,base!$I$3,IF(A1844=$A$1709,base!$I$2,IF(Receitas!A1844=Receitas!$A$1701,base!$I$4,"")))</f>
        <v>Gustavo de Castro</v>
      </c>
      <c r="X1844" t="str">
        <f t="shared" ref="X1844:X1907" si="92">H1844</f>
        <v>Cleiton Leal</v>
      </c>
    </row>
    <row r="1845" spans="1:24">
      <c r="A1845" t="s">
        <v>519</v>
      </c>
      <c r="B1845" t="s">
        <v>163</v>
      </c>
      <c r="C1845" t="s">
        <v>2819</v>
      </c>
      <c r="D1845" s="14">
        <v>35</v>
      </c>
      <c r="F1845" s="13">
        <v>45784.479166666664</v>
      </c>
      <c r="G1845" t="s">
        <v>1</v>
      </c>
      <c r="H1845" t="s">
        <v>63</v>
      </c>
      <c r="I1845" t="str">
        <f>IF(A1845="","Pacote",IF(B1845=IFERROR(VLOOKUP(B1845,base!$L$1:$L$20,1,0),""),"Produtos",IF(B1845=IFERROR(VLOOKUP(B1845,base!$K$2:$K$20,1,0),""),"Serviços",IF(B1845="Gorjeta","Gorjeta","Combos"))))</f>
        <v>Serviços</v>
      </c>
      <c r="J1845">
        <f t="shared" si="84"/>
        <v>15.75</v>
      </c>
      <c r="K1845" s="1">
        <f t="shared" si="85"/>
        <v>45784.479166666664</v>
      </c>
      <c r="L1845" s="1">
        <f t="shared" si="86"/>
        <v>45784.479166666664</v>
      </c>
      <c r="M1845" s="1">
        <f t="shared" si="83"/>
        <v>45784.479166666664</v>
      </c>
      <c r="N1845" s="1"/>
      <c r="O1845" t="str">
        <f t="shared" si="87"/>
        <v>PIX</v>
      </c>
      <c r="P1845" t="s">
        <v>149</v>
      </c>
      <c r="Q1845" t="str">
        <f t="shared" si="88"/>
        <v>Serviços</v>
      </c>
      <c r="R1845" t="str">
        <f t="shared" si="89"/>
        <v>Corte</v>
      </c>
      <c r="T1845" s="14">
        <f t="shared" si="90"/>
        <v>35</v>
      </c>
      <c r="U1845" s="14">
        <f t="shared" si="91"/>
        <v>0</v>
      </c>
      <c r="V1845" s="14"/>
      <c r="W1845" t="str">
        <f>IF(A1845=$A$1707,base!$I$3,IF(A1845=$A$1709,base!$I$2,IF(Receitas!A1845=Receitas!$A$1701,base!$I$4,"")))</f>
        <v>Gustavo de Castro</v>
      </c>
      <c r="X1845" t="str">
        <f t="shared" si="92"/>
        <v>Cleiton Leal</v>
      </c>
    </row>
    <row r="1846" spans="1:24">
      <c r="A1846" t="s">
        <v>519</v>
      </c>
      <c r="B1846" t="s">
        <v>163</v>
      </c>
      <c r="C1846" t="s">
        <v>2820</v>
      </c>
      <c r="D1846" s="14">
        <v>35</v>
      </c>
      <c r="E1846" s="14">
        <v>58</v>
      </c>
      <c r="F1846" s="13">
        <v>45786.677083333336</v>
      </c>
      <c r="G1846" t="s">
        <v>1</v>
      </c>
      <c r="H1846" t="s">
        <v>486</v>
      </c>
      <c r="I1846" t="str">
        <f>IF(A1846="","Pacote",IF(B1846=IFERROR(VLOOKUP(B1846,base!$L$1:$L$20,1,0),""),"Produtos",IF(B1846=IFERROR(VLOOKUP(B1846,base!$K$2:$K$20,1,0),""),"Serviços",IF(B1846="Gorjeta","Gorjeta","Combos"))))</f>
        <v>Serviços</v>
      </c>
      <c r="J1846">
        <f t="shared" si="84"/>
        <v>15.75</v>
      </c>
      <c r="K1846" s="1">
        <f t="shared" si="85"/>
        <v>45786.677083333336</v>
      </c>
      <c r="L1846" s="1">
        <f t="shared" si="86"/>
        <v>45786.677083333336</v>
      </c>
      <c r="M1846" s="1">
        <f t="shared" si="83"/>
        <v>45786.677083333336</v>
      </c>
      <c r="N1846" s="1"/>
      <c r="O1846" t="str">
        <f t="shared" si="87"/>
        <v>PIX</v>
      </c>
      <c r="P1846" t="s">
        <v>149</v>
      </c>
      <c r="Q1846" t="str">
        <f t="shared" si="88"/>
        <v>Serviços</v>
      </c>
      <c r="R1846" t="str">
        <f t="shared" si="89"/>
        <v>Corte</v>
      </c>
      <c r="T1846" s="14">
        <f t="shared" si="90"/>
        <v>35</v>
      </c>
      <c r="U1846" s="14">
        <f t="shared" si="91"/>
        <v>58</v>
      </c>
      <c r="V1846" s="14"/>
      <c r="W1846" t="str">
        <f>IF(A1846=$A$1707,base!$I$3,IF(A1846=$A$1709,base!$I$2,IF(Receitas!A1846=Receitas!$A$1701,base!$I$4,"")))</f>
        <v>Gustavo de Castro</v>
      </c>
      <c r="X1846" t="str">
        <f t="shared" si="92"/>
        <v>Caio Andrey</v>
      </c>
    </row>
    <row r="1847" spans="1:24">
      <c r="A1847" t="s">
        <v>519</v>
      </c>
      <c r="B1847" t="s">
        <v>2526</v>
      </c>
      <c r="C1847" t="s">
        <v>2820</v>
      </c>
      <c r="D1847" s="14">
        <v>23</v>
      </c>
      <c r="F1847" s="13">
        <v>45786.677083333336</v>
      </c>
      <c r="G1847" t="s">
        <v>1</v>
      </c>
      <c r="H1847" t="s">
        <v>486</v>
      </c>
      <c r="I1847" t="str">
        <f>IF(A1847="","Pacote",IF(B1847=IFERROR(VLOOKUP(B1847,base!$L$1:$L$20,1,0),""),"Produtos",IF(B1847=IFERROR(VLOOKUP(B1847,base!$K$2:$K$20,1,0),""),"Serviços",IF(B1847="Gorjeta","Gorjeta","Combos"))))</f>
        <v>Produtos</v>
      </c>
      <c r="J1847">
        <f t="shared" si="84"/>
        <v>9.1999999999999993</v>
      </c>
      <c r="K1847" s="1">
        <f t="shared" si="85"/>
        <v>45786.677083333336</v>
      </c>
      <c r="L1847" s="1">
        <f t="shared" si="86"/>
        <v>45786.677083333336</v>
      </c>
      <c r="M1847" s="1">
        <f t="shared" si="83"/>
        <v>45786.677083333336</v>
      </c>
      <c r="N1847" s="1"/>
      <c r="O1847" t="str">
        <f t="shared" si="87"/>
        <v>PIX</v>
      </c>
      <c r="P1847" t="s">
        <v>149</v>
      </c>
      <c r="Q1847" t="str">
        <f t="shared" si="88"/>
        <v>Produtos</v>
      </c>
      <c r="R1847" t="str">
        <f t="shared" si="89"/>
        <v>POMADA INCOLOR FOX</v>
      </c>
      <c r="T1847" s="14">
        <f t="shared" si="90"/>
        <v>23</v>
      </c>
      <c r="U1847" s="14">
        <f t="shared" si="91"/>
        <v>0</v>
      </c>
      <c r="V1847" s="14"/>
      <c r="W1847" t="str">
        <f>IF(A1847=$A$1707,base!$I$3,IF(A1847=$A$1709,base!$I$2,IF(Receitas!A1847=Receitas!$A$1701,base!$I$4,"")))</f>
        <v>Gustavo de Castro</v>
      </c>
      <c r="X1847" t="str">
        <f t="shared" si="92"/>
        <v>Caio Andrey</v>
      </c>
    </row>
    <row r="1848" spans="1:24">
      <c r="A1848" t="s">
        <v>536</v>
      </c>
      <c r="B1848" t="s">
        <v>353</v>
      </c>
      <c r="C1848" t="s">
        <v>2821</v>
      </c>
      <c r="D1848" s="14">
        <v>60</v>
      </c>
      <c r="E1848" s="14">
        <v>60</v>
      </c>
      <c r="F1848" s="13">
        <v>45783.847222222219</v>
      </c>
      <c r="G1848" t="s">
        <v>2</v>
      </c>
      <c r="H1848" t="s">
        <v>1184</v>
      </c>
      <c r="I1848" t="str">
        <f>IF(A1848="","Pacote",IF(B1848=IFERROR(VLOOKUP(B1848,base!$L$1:$L$20,1,0),""),"Produtos",IF(B1848=IFERROR(VLOOKUP(B1848,base!$K$2:$K$20,1,0),""),"Serviços",IF(B1848="Gorjeta","Gorjeta","Combos"))))</f>
        <v>Combos</v>
      </c>
      <c r="J1848">
        <f t="shared" si="84"/>
        <v>27</v>
      </c>
      <c r="K1848" s="1">
        <f t="shared" si="85"/>
        <v>45783.847222222219</v>
      </c>
      <c r="L1848" s="1">
        <f t="shared" si="86"/>
        <v>45783.847222222219</v>
      </c>
      <c r="M1848" s="1">
        <f t="shared" si="83"/>
        <v>45783.847222222219</v>
      </c>
      <c r="N1848" s="1"/>
      <c r="O1848" t="str">
        <f t="shared" si="87"/>
        <v>Dinheiro</v>
      </c>
      <c r="P1848" t="s">
        <v>149</v>
      </c>
      <c r="Q1848" t="str">
        <f t="shared" si="88"/>
        <v>Combos</v>
      </c>
      <c r="R1848" t="str">
        <f t="shared" si="89"/>
        <v>Combo ( Corte + Barba )</v>
      </c>
      <c r="T1848" s="14">
        <f t="shared" si="90"/>
        <v>60</v>
      </c>
      <c r="U1848" s="14">
        <f t="shared" si="91"/>
        <v>60</v>
      </c>
      <c r="V1848" s="14"/>
      <c r="W1848" t="str">
        <f>IF(A1848=$A$1707,base!$I$3,IF(A1848=$A$1709,base!$I$2,IF(Receitas!A1848=Receitas!$A$1701,base!$I$4,"")))</f>
        <v>PATRICK CARDOSO</v>
      </c>
      <c r="X1848" t="str">
        <f t="shared" si="92"/>
        <v>Joacir Simplicio</v>
      </c>
    </row>
    <row r="1849" spans="1:24">
      <c r="A1849" t="s">
        <v>536</v>
      </c>
      <c r="B1849" t="s">
        <v>163</v>
      </c>
      <c r="C1849" t="s">
        <v>2822</v>
      </c>
      <c r="D1849" s="14">
        <v>35</v>
      </c>
      <c r="E1849" s="14">
        <v>35</v>
      </c>
      <c r="F1849" s="13">
        <v>45783.847222222219</v>
      </c>
      <c r="G1849" t="s">
        <v>1</v>
      </c>
      <c r="H1849" t="s">
        <v>382</v>
      </c>
      <c r="I1849" t="str">
        <f>IF(A1849="","Pacote",IF(B1849=IFERROR(VLOOKUP(B1849,base!$L$1:$L$20,1,0),""),"Produtos",IF(B1849=IFERROR(VLOOKUP(B1849,base!$K$2:$K$20,1,0),""),"Serviços",IF(B1849="Gorjeta","Gorjeta","Combos"))))</f>
        <v>Serviços</v>
      </c>
      <c r="J1849">
        <f t="shared" si="84"/>
        <v>15.75</v>
      </c>
      <c r="K1849" s="1">
        <f t="shared" si="85"/>
        <v>45783.847222222219</v>
      </c>
      <c r="L1849" s="1">
        <f t="shared" si="86"/>
        <v>45783.847222222219</v>
      </c>
      <c r="M1849" s="1">
        <f t="shared" si="83"/>
        <v>45783.847222222219</v>
      </c>
      <c r="N1849" s="1"/>
      <c r="O1849" t="str">
        <f t="shared" si="87"/>
        <v>PIX</v>
      </c>
      <c r="P1849" t="s">
        <v>149</v>
      </c>
      <c r="Q1849" t="str">
        <f t="shared" si="88"/>
        <v>Serviços</v>
      </c>
      <c r="R1849" t="str">
        <f t="shared" si="89"/>
        <v>Corte</v>
      </c>
      <c r="T1849" s="14">
        <f t="shared" si="90"/>
        <v>35</v>
      </c>
      <c r="U1849" s="14">
        <f t="shared" si="91"/>
        <v>35</v>
      </c>
      <c r="V1849" s="14"/>
      <c r="W1849" t="str">
        <f>IF(A1849=$A$1707,base!$I$3,IF(A1849=$A$1709,base!$I$2,IF(Receitas!A1849=Receitas!$A$1701,base!$I$4,"")))</f>
        <v>PATRICK CARDOSO</v>
      </c>
      <c r="X1849" t="str">
        <f t="shared" si="92"/>
        <v>Sem Cadastro</v>
      </c>
    </row>
    <row r="1850" spans="1:24">
      <c r="A1850" t="s">
        <v>536</v>
      </c>
      <c r="B1850" t="s">
        <v>163</v>
      </c>
      <c r="C1850" t="s">
        <v>2823</v>
      </c>
      <c r="D1850" s="14">
        <v>35</v>
      </c>
      <c r="E1850" s="14">
        <v>35</v>
      </c>
      <c r="F1850" s="13">
        <v>45784.416666666664</v>
      </c>
      <c r="G1850" t="s">
        <v>1</v>
      </c>
      <c r="H1850" t="s">
        <v>1209</v>
      </c>
      <c r="I1850" t="str">
        <f>IF(A1850="","Pacote",IF(B1850=IFERROR(VLOOKUP(B1850,base!$L$1:$L$20,1,0),""),"Produtos",IF(B1850=IFERROR(VLOOKUP(B1850,base!$K$2:$K$20,1,0),""),"Serviços",IF(B1850="Gorjeta","Gorjeta","Combos"))))</f>
        <v>Serviços</v>
      </c>
      <c r="J1850">
        <f t="shared" si="84"/>
        <v>15.75</v>
      </c>
      <c r="K1850" s="1">
        <f t="shared" si="85"/>
        <v>45784.416666666664</v>
      </c>
      <c r="L1850" s="1">
        <f t="shared" si="86"/>
        <v>45784.416666666664</v>
      </c>
      <c r="M1850" s="1">
        <f t="shared" si="83"/>
        <v>45784.416666666664</v>
      </c>
      <c r="N1850" s="1"/>
      <c r="O1850" t="str">
        <f t="shared" si="87"/>
        <v>PIX</v>
      </c>
      <c r="P1850" t="s">
        <v>149</v>
      </c>
      <c r="Q1850" t="str">
        <f t="shared" si="88"/>
        <v>Serviços</v>
      </c>
      <c r="R1850" t="str">
        <f t="shared" si="89"/>
        <v>Corte</v>
      </c>
      <c r="T1850" s="14">
        <f t="shared" si="90"/>
        <v>35</v>
      </c>
      <c r="U1850" s="14">
        <f t="shared" si="91"/>
        <v>35</v>
      </c>
      <c r="V1850" s="14"/>
      <c r="W1850" t="str">
        <f>IF(A1850=$A$1707,base!$I$3,IF(A1850=$A$1709,base!$I$2,IF(Receitas!A1850=Receitas!$A$1701,base!$I$4,"")))</f>
        <v>PATRICK CARDOSO</v>
      </c>
      <c r="X1850" t="str">
        <f t="shared" si="92"/>
        <v>Rayna Almeida</v>
      </c>
    </row>
    <row r="1851" spans="1:24">
      <c r="A1851" t="s">
        <v>519</v>
      </c>
      <c r="B1851" t="s">
        <v>1046</v>
      </c>
      <c r="C1851" t="s">
        <v>2824</v>
      </c>
      <c r="D1851" s="14">
        <v>35</v>
      </c>
      <c r="E1851" s="14">
        <v>85</v>
      </c>
      <c r="F1851" s="13">
        <v>45787.375</v>
      </c>
      <c r="G1851" t="s">
        <v>1</v>
      </c>
      <c r="H1851" t="s">
        <v>66</v>
      </c>
      <c r="I1851" t="str">
        <f>IF(A1851="","Pacote",IF(B1851=IFERROR(VLOOKUP(B1851,base!$L$1:$L$20,1,0),""),"Produtos",IF(B1851=IFERROR(VLOOKUP(B1851,base!$K$2:$K$20,1,0),""),"Serviços",IF(B1851="Gorjeta","Gorjeta","Combos"))))</f>
        <v>Serviços</v>
      </c>
      <c r="J1851">
        <f t="shared" si="84"/>
        <v>15.75</v>
      </c>
      <c r="K1851" s="1">
        <f t="shared" si="85"/>
        <v>45787.375</v>
      </c>
      <c r="L1851" s="1">
        <f t="shared" si="86"/>
        <v>45787.375</v>
      </c>
      <c r="M1851" s="1">
        <f t="shared" si="83"/>
        <v>45787.375</v>
      </c>
      <c r="N1851" s="1"/>
      <c r="O1851" t="str">
        <f t="shared" si="87"/>
        <v>PIX</v>
      </c>
      <c r="P1851" t="s">
        <v>149</v>
      </c>
      <c r="Q1851" t="str">
        <f t="shared" si="88"/>
        <v>Serviços</v>
      </c>
      <c r="R1851" t="str">
        <f t="shared" si="89"/>
        <v>Barba</v>
      </c>
      <c r="T1851" s="14">
        <f t="shared" si="90"/>
        <v>35</v>
      </c>
      <c r="U1851" s="14">
        <f t="shared" si="91"/>
        <v>85</v>
      </c>
      <c r="V1851" s="14"/>
      <c r="W1851" t="str">
        <f>IF(A1851=$A$1707,base!$I$3,IF(A1851=$A$1709,base!$I$2,IF(Receitas!A1851=Receitas!$A$1701,base!$I$4,"")))</f>
        <v>Gustavo de Castro</v>
      </c>
      <c r="X1851" t="str">
        <f t="shared" si="92"/>
        <v>Alyne Soares</v>
      </c>
    </row>
    <row r="1852" spans="1:24">
      <c r="A1852" t="s">
        <v>519</v>
      </c>
      <c r="B1852" t="s">
        <v>2825</v>
      </c>
      <c r="C1852" t="s">
        <v>2824</v>
      </c>
      <c r="D1852" s="14">
        <v>15</v>
      </c>
      <c r="F1852" s="13">
        <v>45787.375</v>
      </c>
      <c r="G1852" t="s">
        <v>1</v>
      </c>
      <c r="H1852" t="s">
        <v>66</v>
      </c>
      <c r="I1852" t="str">
        <f>IF(A1852="","Pacote",IF(B1852=IFERROR(VLOOKUP(B1852,base!$L$1:$L$20,1,0),""),"Produtos",IF(B1852=IFERROR(VLOOKUP(B1852,base!$K$2:$K$20,1,0),""),"Serviços",IF(B1852="Gorjeta","Gorjeta","Combos"))))</f>
        <v>Serviços</v>
      </c>
      <c r="J1852">
        <f t="shared" si="84"/>
        <v>6.75</v>
      </c>
      <c r="K1852" s="1">
        <f t="shared" si="85"/>
        <v>45787.375</v>
      </c>
      <c r="L1852" s="1">
        <f t="shared" si="86"/>
        <v>45787.375</v>
      </c>
      <c r="M1852" s="1">
        <f t="shared" si="83"/>
        <v>45787.375</v>
      </c>
      <c r="N1852" s="1"/>
      <c r="O1852" t="str">
        <f t="shared" si="87"/>
        <v>PIX</v>
      </c>
      <c r="P1852" t="s">
        <v>149</v>
      </c>
      <c r="Q1852" t="str">
        <f t="shared" si="88"/>
        <v>Serviços</v>
      </c>
      <c r="R1852" t="str">
        <f t="shared" si="89"/>
        <v>barboterapia</v>
      </c>
      <c r="T1852" s="14">
        <f t="shared" si="90"/>
        <v>15</v>
      </c>
      <c r="U1852" s="14">
        <f t="shared" si="91"/>
        <v>0</v>
      </c>
      <c r="V1852" s="14"/>
      <c r="W1852" t="str">
        <f>IF(A1852=$A$1707,base!$I$3,IF(A1852=$A$1709,base!$I$2,IF(Receitas!A1852=Receitas!$A$1701,base!$I$4,"")))</f>
        <v>Gustavo de Castro</v>
      </c>
      <c r="X1852" t="str">
        <f t="shared" si="92"/>
        <v>Alyne Soares</v>
      </c>
    </row>
    <row r="1853" spans="1:24">
      <c r="A1853" t="s">
        <v>519</v>
      </c>
      <c r="B1853" t="s">
        <v>2536</v>
      </c>
      <c r="C1853" t="s">
        <v>2824</v>
      </c>
      <c r="D1853" s="14">
        <v>35</v>
      </c>
      <c r="F1853" s="13">
        <v>45787.375</v>
      </c>
      <c r="G1853" t="s">
        <v>1</v>
      </c>
      <c r="H1853" t="s">
        <v>66</v>
      </c>
      <c r="I1853" t="str">
        <f>IF(A1853="","Pacote",IF(B1853=IFERROR(VLOOKUP(B1853,base!$L$1:$L$20,1,0),""),"Produtos",IF(B1853=IFERROR(VLOOKUP(B1853,base!$K$2:$K$20,1,0),""),"Serviços",IF(B1853="Gorjeta","Gorjeta","Combos"))))</f>
        <v>Produtos</v>
      </c>
      <c r="J1853">
        <f t="shared" si="84"/>
        <v>14</v>
      </c>
      <c r="K1853" s="1">
        <f t="shared" si="85"/>
        <v>45787.375</v>
      </c>
      <c r="L1853" s="1">
        <f t="shared" si="86"/>
        <v>45787.375</v>
      </c>
      <c r="M1853" s="1">
        <f t="shared" si="83"/>
        <v>45787.375</v>
      </c>
      <c r="N1853" s="1"/>
      <c r="O1853" t="str">
        <f t="shared" si="87"/>
        <v>PIX</v>
      </c>
      <c r="P1853" t="s">
        <v>149</v>
      </c>
      <c r="Q1853" t="str">
        <f t="shared" si="88"/>
        <v>Produtos</v>
      </c>
      <c r="R1853" t="str">
        <f t="shared" si="89"/>
        <v>Oleo para barba fox</v>
      </c>
      <c r="T1853" s="14">
        <f t="shared" si="90"/>
        <v>35</v>
      </c>
      <c r="U1853" s="14">
        <f t="shared" si="91"/>
        <v>0</v>
      </c>
      <c r="V1853" s="14"/>
      <c r="W1853" t="str">
        <f>IF(A1853=$A$1707,base!$I$3,IF(A1853=$A$1709,base!$I$2,IF(Receitas!A1853=Receitas!$A$1701,base!$I$4,"")))</f>
        <v>Gustavo de Castro</v>
      </c>
      <c r="X1853" t="str">
        <f t="shared" si="92"/>
        <v>Alyne Soares</v>
      </c>
    </row>
    <row r="1854" spans="1:24">
      <c r="A1854" t="s">
        <v>536</v>
      </c>
      <c r="B1854" t="s">
        <v>163</v>
      </c>
      <c r="C1854" t="s">
        <v>2826</v>
      </c>
      <c r="D1854" s="14">
        <v>35</v>
      </c>
      <c r="E1854" s="14">
        <v>35</v>
      </c>
      <c r="F1854" s="13">
        <v>45784.430555555555</v>
      </c>
      <c r="G1854" t="s">
        <v>1</v>
      </c>
      <c r="H1854" t="s">
        <v>2827</v>
      </c>
      <c r="I1854" t="str">
        <f>IF(A1854="","Pacote",IF(B1854=IFERROR(VLOOKUP(B1854,base!$L$1:$L$20,1,0),""),"Produtos",IF(B1854=IFERROR(VLOOKUP(B1854,base!$K$2:$K$20,1,0),""),"Serviços",IF(B1854="Gorjeta","Gorjeta","Combos"))))</f>
        <v>Serviços</v>
      </c>
      <c r="J1854">
        <f t="shared" si="84"/>
        <v>15.75</v>
      </c>
      <c r="K1854" s="1">
        <f t="shared" si="85"/>
        <v>45784.430555555555</v>
      </c>
      <c r="L1854" s="1">
        <f t="shared" si="86"/>
        <v>45784.430555555555</v>
      </c>
      <c r="M1854" s="1">
        <f t="shared" si="83"/>
        <v>45784.430555555555</v>
      </c>
      <c r="N1854" s="1"/>
      <c r="O1854" t="str">
        <f t="shared" si="87"/>
        <v>PIX</v>
      </c>
      <c r="P1854" t="s">
        <v>149</v>
      </c>
      <c r="Q1854" t="str">
        <f t="shared" si="88"/>
        <v>Serviços</v>
      </c>
      <c r="R1854" t="str">
        <f t="shared" si="89"/>
        <v>Corte</v>
      </c>
      <c r="T1854" s="14">
        <f t="shared" si="90"/>
        <v>35</v>
      </c>
      <c r="U1854" s="14">
        <f t="shared" si="91"/>
        <v>35</v>
      </c>
      <c r="V1854" s="14"/>
      <c r="W1854" t="str">
        <f>IF(A1854=$A$1707,base!$I$3,IF(A1854=$A$1709,base!$I$2,IF(Receitas!A1854=Receitas!$A$1701,base!$I$4,"")))</f>
        <v>PATRICK CARDOSO</v>
      </c>
      <c r="X1854" t="str">
        <f t="shared" si="92"/>
        <v>joel moraes sodre</v>
      </c>
    </row>
    <row r="1855" spans="1:24">
      <c r="A1855" t="s">
        <v>519</v>
      </c>
      <c r="B1855" t="s">
        <v>163</v>
      </c>
      <c r="C1855" t="s">
        <v>2828</v>
      </c>
      <c r="D1855" s="14">
        <v>35</v>
      </c>
      <c r="E1855" s="14">
        <v>0</v>
      </c>
      <c r="F1855" s="13">
        <v>45784.5625</v>
      </c>
      <c r="G1855" t="s">
        <v>1</v>
      </c>
      <c r="H1855" t="s">
        <v>122</v>
      </c>
      <c r="I1855" t="str">
        <f>IF(A1855="","Pacote",IF(B1855=IFERROR(VLOOKUP(B1855,base!$L$1:$L$20,1,0),""),"Produtos",IF(B1855=IFERROR(VLOOKUP(B1855,base!$K$2:$K$20,1,0),""),"Serviços",IF(B1855="Gorjeta","Gorjeta","Combos"))))</f>
        <v>Serviços</v>
      </c>
      <c r="J1855">
        <f t="shared" si="84"/>
        <v>15.75</v>
      </c>
      <c r="K1855" s="1">
        <f t="shared" si="85"/>
        <v>45784.5625</v>
      </c>
      <c r="L1855" s="1">
        <f t="shared" si="86"/>
        <v>45784.5625</v>
      </c>
      <c r="M1855" s="1">
        <f t="shared" si="83"/>
        <v>45784.5625</v>
      </c>
      <c r="N1855" s="1"/>
      <c r="O1855" t="str">
        <f t="shared" si="87"/>
        <v>PIX</v>
      </c>
      <c r="P1855" t="s">
        <v>149</v>
      </c>
      <c r="Q1855" t="str">
        <f t="shared" si="88"/>
        <v>Serviços</v>
      </c>
      <c r="R1855" t="str">
        <f t="shared" si="89"/>
        <v>Corte</v>
      </c>
      <c r="T1855" s="14">
        <f t="shared" si="90"/>
        <v>35</v>
      </c>
      <c r="U1855" s="14">
        <f t="shared" si="91"/>
        <v>0</v>
      </c>
      <c r="V1855" s="14"/>
      <c r="W1855" t="str">
        <f>IF(A1855=$A$1707,base!$I$3,IF(A1855=$A$1709,base!$I$2,IF(Receitas!A1855=Receitas!$A$1701,base!$I$4,"")))</f>
        <v>Gustavo de Castro</v>
      </c>
      <c r="X1855" t="str">
        <f t="shared" si="92"/>
        <v>Paulo Roberto</v>
      </c>
    </row>
    <row r="1856" spans="1:24">
      <c r="A1856" t="s">
        <v>536</v>
      </c>
      <c r="B1856" t="s">
        <v>353</v>
      </c>
      <c r="C1856" t="s">
        <v>2829</v>
      </c>
      <c r="D1856" s="14">
        <v>60</v>
      </c>
      <c r="E1856" s="14">
        <v>85</v>
      </c>
      <c r="F1856" s="13">
        <v>45784.479166666664</v>
      </c>
      <c r="G1856" t="s">
        <v>1</v>
      </c>
      <c r="H1856" t="s">
        <v>465</v>
      </c>
      <c r="I1856" t="str">
        <f>IF(A1856="","Pacote",IF(B1856=IFERROR(VLOOKUP(B1856,base!$L$1:$L$20,1,0),""),"Produtos",IF(B1856=IFERROR(VLOOKUP(B1856,base!$K$2:$K$20,1,0),""),"Serviços",IF(B1856="Gorjeta","Gorjeta","Combos"))))</f>
        <v>Combos</v>
      </c>
      <c r="J1856">
        <f t="shared" si="84"/>
        <v>27</v>
      </c>
      <c r="K1856" s="1">
        <f t="shared" si="85"/>
        <v>45784.479166666664</v>
      </c>
      <c r="L1856" s="1">
        <f t="shared" si="86"/>
        <v>45784.479166666664</v>
      </c>
      <c r="M1856" s="1">
        <f t="shared" si="83"/>
        <v>45784.479166666664</v>
      </c>
      <c r="N1856" s="1"/>
      <c r="O1856" t="str">
        <f t="shared" si="87"/>
        <v>PIX</v>
      </c>
      <c r="P1856" t="s">
        <v>149</v>
      </c>
      <c r="Q1856" t="str">
        <f t="shared" si="88"/>
        <v>Combos</v>
      </c>
      <c r="R1856" t="str">
        <f t="shared" si="89"/>
        <v>Combo ( Corte + Barba )</v>
      </c>
      <c r="T1856" s="14">
        <f t="shared" si="90"/>
        <v>60</v>
      </c>
      <c r="U1856" s="14">
        <f t="shared" si="91"/>
        <v>85</v>
      </c>
      <c r="V1856" s="14"/>
      <c r="W1856" t="str">
        <f>IF(A1856=$A$1707,base!$I$3,IF(A1856=$A$1709,base!$I$2,IF(Receitas!A1856=Receitas!$A$1701,base!$I$4,"")))</f>
        <v>PATRICK CARDOSO</v>
      </c>
      <c r="X1856" t="str">
        <f t="shared" si="92"/>
        <v>Pablo Roberto</v>
      </c>
    </row>
    <row r="1857" spans="1:24">
      <c r="A1857" t="s">
        <v>536</v>
      </c>
      <c r="B1857" t="s">
        <v>2830</v>
      </c>
      <c r="C1857" t="s">
        <v>2829</v>
      </c>
      <c r="D1857" s="14">
        <v>25</v>
      </c>
      <c r="F1857" s="13">
        <v>45784.479166666664</v>
      </c>
      <c r="G1857" t="s">
        <v>1</v>
      </c>
      <c r="H1857" t="s">
        <v>465</v>
      </c>
      <c r="I1857" t="str">
        <f>IF(A1857="","Pacote",IF(B1857=IFERROR(VLOOKUP(B1857,base!$L$1:$L$20,1,0),""),"Produtos",IF(B1857=IFERROR(VLOOKUP(B1857,base!$K$2:$K$20,1,0),""),"Serviços",IF(B1857="Gorjeta","Gorjeta","Combos"))))</f>
        <v>Serviços</v>
      </c>
      <c r="J1857">
        <f t="shared" si="84"/>
        <v>11.25</v>
      </c>
      <c r="K1857" s="1">
        <f t="shared" si="85"/>
        <v>45784.479166666664</v>
      </c>
      <c r="L1857" s="1">
        <f t="shared" si="86"/>
        <v>45784.479166666664</v>
      </c>
      <c r="M1857" s="1">
        <f t="shared" si="83"/>
        <v>45784.479166666664</v>
      </c>
      <c r="N1857" s="1"/>
      <c r="O1857" t="str">
        <f t="shared" si="87"/>
        <v>PIX</v>
      </c>
      <c r="P1857" t="s">
        <v>149</v>
      </c>
      <c r="Q1857" t="str">
        <f t="shared" si="88"/>
        <v>Serviços</v>
      </c>
      <c r="R1857" t="str">
        <f t="shared" si="89"/>
        <v>limpeza de pele</v>
      </c>
      <c r="T1857" s="14">
        <f t="shared" si="90"/>
        <v>25</v>
      </c>
      <c r="U1857" s="14">
        <f t="shared" si="91"/>
        <v>0</v>
      </c>
      <c r="V1857" s="14"/>
      <c r="W1857" t="str">
        <f>IF(A1857=$A$1707,base!$I$3,IF(A1857=$A$1709,base!$I$2,IF(Receitas!A1857=Receitas!$A$1701,base!$I$4,"")))</f>
        <v>PATRICK CARDOSO</v>
      </c>
      <c r="X1857" t="str">
        <f t="shared" si="92"/>
        <v>Pablo Roberto</v>
      </c>
    </row>
    <row r="1858" spans="1:24">
      <c r="A1858" t="s">
        <v>536</v>
      </c>
      <c r="B1858" t="s">
        <v>163</v>
      </c>
      <c r="C1858" t="s">
        <v>2831</v>
      </c>
      <c r="D1858" s="14">
        <v>35</v>
      </c>
      <c r="E1858" s="14">
        <v>35</v>
      </c>
      <c r="F1858" s="13">
        <v>45784.604166666664</v>
      </c>
      <c r="G1858" t="s">
        <v>1</v>
      </c>
      <c r="H1858" t="s">
        <v>1712</v>
      </c>
      <c r="I1858" t="str">
        <f>IF(A1858="","Pacote",IF(B1858=IFERROR(VLOOKUP(B1858,base!$L$1:$L$20,1,0),""),"Produtos",IF(B1858=IFERROR(VLOOKUP(B1858,base!$K$2:$K$20,1,0),""),"Serviços",IF(B1858="Gorjeta","Gorjeta","Combos"))))</f>
        <v>Serviços</v>
      </c>
      <c r="J1858">
        <f t="shared" si="84"/>
        <v>15.75</v>
      </c>
      <c r="K1858" s="1">
        <f t="shared" si="85"/>
        <v>45784.604166666664</v>
      </c>
      <c r="L1858" s="1">
        <f t="shared" si="86"/>
        <v>45784.604166666664</v>
      </c>
      <c r="M1858" s="1">
        <f t="shared" si="83"/>
        <v>45784.604166666664</v>
      </c>
      <c r="N1858" s="1"/>
      <c r="O1858" t="str">
        <f t="shared" si="87"/>
        <v>PIX</v>
      </c>
      <c r="P1858" t="s">
        <v>149</v>
      </c>
      <c r="Q1858" t="str">
        <f t="shared" si="88"/>
        <v>Serviços</v>
      </c>
      <c r="R1858" t="str">
        <f t="shared" si="89"/>
        <v>Corte</v>
      </c>
      <c r="T1858" s="14">
        <f t="shared" si="90"/>
        <v>35</v>
      </c>
      <c r="U1858" s="14">
        <f t="shared" si="91"/>
        <v>35</v>
      </c>
      <c r="V1858" s="14"/>
      <c r="W1858" t="str">
        <f>IF(A1858=$A$1707,base!$I$3,IF(A1858=$A$1709,base!$I$2,IF(Receitas!A1858=Receitas!$A$1701,base!$I$4,"")))</f>
        <v>PATRICK CARDOSO</v>
      </c>
      <c r="X1858" t="str">
        <f t="shared" si="92"/>
        <v>Esther brito de Oliveira</v>
      </c>
    </row>
    <row r="1859" spans="1:24">
      <c r="A1859" t="s">
        <v>252</v>
      </c>
      <c r="B1859" t="s">
        <v>163</v>
      </c>
      <c r="C1859" t="s">
        <v>2832</v>
      </c>
      <c r="D1859" s="14">
        <v>35</v>
      </c>
      <c r="E1859" s="14">
        <v>35</v>
      </c>
      <c r="F1859" s="13">
        <v>45785.6875</v>
      </c>
      <c r="G1859" t="s">
        <v>354</v>
      </c>
      <c r="H1859" t="s">
        <v>96</v>
      </c>
      <c r="I1859" t="str">
        <f>IF(A1859="","Pacote",IF(B1859=IFERROR(VLOOKUP(B1859,base!$L$1:$L$20,1,0),""),"Produtos",IF(B1859=IFERROR(VLOOKUP(B1859,base!$K$2:$K$20,1,0),""),"Serviços",IF(B1859="Gorjeta","Gorjeta","Combos"))))</f>
        <v>Serviços</v>
      </c>
      <c r="J1859">
        <f t="shared" si="84"/>
        <v>15.75</v>
      </c>
      <c r="K1859" s="1">
        <f t="shared" si="85"/>
        <v>45785.6875</v>
      </c>
      <c r="L1859" s="1">
        <f t="shared" si="86"/>
        <v>45785.6875</v>
      </c>
      <c r="M1859" s="1">
        <f t="shared" si="83"/>
        <v>45785.6875</v>
      </c>
      <c r="N1859" s="1"/>
      <c r="O1859" t="str">
        <f t="shared" si="87"/>
        <v>Cartão de Crédito</v>
      </c>
      <c r="P1859" t="s">
        <v>149</v>
      </c>
      <c r="Q1859" t="str">
        <f t="shared" si="88"/>
        <v>Serviços</v>
      </c>
      <c r="R1859" t="str">
        <f t="shared" si="89"/>
        <v>Corte</v>
      </c>
      <c r="T1859" s="14">
        <f t="shared" si="90"/>
        <v>35</v>
      </c>
      <c r="U1859" s="14">
        <f t="shared" si="91"/>
        <v>35</v>
      </c>
      <c r="V1859" s="14"/>
      <c r="W1859" t="str">
        <f>IF(A1859=$A$1707,base!$I$3,IF(A1859=$A$1709,base!$I$2,IF(Receitas!A1859=Receitas!$A$1701,base!$I$4,"")))</f>
        <v>Christian Magon</v>
      </c>
      <c r="X1859" t="str">
        <f t="shared" si="92"/>
        <v>Jhonatha Ferreira</v>
      </c>
    </row>
    <row r="1860" spans="1:24">
      <c r="A1860" t="s">
        <v>519</v>
      </c>
      <c r="B1860" t="s">
        <v>163</v>
      </c>
      <c r="C1860" t="s">
        <v>2833</v>
      </c>
      <c r="D1860" s="14">
        <v>35</v>
      </c>
      <c r="E1860" s="14">
        <v>60</v>
      </c>
      <c r="F1860" s="13">
        <v>45784.645833333336</v>
      </c>
      <c r="G1860" t="s">
        <v>310</v>
      </c>
      <c r="H1860" t="s">
        <v>190</v>
      </c>
      <c r="I1860" t="str">
        <f>IF(A1860="","Pacote",IF(B1860=IFERROR(VLOOKUP(B1860,base!$L$1:$L$20,1,0),""),"Produtos",IF(B1860=IFERROR(VLOOKUP(B1860,base!$K$2:$K$20,1,0),""),"Serviços",IF(B1860="Gorjeta","Gorjeta","Combos"))))</f>
        <v>Serviços</v>
      </c>
      <c r="J1860">
        <f t="shared" si="84"/>
        <v>15.75</v>
      </c>
      <c r="K1860" s="1">
        <f t="shared" si="85"/>
        <v>45784.645833333336</v>
      </c>
      <c r="L1860" s="1">
        <f t="shared" si="86"/>
        <v>45784.645833333336</v>
      </c>
      <c r="M1860" s="1">
        <f t="shared" si="83"/>
        <v>45784.645833333336</v>
      </c>
      <c r="N1860" s="1"/>
      <c r="O1860" t="str">
        <f t="shared" si="87"/>
        <v>Cartão de Débito</v>
      </c>
      <c r="P1860" t="s">
        <v>149</v>
      </c>
      <c r="Q1860" t="str">
        <f t="shared" si="88"/>
        <v>Serviços</v>
      </c>
      <c r="R1860" t="str">
        <f t="shared" si="89"/>
        <v>Corte</v>
      </c>
      <c r="T1860" s="14">
        <f t="shared" si="90"/>
        <v>35</v>
      </c>
      <c r="U1860" s="14">
        <f t="shared" si="91"/>
        <v>60</v>
      </c>
      <c r="V1860" s="14"/>
      <c r="W1860" t="str">
        <f>IF(A1860=$A$1707,base!$I$3,IF(A1860=$A$1709,base!$I$2,IF(Receitas!A1860=Receitas!$A$1701,base!$I$4,"")))</f>
        <v>Gustavo de Castro</v>
      </c>
      <c r="X1860" t="str">
        <f t="shared" si="92"/>
        <v>WAGNER FELIPE SANTA ROSA OLIVEIRA</v>
      </c>
    </row>
    <row r="1861" spans="1:24">
      <c r="A1861" t="s">
        <v>519</v>
      </c>
      <c r="B1861" t="s">
        <v>1046</v>
      </c>
      <c r="C1861" t="s">
        <v>2833</v>
      </c>
      <c r="D1861" s="14">
        <v>25</v>
      </c>
      <c r="F1861" s="13">
        <v>45784.645833333336</v>
      </c>
      <c r="G1861" t="s">
        <v>310</v>
      </c>
      <c r="H1861" t="s">
        <v>190</v>
      </c>
      <c r="I1861" t="str">
        <f>IF(A1861="","Pacote",IF(B1861=IFERROR(VLOOKUP(B1861,base!$L$1:$L$20,1,0),""),"Produtos",IF(B1861=IFERROR(VLOOKUP(B1861,base!$K$2:$K$20,1,0),""),"Serviços",IF(B1861="Gorjeta","Gorjeta","Combos"))))</f>
        <v>Serviços</v>
      </c>
      <c r="J1861">
        <f t="shared" si="84"/>
        <v>11.25</v>
      </c>
      <c r="K1861" s="1">
        <f t="shared" si="85"/>
        <v>45784.645833333336</v>
      </c>
      <c r="L1861" s="1">
        <f t="shared" si="86"/>
        <v>45784.645833333336</v>
      </c>
      <c r="M1861" s="1">
        <f t="shared" si="83"/>
        <v>45784.645833333336</v>
      </c>
      <c r="N1861" s="1"/>
      <c r="O1861" t="str">
        <f t="shared" si="87"/>
        <v>Cartão de Débito</v>
      </c>
      <c r="P1861" t="s">
        <v>149</v>
      </c>
      <c r="Q1861" t="str">
        <f t="shared" si="88"/>
        <v>Serviços</v>
      </c>
      <c r="R1861" t="str">
        <f t="shared" si="89"/>
        <v>Barba</v>
      </c>
      <c r="T1861" s="14">
        <f t="shared" si="90"/>
        <v>25</v>
      </c>
      <c r="U1861" s="14">
        <f t="shared" si="91"/>
        <v>0</v>
      </c>
      <c r="V1861" s="14"/>
      <c r="W1861" t="str">
        <f>IF(A1861=$A$1707,base!$I$3,IF(A1861=$A$1709,base!$I$2,IF(Receitas!A1861=Receitas!$A$1701,base!$I$4,"")))</f>
        <v>Gustavo de Castro</v>
      </c>
      <c r="X1861" t="str">
        <f t="shared" si="92"/>
        <v>WAGNER FELIPE SANTA ROSA OLIVEIRA</v>
      </c>
    </row>
    <row r="1862" spans="1:24">
      <c r="A1862" t="s">
        <v>519</v>
      </c>
      <c r="B1862" t="s">
        <v>163</v>
      </c>
      <c r="C1862" t="s">
        <v>2834</v>
      </c>
      <c r="D1862" s="14">
        <v>35</v>
      </c>
      <c r="E1862" s="14">
        <v>35</v>
      </c>
      <c r="F1862" s="13">
        <v>45784.576388888891</v>
      </c>
      <c r="G1862" t="s">
        <v>1</v>
      </c>
      <c r="H1862" t="s">
        <v>2835</v>
      </c>
      <c r="I1862" t="str">
        <f>IF(A1862="","Pacote",IF(B1862=IFERROR(VLOOKUP(B1862,base!$L$1:$L$20,1,0),""),"Produtos",IF(B1862=IFERROR(VLOOKUP(B1862,base!$K$2:$K$20,1,0),""),"Serviços",IF(B1862="Gorjeta","Gorjeta","Combos"))))</f>
        <v>Serviços</v>
      </c>
      <c r="J1862">
        <f t="shared" si="84"/>
        <v>15.75</v>
      </c>
      <c r="K1862" s="1">
        <f t="shared" si="85"/>
        <v>45784.576388888891</v>
      </c>
      <c r="L1862" s="1">
        <f t="shared" si="86"/>
        <v>45784.576388888891</v>
      </c>
      <c r="M1862" s="1">
        <f t="shared" si="83"/>
        <v>45784.576388888891</v>
      </c>
      <c r="N1862" s="1"/>
      <c r="O1862" t="str">
        <f t="shared" si="87"/>
        <v>PIX</v>
      </c>
      <c r="P1862" t="s">
        <v>149</v>
      </c>
      <c r="Q1862" t="str">
        <f t="shared" si="88"/>
        <v>Serviços</v>
      </c>
      <c r="R1862" t="str">
        <f t="shared" si="89"/>
        <v>Corte</v>
      </c>
      <c r="T1862" s="14">
        <f t="shared" si="90"/>
        <v>35</v>
      </c>
      <c r="U1862" s="14">
        <f t="shared" si="91"/>
        <v>35</v>
      </c>
      <c r="V1862" s="14"/>
      <c r="W1862" t="str">
        <f>IF(A1862=$A$1707,base!$I$3,IF(A1862=$A$1709,base!$I$2,IF(Receitas!A1862=Receitas!$A$1701,base!$I$4,"")))</f>
        <v>Gustavo de Castro</v>
      </c>
      <c r="X1862" t="str">
        <f t="shared" si="92"/>
        <v>hermerson silva</v>
      </c>
    </row>
    <row r="1863" spans="1:24">
      <c r="A1863" t="s">
        <v>536</v>
      </c>
      <c r="B1863" t="s">
        <v>163</v>
      </c>
      <c r="C1863" t="s">
        <v>2836</v>
      </c>
      <c r="D1863" s="14">
        <v>35</v>
      </c>
      <c r="E1863" s="14">
        <v>60</v>
      </c>
      <c r="F1863" s="13">
        <v>45784.604166666664</v>
      </c>
      <c r="G1863" t="s">
        <v>354</v>
      </c>
      <c r="H1863" t="s">
        <v>1593</v>
      </c>
      <c r="I1863" t="str">
        <f>IF(A1863="","Pacote",IF(B1863=IFERROR(VLOOKUP(B1863,base!$L$1:$L$20,1,0),""),"Produtos",IF(B1863=IFERROR(VLOOKUP(B1863,base!$K$2:$K$20,1,0),""),"Serviços",IF(B1863="Gorjeta","Gorjeta","Combos"))))</f>
        <v>Serviços</v>
      </c>
      <c r="J1863">
        <f t="shared" si="84"/>
        <v>15.75</v>
      </c>
      <c r="K1863" s="1">
        <f t="shared" si="85"/>
        <v>45784.604166666664</v>
      </c>
      <c r="L1863" s="1">
        <f t="shared" si="86"/>
        <v>45784.604166666664</v>
      </c>
      <c r="M1863" s="1">
        <f t="shared" si="83"/>
        <v>45784.604166666664</v>
      </c>
      <c r="N1863" s="1"/>
      <c r="O1863" t="str">
        <f t="shared" si="87"/>
        <v>Cartão de Crédito</v>
      </c>
      <c r="P1863" t="s">
        <v>149</v>
      </c>
      <c r="Q1863" t="str">
        <f t="shared" si="88"/>
        <v>Serviços</v>
      </c>
      <c r="R1863" t="str">
        <f t="shared" si="89"/>
        <v>Corte</v>
      </c>
      <c r="T1863" s="14">
        <f t="shared" si="90"/>
        <v>35</v>
      </c>
      <c r="U1863" s="14">
        <f t="shared" si="91"/>
        <v>60</v>
      </c>
      <c r="V1863" s="14"/>
      <c r="W1863" t="str">
        <f>IF(A1863=$A$1707,base!$I$3,IF(A1863=$A$1709,base!$I$2,IF(Receitas!A1863=Receitas!$A$1701,base!$I$4,"")))</f>
        <v>PATRICK CARDOSO</v>
      </c>
      <c r="X1863" t="str">
        <f t="shared" si="92"/>
        <v>luis guilherme</v>
      </c>
    </row>
    <row r="1864" spans="1:24">
      <c r="A1864" t="s">
        <v>536</v>
      </c>
      <c r="B1864" t="s">
        <v>2526</v>
      </c>
      <c r="C1864" t="s">
        <v>2836</v>
      </c>
      <c r="D1864" s="14">
        <v>25</v>
      </c>
      <c r="F1864" s="13">
        <v>45784.604166666664</v>
      </c>
      <c r="G1864" t="s">
        <v>354</v>
      </c>
      <c r="H1864" t="s">
        <v>1593</v>
      </c>
      <c r="I1864" t="str">
        <f>IF(A1864="","Pacote",IF(B1864=IFERROR(VLOOKUP(B1864,base!$L$1:$L$20,1,0),""),"Produtos",IF(B1864=IFERROR(VLOOKUP(B1864,base!$K$2:$K$20,1,0),""),"Serviços",IF(B1864="Gorjeta","Gorjeta","Combos"))))</f>
        <v>Produtos</v>
      </c>
      <c r="J1864">
        <f t="shared" si="84"/>
        <v>10</v>
      </c>
      <c r="K1864" s="1">
        <f t="shared" si="85"/>
        <v>45784.604166666664</v>
      </c>
      <c r="L1864" s="1">
        <f t="shared" si="86"/>
        <v>45784.604166666664</v>
      </c>
      <c r="M1864" s="1">
        <f t="shared" si="83"/>
        <v>45784.604166666664</v>
      </c>
      <c r="N1864" s="1"/>
      <c r="O1864" t="str">
        <f t="shared" si="87"/>
        <v>Cartão de Crédito</v>
      </c>
      <c r="P1864" t="s">
        <v>149</v>
      </c>
      <c r="Q1864" t="str">
        <f t="shared" si="88"/>
        <v>Produtos</v>
      </c>
      <c r="R1864" t="str">
        <f t="shared" si="89"/>
        <v>POMADA INCOLOR FOX</v>
      </c>
      <c r="T1864" s="14">
        <f t="shared" si="90"/>
        <v>25</v>
      </c>
      <c r="U1864" s="14">
        <f t="shared" si="91"/>
        <v>0</v>
      </c>
      <c r="V1864" s="14"/>
      <c r="W1864" t="str">
        <f>IF(A1864=$A$1707,base!$I$3,IF(A1864=$A$1709,base!$I$2,IF(Receitas!A1864=Receitas!$A$1701,base!$I$4,"")))</f>
        <v>PATRICK CARDOSO</v>
      </c>
      <c r="X1864" t="str">
        <f t="shared" si="92"/>
        <v>luis guilherme</v>
      </c>
    </row>
    <row r="1865" spans="1:24">
      <c r="A1865" t="s">
        <v>519</v>
      </c>
      <c r="B1865" t="s">
        <v>163</v>
      </c>
      <c r="C1865" t="s">
        <v>2837</v>
      </c>
      <c r="D1865" s="14">
        <v>35</v>
      </c>
      <c r="E1865" s="14">
        <v>133</v>
      </c>
      <c r="F1865" s="13">
        <v>45784.677083333336</v>
      </c>
      <c r="G1865" t="s">
        <v>2838</v>
      </c>
      <c r="H1865" t="s">
        <v>2839</v>
      </c>
      <c r="I1865" t="str">
        <f>IF(A1865="","Pacote",IF(B1865=IFERROR(VLOOKUP(B1865,base!$L$1:$L$20,1,0),""),"Produtos",IF(B1865=IFERROR(VLOOKUP(B1865,base!$K$2:$K$20,1,0),""),"Serviços",IF(B1865="Gorjeta","Gorjeta","Combos"))))</f>
        <v>Serviços</v>
      </c>
      <c r="J1865">
        <f t="shared" si="84"/>
        <v>15.75</v>
      </c>
      <c r="K1865" s="1">
        <f t="shared" si="85"/>
        <v>45784.677083333336</v>
      </c>
      <c r="L1865" s="1">
        <f t="shared" si="86"/>
        <v>45784.677083333336</v>
      </c>
      <c r="M1865" s="1">
        <f t="shared" si="83"/>
        <v>45784.677083333336</v>
      </c>
      <c r="N1865" s="1"/>
      <c r="O1865" t="str">
        <f t="shared" si="87"/>
        <v>Cartão de Débito  / Dinheiro</v>
      </c>
      <c r="P1865" t="s">
        <v>149</v>
      </c>
      <c r="Q1865" t="str">
        <f t="shared" si="88"/>
        <v>Serviços</v>
      </c>
      <c r="R1865" t="str">
        <f t="shared" si="89"/>
        <v>Corte</v>
      </c>
      <c r="T1865" s="14">
        <f t="shared" si="90"/>
        <v>35</v>
      </c>
      <c r="U1865" s="14">
        <f t="shared" si="91"/>
        <v>133</v>
      </c>
      <c r="V1865" s="14"/>
      <c r="W1865" t="str">
        <f>IF(A1865=$A$1707,base!$I$3,IF(A1865=$A$1709,base!$I$2,IF(Receitas!A1865=Receitas!$A$1701,base!$I$4,"")))</f>
        <v>Gustavo de Castro</v>
      </c>
      <c r="X1865" t="str">
        <f t="shared" si="92"/>
        <v>Felipe souza</v>
      </c>
    </row>
    <row r="1866" spans="1:24">
      <c r="A1866" t="s">
        <v>536</v>
      </c>
      <c r="B1866" t="s">
        <v>163</v>
      </c>
      <c r="C1866" t="s">
        <v>2837</v>
      </c>
      <c r="D1866" s="14">
        <v>35</v>
      </c>
      <c r="F1866" s="13">
        <v>45784.677083333336</v>
      </c>
      <c r="G1866" t="s">
        <v>2838</v>
      </c>
      <c r="H1866" t="s">
        <v>2839</v>
      </c>
      <c r="I1866" t="str">
        <f>IF(A1866="","Pacote",IF(B1866=IFERROR(VLOOKUP(B1866,base!$L$1:$L$20,1,0),""),"Produtos",IF(B1866=IFERROR(VLOOKUP(B1866,base!$K$2:$K$20,1,0),""),"Serviços",IF(B1866="Gorjeta","Gorjeta","Combos"))))</f>
        <v>Serviços</v>
      </c>
      <c r="J1866">
        <f t="shared" si="84"/>
        <v>15.75</v>
      </c>
      <c r="K1866" s="1">
        <f t="shared" si="85"/>
        <v>45784.677083333336</v>
      </c>
      <c r="L1866" s="1">
        <f t="shared" si="86"/>
        <v>45784.677083333336</v>
      </c>
      <c r="M1866" s="1">
        <f t="shared" si="83"/>
        <v>45784.677083333336</v>
      </c>
      <c r="N1866" s="1"/>
      <c r="O1866" t="str">
        <f t="shared" si="87"/>
        <v>Cartão de Débito  / Dinheiro</v>
      </c>
      <c r="P1866" t="s">
        <v>149</v>
      </c>
      <c r="Q1866" t="str">
        <f t="shared" si="88"/>
        <v>Serviços</v>
      </c>
      <c r="R1866" t="str">
        <f t="shared" si="89"/>
        <v>Corte</v>
      </c>
      <c r="T1866" s="14">
        <f t="shared" si="90"/>
        <v>35</v>
      </c>
      <c r="U1866" s="14">
        <f t="shared" si="91"/>
        <v>0</v>
      </c>
      <c r="V1866" s="14"/>
      <c r="W1866" t="str">
        <f>IF(A1866=$A$1707,base!$I$3,IF(A1866=$A$1709,base!$I$2,IF(Receitas!A1866=Receitas!$A$1701,base!$I$4,"")))</f>
        <v>PATRICK CARDOSO</v>
      </c>
      <c r="X1866" t="str">
        <f t="shared" si="92"/>
        <v>Felipe souza</v>
      </c>
    </row>
    <row r="1867" spans="1:24">
      <c r="A1867" t="s">
        <v>519</v>
      </c>
      <c r="B1867" t="s">
        <v>163</v>
      </c>
      <c r="C1867" t="s">
        <v>2837</v>
      </c>
      <c r="D1867" s="14">
        <v>35</v>
      </c>
      <c r="F1867" s="13">
        <v>45784.677083333336</v>
      </c>
      <c r="G1867" t="s">
        <v>2838</v>
      </c>
      <c r="H1867" t="s">
        <v>2839</v>
      </c>
      <c r="I1867" t="str">
        <f>IF(A1867="","Pacote",IF(B1867=IFERROR(VLOOKUP(B1867,base!$L$1:$L$20,1,0),""),"Produtos",IF(B1867=IFERROR(VLOOKUP(B1867,base!$K$2:$K$20,1,0),""),"Serviços",IF(B1867="Gorjeta","Gorjeta","Combos"))))</f>
        <v>Serviços</v>
      </c>
      <c r="J1867">
        <f t="shared" si="84"/>
        <v>15.75</v>
      </c>
      <c r="K1867" s="1">
        <f t="shared" si="85"/>
        <v>45784.677083333336</v>
      </c>
      <c r="L1867" s="1">
        <f t="shared" si="86"/>
        <v>45784.677083333336</v>
      </c>
      <c r="M1867" s="1">
        <f t="shared" si="83"/>
        <v>45784.677083333336</v>
      </c>
      <c r="N1867" s="1"/>
      <c r="O1867" t="str">
        <f t="shared" si="87"/>
        <v>Cartão de Débito  / Dinheiro</v>
      </c>
      <c r="P1867" t="s">
        <v>149</v>
      </c>
      <c r="Q1867" t="str">
        <f t="shared" si="88"/>
        <v>Serviços</v>
      </c>
      <c r="R1867" t="str">
        <f t="shared" si="89"/>
        <v>Corte</v>
      </c>
      <c r="T1867" s="14">
        <f t="shared" si="90"/>
        <v>35</v>
      </c>
      <c r="U1867" s="14">
        <f t="shared" si="91"/>
        <v>0</v>
      </c>
      <c r="V1867" s="14"/>
      <c r="W1867" t="str">
        <f>IF(A1867=$A$1707,base!$I$3,IF(A1867=$A$1709,base!$I$2,IF(Receitas!A1867=Receitas!$A$1701,base!$I$4,"")))</f>
        <v>Gustavo de Castro</v>
      </c>
      <c r="X1867" t="str">
        <f t="shared" si="92"/>
        <v>Felipe souza</v>
      </c>
    </row>
    <row r="1868" spans="1:24">
      <c r="A1868" t="s">
        <v>519</v>
      </c>
      <c r="B1868" t="s">
        <v>507</v>
      </c>
      <c r="C1868" t="s">
        <v>2837</v>
      </c>
      <c r="D1868" s="14">
        <v>13</v>
      </c>
      <c r="F1868" s="13">
        <v>45784.677083333336</v>
      </c>
      <c r="G1868" t="s">
        <v>2838</v>
      </c>
      <c r="H1868" t="s">
        <v>2839</v>
      </c>
      <c r="I1868" t="str">
        <f>IF(A1868="","Pacote",IF(B1868=IFERROR(VLOOKUP(B1868,base!$L$1:$L$20,1,0),""),"Produtos",IF(B1868=IFERROR(VLOOKUP(B1868,base!$K$2:$K$20,1,0),""),"Serviços",IF(B1868="Gorjeta","Gorjeta","Combos"))))</f>
        <v>Produtos</v>
      </c>
      <c r="J1868">
        <f t="shared" si="84"/>
        <v>5.2</v>
      </c>
      <c r="K1868" s="1">
        <f t="shared" si="85"/>
        <v>45784.677083333336</v>
      </c>
      <c r="L1868" s="1">
        <f t="shared" si="86"/>
        <v>45784.677083333336</v>
      </c>
      <c r="M1868" s="1">
        <f t="shared" si="83"/>
        <v>45784.677083333336</v>
      </c>
      <c r="N1868" s="1"/>
      <c r="O1868" t="str">
        <f t="shared" si="87"/>
        <v>Cartão de Débito  / Dinheiro</v>
      </c>
      <c r="P1868" t="s">
        <v>149</v>
      </c>
      <c r="Q1868" t="str">
        <f t="shared" si="88"/>
        <v>Produtos</v>
      </c>
      <c r="R1868" t="str">
        <f t="shared" si="89"/>
        <v>GEL COLA</v>
      </c>
      <c r="T1868" s="14">
        <f t="shared" si="90"/>
        <v>13</v>
      </c>
      <c r="U1868" s="14">
        <f t="shared" si="91"/>
        <v>0</v>
      </c>
      <c r="V1868" s="14"/>
      <c r="W1868" t="str">
        <f>IF(A1868=$A$1707,base!$I$3,IF(A1868=$A$1709,base!$I$2,IF(Receitas!A1868=Receitas!$A$1701,base!$I$4,"")))</f>
        <v>Gustavo de Castro</v>
      </c>
      <c r="X1868" t="str">
        <f t="shared" si="92"/>
        <v>Felipe souza</v>
      </c>
    </row>
    <row r="1869" spans="1:24">
      <c r="A1869" t="s">
        <v>519</v>
      </c>
      <c r="B1869" t="s">
        <v>1046</v>
      </c>
      <c r="C1869" t="s">
        <v>2837</v>
      </c>
      <c r="D1869" s="14">
        <v>15</v>
      </c>
      <c r="F1869" s="13">
        <v>45784.677083333336</v>
      </c>
      <c r="G1869" t="s">
        <v>2838</v>
      </c>
      <c r="H1869" t="s">
        <v>2839</v>
      </c>
      <c r="I1869" t="str">
        <f>IF(A1869="","Pacote",IF(B1869=IFERROR(VLOOKUP(B1869,base!$L$1:$L$20,1,0),""),"Produtos",IF(B1869=IFERROR(VLOOKUP(B1869,base!$K$2:$K$20,1,0),""),"Serviços",IF(B1869="Gorjeta","Gorjeta","Combos"))))</f>
        <v>Serviços</v>
      </c>
      <c r="J1869">
        <f t="shared" si="84"/>
        <v>6.75</v>
      </c>
      <c r="K1869" s="1">
        <f t="shared" si="85"/>
        <v>45784.677083333336</v>
      </c>
      <c r="L1869" s="1">
        <f t="shared" si="86"/>
        <v>45784.677083333336</v>
      </c>
      <c r="M1869" s="1">
        <f t="shared" si="83"/>
        <v>45784.677083333336</v>
      </c>
      <c r="N1869" s="1"/>
      <c r="O1869" t="str">
        <f t="shared" si="87"/>
        <v>Cartão de Débito  / Dinheiro</v>
      </c>
      <c r="P1869" t="s">
        <v>149</v>
      </c>
      <c r="Q1869" t="str">
        <f t="shared" si="88"/>
        <v>Serviços</v>
      </c>
      <c r="R1869" t="str">
        <f t="shared" si="89"/>
        <v>Barba</v>
      </c>
      <c r="T1869" s="14">
        <f t="shared" si="90"/>
        <v>15</v>
      </c>
      <c r="U1869" s="14">
        <f t="shared" si="91"/>
        <v>0</v>
      </c>
      <c r="V1869" s="14"/>
      <c r="W1869" t="str">
        <f>IF(A1869=$A$1707,base!$I$3,IF(A1869=$A$1709,base!$I$2,IF(Receitas!A1869=Receitas!$A$1701,base!$I$4,"")))</f>
        <v>Gustavo de Castro</v>
      </c>
      <c r="X1869" t="str">
        <f t="shared" si="92"/>
        <v>Felipe souza</v>
      </c>
    </row>
    <row r="1870" spans="1:24">
      <c r="A1870" t="s">
        <v>536</v>
      </c>
      <c r="B1870" t="s">
        <v>163</v>
      </c>
      <c r="C1870" t="s">
        <v>2840</v>
      </c>
      <c r="D1870" s="14">
        <v>35</v>
      </c>
      <c r="E1870" s="14">
        <v>35</v>
      </c>
      <c r="F1870" s="13">
        <v>45784.708333333336</v>
      </c>
      <c r="G1870" t="s">
        <v>310</v>
      </c>
      <c r="H1870" t="s">
        <v>2841</v>
      </c>
      <c r="I1870" t="str">
        <f>IF(A1870="","Pacote",IF(B1870=IFERROR(VLOOKUP(B1870,base!$L$1:$L$20,1,0),""),"Produtos",IF(B1870=IFERROR(VLOOKUP(B1870,base!$K$2:$K$20,1,0),""),"Serviços",IF(B1870="Gorjeta","Gorjeta","Combos"))))</f>
        <v>Serviços</v>
      </c>
      <c r="J1870">
        <f t="shared" si="84"/>
        <v>15.75</v>
      </c>
      <c r="K1870" s="1">
        <f t="shared" si="85"/>
        <v>45784.708333333336</v>
      </c>
      <c r="L1870" s="1">
        <f t="shared" si="86"/>
        <v>45784.708333333336</v>
      </c>
      <c r="M1870" s="1">
        <f t="shared" si="83"/>
        <v>45784.708333333336</v>
      </c>
      <c r="N1870" s="1"/>
      <c r="O1870" t="str">
        <f t="shared" si="87"/>
        <v>Cartão de Débito</v>
      </c>
      <c r="P1870" t="s">
        <v>149</v>
      </c>
      <c r="Q1870" t="str">
        <f t="shared" si="88"/>
        <v>Serviços</v>
      </c>
      <c r="R1870" t="str">
        <f t="shared" si="89"/>
        <v>Corte</v>
      </c>
      <c r="T1870" s="14">
        <f t="shared" si="90"/>
        <v>35</v>
      </c>
      <c r="U1870" s="14">
        <f t="shared" si="91"/>
        <v>35</v>
      </c>
      <c r="V1870" s="14"/>
      <c r="W1870" t="str">
        <f>IF(A1870=$A$1707,base!$I$3,IF(A1870=$A$1709,base!$I$2,IF(Receitas!A1870=Receitas!$A$1701,base!$I$4,"")))</f>
        <v>PATRICK CARDOSO</v>
      </c>
      <c r="X1870" t="str">
        <f t="shared" si="92"/>
        <v>Renan Leandro</v>
      </c>
    </row>
    <row r="1871" spans="1:24">
      <c r="A1871" t="s">
        <v>519</v>
      </c>
      <c r="B1871" t="s">
        <v>163</v>
      </c>
      <c r="C1871" t="s">
        <v>2842</v>
      </c>
      <c r="D1871" s="14">
        <v>35</v>
      </c>
      <c r="E1871" s="14">
        <v>35</v>
      </c>
      <c r="F1871" s="13">
        <v>45784.770833333336</v>
      </c>
      <c r="G1871" t="s">
        <v>1</v>
      </c>
      <c r="H1871" t="s">
        <v>1233</v>
      </c>
      <c r="I1871" t="str">
        <f>IF(A1871="","Pacote",IF(B1871=IFERROR(VLOOKUP(B1871,base!$L$1:$L$20,1,0),""),"Produtos",IF(B1871=IFERROR(VLOOKUP(B1871,base!$K$2:$K$20,1,0),""),"Serviços",IF(B1871="Gorjeta","Gorjeta","Combos"))))</f>
        <v>Serviços</v>
      </c>
      <c r="J1871">
        <f t="shared" si="84"/>
        <v>15.75</v>
      </c>
      <c r="K1871" s="1">
        <f t="shared" si="85"/>
        <v>45784.770833333336</v>
      </c>
      <c r="L1871" s="1">
        <f t="shared" si="86"/>
        <v>45784.770833333336</v>
      </c>
      <c r="M1871" s="1">
        <f t="shared" si="83"/>
        <v>45784.770833333336</v>
      </c>
      <c r="N1871" s="1"/>
      <c r="O1871" t="str">
        <f t="shared" si="87"/>
        <v>PIX</v>
      </c>
      <c r="P1871" t="s">
        <v>149</v>
      </c>
      <c r="Q1871" t="str">
        <f t="shared" si="88"/>
        <v>Serviços</v>
      </c>
      <c r="R1871" t="str">
        <f t="shared" si="89"/>
        <v>Corte</v>
      </c>
      <c r="T1871" s="14">
        <f t="shared" si="90"/>
        <v>35</v>
      </c>
      <c r="U1871" s="14">
        <f t="shared" si="91"/>
        <v>35</v>
      </c>
      <c r="V1871" s="14"/>
      <c r="W1871" t="str">
        <f>IF(A1871=$A$1707,base!$I$3,IF(A1871=$A$1709,base!$I$2,IF(Receitas!A1871=Receitas!$A$1701,base!$I$4,"")))</f>
        <v>Gustavo de Castro</v>
      </c>
      <c r="X1871" t="str">
        <f t="shared" si="92"/>
        <v>Joao Pedro</v>
      </c>
    </row>
    <row r="1872" spans="1:24">
      <c r="A1872" t="s">
        <v>519</v>
      </c>
      <c r="B1872" t="s">
        <v>163</v>
      </c>
      <c r="C1872" t="s">
        <v>2843</v>
      </c>
      <c r="D1872" s="14">
        <v>35</v>
      </c>
      <c r="E1872" s="14">
        <v>35</v>
      </c>
      <c r="F1872" s="13">
        <v>45784.791666666664</v>
      </c>
      <c r="G1872" t="s">
        <v>1</v>
      </c>
      <c r="H1872" t="s">
        <v>185</v>
      </c>
      <c r="I1872" t="str">
        <f>IF(A1872="","Pacote",IF(B1872=IFERROR(VLOOKUP(B1872,base!$L$1:$L$20,1,0),""),"Produtos",IF(B1872=IFERROR(VLOOKUP(B1872,base!$K$2:$K$20,1,0),""),"Serviços",IF(B1872="Gorjeta","Gorjeta","Combos"))))</f>
        <v>Serviços</v>
      </c>
      <c r="J1872">
        <f t="shared" si="84"/>
        <v>15.75</v>
      </c>
      <c r="K1872" s="1">
        <f t="shared" si="85"/>
        <v>45784.791666666664</v>
      </c>
      <c r="L1872" s="1">
        <f t="shared" si="86"/>
        <v>45784.791666666664</v>
      </c>
      <c r="M1872" s="1">
        <f t="shared" si="83"/>
        <v>45784.791666666664</v>
      </c>
      <c r="N1872" s="1"/>
      <c r="O1872" t="str">
        <f t="shared" si="87"/>
        <v>PIX</v>
      </c>
      <c r="P1872" t="s">
        <v>149</v>
      </c>
      <c r="Q1872" t="str">
        <f t="shared" si="88"/>
        <v>Serviços</v>
      </c>
      <c r="R1872" t="str">
        <f t="shared" si="89"/>
        <v>Corte</v>
      </c>
      <c r="T1872" s="14">
        <f t="shared" si="90"/>
        <v>35</v>
      </c>
      <c r="U1872" s="14">
        <f t="shared" si="91"/>
        <v>35</v>
      </c>
      <c r="V1872" s="14"/>
      <c r="W1872" t="str">
        <f>IF(A1872=$A$1707,base!$I$3,IF(A1872=$A$1709,base!$I$2,IF(Receitas!A1872=Receitas!$A$1701,base!$I$4,"")))</f>
        <v>Gustavo de Castro</v>
      </c>
      <c r="X1872" t="str">
        <f t="shared" si="92"/>
        <v>Leonardo Lima</v>
      </c>
    </row>
    <row r="1873" spans="1:24">
      <c r="A1873" t="s">
        <v>519</v>
      </c>
      <c r="B1873" t="s">
        <v>163</v>
      </c>
      <c r="C1873" t="s">
        <v>2844</v>
      </c>
      <c r="D1873" s="14">
        <v>35</v>
      </c>
      <c r="E1873" s="14">
        <v>95</v>
      </c>
      <c r="F1873" s="13">
        <v>45784.847222222219</v>
      </c>
      <c r="G1873" t="s">
        <v>1</v>
      </c>
      <c r="H1873" t="s">
        <v>2845</v>
      </c>
      <c r="I1873" t="str">
        <f>IF(A1873="","Pacote",IF(B1873=IFERROR(VLOOKUP(B1873,base!$L$1:$L$20,1,0),""),"Produtos",IF(B1873=IFERROR(VLOOKUP(B1873,base!$K$2:$K$20,1,0),""),"Serviços",IF(B1873="Gorjeta","Gorjeta","Combos"))))</f>
        <v>Serviços</v>
      </c>
      <c r="J1873">
        <f t="shared" si="84"/>
        <v>15.75</v>
      </c>
      <c r="K1873" s="1">
        <f t="shared" si="85"/>
        <v>45784.847222222219</v>
      </c>
      <c r="L1873" s="1">
        <f t="shared" si="86"/>
        <v>45784.847222222219</v>
      </c>
      <c r="M1873" s="1">
        <f t="shared" si="83"/>
        <v>45784.847222222219</v>
      </c>
      <c r="N1873" s="1"/>
      <c r="O1873" t="str">
        <f t="shared" si="87"/>
        <v>PIX</v>
      </c>
      <c r="P1873" t="s">
        <v>149</v>
      </c>
      <c r="Q1873" t="str">
        <f t="shared" si="88"/>
        <v>Serviços</v>
      </c>
      <c r="R1873" t="str">
        <f t="shared" si="89"/>
        <v>Corte</v>
      </c>
      <c r="T1873" s="14">
        <f t="shared" si="90"/>
        <v>35</v>
      </c>
      <c r="U1873" s="14">
        <f t="shared" si="91"/>
        <v>95</v>
      </c>
      <c r="V1873" s="14"/>
      <c r="W1873" t="str">
        <f>IF(A1873=$A$1707,base!$I$3,IF(A1873=$A$1709,base!$I$2,IF(Receitas!A1873=Receitas!$A$1701,base!$I$4,"")))</f>
        <v>Gustavo de Castro</v>
      </c>
      <c r="X1873" t="str">
        <f t="shared" si="92"/>
        <v>Nívia Azevedo</v>
      </c>
    </row>
    <row r="1874" spans="1:24">
      <c r="A1874" t="s">
        <v>536</v>
      </c>
      <c r="B1874" t="s">
        <v>163</v>
      </c>
      <c r="C1874" t="s">
        <v>2844</v>
      </c>
      <c r="D1874" s="14">
        <v>35</v>
      </c>
      <c r="F1874" s="13">
        <v>45784.847222222219</v>
      </c>
      <c r="G1874" t="s">
        <v>1</v>
      </c>
      <c r="H1874" t="s">
        <v>2845</v>
      </c>
      <c r="I1874" t="str">
        <f>IF(A1874="","Pacote",IF(B1874=IFERROR(VLOOKUP(B1874,base!$L$1:$L$20,1,0),""),"Produtos",IF(B1874=IFERROR(VLOOKUP(B1874,base!$K$2:$K$20,1,0),""),"Serviços",IF(B1874="Gorjeta","Gorjeta","Combos"))))</f>
        <v>Serviços</v>
      </c>
      <c r="J1874">
        <f t="shared" si="84"/>
        <v>15.75</v>
      </c>
      <c r="K1874" s="1">
        <f t="shared" si="85"/>
        <v>45784.847222222219</v>
      </c>
      <c r="L1874" s="1">
        <f t="shared" si="86"/>
        <v>45784.847222222219</v>
      </c>
      <c r="M1874" s="1">
        <f t="shared" si="83"/>
        <v>45784.847222222219</v>
      </c>
      <c r="N1874" s="1"/>
      <c r="O1874" t="str">
        <f t="shared" si="87"/>
        <v>PIX</v>
      </c>
      <c r="P1874" t="s">
        <v>149</v>
      </c>
      <c r="Q1874" t="str">
        <f t="shared" si="88"/>
        <v>Serviços</v>
      </c>
      <c r="R1874" t="str">
        <f t="shared" si="89"/>
        <v>Corte</v>
      </c>
      <c r="T1874" s="14">
        <f t="shared" si="90"/>
        <v>35</v>
      </c>
      <c r="U1874" s="14">
        <f t="shared" si="91"/>
        <v>0</v>
      </c>
      <c r="V1874" s="14"/>
      <c r="W1874" t="str">
        <f>IF(A1874=$A$1707,base!$I$3,IF(A1874=$A$1709,base!$I$2,IF(Receitas!A1874=Receitas!$A$1701,base!$I$4,"")))</f>
        <v>PATRICK CARDOSO</v>
      </c>
      <c r="X1874" t="str">
        <f t="shared" si="92"/>
        <v>Nívia Azevedo</v>
      </c>
    </row>
    <row r="1875" spans="1:24">
      <c r="A1875" t="s">
        <v>519</v>
      </c>
      <c r="B1875" t="s">
        <v>2526</v>
      </c>
      <c r="C1875" t="s">
        <v>2844</v>
      </c>
      <c r="D1875" s="14">
        <v>25</v>
      </c>
      <c r="F1875" s="13">
        <v>45784.847222222219</v>
      </c>
      <c r="G1875" t="s">
        <v>1</v>
      </c>
      <c r="H1875" t="s">
        <v>2845</v>
      </c>
      <c r="I1875" t="str">
        <f>IF(A1875="","Pacote",IF(B1875=IFERROR(VLOOKUP(B1875,base!$L$1:$L$20,1,0),""),"Produtos",IF(B1875=IFERROR(VLOOKUP(B1875,base!$K$2:$K$20,1,0),""),"Serviços",IF(B1875="Gorjeta","Gorjeta","Combos"))))</f>
        <v>Produtos</v>
      </c>
      <c r="J1875">
        <f t="shared" si="84"/>
        <v>10</v>
      </c>
      <c r="K1875" s="1">
        <f t="shared" si="85"/>
        <v>45784.847222222219</v>
      </c>
      <c r="L1875" s="1">
        <f t="shared" si="86"/>
        <v>45784.847222222219</v>
      </c>
      <c r="M1875" s="1">
        <f t="shared" si="83"/>
        <v>45784.847222222219</v>
      </c>
      <c r="N1875" s="1"/>
      <c r="O1875" t="str">
        <f t="shared" si="87"/>
        <v>PIX</v>
      </c>
      <c r="P1875" t="s">
        <v>149</v>
      </c>
      <c r="Q1875" t="str">
        <f t="shared" si="88"/>
        <v>Produtos</v>
      </c>
      <c r="R1875" t="str">
        <f t="shared" si="89"/>
        <v>POMADA INCOLOR FOX</v>
      </c>
      <c r="T1875" s="14">
        <f t="shared" si="90"/>
        <v>25</v>
      </c>
      <c r="U1875" s="14">
        <f t="shared" si="91"/>
        <v>0</v>
      </c>
      <c r="V1875" s="14"/>
      <c r="W1875" t="str">
        <f>IF(A1875=$A$1707,base!$I$3,IF(A1875=$A$1709,base!$I$2,IF(Receitas!A1875=Receitas!$A$1701,base!$I$4,"")))</f>
        <v>Gustavo de Castro</v>
      </c>
      <c r="X1875" t="str">
        <f t="shared" si="92"/>
        <v>Nívia Azevedo</v>
      </c>
    </row>
    <row r="1876" spans="1:24">
      <c r="A1876" t="s">
        <v>519</v>
      </c>
      <c r="B1876" t="s">
        <v>163</v>
      </c>
      <c r="C1876" t="s">
        <v>2846</v>
      </c>
      <c r="D1876" s="14">
        <v>35</v>
      </c>
      <c r="E1876" s="14">
        <v>70</v>
      </c>
      <c r="F1876" s="13">
        <v>45787.385416666664</v>
      </c>
      <c r="G1876" t="s">
        <v>1</v>
      </c>
      <c r="H1876" t="s">
        <v>16</v>
      </c>
      <c r="I1876" t="str">
        <f>IF(A1876="","Pacote",IF(B1876=IFERROR(VLOOKUP(B1876,base!$L$1:$L$20,1,0),""),"Produtos",IF(B1876=IFERROR(VLOOKUP(B1876,base!$K$2:$K$20,1,0),""),"Serviços",IF(B1876="Gorjeta","Gorjeta","Combos"))))</f>
        <v>Serviços</v>
      </c>
      <c r="J1876">
        <f t="shared" si="84"/>
        <v>15.75</v>
      </c>
      <c r="K1876" s="1">
        <f t="shared" si="85"/>
        <v>45787.385416666664</v>
      </c>
      <c r="L1876" s="1">
        <f t="shared" si="86"/>
        <v>45787.385416666664</v>
      </c>
      <c r="M1876" s="1">
        <f t="shared" si="83"/>
        <v>45787.385416666664</v>
      </c>
      <c r="N1876" s="1"/>
      <c r="O1876" t="str">
        <f t="shared" si="87"/>
        <v>PIX</v>
      </c>
      <c r="P1876" t="s">
        <v>149</v>
      </c>
      <c r="Q1876" t="str">
        <f t="shared" si="88"/>
        <v>Serviços</v>
      </c>
      <c r="R1876" t="str">
        <f t="shared" si="89"/>
        <v>Corte</v>
      </c>
      <c r="T1876" s="14">
        <f t="shared" si="90"/>
        <v>35</v>
      </c>
      <c r="U1876" s="14">
        <f t="shared" si="91"/>
        <v>70</v>
      </c>
      <c r="V1876" s="14"/>
      <c r="W1876" t="str">
        <f>IF(A1876=$A$1707,base!$I$3,IF(A1876=$A$1709,base!$I$2,IF(Receitas!A1876=Receitas!$A$1701,base!$I$4,"")))</f>
        <v>Gustavo de Castro</v>
      </c>
      <c r="X1876" t="str">
        <f t="shared" si="92"/>
        <v>Luis Carlos paixão</v>
      </c>
    </row>
    <row r="1877" spans="1:24">
      <c r="A1877" t="s">
        <v>252</v>
      </c>
      <c r="B1877" t="s">
        <v>163</v>
      </c>
      <c r="C1877" t="s">
        <v>2846</v>
      </c>
      <c r="D1877" s="14">
        <v>35</v>
      </c>
      <c r="F1877" s="13">
        <v>45787.385416666664</v>
      </c>
      <c r="G1877" t="s">
        <v>1</v>
      </c>
      <c r="H1877" t="s">
        <v>16</v>
      </c>
      <c r="I1877" t="str">
        <f>IF(A1877="","Pacote",IF(B1877=IFERROR(VLOOKUP(B1877,base!$L$1:$L$20,1,0),""),"Produtos",IF(B1877=IFERROR(VLOOKUP(B1877,base!$K$2:$K$20,1,0),""),"Serviços",IF(B1877="Gorjeta","Gorjeta","Combos"))))</f>
        <v>Serviços</v>
      </c>
      <c r="J1877">
        <f t="shared" si="84"/>
        <v>15.75</v>
      </c>
      <c r="K1877" s="1">
        <f t="shared" si="85"/>
        <v>45787.385416666664</v>
      </c>
      <c r="L1877" s="1">
        <f t="shared" si="86"/>
        <v>45787.385416666664</v>
      </c>
      <c r="M1877" s="1">
        <f t="shared" si="83"/>
        <v>45787.385416666664</v>
      </c>
      <c r="N1877" s="1"/>
      <c r="O1877" t="str">
        <f t="shared" si="87"/>
        <v>PIX</v>
      </c>
      <c r="P1877" t="s">
        <v>149</v>
      </c>
      <c r="Q1877" t="str">
        <f t="shared" si="88"/>
        <v>Serviços</v>
      </c>
      <c r="R1877" t="str">
        <f t="shared" si="89"/>
        <v>Corte</v>
      </c>
      <c r="T1877" s="14">
        <f t="shared" si="90"/>
        <v>35</v>
      </c>
      <c r="U1877" s="14">
        <f t="shared" si="91"/>
        <v>0</v>
      </c>
      <c r="V1877" s="14"/>
      <c r="W1877" t="str">
        <f>IF(A1877=$A$1707,base!$I$3,IF(A1877=$A$1709,base!$I$2,IF(Receitas!A1877=Receitas!$A$1701,base!$I$4,"")))</f>
        <v>Christian Magon</v>
      </c>
      <c r="X1877" t="str">
        <f t="shared" si="92"/>
        <v>Luis Carlos paixão</v>
      </c>
    </row>
    <row r="1878" spans="1:24">
      <c r="A1878" t="s">
        <v>519</v>
      </c>
      <c r="B1878" t="s">
        <v>163</v>
      </c>
      <c r="C1878" t="s">
        <v>2847</v>
      </c>
      <c r="D1878" s="14">
        <v>35</v>
      </c>
      <c r="E1878" s="14">
        <v>35</v>
      </c>
      <c r="F1878" s="13">
        <v>45785.625</v>
      </c>
      <c r="G1878" t="s">
        <v>310</v>
      </c>
      <c r="H1878" t="s">
        <v>1056</v>
      </c>
      <c r="I1878" t="str">
        <f>IF(A1878="","Pacote",IF(B1878=IFERROR(VLOOKUP(B1878,base!$L$1:$L$20,1,0),""),"Produtos",IF(B1878=IFERROR(VLOOKUP(B1878,base!$K$2:$K$20,1,0),""),"Serviços",IF(B1878="Gorjeta","Gorjeta","Combos"))))</f>
        <v>Serviços</v>
      </c>
      <c r="J1878">
        <f t="shared" si="84"/>
        <v>15.75</v>
      </c>
      <c r="K1878" s="1">
        <f t="shared" si="85"/>
        <v>45785.625</v>
      </c>
      <c r="L1878" s="1">
        <f t="shared" si="86"/>
        <v>45785.625</v>
      </c>
      <c r="M1878" s="1">
        <f t="shared" si="83"/>
        <v>45785.625</v>
      </c>
      <c r="N1878" s="1"/>
      <c r="O1878" t="str">
        <f t="shared" si="87"/>
        <v>Cartão de Débito</v>
      </c>
      <c r="P1878" t="s">
        <v>149</v>
      </c>
      <c r="Q1878" t="str">
        <f t="shared" si="88"/>
        <v>Serviços</v>
      </c>
      <c r="R1878" t="str">
        <f t="shared" si="89"/>
        <v>Corte</v>
      </c>
      <c r="T1878" s="14">
        <f t="shared" si="90"/>
        <v>35</v>
      </c>
      <c r="U1878" s="14">
        <f t="shared" si="91"/>
        <v>35</v>
      </c>
      <c r="V1878" s="14"/>
      <c r="W1878" t="str">
        <f>IF(A1878=$A$1707,base!$I$3,IF(A1878=$A$1709,base!$I$2,IF(Receitas!A1878=Receitas!$A$1701,base!$I$4,"")))</f>
        <v>Gustavo de Castro</v>
      </c>
      <c r="X1878" t="str">
        <f t="shared" si="92"/>
        <v>davi lima de souza</v>
      </c>
    </row>
    <row r="1879" spans="1:24">
      <c r="A1879" t="s">
        <v>519</v>
      </c>
      <c r="B1879" t="s">
        <v>163</v>
      </c>
      <c r="C1879" t="s">
        <v>2848</v>
      </c>
      <c r="D1879" s="14">
        <v>35</v>
      </c>
      <c r="E1879" s="14">
        <v>70</v>
      </c>
      <c r="F1879" s="13">
        <v>45785.479166666664</v>
      </c>
      <c r="G1879" t="s">
        <v>1</v>
      </c>
      <c r="H1879" t="s">
        <v>1058</v>
      </c>
      <c r="I1879" t="str">
        <f>IF(A1879="","Pacote",IF(B1879=IFERROR(VLOOKUP(B1879,base!$L$1:$L$20,1,0),""),"Produtos",IF(B1879=IFERROR(VLOOKUP(B1879,base!$K$2:$K$20,1,0),""),"Serviços",IF(B1879="Gorjeta","Gorjeta","Combos"))))</f>
        <v>Serviços</v>
      </c>
      <c r="J1879">
        <f t="shared" si="84"/>
        <v>15.75</v>
      </c>
      <c r="K1879" s="1">
        <f t="shared" si="85"/>
        <v>45785.479166666664</v>
      </c>
      <c r="L1879" s="1">
        <f t="shared" si="86"/>
        <v>45785.479166666664</v>
      </c>
      <c r="M1879" s="1">
        <f t="shared" si="83"/>
        <v>45785.479166666664</v>
      </c>
      <c r="N1879" s="1"/>
      <c r="O1879" t="str">
        <f t="shared" si="87"/>
        <v>PIX</v>
      </c>
      <c r="P1879" t="s">
        <v>149</v>
      </c>
      <c r="Q1879" t="str">
        <f t="shared" si="88"/>
        <v>Serviços</v>
      </c>
      <c r="R1879" t="str">
        <f t="shared" si="89"/>
        <v>Corte</v>
      </c>
      <c r="T1879" s="14">
        <f t="shared" si="90"/>
        <v>35</v>
      </c>
      <c r="U1879" s="14">
        <f t="shared" si="91"/>
        <v>70</v>
      </c>
      <c r="V1879" s="14"/>
      <c r="W1879" t="str">
        <f>IF(A1879=$A$1707,base!$I$3,IF(A1879=$A$1709,base!$I$2,IF(Receitas!A1879=Receitas!$A$1701,base!$I$4,"")))</f>
        <v>Gustavo de Castro</v>
      </c>
      <c r="X1879" t="str">
        <f t="shared" si="92"/>
        <v>luis fernando</v>
      </c>
    </row>
    <row r="1880" spans="1:24">
      <c r="A1880" t="s">
        <v>519</v>
      </c>
      <c r="B1880" t="s">
        <v>472</v>
      </c>
      <c r="C1880" t="s">
        <v>2848</v>
      </c>
      <c r="D1880" s="14">
        <v>35</v>
      </c>
      <c r="F1880" s="13">
        <v>45785.479166666664</v>
      </c>
      <c r="G1880" t="s">
        <v>1</v>
      </c>
      <c r="H1880" t="s">
        <v>1058</v>
      </c>
      <c r="I1880" t="str">
        <f>IF(A1880="","Pacote",IF(B1880=IFERROR(VLOOKUP(B1880,base!$L$1:$L$20,1,0),""),"Produtos",IF(B1880=IFERROR(VLOOKUP(B1880,base!$K$2:$K$20,1,0),""),"Serviços",IF(B1880="Gorjeta","Gorjeta","Combos"))))</f>
        <v>Produtos</v>
      </c>
      <c r="J1880">
        <f t="shared" si="84"/>
        <v>14</v>
      </c>
      <c r="K1880" s="1">
        <f t="shared" si="85"/>
        <v>45785.479166666664</v>
      </c>
      <c r="L1880" s="1">
        <f t="shared" si="86"/>
        <v>45785.479166666664</v>
      </c>
      <c r="M1880" s="1">
        <f t="shared" si="83"/>
        <v>45785.479166666664</v>
      </c>
      <c r="N1880" s="1"/>
      <c r="O1880" t="str">
        <f t="shared" si="87"/>
        <v>PIX</v>
      </c>
      <c r="P1880" t="s">
        <v>149</v>
      </c>
      <c r="Q1880" t="str">
        <f t="shared" si="88"/>
        <v>Produtos</v>
      </c>
      <c r="R1880" t="str">
        <f t="shared" si="89"/>
        <v>minox serum</v>
      </c>
      <c r="T1880" s="14">
        <f t="shared" si="90"/>
        <v>35</v>
      </c>
      <c r="U1880" s="14">
        <f t="shared" si="91"/>
        <v>0</v>
      </c>
      <c r="V1880" s="14"/>
      <c r="W1880" t="str">
        <f>IF(A1880=$A$1707,base!$I$3,IF(A1880=$A$1709,base!$I$2,IF(Receitas!A1880=Receitas!$A$1701,base!$I$4,"")))</f>
        <v>Gustavo de Castro</v>
      </c>
      <c r="X1880" t="str">
        <f t="shared" si="92"/>
        <v>luis fernando</v>
      </c>
    </row>
    <row r="1881" spans="1:24">
      <c r="A1881" t="s">
        <v>536</v>
      </c>
      <c r="B1881" t="s">
        <v>163</v>
      </c>
      <c r="C1881" t="s">
        <v>2849</v>
      </c>
      <c r="D1881" s="14">
        <v>35</v>
      </c>
      <c r="E1881" s="14">
        <v>60</v>
      </c>
      <c r="F1881" s="13">
        <v>45785.458333333336</v>
      </c>
      <c r="G1881" t="s">
        <v>1</v>
      </c>
      <c r="H1881" t="s">
        <v>2850</v>
      </c>
      <c r="I1881" t="str">
        <f>IF(A1881="","Pacote",IF(B1881=IFERROR(VLOOKUP(B1881,base!$L$1:$L$20,1,0),""),"Produtos",IF(B1881=IFERROR(VLOOKUP(B1881,base!$K$2:$K$20,1,0),""),"Serviços",IF(B1881="Gorjeta","Gorjeta","Combos"))))</f>
        <v>Serviços</v>
      </c>
      <c r="J1881">
        <f t="shared" si="84"/>
        <v>15.75</v>
      </c>
      <c r="K1881" s="1">
        <f t="shared" si="85"/>
        <v>45785.458333333336</v>
      </c>
      <c r="L1881" s="1">
        <f t="shared" si="86"/>
        <v>45785.458333333336</v>
      </c>
      <c r="M1881" s="1">
        <f t="shared" si="83"/>
        <v>45785.458333333336</v>
      </c>
      <c r="N1881" s="1"/>
      <c r="O1881" t="str">
        <f t="shared" si="87"/>
        <v>PIX</v>
      </c>
      <c r="P1881" t="s">
        <v>149</v>
      </c>
      <c r="Q1881" t="str">
        <f t="shared" si="88"/>
        <v>Serviços</v>
      </c>
      <c r="R1881" t="str">
        <f t="shared" si="89"/>
        <v>Corte</v>
      </c>
      <c r="T1881" s="14">
        <f t="shared" si="90"/>
        <v>35</v>
      </c>
      <c r="U1881" s="14">
        <f t="shared" si="91"/>
        <v>60</v>
      </c>
      <c r="V1881" s="14"/>
      <c r="W1881" t="str">
        <f>IF(A1881=$A$1707,base!$I$3,IF(A1881=$A$1709,base!$I$2,IF(Receitas!A1881=Receitas!$A$1701,base!$I$4,"")))</f>
        <v>PATRICK CARDOSO</v>
      </c>
      <c r="X1881" t="str">
        <f t="shared" si="92"/>
        <v>wallace andrade</v>
      </c>
    </row>
    <row r="1882" spans="1:24">
      <c r="A1882" t="s">
        <v>536</v>
      </c>
      <c r="B1882" t="s">
        <v>2526</v>
      </c>
      <c r="C1882" t="s">
        <v>2849</v>
      </c>
      <c r="D1882" s="14">
        <v>25</v>
      </c>
      <c r="F1882" s="13">
        <v>45785.458333333336</v>
      </c>
      <c r="G1882" t="s">
        <v>1</v>
      </c>
      <c r="H1882" t="s">
        <v>2850</v>
      </c>
      <c r="I1882" t="str">
        <f>IF(A1882="","Pacote",IF(B1882=IFERROR(VLOOKUP(B1882,base!$L$1:$L$20,1,0),""),"Produtos",IF(B1882=IFERROR(VLOOKUP(B1882,base!$K$2:$K$20,1,0),""),"Serviços",IF(B1882="Gorjeta","Gorjeta","Combos"))))</f>
        <v>Produtos</v>
      </c>
      <c r="J1882">
        <f t="shared" si="84"/>
        <v>10</v>
      </c>
      <c r="K1882" s="1">
        <f t="shared" si="85"/>
        <v>45785.458333333336</v>
      </c>
      <c r="L1882" s="1">
        <f t="shared" si="86"/>
        <v>45785.458333333336</v>
      </c>
      <c r="M1882" s="1">
        <f t="shared" si="83"/>
        <v>45785.458333333336</v>
      </c>
      <c r="N1882" s="1"/>
      <c r="O1882" t="str">
        <f t="shared" si="87"/>
        <v>PIX</v>
      </c>
      <c r="P1882" t="s">
        <v>149</v>
      </c>
      <c r="Q1882" t="str">
        <f t="shared" si="88"/>
        <v>Produtos</v>
      </c>
      <c r="R1882" t="str">
        <f t="shared" si="89"/>
        <v>POMADA INCOLOR FOX</v>
      </c>
      <c r="T1882" s="14">
        <f t="shared" si="90"/>
        <v>25</v>
      </c>
      <c r="U1882" s="14">
        <f t="shared" si="91"/>
        <v>0</v>
      </c>
      <c r="V1882" s="14"/>
      <c r="W1882" t="str">
        <f>IF(A1882=$A$1707,base!$I$3,IF(A1882=$A$1709,base!$I$2,IF(Receitas!A1882=Receitas!$A$1701,base!$I$4,"")))</f>
        <v>PATRICK CARDOSO</v>
      </c>
      <c r="X1882" t="str">
        <f t="shared" si="92"/>
        <v>wallace andrade</v>
      </c>
    </row>
    <row r="1883" spans="1:24">
      <c r="A1883" t="s">
        <v>536</v>
      </c>
      <c r="B1883" t="s">
        <v>163</v>
      </c>
      <c r="C1883" t="s">
        <v>2851</v>
      </c>
      <c r="D1883" s="14">
        <v>35</v>
      </c>
      <c r="E1883" s="14">
        <v>35</v>
      </c>
      <c r="F1883" s="13">
        <v>45785.510416666664</v>
      </c>
      <c r="G1883" t="s">
        <v>310</v>
      </c>
      <c r="H1883" t="s">
        <v>118</v>
      </c>
      <c r="I1883" t="str">
        <f>IF(A1883="","Pacote",IF(B1883=IFERROR(VLOOKUP(B1883,base!$L$1:$L$20,1,0),""),"Produtos",IF(B1883=IFERROR(VLOOKUP(B1883,base!$K$2:$K$20,1,0),""),"Serviços",IF(B1883="Gorjeta","Gorjeta","Combos"))))</f>
        <v>Serviços</v>
      </c>
      <c r="J1883">
        <f t="shared" si="84"/>
        <v>15.75</v>
      </c>
      <c r="K1883" s="1">
        <f t="shared" si="85"/>
        <v>45785.510416666664</v>
      </c>
      <c r="L1883" s="1">
        <f t="shared" si="86"/>
        <v>45785.510416666664</v>
      </c>
      <c r="M1883" s="1">
        <f t="shared" si="83"/>
        <v>45785.510416666664</v>
      </c>
      <c r="N1883" s="1"/>
      <c r="O1883" t="str">
        <f t="shared" si="87"/>
        <v>Cartão de Débito</v>
      </c>
      <c r="P1883" t="s">
        <v>149</v>
      </c>
      <c r="Q1883" t="str">
        <f t="shared" si="88"/>
        <v>Serviços</v>
      </c>
      <c r="R1883" t="str">
        <f t="shared" si="89"/>
        <v>Corte</v>
      </c>
      <c r="T1883" s="14">
        <f t="shared" si="90"/>
        <v>35</v>
      </c>
      <c r="U1883" s="14">
        <f t="shared" si="91"/>
        <v>35</v>
      </c>
      <c r="V1883" s="14"/>
      <c r="W1883" t="str">
        <f>IF(A1883=$A$1707,base!$I$3,IF(A1883=$A$1709,base!$I$2,IF(Receitas!A1883=Receitas!$A$1701,base!$I$4,"")))</f>
        <v>PATRICK CARDOSO</v>
      </c>
      <c r="X1883" t="str">
        <f t="shared" si="92"/>
        <v>nillton do nascimento</v>
      </c>
    </row>
    <row r="1884" spans="1:24">
      <c r="A1884" t="s">
        <v>252</v>
      </c>
      <c r="B1884" t="s">
        <v>163</v>
      </c>
      <c r="C1884" t="s">
        <v>2852</v>
      </c>
      <c r="D1884" s="14">
        <v>35</v>
      </c>
      <c r="E1884" s="14">
        <v>35</v>
      </c>
      <c r="F1884" s="13">
        <v>45785.541666666664</v>
      </c>
      <c r="G1884" t="s">
        <v>1</v>
      </c>
      <c r="H1884" t="s">
        <v>83</v>
      </c>
      <c r="I1884" t="str">
        <f>IF(A1884="","Pacote",IF(B1884=IFERROR(VLOOKUP(B1884,base!$L$1:$L$20,1,0),""),"Produtos",IF(B1884=IFERROR(VLOOKUP(B1884,base!$K$2:$K$20,1,0),""),"Serviços",IF(B1884="Gorjeta","Gorjeta","Combos"))))</f>
        <v>Serviços</v>
      </c>
      <c r="J1884">
        <f t="shared" si="84"/>
        <v>15.75</v>
      </c>
      <c r="K1884" s="1">
        <f t="shared" si="85"/>
        <v>45785.541666666664</v>
      </c>
      <c r="L1884" s="1">
        <f t="shared" si="86"/>
        <v>45785.541666666664</v>
      </c>
      <c r="M1884" s="1">
        <f t="shared" si="83"/>
        <v>45785.541666666664</v>
      </c>
      <c r="N1884" s="1"/>
      <c r="O1884" t="str">
        <f t="shared" si="87"/>
        <v>PIX</v>
      </c>
      <c r="P1884" t="s">
        <v>149</v>
      </c>
      <c r="Q1884" t="str">
        <f t="shared" si="88"/>
        <v>Serviços</v>
      </c>
      <c r="R1884" t="str">
        <f t="shared" si="89"/>
        <v>Corte</v>
      </c>
      <c r="T1884" s="14">
        <f t="shared" si="90"/>
        <v>35</v>
      </c>
      <c r="U1884" s="14">
        <f t="shared" si="91"/>
        <v>35</v>
      </c>
      <c r="V1884" s="14"/>
      <c r="W1884" t="str">
        <f>IF(A1884=$A$1707,base!$I$3,IF(A1884=$A$1709,base!$I$2,IF(Receitas!A1884=Receitas!$A$1701,base!$I$4,"")))</f>
        <v>Christian Magon</v>
      </c>
      <c r="X1884" t="str">
        <f t="shared" si="92"/>
        <v>Jayme henrique</v>
      </c>
    </row>
    <row r="1885" spans="1:24">
      <c r="A1885" t="s">
        <v>252</v>
      </c>
      <c r="B1885" t="s">
        <v>353</v>
      </c>
      <c r="C1885" t="s">
        <v>2853</v>
      </c>
      <c r="D1885" s="14">
        <v>60</v>
      </c>
      <c r="E1885" s="14">
        <v>60</v>
      </c>
      <c r="F1885" s="13">
        <v>45785.75</v>
      </c>
      <c r="G1885" t="s">
        <v>310</v>
      </c>
      <c r="H1885" t="s">
        <v>11</v>
      </c>
      <c r="I1885" t="str">
        <f>IF(A1885="","Pacote",IF(B1885=IFERROR(VLOOKUP(B1885,base!$L$1:$L$20,1,0),""),"Produtos",IF(B1885=IFERROR(VLOOKUP(B1885,base!$K$2:$K$20,1,0),""),"Serviços",IF(B1885="Gorjeta","Gorjeta","Combos"))))</f>
        <v>Combos</v>
      </c>
      <c r="J1885">
        <f t="shared" si="84"/>
        <v>27</v>
      </c>
      <c r="K1885" s="1">
        <f t="shared" si="85"/>
        <v>45785.75</v>
      </c>
      <c r="L1885" s="1">
        <f t="shared" si="86"/>
        <v>45785.75</v>
      </c>
      <c r="M1885" s="1">
        <f t="shared" si="83"/>
        <v>45785.75</v>
      </c>
      <c r="N1885" s="1"/>
      <c r="O1885" t="str">
        <f t="shared" si="87"/>
        <v>Cartão de Débito</v>
      </c>
      <c r="P1885" t="s">
        <v>149</v>
      </c>
      <c r="Q1885" t="str">
        <f t="shared" si="88"/>
        <v>Combos</v>
      </c>
      <c r="R1885" t="str">
        <f t="shared" si="89"/>
        <v>Combo ( Corte + Barba )</v>
      </c>
      <c r="T1885" s="14">
        <f t="shared" si="90"/>
        <v>60</v>
      </c>
      <c r="U1885" s="14">
        <f t="shared" si="91"/>
        <v>60</v>
      </c>
      <c r="V1885" s="14"/>
      <c r="W1885" t="str">
        <f>IF(A1885=$A$1707,base!$I$3,IF(A1885=$A$1709,base!$I$2,IF(Receitas!A1885=Receitas!$A$1701,base!$I$4,"")))</f>
        <v>Christian Magon</v>
      </c>
      <c r="X1885" t="str">
        <f t="shared" si="92"/>
        <v>caio miranda</v>
      </c>
    </row>
    <row r="1886" spans="1:24">
      <c r="A1886" t="s">
        <v>536</v>
      </c>
      <c r="B1886" t="s">
        <v>353</v>
      </c>
      <c r="C1886" t="s">
        <v>2854</v>
      </c>
      <c r="D1886" s="14">
        <v>60</v>
      </c>
      <c r="E1886" s="14">
        <v>60</v>
      </c>
      <c r="F1886" s="13">
        <v>45785.583333333336</v>
      </c>
      <c r="G1886" t="s">
        <v>354</v>
      </c>
      <c r="H1886" t="s">
        <v>1026</v>
      </c>
      <c r="I1886" t="str">
        <f>IF(A1886="","Pacote",IF(B1886=IFERROR(VLOOKUP(B1886,base!$L$1:$L$20,1,0),""),"Produtos",IF(B1886=IFERROR(VLOOKUP(B1886,base!$K$2:$K$20,1,0),""),"Serviços",IF(B1886="Gorjeta","Gorjeta","Combos"))))</f>
        <v>Combos</v>
      </c>
      <c r="J1886">
        <f t="shared" si="84"/>
        <v>27</v>
      </c>
      <c r="K1886" s="1">
        <f t="shared" si="85"/>
        <v>45785.583333333336</v>
      </c>
      <c r="L1886" s="1">
        <f t="shared" si="86"/>
        <v>45785.583333333336</v>
      </c>
      <c r="M1886" s="1">
        <f t="shared" si="83"/>
        <v>45785.583333333336</v>
      </c>
      <c r="N1886" s="1"/>
      <c r="O1886" t="str">
        <f t="shared" si="87"/>
        <v>Cartão de Crédito</v>
      </c>
      <c r="P1886" t="s">
        <v>149</v>
      </c>
      <c r="Q1886" t="str">
        <f t="shared" si="88"/>
        <v>Combos</v>
      </c>
      <c r="R1886" t="str">
        <f t="shared" si="89"/>
        <v>Combo ( Corte + Barba )</v>
      </c>
      <c r="T1886" s="14">
        <f t="shared" si="90"/>
        <v>60</v>
      </c>
      <c r="U1886" s="14">
        <f t="shared" si="91"/>
        <v>60</v>
      </c>
      <c r="V1886" s="14"/>
      <c r="W1886" t="str">
        <f>IF(A1886=$A$1707,base!$I$3,IF(A1886=$A$1709,base!$I$2,IF(Receitas!A1886=Receitas!$A$1701,base!$I$4,"")))</f>
        <v>PATRICK CARDOSO</v>
      </c>
      <c r="X1886" t="str">
        <f t="shared" si="92"/>
        <v>Gabriel Cabral</v>
      </c>
    </row>
    <row r="1887" spans="1:24">
      <c r="A1887" t="s">
        <v>536</v>
      </c>
      <c r="B1887" t="s">
        <v>163</v>
      </c>
      <c r="C1887" t="s">
        <v>2855</v>
      </c>
      <c r="D1887" s="14">
        <v>35</v>
      </c>
      <c r="E1887" s="14">
        <v>35</v>
      </c>
      <c r="F1887" s="13">
        <v>45785.625</v>
      </c>
      <c r="G1887" t="s">
        <v>1</v>
      </c>
      <c r="H1887" t="s">
        <v>471</v>
      </c>
      <c r="I1887" t="str">
        <f>IF(A1887="","Pacote",IF(B1887=IFERROR(VLOOKUP(B1887,base!$L$1:$L$20,1,0),""),"Produtos",IF(B1887=IFERROR(VLOOKUP(B1887,base!$K$2:$K$20,1,0),""),"Serviços",IF(B1887="Gorjeta","Gorjeta","Combos"))))</f>
        <v>Serviços</v>
      </c>
      <c r="J1887">
        <f t="shared" si="84"/>
        <v>15.75</v>
      </c>
      <c r="K1887" s="1">
        <f t="shared" si="85"/>
        <v>45785.625</v>
      </c>
      <c r="L1887" s="1">
        <f t="shared" si="86"/>
        <v>45785.625</v>
      </c>
      <c r="M1887" s="1">
        <f t="shared" si="83"/>
        <v>45785.625</v>
      </c>
      <c r="N1887" s="1"/>
      <c r="O1887" t="str">
        <f t="shared" si="87"/>
        <v>PIX</v>
      </c>
      <c r="P1887" t="s">
        <v>149</v>
      </c>
      <c r="Q1887" t="str">
        <f t="shared" si="88"/>
        <v>Serviços</v>
      </c>
      <c r="R1887" t="str">
        <f t="shared" si="89"/>
        <v>Corte</v>
      </c>
      <c r="T1887" s="14">
        <f t="shared" si="90"/>
        <v>35</v>
      </c>
      <c r="U1887" s="14">
        <f t="shared" si="91"/>
        <v>35</v>
      </c>
      <c r="V1887" s="14"/>
      <c r="W1887" t="str">
        <f>IF(A1887=$A$1707,base!$I$3,IF(A1887=$A$1709,base!$I$2,IF(Receitas!A1887=Receitas!$A$1701,base!$I$4,"")))</f>
        <v>PATRICK CARDOSO</v>
      </c>
      <c r="X1887" t="str">
        <f t="shared" si="92"/>
        <v>Wesley Rios</v>
      </c>
    </row>
    <row r="1888" spans="1:24">
      <c r="A1888" t="s">
        <v>252</v>
      </c>
      <c r="B1888" t="s">
        <v>163</v>
      </c>
      <c r="C1888" t="s">
        <v>2856</v>
      </c>
      <c r="D1888" s="14">
        <v>35</v>
      </c>
      <c r="E1888" s="14">
        <v>35</v>
      </c>
      <c r="F1888" s="13">
        <v>45785.666666666664</v>
      </c>
      <c r="G1888" t="s">
        <v>354</v>
      </c>
      <c r="H1888" t="s">
        <v>1903</v>
      </c>
      <c r="I1888" t="str">
        <f>IF(A1888="","Pacote",IF(B1888=IFERROR(VLOOKUP(B1888,base!$L$1:$L$20,1,0),""),"Produtos",IF(B1888=IFERROR(VLOOKUP(B1888,base!$K$2:$K$20,1,0),""),"Serviços",IF(B1888="Gorjeta","Gorjeta","Combos"))))</f>
        <v>Serviços</v>
      </c>
      <c r="J1888">
        <f t="shared" si="84"/>
        <v>15.75</v>
      </c>
      <c r="K1888" s="1">
        <f t="shared" si="85"/>
        <v>45785.666666666664</v>
      </c>
      <c r="L1888" s="1">
        <f t="shared" si="86"/>
        <v>45785.666666666664</v>
      </c>
      <c r="M1888" s="1">
        <f t="shared" si="83"/>
        <v>45785.666666666664</v>
      </c>
      <c r="N1888" s="1"/>
      <c r="O1888" t="str">
        <f t="shared" si="87"/>
        <v>Cartão de Crédito</v>
      </c>
      <c r="P1888" t="s">
        <v>149</v>
      </c>
      <c r="Q1888" t="str">
        <f t="shared" si="88"/>
        <v>Serviços</v>
      </c>
      <c r="R1888" t="str">
        <f t="shared" si="89"/>
        <v>Corte</v>
      </c>
      <c r="T1888" s="14">
        <f t="shared" si="90"/>
        <v>35</v>
      </c>
      <c r="U1888" s="14">
        <f t="shared" si="91"/>
        <v>35</v>
      </c>
      <c r="V1888" s="14"/>
      <c r="W1888" t="str">
        <f>IF(A1888=$A$1707,base!$I$3,IF(A1888=$A$1709,base!$I$2,IF(Receitas!A1888=Receitas!$A$1701,base!$I$4,"")))</f>
        <v>Christian Magon</v>
      </c>
      <c r="X1888" t="str">
        <f t="shared" si="92"/>
        <v>Pedro Bastos</v>
      </c>
    </row>
    <row r="1889" spans="1:24">
      <c r="A1889" t="s">
        <v>519</v>
      </c>
      <c r="B1889" t="s">
        <v>163</v>
      </c>
      <c r="C1889" t="s">
        <v>2857</v>
      </c>
      <c r="D1889" s="14">
        <v>35</v>
      </c>
      <c r="E1889" s="14">
        <v>45</v>
      </c>
      <c r="F1889" s="13">
        <v>45785.604166666664</v>
      </c>
      <c r="G1889" t="s">
        <v>354</v>
      </c>
      <c r="H1889" t="s">
        <v>1564</v>
      </c>
      <c r="I1889" t="str">
        <f>IF(A1889="","Pacote",IF(B1889=IFERROR(VLOOKUP(B1889,base!$L$1:$L$20,1,0),""),"Produtos",IF(B1889=IFERROR(VLOOKUP(B1889,base!$K$2:$K$20,1,0),""),"Serviços",IF(B1889="Gorjeta","Gorjeta","Combos"))))</f>
        <v>Serviços</v>
      </c>
      <c r="J1889">
        <f t="shared" si="84"/>
        <v>15.75</v>
      </c>
      <c r="K1889" s="1">
        <f t="shared" si="85"/>
        <v>45785.604166666664</v>
      </c>
      <c r="L1889" s="1">
        <f t="shared" si="86"/>
        <v>45785.604166666664</v>
      </c>
      <c r="M1889" s="1">
        <f t="shared" si="83"/>
        <v>45785.604166666664</v>
      </c>
      <c r="N1889" s="1"/>
      <c r="O1889" t="str">
        <f t="shared" si="87"/>
        <v>Cartão de Crédito</v>
      </c>
      <c r="P1889" t="s">
        <v>149</v>
      </c>
      <c r="Q1889" t="str">
        <f t="shared" si="88"/>
        <v>Serviços</v>
      </c>
      <c r="R1889" t="str">
        <f t="shared" si="89"/>
        <v>Corte</v>
      </c>
      <c r="T1889" s="14">
        <f t="shared" si="90"/>
        <v>35</v>
      </c>
      <c r="U1889" s="14">
        <f t="shared" si="91"/>
        <v>45</v>
      </c>
      <c r="V1889" s="14"/>
      <c r="W1889" t="str">
        <f>IF(A1889=$A$1707,base!$I$3,IF(A1889=$A$1709,base!$I$2,IF(Receitas!A1889=Receitas!$A$1701,base!$I$4,"")))</f>
        <v>Gustavo de Castro</v>
      </c>
      <c r="X1889" t="str">
        <f t="shared" si="92"/>
        <v>jonathan santos</v>
      </c>
    </row>
    <row r="1890" spans="1:24">
      <c r="A1890" t="s">
        <v>519</v>
      </c>
      <c r="B1890" t="s">
        <v>167</v>
      </c>
      <c r="C1890" t="s">
        <v>2857</v>
      </c>
      <c r="D1890" s="14">
        <v>10</v>
      </c>
      <c r="F1890" s="13">
        <v>45785.604166666664</v>
      </c>
      <c r="G1890" t="s">
        <v>354</v>
      </c>
      <c r="H1890" t="s">
        <v>1564</v>
      </c>
      <c r="I1890" t="str">
        <f>IF(A1890="","Pacote",IF(B1890=IFERROR(VLOOKUP(B1890,base!$L$1:$L$20,1,0),""),"Produtos",IF(B1890=IFERROR(VLOOKUP(B1890,base!$K$2:$K$20,1,0),""),"Serviços",IF(B1890="Gorjeta","Gorjeta","Combos"))))</f>
        <v>Serviços</v>
      </c>
      <c r="J1890">
        <f t="shared" si="84"/>
        <v>4.5</v>
      </c>
      <c r="K1890" s="1">
        <f t="shared" si="85"/>
        <v>45785.604166666664</v>
      </c>
      <c r="L1890" s="1">
        <f t="shared" si="86"/>
        <v>45785.604166666664</v>
      </c>
      <c r="M1890" s="1">
        <f t="shared" si="83"/>
        <v>45785.604166666664</v>
      </c>
      <c r="N1890" s="1"/>
      <c r="O1890" t="str">
        <f t="shared" si="87"/>
        <v>Cartão de Crédito</v>
      </c>
      <c r="P1890" t="s">
        <v>149</v>
      </c>
      <c r="Q1890" t="str">
        <f t="shared" si="88"/>
        <v>Serviços</v>
      </c>
      <c r="R1890" t="str">
        <f t="shared" si="89"/>
        <v>Sobrancelha</v>
      </c>
      <c r="T1890" s="14">
        <f t="shared" si="90"/>
        <v>10</v>
      </c>
      <c r="U1890" s="14">
        <f t="shared" si="91"/>
        <v>0</v>
      </c>
      <c r="V1890" s="14"/>
      <c r="W1890" t="str">
        <f>IF(A1890=$A$1707,base!$I$3,IF(A1890=$A$1709,base!$I$2,IF(Receitas!A1890=Receitas!$A$1701,base!$I$4,"")))</f>
        <v>Gustavo de Castro</v>
      </c>
      <c r="X1890" t="str">
        <f t="shared" si="92"/>
        <v>jonathan santos</v>
      </c>
    </row>
    <row r="1891" spans="1:24">
      <c r="A1891" t="s">
        <v>252</v>
      </c>
      <c r="B1891" t="s">
        <v>163</v>
      </c>
      <c r="C1891" t="s">
        <v>2858</v>
      </c>
      <c r="D1891" s="14">
        <v>35</v>
      </c>
      <c r="E1891" s="14">
        <v>45</v>
      </c>
      <c r="F1891" s="13">
        <v>45785.78125</v>
      </c>
      <c r="G1891" t="s">
        <v>1</v>
      </c>
      <c r="H1891" t="s">
        <v>20</v>
      </c>
      <c r="I1891" t="str">
        <f>IF(A1891="","Pacote",IF(B1891=IFERROR(VLOOKUP(B1891,base!$L$1:$L$20,1,0),""),"Produtos",IF(B1891=IFERROR(VLOOKUP(B1891,base!$K$2:$K$20,1,0),""),"Serviços",IF(B1891="Gorjeta","Gorjeta","Combos"))))</f>
        <v>Serviços</v>
      </c>
      <c r="J1891">
        <f t="shared" si="84"/>
        <v>15.75</v>
      </c>
      <c r="K1891" s="1">
        <f t="shared" si="85"/>
        <v>45785.78125</v>
      </c>
      <c r="L1891" s="1">
        <f t="shared" si="86"/>
        <v>45785.78125</v>
      </c>
      <c r="M1891" s="1">
        <f t="shared" si="83"/>
        <v>45785.78125</v>
      </c>
      <c r="N1891" s="1"/>
      <c r="O1891" t="str">
        <f t="shared" si="87"/>
        <v>PIX</v>
      </c>
      <c r="P1891" t="s">
        <v>149</v>
      </c>
      <c r="Q1891" t="str">
        <f t="shared" si="88"/>
        <v>Serviços</v>
      </c>
      <c r="R1891" t="str">
        <f t="shared" si="89"/>
        <v>Corte</v>
      </c>
      <c r="T1891" s="14">
        <f t="shared" si="90"/>
        <v>35</v>
      </c>
      <c r="U1891" s="14">
        <f t="shared" si="91"/>
        <v>45</v>
      </c>
      <c r="V1891" s="14"/>
      <c r="W1891" t="str">
        <f>IF(A1891=$A$1707,base!$I$3,IF(A1891=$A$1709,base!$I$2,IF(Receitas!A1891=Receitas!$A$1701,base!$I$4,"")))</f>
        <v>Christian Magon</v>
      </c>
      <c r="X1891" t="str">
        <f t="shared" si="92"/>
        <v>Julio Cesar da silva rodrigues de faria</v>
      </c>
    </row>
    <row r="1892" spans="1:24">
      <c r="A1892" t="s">
        <v>252</v>
      </c>
      <c r="B1892" t="s">
        <v>167</v>
      </c>
      <c r="C1892" t="s">
        <v>2858</v>
      </c>
      <c r="D1892" s="14">
        <v>10</v>
      </c>
      <c r="F1892" s="13">
        <v>45785.78125</v>
      </c>
      <c r="G1892" t="s">
        <v>1</v>
      </c>
      <c r="H1892" t="s">
        <v>20</v>
      </c>
      <c r="I1892" t="str">
        <f>IF(A1892="","Pacote",IF(B1892=IFERROR(VLOOKUP(B1892,base!$L$1:$L$20,1,0),""),"Produtos",IF(B1892=IFERROR(VLOOKUP(B1892,base!$K$2:$K$20,1,0),""),"Serviços",IF(B1892="Gorjeta","Gorjeta","Combos"))))</f>
        <v>Serviços</v>
      </c>
      <c r="J1892">
        <f t="shared" si="84"/>
        <v>4.5</v>
      </c>
      <c r="K1892" s="1">
        <f t="shared" si="85"/>
        <v>45785.78125</v>
      </c>
      <c r="L1892" s="1">
        <f t="shared" si="86"/>
        <v>45785.78125</v>
      </c>
      <c r="M1892" s="1">
        <f t="shared" si="83"/>
        <v>45785.78125</v>
      </c>
      <c r="N1892" s="1"/>
      <c r="O1892" t="str">
        <f t="shared" si="87"/>
        <v>PIX</v>
      </c>
      <c r="P1892" t="s">
        <v>149</v>
      </c>
      <c r="Q1892" t="str">
        <f t="shared" si="88"/>
        <v>Serviços</v>
      </c>
      <c r="R1892" t="str">
        <f t="shared" si="89"/>
        <v>Sobrancelha</v>
      </c>
      <c r="T1892" s="14">
        <f t="shared" si="90"/>
        <v>10</v>
      </c>
      <c r="U1892" s="14">
        <f t="shared" si="91"/>
        <v>0</v>
      </c>
      <c r="V1892" s="14"/>
      <c r="W1892" t="str">
        <f>IF(A1892=$A$1707,base!$I$3,IF(A1892=$A$1709,base!$I$2,IF(Receitas!A1892=Receitas!$A$1701,base!$I$4,"")))</f>
        <v>Christian Magon</v>
      </c>
      <c r="X1892" t="str">
        <f t="shared" si="92"/>
        <v>Julio Cesar da silva rodrigues de faria</v>
      </c>
    </row>
    <row r="1893" spans="1:24">
      <c r="A1893" t="s">
        <v>536</v>
      </c>
      <c r="B1893" t="s">
        <v>163</v>
      </c>
      <c r="C1893" t="s">
        <v>2859</v>
      </c>
      <c r="D1893" s="14">
        <v>35</v>
      </c>
      <c r="E1893" s="14">
        <v>35</v>
      </c>
      <c r="F1893" s="13">
        <v>45785.677083333336</v>
      </c>
      <c r="G1893" t="s">
        <v>1</v>
      </c>
      <c r="H1893" t="s">
        <v>280</v>
      </c>
      <c r="I1893" t="str">
        <f>IF(A1893="","Pacote",IF(B1893=IFERROR(VLOOKUP(B1893,base!$L$1:$L$20,1,0),""),"Produtos",IF(B1893=IFERROR(VLOOKUP(B1893,base!$K$2:$K$20,1,0),""),"Serviços",IF(B1893="Gorjeta","Gorjeta","Combos"))))</f>
        <v>Serviços</v>
      </c>
      <c r="J1893">
        <f t="shared" si="84"/>
        <v>15.75</v>
      </c>
      <c r="K1893" s="1">
        <f t="shared" si="85"/>
        <v>45785.677083333336</v>
      </c>
      <c r="L1893" s="1">
        <f t="shared" si="86"/>
        <v>45785.677083333336</v>
      </c>
      <c r="M1893" s="1">
        <f t="shared" si="83"/>
        <v>45785.677083333336</v>
      </c>
      <c r="N1893" s="1"/>
      <c r="O1893" t="str">
        <f t="shared" si="87"/>
        <v>PIX</v>
      </c>
      <c r="P1893" t="s">
        <v>149</v>
      </c>
      <c r="Q1893" t="str">
        <f t="shared" si="88"/>
        <v>Serviços</v>
      </c>
      <c r="R1893" t="str">
        <f t="shared" si="89"/>
        <v>Corte</v>
      </c>
      <c r="T1893" s="14">
        <f t="shared" si="90"/>
        <v>35</v>
      </c>
      <c r="U1893" s="14">
        <f t="shared" si="91"/>
        <v>35</v>
      </c>
      <c r="V1893" s="14"/>
      <c r="W1893" t="str">
        <f>IF(A1893=$A$1707,base!$I$3,IF(A1893=$A$1709,base!$I$2,IF(Receitas!A1893=Receitas!$A$1701,base!$I$4,"")))</f>
        <v>PATRICK CARDOSO</v>
      </c>
      <c r="X1893" t="str">
        <f t="shared" si="92"/>
        <v>hailton carlos jesus</v>
      </c>
    </row>
    <row r="1894" spans="1:24">
      <c r="A1894" t="s">
        <v>252</v>
      </c>
      <c r="B1894" t="s">
        <v>163</v>
      </c>
      <c r="C1894" t="s">
        <v>2860</v>
      </c>
      <c r="D1894" s="14">
        <v>35</v>
      </c>
      <c r="E1894" s="14">
        <v>35</v>
      </c>
      <c r="F1894" s="13">
        <v>45785.802083333336</v>
      </c>
      <c r="G1894" t="s">
        <v>310</v>
      </c>
      <c r="H1894" t="s">
        <v>1602</v>
      </c>
      <c r="I1894" t="str">
        <f>IF(A1894="","Pacote",IF(B1894=IFERROR(VLOOKUP(B1894,base!$L$1:$L$20,1,0),""),"Produtos",IF(B1894=IFERROR(VLOOKUP(B1894,base!$K$2:$K$20,1,0),""),"Serviços",IF(B1894="Gorjeta","Gorjeta","Combos"))))</f>
        <v>Serviços</v>
      </c>
      <c r="J1894">
        <f t="shared" si="84"/>
        <v>15.75</v>
      </c>
      <c r="K1894" s="1">
        <f t="shared" si="85"/>
        <v>45785.802083333336</v>
      </c>
      <c r="L1894" s="1">
        <f t="shared" si="86"/>
        <v>45785.802083333336</v>
      </c>
      <c r="M1894" s="1">
        <f t="shared" si="83"/>
        <v>45785.802083333336</v>
      </c>
      <c r="N1894" s="1"/>
      <c r="O1894" t="str">
        <f t="shared" si="87"/>
        <v>Cartão de Débito</v>
      </c>
      <c r="P1894" t="s">
        <v>149</v>
      </c>
      <c r="Q1894" t="str">
        <f t="shared" si="88"/>
        <v>Serviços</v>
      </c>
      <c r="R1894" t="str">
        <f t="shared" si="89"/>
        <v>Corte</v>
      </c>
      <c r="T1894" s="14">
        <f t="shared" si="90"/>
        <v>35</v>
      </c>
      <c r="U1894" s="14">
        <f t="shared" si="91"/>
        <v>35</v>
      </c>
      <c r="V1894" s="14"/>
      <c r="W1894" t="str">
        <f>IF(A1894=$A$1707,base!$I$3,IF(A1894=$A$1709,base!$I$2,IF(Receitas!A1894=Receitas!$A$1701,base!$I$4,"")))</f>
        <v>Christian Magon</v>
      </c>
      <c r="X1894" t="str">
        <f t="shared" si="92"/>
        <v>Sebastiao Jose</v>
      </c>
    </row>
    <row r="1895" spans="1:24">
      <c r="A1895" t="s">
        <v>519</v>
      </c>
      <c r="B1895" t="s">
        <v>163</v>
      </c>
      <c r="C1895" t="s">
        <v>2861</v>
      </c>
      <c r="D1895" s="14">
        <v>35</v>
      </c>
      <c r="E1895" s="14">
        <v>50</v>
      </c>
      <c r="F1895" s="13">
        <v>45786.4375</v>
      </c>
      <c r="G1895" t="s">
        <v>1</v>
      </c>
      <c r="H1895" t="s">
        <v>12</v>
      </c>
      <c r="I1895" t="str">
        <f>IF(A1895="","Pacote",IF(B1895=IFERROR(VLOOKUP(B1895,base!$L$1:$L$20,1,0),""),"Produtos",IF(B1895=IFERROR(VLOOKUP(B1895,base!$K$2:$K$20,1,0),""),"Serviços",IF(B1895="Gorjeta","Gorjeta","Combos"))))</f>
        <v>Serviços</v>
      </c>
      <c r="J1895">
        <f t="shared" si="84"/>
        <v>15.75</v>
      </c>
      <c r="K1895" s="1">
        <f t="shared" si="85"/>
        <v>45786.4375</v>
      </c>
      <c r="L1895" s="1">
        <f t="shared" si="86"/>
        <v>45786.4375</v>
      </c>
      <c r="M1895" s="1">
        <f t="shared" si="83"/>
        <v>45786.4375</v>
      </c>
      <c r="N1895" s="1"/>
      <c r="O1895" t="str">
        <f t="shared" si="87"/>
        <v>PIX</v>
      </c>
      <c r="P1895" t="s">
        <v>149</v>
      </c>
      <c r="Q1895" t="str">
        <f t="shared" si="88"/>
        <v>Serviços</v>
      </c>
      <c r="R1895" t="str">
        <f t="shared" si="89"/>
        <v>Corte</v>
      </c>
      <c r="T1895" s="14">
        <f t="shared" si="90"/>
        <v>35</v>
      </c>
      <c r="U1895" s="14">
        <f t="shared" si="91"/>
        <v>50</v>
      </c>
      <c r="V1895" s="14"/>
      <c r="W1895" t="str">
        <f>IF(A1895=$A$1707,base!$I$3,IF(A1895=$A$1709,base!$I$2,IF(Receitas!A1895=Receitas!$A$1701,base!$I$4,"")))</f>
        <v>Gustavo de Castro</v>
      </c>
      <c r="X1895" t="str">
        <f t="shared" si="92"/>
        <v>David Mendes</v>
      </c>
    </row>
    <row r="1896" spans="1:24">
      <c r="A1896" t="s">
        <v>519</v>
      </c>
      <c r="B1896" t="s">
        <v>167</v>
      </c>
      <c r="C1896" t="s">
        <v>2861</v>
      </c>
      <c r="D1896" s="14">
        <v>15</v>
      </c>
      <c r="F1896" s="13">
        <v>45786.4375</v>
      </c>
      <c r="G1896" t="s">
        <v>1</v>
      </c>
      <c r="H1896" t="s">
        <v>12</v>
      </c>
      <c r="I1896" t="str">
        <f>IF(A1896="","Pacote",IF(B1896=IFERROR(VLOOKUP(B1896,base!$L$1:$L$20,1,0),""),"Produtos",IF(B1896=IFERROR(VLOOKUP(B1896,base!$K$2:$K$20,1,0),""),"Serviços",IF(B1896="Gorjeta","Gorjeta","Combos"))))</f>
        <v>Serviços</v>
      </c>
      <c r="J1896">
        <f t="shared" si="84"/>
        <v>6.75</v>
      </c>
      <c r="K1896" s="1">
        <f t="shared" si="85"/>
        <v>45786.4375</v>
      </c>
      <c r="L1896" s="1">
        <f t="shared" si="86"/>
        <v>45786.4375</v>
      </c>
      <c r="M1896" s="1">
        <f t="shared" si="83"/>
        <v>45786.4375</v>
      </c>
      <c r="N1896" s="1"/>
      <c r="O1896" t="str">
        <f t="shared" si="87"/>
        <v>PIX</v>
      </c>
      <c r="P1896" t="s">
        <v>149</v>
      </c>
      <c r="Q1896" t="str">
        <f t="shared" si="88"/>
        <v>Serviços</v>
      </c>
      <c r="R1896" t="str">
        <f t="shared" si="89"/>
        <v>Sobrancelha</v>
      </c>
      <c r="T1896" s="14">
        <f t="shared" si="90"/>
        <v>15</v>
      </c>
      <c r="U1896" s="14">
        <f t="shared" si="91"/>
        <v>0</v>
      </c>
      <c r="V1896" s="14"/>
      <c r="W1896" t="str">
        <f>IF(A1896=$A$1707,base!$I$3,IF(A1896=$A$1709,base!$I$2,IF(Receitas!A1896=Receitas!$A$1701,base!$I$4,"")))</f>
        <v>Gustavo de Castro</v>
      </c>
      <c r="X1896" t="str">
        <f t="shared" si="92"/>
        <v>David Mendes</v>
      </c>
    </row>
    <row r="1897" spans="1:24">
      <c r="A1897" t="s">
        <v>536</v>
      </c>
      <c r="B1897" t="s">
        <v>163</v>
      </c>
      <c r="C1897" t="s">
        <v>2862</v>
      </c>
      <c r="D1897" s="14">
        <v>35</v>
      </c>
      <c r="E1897" s="14">
        <v>35</v>
      </c>
      <c r="F1897" s="13">
        <v>45785.760416666664</v>
      </c>
      <c r="G1897" t="s">
        <v>1</v>
      </c>
      <c r="H1897" t="s">
        <v>2148</v>
      </c>
      <c r="I1897" t="str">
        <f>IF(A1897="","Pacote",IF(B1897=IFERROR(VLOOKUP(B1897,base!$L$1:$L$20,1,0),""),"Produtos",IF(B1897=IFERROR(VLOOKUP(B1897,base!$K$2:$K$20,1,0),""),"Serviços",IF(B1897="Gorjeta","Gorjeta","Combos"))))</f>
        <v>Serviços</v>
      </c>
      <c r="J1897">
        <f t="shared" si="84"/>
        <v>15.75</v>
      </c>
      <c r="K1897" s="1">
        <f t="shared" si="85"/>
        <v>45785.760416666664</v>
      </c>
      <c r="L1897" s="1">
        <f t="shared" si="86"/>
        <v>45785.760416666664</v>
      </c>
      <c r="M1897" s="1">
        <f t="shared" si="83"/>
        <v>45785.760416666664</v>
      </c>
      <c r="N1897" s="1"/>
      <c r="O1897" t="str">
        <f t="shared" si="87"/>
        <v>PIX</v>
      </c>
      <c r="P1897" t="s">
        <v>149</v>
      </c>
      <c r="Q1897" t="str">
        <f t="shared" si="88"/>
        <v>Serviços</v>
      </c>
      <c r="R1897" t="str">
        <f t="shared" si="89"/>
        <v>Corte</v>
      </c>
      <c r="T1897" s="14">
        <f t="shared" si="90"/>
        <v>35</v>
      </c>
      <c r="U1897" s="14">
        <f t="shared" si="91"/>
        <v>35</v>
      </c>
      <c r="V1897" s="14"/>
      <c r="W1897" t="str">
        <f>IF(A1897=$A$1707,base!$I$3,IF(A1897=$A$1709,base!$I$2,IF(Receitas!A1897=Receitas!$A$1701,base!$I$4,"")))</f>
        <v>PATRICK CARDOSO</v>
      </c>
      <c r="X1897" t="str">
        <f t="shared" si="92"/>
        <v>Cryslen Ramos</v>
      </c>
    </row>
    <row r="1898" spans="1:24">
      <c r="A1898" t="s">
        <v>536</v>
      </c>
      <c r="B1898" t="s">
        <v>163</v>
      </c>
      <c r="C1898" t="s">
        <v>2863</v>
      </c>
      <c r="D1898" s="14">
        <v>35</v>
      </c>
      <c r="E1898" s="14">
        <v>35</v>
      </c>
      <c r="F1898" s="13">
        <v>45785.78125</v>
      </c>
      <c r="G1898" t="s">
        <v>1</v>
      </c>
      <c r="H1898" t="s">
        <v>2864</v>
      </c>
      <c r="I1898" t="str">
        <f>IF(A1898="","Pacote",IF(B1898=IFERROR(VLOOKUP(B1898,base!$L$1:$L$20,1,0),""),"Produtos",IF(B1898=IFERROR(VLOOKUP(B1898,base!$K$2:$K$20,1,0),""),"Serviços",IF(B1898="Gorjeta","Gorjeta","Combos"))))</f>
        <v>Serviços</v>
      </c>
      <c r="J1898">
        <f t="shared" si="84"/>
        <v>15.75</v>
      </c>
      <c r="K1898" s="1">
        <f t="shared" si="85"/>
        <v>45785.78125</v>
      </c>
      <c r="L1898" s="1">
        <f t="shared" si="86"/>
        <v>45785.78125</v>
      </c>
      <c r="M1898" s="1">
        <f t="shared" si="83"/>
        <v>45785.78125</v>
      </c>
      <c r="N1898" s="1"/>
      <c r="O1898" t="str">
        <f t="shared" si="87"/>
        <v>PIX</v>
      </c>
      <c r="P1898" t="s">
        <v>149</v>
      </c>
      <c r="Q1898" t="str">
        <f t="shared" si="88"/>
        <v>Serviços</v>
      </c>
      <c r="R1898" t="str">
        <f t="shared" si="89"/>
        <v>Corte</v>
      </c>
      <c r="T1898" s="14">
        <f t="shared" si="90"/>
        <v>35</v>
      </c>
      <c r="U1898" s="14">
        <f t="shared" si="91"/>
        <v>35</v>
      </c>
      <c r="V1898" s="14"/>
      <c r="W1898" t="str">
        <f>IF(A1898=$A$1707,base!$I$3,IF(A1898=$A$1709,base!$I$2,IF(Receitas!A1898=Receitas!$A$1701,base!$I$4,"")))</f>
        <v>PATRICK CARDOSO</v>
      </c>
      <c r="X1898" t="str">
        <f t="shared" si="92"/>
        <v>Iris esteves</v>
      </c>
    </row>
    <row r="1899" spans="1:24">
      <c r="A1899" t="s">
        <v>536</v>
      </c>
      <c r="B1899" t="s">
        <v>163</v>
      </c>
      <c r="C1899" t="s">
        <v>2865</v>
      </c>
      <c r="D1899" s="14">
        <v>35</v>
      </c>
      <c r="E1899" s="14">
        <v>75</v>
      </c>
      <c r="F1899" s="13">
        <v>45785.864583333336</v>
      </c>
      <c r="G1899" t="s">
        <v>1</v>
      </c>
      <c r="H1899" t="s">
        <v>2866</v>
      </c>
      <c r="I1899" t="str">
        <f>IF(A1899="","Pacote",IF(B1899=IFERROR(VLOOKUP(B1899,base!$L$1:$L$20,1,0),""),"Produtos",IF(B1899=IFERROR(VLOOKUP(B1899,base!$K$2:$K$20,1,0),""),"Serviços",IF(B1899="Gorjeta","Gorjeta","Combos"))))</f>
        <v>Serviços</v>
      </c>
      <c r="J1899">
        <f t="shared" si="84"/>
        <v>15.75</v>
      </c>
      <c r="K1899" s="1">
        <f t="shared" si="85"/>
        <v>45785.864583333336</v>
      </c>
      <c r="L1899" s="1">
        <f t="shared" si="86"/>
        <v>45785.864583333336</v>
      </c>
      <c r="M1899" s="1">
        <f t="shared" si="83"/>
        <v>45785.864583333336</v>
      </c>
      <c r="N1899" s="1"/>
      <c r="O1899" t="str">
        <f t="shared" si="87"/>
        <v>PIX</v>
      </c>
      <c r="P1899" t="s">
        <v>149</v>
      </c>
      <c r="Q1899" t="str">
        <f t="shared" si="88"/>
        <v>Serviços</v>
      </c>
      <c r="R1899" t="str">
        <f t="shared" si="89"/>
        <v>Corte</v>
      </c>
      <c r="T1899" s="14">
        <f t="shared" si="90"/>
        <v>35</v>
      </c>
      <c r="U1899" s="14">
        <f t="shared" si="91"/>
        <v>75</v>
      </c>
      <c r="V1899" s="14"/>
      <c r="W1899" t="str">
        <f>IF(A1899=$A$1707,base!$I$3,IF(A1899=$A$1709,base!$I$2,IF(Receitas!A1899=Receitas!$A$1701,base!$I$4,"")))</f>
        <v>PATRICK CARDOSO</v>
      </c>
      <c r="X1899" t="str">
        <f t="shared" si="92"/>
        <v>Talys Theodoro</v>
      </c>
    </row>
    <row r="1900" spans="1:24">
      <c r="A1900" t="s">
        <v>536</v>
      </c>
      <c r="B1900" t="s">
        <v>472</v>
      </c>
      <c r="C1900" t="s">
        <v>2865</v>
      </c>
      <c r="D1900" s="14">
        <v>40</v>
      </c>
      <c r="F1900" s="13">
        <v>45785.864583333336</v>
      </c>
      <c r="G1900" t="s">
        <v>1</v>
      </c>
      <c r="H1900" t="s">
        <v>2866</v>
      </c>
      <c r="I1900" t="str">
        <f>IF(A1900="","Pacote",IF(B1900=IFERROR(VLOOKUP(B1900,base!$L$1:$L$20,1,0),""),"Produtos",IF(B1900=IFERROR(VLOOKUP(B1900,base!$K$2:$K$20,1,0),""),"Serviços",IF(B1900="Gorjeta","Gorjeta","Combos"))))</f>
        <v>Produtos</v>
      </c>
      <c r="J1900">
        <f t="shared" si="84"/>
        <v>16</v>
      </c>
      <c r="K1900" s="1">
        <f t="shared" si="85"/>
        <v>45785.864583333336</v>
      </c>
      <c r="L1900" s="1">
        <f t="shared" si="86"/>
        <v>45785.864583333336</v>
      </c>
      <c r="M1900" s="1">
        <f t="shared" si="83"/>
        <v>45785.864583333336</v>
      </c>
      <c r="N1900" s="1"/>
      <c r="O1900" t="str">
        <f t="shared" si="87"/>
        <v>PIX</v>
      </c>
      <c r="P1900" t="s">
        <v>149</v>
      </c>
      <c r="Q1900" t="str">
        <f t="shared" si="88"/>
        <v>Produtos</v>
      </c>
      <c r="R1900" t="str">
        <f t="shared" si="89"/>
        <v>minox serum</v>
      </c>
      <c r="T1900" s="14">
        <f t="shared" si="90"/>
        <v>40</v>
      </c>
      <c r="U1900" s="14">
        <f t="shared" si="91"/>
        <v>0</v>
      </c>
      <c r="V1900" s="14"/>
      <c r="W1900" t="str">
        <f>IF(A1900=$A$1707,base!$I$3,IF(A1900=$A$1709,base!$I$2,IF(Receitas!A1900=Receitas!$A$1701,base!$I$4,"")))</f>
        <v>PATRICK CARDOSO</v>
      </c>
      <c r="X1900" t="str">
        <f t="shared" si="92"/>
        <v>Talys Theodoro</v>
      </c>
    </row>
    <row r="1901" spans="1:24">
      <c r="A1901" t="s">
        <v>252</v>
      </c>
      <c r="B1901" t="s">
        <v>163</v>
      </c>
      <c r="C1901" t="s">
        <v>2867</v>
      </c>
      <c r="D1901" s="14">
        <v>35</v>
      </c>
      <c r="E1901" s="14">
        <v>50</v>
      </c>
      <c r="F1901" s="13">
        <v>45785.878472222219</v>
      </c>
      <c r="G1901" t="s">
        <v>1</v>
      </c>
      <c r="H1901" t="s">
        <v>794</v>
      </c>
      <c r="I1901" t="str">
        <f>IF(A1901="","Pacote",IF(B1901=IFERROR(VLOOKUP(B1901,base!$L$1:$L$20,1,0),""),"Produtos",IF(B1901=IFERROR(VLOOKUP(B1901,base!$K$2:$K$20,1,0),""),"Serviços",IF(B1901="Gorjeta","Gorjeta","Combos"))))</f>
        <v>Serviços</v>
      </c>
      <c r="J1901">
        <f t="shared" si="84"/>
        <v>15.75</v>
      </c>
      <c r="K1901" s="1">
        <f t="shared" si="85"/>
        <v>45785.878472222219</v>
      </c>
      <c r="L1901" s="1">
        <f t="shared" si="86"/>
        <v>45785.878472222219</v>
      </c>
      <c r="M1901" s="1">
        <f t="shared" si="83"/>
        <v>45785.878472222219</v>
      </c>
      <c r="N1901" s="1"/>
      <c r="O1901" t="str">
        <f t="shared" si="87"/>
        <v>PIX</v>
      </c>
      <c r="P1901" t="s">
        <v>149</v>
      </c>
      <c r="Q1901" t="str">
        <f t="shared" si="88"/>
        <v>Serviços</v>
      </c>
      <c r="R1901" t="str">
        <f t="shared" si="89"/>
        <v>Corte</v>
      </c>
      <c r="T1901" s="14">
        <f t="shared" si="90"/>
        <v>35</v>
      </c>
      <c r="U1901" s="14">
        <f t="shared" si="91"/>
        <v>50</v>
      </c>
      <c r="V1901" s="14"/>
      <c r="W1901" t="str">
        <f>IF(A1901=$A$1707,base!$I$3,IF(A1901=$A$1709,base!$I$2,IF(Receitas!A1901=Receitas!$A$1701,base!$I$4,"")))</f>
        <v>Christian Magon</v>
      </c>
      <c r="X1901" t="str">
        <f t="shared" si="92"/>
        <v>Otavio augusto</v>
      </c>
    </row>
    <row r="1902" spans="1:24">
      <c r="A1902" t="s">
        <v>252</v>
      </c>
      <c r="B1902" t="s">
        <v>167</v>
      </c>
      <c r="C1902" t="s">
        <v>2867</v>
      </c>
      <c r="D1902" s="14">
        <v>10</v>
      </c>
      <c r="F1902" s="13">
        <v>45785.878472222219</v>
      </c>
      <c r="G1902" t="s">
        <v>1</v>
      </c>
      <c r="H1902" t="s">
        <v>794</v>
      </c>
      <c r="I1902" t="str">
        <f>IF(A1902="","Pacote",IF(B1902=IFERROR(VLOOKUP(B1902,base!$L$1:$L$20,1,0),""),"Produtos",IF(B1902=IFERROR(VLOOKUP(B1902,base!$K$2:$K$20,1,0),""),"Serviços",IF(B1902="Gorjeta","Gorjeta","Combos"))))</f>
        <v>Serviços</v>
      </c>
      <c r="J1902">
        <f t="shared" si="84"/>
        <v>4.5</v>
      </c>
      <c r="K1902" s="1">
        <f t="shared" si="85"/>
        <v>45785.878472222219</v>
      </c>
      <c r="L1902" s="1">
        <f t="shared" si="86"/>
        <v>45785.878472222219</v>
      </c>
      <c r="M1902" s="1">
        <f t="shared" si="83"/>
        <v>45785.878472222219</v>
      </c>
      <c r="N1902" s="1"/>
      <c r="O1902" t="str">
        <f t="shared" si="87"/>
        <v>PIX</v>
      </c>
      <c r="P1902" t="s">
        <v>149</v>
      </c>
      <c r="Q1902" t="str">
        <f t="shared" si="88"/>
        <v>Serviços</v>
      </c>
      <c r="R1902" t="str">
        <f t="shared" si="89"/>
        <v>Sobrancelha</v>
      </c>
      <c r="T1902" s="14">
        <f t="shared" si="90"/>
        <v>10</v>
      </c>
      <c r="U1902" s="14">
        <f t="shared" si="91"/>
        <v>0</v>
      </c>
      <c r="V1902" s="14"/>
      <c r="W1902" t="str">
        <f>IF(A1902=$A$1707,base!$I$3,IF(A1902=$A$1709,base!$I$2,IF(Receitas!A1902=Receitas!$A$1701,base!$I$4,"")))</f>
        <v>Christian Magon</v>
      </c>
      <c r="X1902" t="str">
        <f t="shared" si="92"/>
        <v>Otavio augusto</v>
      </c>
    </row>
    <row r="1903" spans="1:24">
      <c r="A1903" t="s">
        <v>536</v>
      </c>
      <c r="B1903" t="s">
        <v>163</v>
      </c>
      <c r="C1903" t="s">
        <v>2868</v>
      </c>
      <c r="D1903" s="14">
        <v>35</v>
      </c>
      <c r="E1903" s="14">
        <v>50</v>
      </c>
      <c r="F1903" s="13">
        <v>45786.479166666664</v>
      </c>
      <c r="G1903" t="s">
        <v>2</v>
      </c>
      <c r="H1903" t="s">
        <v>1023</v>
      </c>
      <c r="I1903" t="str">
        <f>IF(A1903="","Pacote",IF(B1903=IFERROR(VLOOKUP(B1903,base!$L$1:$L$20,1,0),""),"Produtos",IF(B1903=IFERROR(VLOOKUP(B1903,base!$K$2:$K$20,1,0),""),"Serviços",IF(B1903="Gorjeta","Gorjeta","Combos"))))</f>
        <v>Serviços</v>
      </c>
      <c r="J1903">
        <f t="shared" si="84"/>
        <v>15.75</v>
      </c>
      <c r="K1903" s="1">
        <f t="shared" si="85"/>
        <v>45786.479166666664</v>
      </c>
      <c r="L1903" s="1">
        <f t="shared" si="86"/>
        <v>45786.479166666664</v>
      </c>
      <c r="M1903" s="1">
        <f t="shared" si="83"/>
        <v>45786.479166666664</v>
      </c>
      <c r="N1903" s="1"/>
      <c r="O1903" t="str">
        <f t="shared" si="87"/>
        <v>Dinheiro</v>
      </c>
      <c r="P1903" t="s">
        <v>149</v>
      </c>
      <c r="Q1903" t="str">
        <f t="shared" si="88"/>
        <v>Serviços</v>
      </c>
      <c r="R1903" t="str">
        <f t="shared" si="89"/>
        <v>Corte</v>
      </c>
      <c r="T1903" s="14">
        <f t="shared" si="90"/>
        <v>35</v>
      </c>
      <c r="U1903" s="14">
        <f t="shared" si="91"/>
        <v>50</v>
      </c>
      <c r="V1903" s="14"/>
      <c r="W1903" t="str">
        <f>IF(A1903=$A$1707,base!$I$3,IF(A1903=$A$1709,base!$I$2,IF(Receitas!A1903=Receitas!$A$1701,base!$I$4,"")))</f>
        <v>PATRICK CARDOSO</v>
      </c>
      <c r="X1903" t="str">
        <f t="shared" si="92"/>
        <v>Daniel Silva de Paula</v>
      </c>
    </row>
    <row r="1904" spans="1:24">
      <c r="A1904" t="s">
        <v>536</v>
      </c>
      <c r="B1904" t="s">
        <v>167</v>
      </c>
      <c r="C1904" t="s">
        <v>2868</v>
      </c>
      <c r="D1904" s="14">
        <v>10</v>
      </c>
      <c r="F1904" s="13">
        <v>45786.479166666664</v>
      </c>
      <c r="G1904" t="s">
        <v>2</v>
      </c>
      <c r="H1904" t="s">
        <v>1023</v>
      </c>
      <c r="I1904" t="str">
        <f>IF(A1904="","Pacote",IF(B1904=IFERROR(VLOOKUP(B1904,base!$L$1:$L$20,1,0),""),"Produtos",IF(B1904=IFERROR(VLOOKUP(B1904,base!$K$2:$K$20,1,0),""),"Serviços",IF(B1904="Gorjeta","Gorjeta","Combos"))))</f>
        <v>Serviços</v>
      </c>
      <c r="J1904">
        <f t="shared" si="84"/>
        <v>4.5</v>
      </c>
      <c r="K1904" s="1">
        <f t="shared" si="85"/>
        <v>45786.479166666664</v>
      </c>
      <c r="L1904" s="1">
        <f t="shared" si="86"/>
        <v>45786.479166666664</v>
      </c>
      <c r="M1904" s="1">
        <f t="shared" si="83"/>
        <v>45786.479166666664</v>
      </c>
      <c r="N1904" s="1"/>
      <c r="O1904" t="str">
        <f t="shared" si="87"/>
        <v>Dinheiro</v>
      </c>
      <c r="P1904" t="s">
        <v>149</v>
      </c>
      <c r="Q1904" t="str">
        <f t="shared" si="88"/>
        <v>Serviços</v>
      </c>
      <c r="R1904" t="str">
        <f t="shared" si="89"/>
        <v>Sobrancelha</v>
      </c>
      <c r="T1904" s="14">
        <f t="shared" si="90"/>
        <v>10</v>
      </c>
      <c r="U1904" s="14">
        <f t="shared" si="91"/>
        <v>0</v>
      </c>
      <c r="V1904" s="14"/>
      <c r="W1904" t="str">
        <f>IF(A1904=$A$1707,base!$I$3,IF(A1904=$A$1709,base!$I$2,IF(Receitas!A1904=Receitas!$A$1701,base!$I$4,"")))</f>
        <v>PATRICK CARDOSO</v>
      </c>
      <c r="X1904" t="str">
        <f t="shared" si="92"/>
        <v>Daniel Silva de Paula</v>
      </c>
    </row>
    <row r="1905" spans="1:24">
      <c r="A1905" t="s">
        <v>536</v>
      </c>
      <c r="B1905" t="s">
        <v>910</v>
      </c>
      <c r="C1905" t="s">
        <v>2868</v>
      </c>
      <c r="D1905" s="14">
        <v>5</v>
      </c>
      <c r="F1905" s="13">
        <v>45786.479166666664</v>
      </c>
      <c r="G1905" t="s">
        <v>2</v>
      </c>
      <c r="H1905" t="s">
        <v>1023</v>
      </c>
      <c r="I1905" t="str">
        <f>IF(A1905="","Pacote",IF(B1905=IFERROR(VLOOKUP(B1905,base!$L$1:$L$20,1,0),""),"Produtos",IF(B1905=IFERROR(VLOOKUP(B1905,base!$K$2:$K$20,1,0),""),"Serviços",IF(B1905="Gorjeta","Gorjeta","Combos"))))</f>
        <v>Gorjeta</v>
      </c>
      <c r="J1905">
        <f t="shared" si="84"/>
        <v>2.25</v>
      </c>
      <c r="K1905" s="1">
        <f t="shared" si="85"/>
        <v>45786.479166666664</v>
      </c>
      <c r="L1905" s="1">
        <f t="shared" si="86"/>
        <v>45786.479166666664</v>
      </c>
      <c r="M1905" s="1">
        <f t="shared" si="83"/>
        <v>45786.479166666664</v>
      </c>
      <c r="N1905" s="1"/>
      <c r="O1905" t="str">
        <f t="shared" si="87"/>
        <v>Dinheiro</v>
      </c>
      <c r="P1905" t="s">
        <v>149</v>
      </c>
      <c r="Q1905" t="str">
        <f t="shared" si="88"/>
        <v>Gorjeta</v>
      </c>
      <c r="R1905" t="str">
        <f t="shared" si="89"/>
        <v>Gorjeta</v>
      </c>
      <c r="T1905" s="14">
        <f t="shared" si="90"/>
        <v>5</v>
      </c>
      <c r="U1905" s="14">
        <f t="shared" si="91"/>
        <v>0</v>
      </c>
      <c r="V1905" s="14"/>
      <c r="W1905" t="str">
        <f>IF(A1905=$A$1707,base!$I$3,IF(A1905=$A$1709,base!$I$2,IF(Receitas!A1905=Receitas!$A$1701,base!$I$4,"")))</f>
        <v>PATRICK CARDOSO</v>
      </c>
      <c r="X1905" t="str">
        <f t="shared" si="92"/>
        <v>Daniel Silva de Paula</v>
      </c>
    </row>
    <row r="1906" spans="1:24">
      <c r="A1906" t="s">
        <v>536</v>
      </c>
      <c r="B1906" t="s">
        <v>1046</v>
      </c>
      <c r="C1906" t="s">
        <v>2869</v>
      </c>
      <c r="D1906" s="14">
        <v>20</v>
      </c>
      <c r="E1906" s="14">
        <v>20</v>
      </c>
      <c r="F1906" s="13">
        <v>45785.881944444445</v>
      </c>
      <c r="G1906" t="s">
        <v>1</v>
      </c>
      <c r="H1906" t="s">
        <v>126</v>
      </c>
      <c r="I1906" t="str">
        <f>IF(A1906="","Pacote",IF(B1906=IFERROR(VLOOKUP(B1906,base!$L$1:$L$20,1,0),""),"Produtos",IF(B1906=IFERROR(VLOOKUP(B1906,base!$K$2:$K$20,1,0),""),"Serviços",IF(B1906="Gorjeta","Gorjeta","Combos"))))</f>
        <v>Serviços</v>
      </c>
      <c r="J1906">
        <f t="shared" si="84"/>
        <v>9</v>
      </c>
      <c r="K1906" s="1">
        <f t="shared" si="85"/>
        <v>45785.881944444445</v>
      </c>
      <c r="L1906" s="1">
        <f t="shared" si="86"/>
        <v>45785.881944444445</v>
      </c>
      <c r="M1906" s="1">
        <f t="shared" si="83"/>
        <v>45785.881944444445</v>
      </c>
      <c r="N1906" s="1"/>
      <c r="O1906" t="str">
        <f t="shared" si="87"/>
        <v>PIX</v>
      </c>
      <c r="P1906" t="s">
        <v>149</v>
      </c>
      <c r="Q1906" t="str">
        <f t="shared" si="88"/>
        <v>Serviços</v>
      </c>
      <c r="R1906" t="str">
        <f t="shared" si="89"/>
        <v>Barba</v>
      </c>
      <c r="T1906" s="14">
        <f t="shared" si="90"/>
        <v>20</v>
      </c>
      <c r="U1906" s="14">
        <f t="shared" si="91"/>
        <v>20</v>
      </c>
      <c r="V1906" s="14"/>
      <c r="W1906" t="str">
        <f>IF(A1906=$A$1707,base!$I$3,IF(A1906=$A$1709,base!$I$2,IF(Receitas!A1906=Receitas!$A$1701,base!$I$4,"")))</f>
        <v>PATRICK CARDOSO</v>
      </c>
      <c r="X1906" t="str">
        <f t="shared" si="92"/>
        <v>Marcos Nobre</v>
      </c>
    </row>
    <row r="1907" spans="1:24">
      <c r="A1907" t="s">
        <v>519</v>
      </c>
      <c r="B1907" t="s">
        <v>167</v>
      </c>
      <c r="C1907" t="s">
        <v>2870</v>
      </c>
      <c r="D1907" s="14">
        <v>15</v>
      </c>
      <c r="E1907" s="14">
        <v>15</v>
      </c>
      <c r="F1907" s="13">
        <v>45786.65625</v>
      </c>
      <c r="G1907" t="s">
        <v>2</v>
      </c>
      <c r="H1907" t="s">
        <v>14</v>
      </c>
      <c r="I1907" t="str">
        <f>IF(A1907="","Pacote",IF(B1907=IFERROR(VLOOKUP(B1907,base!$L$1:$L$20,1,0),""),"Produtos",IF(B1907=IFERROR(VLOOKUP(B1907,base!$K$2:$K$20,1,0),""),"Serviços",IF(B1907="Gorjeta","Gorjeta","Combos"))))</f>
        <v>Serviços</v>
      </c>
      <c r="J1907">
        <f t="shared" si="84"/>
        <v>6.75</v>
      </c>
      <c r="K1907" s="1">
        <f t="shared" si="85"/>
        <v>45786.65625</v>
      </c>
      <c r="L1907" s="1">
        <f t="shared" si="86"/>
        <v>45786.65625</v>
      </c>
      <c r="M1907" s="1">
        <f t="shared" ref="M1907:M1970" si="93">F1907</f>
        <v>45786.65625</v>
      </c>
      <c r="N1907" s="1"/>
      <c r="O1907" t="str">
        <f t="shared" si="87"/>
        <v>Dinheiro</v>
      </c>
      <c r="P1907" t="s">
        <v>149</v>
      </c>
      <c r="Q1907" t="str">
        <f t="shared" si="88"/>
        <v>Serviços</v>
      </c>
      <c r="R1907" t="str">
        <f t="shared" si="89"/>
        <v>Sobrancelha</v>
      </c>
      <c r="T1907" s="14">
        <f t="shared" si="90"/>
        <v>15</v>
      </c>
      <c r="U1907" s="14">
        <f t="shared" si="91"/>
        <v>15</v>
      </c>
      <c r="V1907" s="14"/>
      <c r="W1907" t="str">
        <f>IF(A1907=$A$1707,base!$I$3,IF(A1907=$A$1709,base!$I$2,IF(Receitas!A1907=Receitas!$A$1701,base!$I$4,"")))</f>
        <v>Gustavo de Castro</v>
      </c>
      <c r="X1907" t="str">
        <f t="shared" si="92"/>
        <v>Jackson carneiro Ramos</v>
      </c>
    </row>
    <row r="1908" spans="1:24">
      <c r="A1908" t="s">
        <v>519</v>
      </c>
      <c r="B1908" t="s">
        <v>163</v>
      </c>
      <c r="C1908" t="s">
        <v>2871</v>
      </c>
      <c r="D1908" s="14">
        <v>35</v>
      </c>
      <c r="E1908" s="14">
        <v>35</v>
      </c>
      <c r="F1908" s="13">
        <v>45786.739583333336</v>
      </c>
      <c r="G1908" t="s">
        <v>1</v>
      </c>
      <c r="H1908" t="s">
        <v>37</v>
      </c>
      <c r="I1908" t="str">
        <f>IF(A1908="","Pacote",IF(B1908=IFERROR(VLOOKUP(B1908,base!$L$1:$L$20,1,0),""),"Produtos",IF(B1908=IFERROR(VLOOKUP(B1908,base!$K$2:$K$20,1,0),""),"Serviços",IF(B1908="Gorjeta","Gorjeta","Combos"))))</f>
        <v>Serviços</v>
      </c>
      <c r="J1908">
        <f t="shared" ref="J1908:J1971" si="94">IF(AND(I1908="Serviços",E1908&gt;0),ROUND(D1908*45%,2),IF(I1908="Produtos",ROUND(D1908*40%,2),D1908*45%))</f>
        <v>15.75</v>
      </c>
      <c r="K1908" s="1">
        <f t="shared" ref="K1908:K1971" si="95">F1908</f>
        <v>45786.739583333336</v>
      </c>
      <c r="L1908" s="1">
        <f t="shared" ref="L1908:L1971" si="96">F1908</f>
        <v>45786.739583333336</v>
      </c>
      <c r="M1908" s="1">
        <f t="shared" si="93"/>
        <v>45786.739583333336</v>
      </c>
      <c r="N1908" s="1"/>
      <c r="O1908" t="str">
        <f t="shared" ref="O1908:O1971" si="97">G1908</f>
        <v>PIX</v>
      </c>
      <c r="P1908" t="s">
        <v>149</v>
      </c>
      <c r="Q1908" t="str">
        <f t="shared" ref="Q1908:Q1971" si="98">I1908</f>
        <v>Serviços</v>
      </c>
      <c r="R1908" t="str">
        <f t="shared" ref="R1908:R1971" si="99">B1908</f>
        <v>Corte</v>
      </c>
      <c r="T1908" s="14">
        <f t="shared" ref="T1908:T1971" si="100">D1908</f>
        <v>35</v>
      </c>
      <c r="U1908" s="14">
        <f t="shared" ref="U1908:U1971" si="101">E1908</f>
        <v>35</v>
      </c>
      <c r="V1908" s="14"/>
      <c r="W1908" t="str">
        <f>IF(A1908=$A$1707,base!$I$3,IF(A1908=$A$1709,base!$I$2,IF(Receitas!A1908=Receitas!$A$1701,base!$I$4,"")))</f>
        <v>Gustavo de Castro</v>
      </c>
      <c r="X1908" t="str">
        <f t="shared" ref="X1908:X1971" si="102">H1908</f>
        <v>Weverson Rosa</v>
      </c>
    </row>
    <row r="1909" spans="1:24">
      <c r="A1909" t="s">
        <v>519</v>
      </c>
      <c r="B1909" t="s">
        <v>163</v>
      </c>
      <c r="C1909" t="s">
        <v>2872</v>
      </c>
      <c r="D1909" s="14">
        <v>35</v>
      </c>
      <c r="E1909" s="14">
        <v>35</v>
      </c>
      <c r="F1909" s="13">
        <v>45786.4375</v>
      </c>
      <c r="G1909" t="s">
        <v>310</v>
      </c>
      <c r="H1909" t="s">
        <v>276</v>
      </c>
      <c r="I1909" t="str">
        <f>IF(A1909="","Pacote",IF(B1909=IFERROR(VLOOKUP(B1909,base!$L$1:$L$20,1,0),""),"Produtos",IF(B1909=IFERROR(VLOOKUP(B1909,base!$K$2:$K$20,1,0),""),"Serviços",IF(B1909="Gorjeta","Gorjeta","Combos"))))</f>
        <v>Serviços</v>
      </c>
      <c r="J1909">
        <f t="shared" si="94"/>
        <v>15.75</v>
      </c>
      <c r="K1909" s="1">
        <f t="shared" si="95"/>
        <v>45786.4375</v>
      </c>
      <c r="L1909" s="1">
        <f t="shared" si="96"/>
        <v>45786.4375</v>
      </c>
      <c r="M1909" s="1">
        <f t="shared" si="93"/>
        <v>45786.4375</v>
      </c>
      <c r="N1909" s="1"/>
      <c r="O1909" t="str">
        <f t="shared" si="97"/>
        <v>Cartão de Débito</v>
      </c>
      <c r="P1909" t="s">
        <v>149</v>
      </c>
      <c r="Q1909" t="str">
        <f t="shared" si="98"/>
        <v>Serviços</v>
      </c>
      <c r="R1909" t="str">
        <f t="shared" si="99"/>
        <v>Corte</v>
      </c>
      <c r="T1909" s="14">
        <f t="shared" si="100"/>
        <v>35</v>
      </c>
      <c r="U1909" s="14">
        <f t="shared" si="101"/>
        <v>35</v>
      </c>
      <c r="V1909" s="14"/>
      <c r="W1909" t="str">
        <f>IF(A1909=$A$1707,base!$I$3,IF(A1909=$A$1709,base!$I$2,IF(Receitas!A1909=Receitas!$A$1701,base!$I$4,"")))</f>
        <v>Gustavo de Castro</v>
      </c>
      <c r="X1909" t="str">
        <f t="shared" si="102"/>
        <v>saimon gomes</v>
      </c>
    </row>
    <row r="1910" spans="1:24">
      <c r="A1910" t="s">
        <v>519</v>
      </c>
      <c r="B1910" t="s">
        <v>163</v>
      </c>
      <c r="C1910" t="s">
        <v>2873</v>
      </c>
      <c r="D1910" s="14">
        <v>35</v>
      </c>
      <c r="E1910" s="14">
        <v>35</v>
      </c>
      <c r="F1910" s="13">
        <v>45786.625</v>
      </c>
      <c r="G1910" t="s">
        <v>310</v>
      </c>
      <c r="H1910" t="s">
        <v>415</v>
      </c>
      <c r="I1910" t="str">
        <f>IF(A1910="","Pacote",IF(B1910=IFERROR(VLOOKUP(B1910,base!$L$1:$L$20,1,0),""),"Produtos",IF(B1910=IFERROR(VLOOKUP(B1910,base!$K$2:$K$20,1,0),""),"Serviços",IF(B1910="Gorjeta","Gorjeta","Combos"))))</f>
        <v>Serviços</v>
      </c>
      <c r="J1910">
        <f t="shared" si="94"/>
        <v>15.75</v>
      </c>
      <c r="K1910" s="1">
        <f t="shared" si="95"/>
        <v>45786.625</v>
      </c>
      <c r="L1910" s="1">
        <f t="shared" si="96"/>
        <v>45786.625</v>
      </c>
      <c r="M1910" s="1">
        <f t="shared" si="93"/>
        <v>45786.625</v>
      </c>
      <c r="N1910" s="1"/>
      <c r="O1910" t="str">
        <f t="shared" si="97"/>
        <v>Cartão de Débito</v>
      </c>
      <c r="P1910" t="s">
        <v>149</v>
      </c>
      <c r="Q1910" t="str">
        <f t="shared" si="98"/>
        <v>Serviços</v>
      </c>
      <c r="R1910" t="str">
        <f t="shared" si="99"/>
        <v>Corte</v>
      </c>
      <c r="T1910" s="14">
        <f t="shared" si="100"/>
        <v>35</v>
      </c>
      <c r="U1910" s="14">
        <f t="shared" si="101"/>
        <v>35</v>
      </c>
      <c r="V1910" s="14"/>
      <c r="W1910" t="str">
        <f>IF(A1910=$A$1707,base!$I$3,IF(A1910=$A$1709,base!$I$2,IF(Receitas!A1910=Receitas!$A$1701,base!$I$4,"")))</f>
        <v>Gustavo de Castro</v>
      </c>
      <c r="X1910" t="str">
        <f t="shared" si="102"/>
        <v>GERLANE DOS SANTOS</v>
      </c>
    </row>
    <row r="1911" spans="1:24">
      <c r="A1911" t="s">
        <v>252</v>
      </c>
      <c r="B1911" t="s">
        <v>353</v>
      </c>
      <c r="C1911" t="s">
        <v>2874</v>
      </c>
      <c r="D1911" s="14">
        <v>60</v>
      </c>
      <c r="E1911" s="14">
        <v>55</v>
      </c>
      <c r="F1911" s="13">
        <v>45786.479166666664</v>
      </c>
      <c r="G1911" t="s">
        <v>1</v>
      </c>
      <c r="H1911" t="s">
        <v>367</v>
      </c>
      <c r="I1911" t="str">
        <f>IF(A1911="","Pacote",IF(B1911=IFERROR(VLOOKUP(B1911,base!$L$1:$L$20,1,0),""),"Produtos",IF(B1911=IFERROR(VLOOKUP(B1911,base!$K$2:$K$20,1,0),""),"Serviços",IF(B1911="Gorjeta","Gorjeta","Combos"))))</f>
        <v>Combos</v>
      </c>
      <c r="J1911">
        <f t="shared" si="94"/>
        <v>27</v>
      </c>
      <c r="K1911" s="1">
        <f t="shared" si="95"/>
        <v>45786.479166666664</v>
      </c>
      <c r="L1911" s="1">
        <f t="shared" si="96"/>
        <v>45786.479166666664</v>
      </c>
      <c r="M1911" s="1">
        <f t="shared" si="93"/>
        <v>45786.479166666664</v>
      </c>
      <c r="N1911" s="1"/>
      <c r="O1911" t="str">
        <f t="shared" si="97"/>
        <v>PIX</v>
      </c>
      <c r="P1911" t="s">
        <v>149</v>
      </c>
      <c r="Q1911" t="str">
        <f t="shared" si="98"/>
        <v>Combos</v>
      </c>
      <c r="R1911" t="str">
        <f t="shared" si="99"/>
        <v>Combo ( Corte + Barba )</v>
      </c>
      <c r="T1911" s="14">
        <f t="shared" si="100"/>
        <v>60</v>
      </c>
      <c r="U1911" s="14">
        <f t="shared" si="101"/>
        <v>55</v>
      </c>
      <c r="V1911" s="14"/>
      <c r="W1911" t="str">
        <f>IF(A1911=$A$1707,base!$I$3,IF(A1911=$A$1709,base!$I$2,IF(Receitas!A1911=Receitas!$A$1701,base!$I$4,"")))</f>
        <v>Christian Magon</v>
      </c>
      <c r="X1911" t="str">
        <f t="shared" si="102"/>
        <v>anderson de santana</v>
      </c>
    </row>
    <row r="1912" spans="1:24">
      <c r="A1912" t="s">
        <v>519</v>
      </c>
      <c r="B1912" t="s">
        <v>163</v>
      </c>
      <c r="C1912" t="s">
        <v>2875</v>
      </c>
      <c r="D1912" s="14">
        <v>35</v>
      </c>
      <c r="E1912" s="14">
        <v>35</v>
      </c>
      <c r="F1912" s="13">
        <v>45786.454861111109</v>
      </c>
      <c r="G1912" t="s">
        <v>1</v>
      </c>
      <c r="H1912" t="s">
        <v>2876</v>
      </c>
      <c r="I1912" t="str">
        <f>IF(A1912="","Pacote",IF(B1912=IFERROR(VLOOKUP(B1912,base!$L$1:$L$20,1,0),""),"Produtos",IF(B1912=IFERROR(VLOOKUP(B1912,base!$K$2:$K$20,1,0),""),"Serviços",IF(B1912="Gorjeta","Gorjeta","Combos"))))</f>
        <v>Serviços</v>
      </c>
      <c r="J1912">
        <f t="shared" si="94"/>
        <v>15.75</v>
      </c>
      <c r="K1912" s="1">
        <f t="shared" si="95"/>
        <v>45786.454861111109</v>
      </c>
      <c r="L1912" s="1">
        <f t="shared" si="96"/>
        <v>45786.454861111109</v>
      </c>
      <c r="M1912" s="1">
        <f t="shared" si="93"/>
        <v>45786.454861111109</v>
      </c>
      <c r="N1912" s="1"/>
      <c r="O1912" t="str">
        <f t="shared" si="97"/>
        <v>PIX</v>
      </c>
      <c r="P1912" t="s">
        <v>149</v>
      </c>
      <c r="Q1912" t="str">
        <f t="shared" si="98"/>
        <v>Serviços</v>
      </c>
      <c r="R1912" t="str">
        <f t="shared" si="99"/>
        <v>Corte</v>
      </c>
      <c r="T1912" s="14">
        <f t="shared" si="100"/>
        <v>35</v>
      </c>
      <c r="U1912" s="14">
        <f t="shared" si="101"/>
        <v>35</v>
      </c>
      <c r="V1912" s="14"/>
      <c r="W1912" t="str">
        <f>IF(A1912=$A$1707,base!$I$3,IF(A1912=$A$1709,base!$I$2,IF(Receitas!A1912=Receitas!$A$1701,base!$I$4,"")))</f>
        <v>Gustavo de Castro</v>
      </c>
      <c r="X1912" t="str">
        <f t="shared" si="102"/>
        <v>romulo barbosa</v>
      </c>
    </row>
    <row r="1913" spans="1:24">
      <c r="A1913" t="s">
        <v>536</v>
      </c>
      <c r="B1913" t="s">
        <v>163</v>
      </c>
      <c r="C1913" t="s">
        <v>2877</v>
      </c>
      <c r="D1913" s="14">
        <v>35</v>
      </c>
      <c r="E1913" s="14">
        <v>35</v>
      </c>
      <c r="F1913" s="13">
        <v>45786.520833333336</v>
      </c>
      <c r="G1913" t="s">
        <v>310</v>
      </c>
      <c r="H1913" t="s">
        <v>38</v>
      </c>
      <c r="I1913" t="str">
        <f>IF(A1913="","Pacote",IF(B1913=IFERROR(VLOOKUP(B1913,base!$L$1:$L$20,1,0),""),"Produtos",IF(B1913=IFERROR(VLOOKUP(B1913,base!$K$2:$K$20,1,0),""),"Serviços",IF(B1913="Gorjeta","Gorjeta","Combos"))))</f>
        <v>Serviços</v>
      </c>
      <c r="J1913">
        <f t="shared" si="94"/>
        <v>15.75</v>
      </c>
      <c r="K1913" s="1">
        <f t="shared" si="95"/>
        <v>45786.520833333336</v>
      </c>
      <c r="L1913" s="1">
        <f t="shared" si="96"/>
        <v>45786.520833333336</v>
      </c>
      <c r="M1913" s="1">
        <f t="shared" si="93"/>
        <v>45786.520833333336</v>
      </c>
      <c r="N1913" s="1"/>
      <c r="O1913" t="str">
        <f t="shared" si="97"/>
        <v>Cartão de Débito</v>
      </c>
      <c r="P1913" t="s">
        <v>149</v>
      </c>
      <c r="Q1913" t="str">
        <f t="shared" si="98"/>
        <v>Serviços</v>
      </c>
      <c r="R1913" t="str">
        <f t="shared" si="99"/>
        <v>Corte</v>
      </c>
      <c r="T1913" s="14">
        <f t="shared" si="100"/>
        <v>35</v>
      </c>
      <c r="U1913" s="14">
        <f t="shared" si="101"/>
        <v>35</v>
      </c>
      <c r="V1913" s="14"/>
      <c r="W1913" t="str">
        <f>IF(A1913=$A$1707,base!$I$3,IF(A1913=$A$1709,base!$I$2,IF(Receitas!A1913=Receitas!$A$1701,base!$I$4,"")))</f>
        <v>PATRICK CARDOSO</v>
      </c>
      <c r="X1913" t="str">
        <f t="shared" si="102"/>
        <v>Roni silva</v>
      </c>
    </row>
    <row r="1914" spans="1:24">
      <c r="A1914" t="s">
        <v>536</v>
      </c>
      <c r="B1914" t="s">
        <v>163</v>
      </c>
      <c r="C1914" t="s">
        <v>2878</v>
      </c>
      <c r="D1914" s="14">
        <v>35</v>
      </c>
      <c r="E1914" s="14">
        <v>35</v>
      </c>
      <c r="F1914" s="13">
        <v>45786.447916666664</v>
      </c>
      <c r="G1914" t="s">
        <v>310</v>
      </c>
      <c r="H1914" t="s">
        <v>95</v>
      </c>
      <c r="I1914" t="str">
        <f>IF(A1914="","Pacote",IF(B1914=IFERROR(VLOOKUP(B1914,base!$L$1:$L$20,1,0),""),"Produtos",IF(B1914=IFERROR(VLOOKUP(B1914,base!$K$2:$K$20,1,0),""),"Serviços",IF(B1914="Gorjeta","Gorjeta","Combos"))))</f>
        <v>Serviços</v>
      </c>
      <c r="J1914">
        <f t="shared" si="94"/>
        <v>15.75</v>
      </c>
      <c r="K1914" s="1">
        <f t="shared" si="95"/>
        <v>45786.447916666664</v>
      </c>
      <c r="L1914" s="1">
        <f t="shared" si="96"/>
        <v>45786.447916666664</v>
      </c>
      <c r="M1914" s="1">
        <f t="shared" si="93"/>
        <v>45786.447916666664</v>
      </c>
      <c r="N1914" s="1"/>
      <c r="O1914" t="str">
        <f t="shared" si="97"/>
        <v>Cartão de Débito</v>
      </c>
      <c r="P1914" t="s">
        <v>149</v>
      </c>
      <c r="Q1914" t="str">
        <f t="shared" si="98"/>
        <v>Serviços</v>
      </c>
      <c r="R1914" t="str">
        <f t="shared" si="99"/>
        <v>Corte</v>
      </c>
      <c r="T1914" s="14">
        <f t="shared" si="100"/>
        <v>35</v>
      </c>
      <c r="U1914" s="14">
        <f t="shared" si="101"/>
        <v>35</v>
      </c>
      <c r="V1914" s="14"/>
      <c r="W1914" t="str">
        <f>IF(A1914=$A$1707,base!$I$3,IF(A1914=$A$1709,base!$I$2,IF(Receitas!A1914=Receitas!$A$1701,base!$I$4,"")))</f>
        <v>PATRICK CARDOSO</v>
      </c>
      <c r="X1914" t="str">
        <f t="shared" si="102"/>
        <v>Jefferson Bruno</v>
      </c>
    </row>
    <row r="1915" spans="1:24">
      <c r="A1915" t="s">
        <v>252</v>
      </c>
      <c r="B1915" t="s">
        <v>163</v>
      </c>
      <c r="C1915" t="s">
        <v>2879</v>
      </c>
      <c r="D1915" s="14">
        <v>35</v>
      </c>
      <c r="E1915" s="14">
        <v>35</v>
      </c>
      <c r="F1915" s="13">
        <v>45787.427083333336</v>
      </c>
      <c r="G1915" t="s">
        <v>1</v>
      </c>
      <c r="H1915" t="s">
        <v>22</v>
      </c>
      <c r="I1915" t="str">
        <f>IF(A1915="","Pacote",IF(B1915=IFERROR(VLOOKUP(B1915,base!$L$1:$L$20,1,0),""),"Produtos",IF(B1915=IFERROR(VLOOKUP(B1915,base!$K$2:$K$20,1,0),""),"Serviços",IF(B1915="Gorjeta","Gorjeta","Combos"))))</f>
        <v>Serviços</v>
      </c>
      <c r="J1915">
        <f t="shared" si="94"/>
        <v>15.75</v>
      </c>
      <c r="K1915" s="1">
        <f t="shared" si="95"/>
        <v>45787.427083333336</v>
      </c>
      <c r="L1915" s="1">
        <f t="shared" si="96"/>
        <v>45787.427083333336</v>
      </c>
      <c r="M1915" s="1">
        <f t="shared" si="93"/>
        <v>45787.427083333336</v>
      </c>
      <c r="N1915" s="1"/>
      <c r="O1915" t="str">
        <f t="shared" si="97"/>
        <v>PIX</v>
      </c>
      <c r="P1915" t="s">
        <v>149</v>
      </c>
      <c r="Q1915" t="str">
        <f t="shared" si="98"/>
        <v>Serviços</v>
      </c>
      <c r="R1915" t="str">
        <f t="shared" si="99"/>
        <v>Corte</v>
      </c>
      <c r="T1915" s="14">
        <f t="shared" si="100"/>
        <v>35</v>
      </c>
      <c r="U1915" s="14">
        <f t="shared" si="101"/>
        <v>35</v>
      </c>
      <c r="V1915" s="14"/>
      <c r="W1915" t="str">
        <f>IF(A1915=$A$1707,base!$I$3,IF(A1915=$A$1709,base!$I$2,IF(Receitas!A1915=Receitas!$A$1701,base!$I$4,"")))</f>
        <v>Christian Magon</v>
      </c>
      <c r="X1915" t="str">
        <f t="shared" si="102"/>
        <v>Kauan faleiro rosa</v>
      </c>
    </row>
    <row r="1916" spans="1:24">
      <c r="A1916" t="s">
        <v>252</v>
      </c>
      <c r="B1916" t="s">
        <v>163</v>
      </c>
      <c r="C1916" t="s">
        <v>2880</v>
      </c>
      <c r="D1916" s="14">
        <v>35</v>
      </c>
      <c r="E1916" s="14">
        <v>55</v>
      </c>
      <c r="F1916" s="13">
        <v>45786.625</v>
      </c>
      <c r="G1916" t="s">
        <v>1</v>
      </c>
      <c r="H1916" t="s">
        <v>1546</v>
      </c>
      <c r="I1916" t="str">
        <f>IF(A1916="","Pacote",IF(B1916=IFERROR(VLOOKUP(B1916,base!$L$1:$L$20,1,0),""),"Produtos",IF(B1916=IFERROR(VLOOKUP(B1916,base!$K$2:$K$20,1,0),""),"Serviços",IF(B1916="Gorjeta","Gorjeta","Combos"))))</f>
        <v>Serviços</v>
      </c>
      <c r="J1916">
        <f t="shared" si="94"/>
        <v>15.75</v>
      </c>
      <c r="K1916" s="1">
        <f t="shared" si="95"/>
        <v>45786.625</v>
      </c>
      <c r="L1916" s="1">
        <f t="shared" si="96"/>
        <v>45786.625</v>
      </c>
      <c r="M1916" s="1">
        <f t="shared" si="93"/>
        <v>45786.625</v>
      </c>
      <c r="N1916" s="1"/>
      <c r="O1916" t="str">
        <f t="shared" si="97"/>
        <v>PIX</v>
      </c>
      <c r="P1916" t="s">
        <v>149</v>
      </c>
      <c r="Q1916" t="str">
        <f t="shared" si="98"/>
        <v>Serviços</v>
      </c>
      <c r="R1916" t="str">
        <f t="shared" si="99"/>
        <v>Corte</v>
      </c>
      <c r="T1916" s="14">
        <f t="shared" si="100"/>
        <v>35</v>
      </c>
      <c r="U1916" s="14">
        <f t="shared" si="101"/>
        <v>55</v>
      </c>
      <c r="V1916" s="14"/>
      <c r="W1916" t="str">
        <f>IF(A1916=$A$1707,base!$I$3,IF(A1916=$A$1709,base!$I$2,IF(Receitas!A1916=Receitas!$A$1701,base!$I$4,"")))</f>
        <v>Christian Magon</v>
      </c>
      <c r="X1916" t="str">
        <f t="shared" si="102"/>
        <v>Allan Matos</v>
      </c>
    </row>
    <row r="1917" spans="1:24">
      <c r="A1917" t="s">
        <v>252</v>
      </c>
      <c r="B1917" t="s">
        <v>166</v>
      </c>
      <c r="C1917" t="s">
        <v>2880</v>
      </c>
      <c r="D1917" s="14">
        <v>20</v>
      </c>
      <c r="F1917" s="13">
        <v>45786.625</v>
      </c>
      <c r="G1917" t="s">
        <v>1</v>
      </c>
      <c r="H1917" t="s">
        <v>1546</v>
      </c>
      <c r="I1917" t="str">
        <f>IF(A1917="","Pacote",IF(B1917=IFERROR(VLOOKUP(B1917,base!$L$1:$L$20,1,0),""),"Produtos",IF(B1917=IFERROR(VLOOKUP(B1917,base!$K$2:$K$20,1,0),""),"Serviços",IF(B1917="Gorjeta","Gorjeta","Combos"))))</f>
        <v>Serviços</v>
      </c>
      <c r="J1917">
        <f t="shared" si="94"/>
        <v>9</v>
      </c>
      <c r="K1917" s="1">
        <f t="shared" si="95"/>
        <v>45786.625</v>
      </c>
      <c r="L1917" s="1">
        <f t="shared" si="96"/>
        <v>45786.625</v>
      </c>
      <c r="M1917" s="1">
        <f t="shared" si="93"/>
        <v>45786.625</v>
      </c>
      <c r="N1917" s="1"/>
      <c r="O1917" t="str">
        <f t="shared" si="97"/>
        <v>PIX</v>
      </c>
      <c r="P1917" t="s">
        <v>149</v>
      </c>
      <c r="Q1917" t="str">
        <f t="shared" si="98"/>
        <v>Serviços</v>
      </c>
      <c r="R1917" t="str">
        <f t="shared" si="99"/>
        <v>Pigmentação</v>
      </c>
      <c r="T1917" s="14">
        <f t="shared" si="100"/>
        <v>20</v>
      </c>
      <c r="U1917" s="14">
        <f t="shared" si="101"/>
        <v>0</v>
      </c>
      <c r="V1917" s="14"/>
      <c r="W1917" t="str">
        <f>IF(A1917=$A$1707,base!$I$3,IF(A1917=$A$1709,base!$I$2,IF(Receitas!A1917=Receitas!$A$1701,base!$I$4,"")))</f>
        <v>Christian Magon</v>
      </c>
      <c r="X1917" t="str">
        <f t="shared" si="102"/>
        <v>Allan Matos</v>
      </c>
    </row>
    <row r="1918" spans="1:24">
      <c r="A1918" t="s">
        <v>252</v>
      </c>
      <c r="B1918" t="s">
        <v>163</v>
      </c>
      <c r="C1918" t="s">
        <v>2881</v>
      </c>
      <c r="D1918" s="14">
        <v>35</v>
      </c>
      <c r="E1918" s="14">
        <v>35</v>
      </c>
      <c r="F1918" s="13">
        <v>45786.541666666664</v>
      </c>
      <c r="G1918" t="s">
        <v>1</v>
      </c>
      <c r="H1918" t="s">
        <v>1409</v>
      </c>
      <c r="I1918" t="str">
        <f>IF(A1918="","Pacote",IF(B1918=IFERROR(VLOOKUP(B1918,base!$L$1:$L$20,1,0),""),"Produtos",IF(B1918=IFERROR(VLOOKUP(B1918,base!$K$2:$K$20,1,0),""),"Serviços",IF(B1918="Gorjeta","Gorjeta","Combos"))))</f>
        <v>Serviços</v>
      </c>
      <c r="J1918">
        <f t="shared" si="94"/>
        <v>15.75</v>
      </c>
      <c r="K1918" s="1">
        <f t="shared" si="95"/>
        <v>45786.541666666664</v>
      </c>
      <c r="L1918" s="1">
        <f t="shared" si="96"/>
        <v>45786.541666666664</v>
      </c>
      <c r="M1918" s="1">
        <f t="shared" si="93"/>
        <v>45786.541666666664</v>
      </c>
      <c r="N1918" s="1"/>
      <c r="O1918" t="str">
        <f t="shared" si="97"/>
        <v>PIX</v>
      </c>
      <c r="P1918" t="s">
        <v>149</v>
      </c>
      <c r="Q1918" t="str">
        <f t="shared" si="98"/>
        <v>Serviços</v>
      </c>
      <c r="R1918" t="str">
        <f t="shared" si="99"/>
        <v>Corte</v>
      </c>
      <c r="T1918" s="14">
        <f t="shared" si="100"/>
        <v>35</v>
      </c>
      <c r="U1918" s="14">
        <f t="shared" si="101"/>
        <v>35</v>
      </c>
      <c r="V1918" s="14"/>
      <c r="W1918" t="str">
        <f>IF(A1918=$A$1707,base!$I$3,IF(A1918=$A$1709,base!$I$2,IF(Receitas!A1918=Receitas!$A$1701,base!$I$4,"")))</f>
        <v>Christian Magon</v>
      </c>
      <c r="X1918" t="str">
        <f t="shared" si="102"/>
        <v>marcos rocha silva</v>
      </c>
    </row>
    <row r="1919" spans="1:24">
      <c r="A1919" t="s">
        <v>252</v>
      </c>
      <c r="B1919" t="s">
        <v>163</v>
      </c>
      <c r="C1919" t="s">
        <v>2882</v>
      </c>
      <c r="D1919" s="14">
        <v>35</v>
      </c>
      <c r="E1919" s="14">
        <v>45</v>
      </c>
      <c r="F1919" s="13">
        <v>45786.666666666664</v>
      </c>
      <c r="G1919" t="s">
        <v>310</v>
      </c>
      <c r="H1919" t="s">
        <v>503</v>
      </c>
      <c r="I1919" t="str">
        <f>IF(A1919="","Pacote",IF(B1919=IFERROR(VLOOKUP(B1919,base!$L$1:$L$20,1,0),""),"Produtos",IF(B1919=IFERROR(VLOOKUP(B1919,base!$K$2:$K$20,1,0),""),"Serviços",IF(B1919="Gorjeta","Gorjeta","Combos"))))</f>
        <v>Serviços</v>
      </c>
      <c r="J1919">
        <f t="shared" si="94"/>
        <v>15.75</v>
      </c>
      <c r="K1919" s="1">
        <f t="shared" si="95"/>
        <v>45786.666666666664</v>
      </c>
      <c r="L1919" s="1">
        <f t="shared" si="96"/>
        <v>45786.666666666664</v>
      </c>
      <c r="M1919" s="1">
        <f t="shared" si="93"/>
        <v>45786.666666666664</v>
      </c>
      <c r="N1919" s="1"/>
      <c r="O1919" t="str">
        <f t="shared" si="97"/>
        <v>Cartão de Débito</v>
      </c>
      <c r="P1919" t="s">
        <v>149</v>
      </c>
      <c r="Q1919" t="str">
        <f t="shared" si="98"/>
        <v>Serviços</v>
      </c>
      <c r="R1919" t="str">
        <f t="shared" si="99"/>
        <v>Corte</v>
      </c>
      <c r="T1919" s="14">
        <f t="shared" si="100"/>
        <v>35</v>
      </c>
      <c r="U1919" s="14">
        <f t="shared" si="101"/>
        <v>45</v>
      </c>
      <c r="V1919" s="14"/>
      <c r="W1919" t="str">
        <f>IF(A1919=$A$1707,base!$I$3,IF(A1919=$A$1709,base!$I$2,IF(Receitas!A1919=Receitas!$A$1701,base!$I$4,"")))</f>
        <v>Christian Magon</v>
      </c>
      <c r="X1919" t="str">
        <f t="shared" si="102"/>
        <v>Alexander Nascimento Dias</v>
      </c>
    </row>
    <row r="1920" spans="1:24">
      <c r="A1920" t="s">
        <v>252</v>
      </c>
      <c r="B1920" t="s">
        <v>167</v>
      </c>
      <c r="C1920" t="s">
        <v>2882</v>
      </c>
      <c r="D1920" s="14">
        <v>10</v>
      </c>
      <c r="F1920" s="13">
        <v>45786.666666666664</v>
      </c>
      <c r="G1920" t="s">
        <v>310</v>
      </c>
      <c r="H1920" t="s">
        <v>503</v>
      </c>
      <c r="I1920" t="str">
        <f>IF(A1920="","Pacote",IF(B1920=IFERROR(VLOOKUP(B1920,base!$L$1:$L$20,1,0),""),"Produtos",IF(B1920=IFERROR(VLOOKUP(B1920,base!$K$2:$K$20,1,0),""),"Serviços",IF(B1920="Gorjeta","Gorjeta","Combos"))))</f>
        <v>Serviços</v>
      </c>
      <c r="J1920">
        <f t="shared" si="94"/>
        <v>4.5</v>
      </c>
      <c r="K1920" s="1">
        <f t="shared" si="95"/>
        <v>45786.666666666664</v>
      </c>
      <c r="L1920" s="1">
        <f t="shared" si="96"/>
        <v>45786.666666666664</v>
      </c>
      <c r="M1920" s="1">
        <f t="shared" si="93"/>
        <v>45786.666666666664</v>
      </c>
      <c r="N1920" s="1"/>
      <c r="O1920" t="str">
        <f t="shared" si="97"/>
        <v>Cartão de Débito</v>
      </c>
      <c r="P1920" t="s">
        <v>149</v>
      </c>
      <c r="Q1920" t="str">
        <f t="shared" si="98"/>
        <v>Serviços</v>
      </c>
      <c r="R1920" t="str">
        <f t="shared" si="99"/>
        <v>Sobrancelha</v>
      </c>
      <c r="T1920" s="14">
        <f t="shared" si="100"/>
        <v>10</v>
      </c>
      <c r="U1920" s="14">
        <f t="shared" si="101"/>
        <v>0</v>
      </c>
      <c r="V1920" s="14"/>
      <c r="W1920" t="str">
        <f>IF(A1920=$A$1707,base!$I$3,IF(A1920=$A$1709,base!$I$2,IF(Receitas!A1920=Receitas!$A$1701,base!$I$4,"")))</f>
        <v>Christian Magon</v>
      </c>
      <c r="X1920" t="str">
        <f t="shared" si="102"/>
        <v>Alexander Nascimento Dias</v>
      </c>
    </row>
    <row r="1921" spans="1:24">
      <c r="A1921" t="s">
        <v>519</v>
      </c>
      <c r="B1921" t="s">
        <v>353</v>
      </c>
      <c r="C1921" t="s">
        <v>2883</v>
      </c>
      <c r="D1921" s="14">
        <v>60</v>
      </c>
      <c r="E1921" s="14">
        <v>100</v>
      </c>
      <c r="F1921" s="13">
        <v>45786.791666666664</v>
      </c>
      <c r="G1921" t="s">
        <v>1</v>
      </c>
      <c r="H1921" t="s">
        <v>41</v>
      </c>
      <c r="I1921" t="str">
        <f>IF(A1921="","Pacote",IF(B1921=IFERROR(VLOOKUP(B1921,base!$L$1:$L$20,1,0),""),"Produtos",IF(B1921=IFERROR(VLOOKUP(B1921,base!$K$2:$K$20,1,0),""),"Serviços",IF(B1921="Gorjeta","Gorjeta","Combos"))))</f>
        <v>Combos</v>
      </c>
      <c r="J1921">
        <f t="shared" si="94"/>
        <v>27</v>
      </c>
      <c r="K1921" s="1">
        <f t="shared" si="95"/>
        <v>45786.791666666664</v>
      </c>
      <c r="L1921" s="1">
        <f t="shared" si="96"/>
        <v>45786.791666666664</v>
      </c>
      <c r="M1921" s="1">
        <f t="shared" si="93"/>
        <v>45786.791666666664</v>
      </c>
      <c r="N1921" s="1"/>
      <c r="O1921" t="str">
        <f t="shared" si="97"/>
        <v>PIX</v>
      </c>
      <c r="P1921" t="s">
        <v>149</v>
      </c>
      <c r="Q1921" t="str">
        <f t="shared" si="98"/>
        <v>Combos</v>
      </c>
      <c r="R1921" t="str">
        <f t="shared" si="99"/>
        <v>Combo ( Corte + Barba )</v>
      </c>
      <c r="T1921" s="14">
        <f t="shared" si="100"/>
        <v>60</v>
      </c>
      <c r="U1921" s="14">
        <f t="shared" si="101"/>
        <v>100</v>
      </c>
      <c r="V1921" s="14"/>
      <c r="W1921" t="str">
        <f>IF(A1921=$A$1707,base!$I$3,IF(A1921=$A$1709,base!$I$2,IF(Receitas!A1921=Receitas!$A$1701,base!$I$4,"")))</f>
        <v>Gustavo de Castro</v>
      </c>
      <c r="X1921" t="str">
        <f t="shared" si="102"/>
        <v>evandro martins</v>
      </c>
    </row>
    <row r="1922" spans="1:24">
      <c r="A1922" t="s">
        <v>519</v>
      </c>
      <c r="B1922" t="s">
        <v>2536</v>
      </c>
      <c r="C1922" t="s">
        <v>2883</v>
      </c>
      <c r="D1922" s="14">
        <v>40</v>
      </c>
      <c r="F1922" s="13">
        <v>45786.791666666664</v>
      </c>
      <c r="G1922" t="s">
        <v>1</v>
      </c>
      <c r="H1922" t="s">
        <v>41</v>
      </c>
      <c r="I1922" t="str">
        <f>IF(A1922="","Pacote",IF(B1922=IFERROR(VLOOKUP(B1922,base!$L$1:$L$20,1,0),""),"Produtos",IF(B1922=IFERROR(VLOOKUP(B1922,base!$K$2:$K$20,1,0),""),"Serviços",IF(B1922="Gorjeta","Gorjeta","Combos"))))</f>
        <v>Produtos</v>
      </c>
      <c r="J1922">
        <f t="shared" si="94"/>
        <v>16</v>
      </c>
      <c r="K1922" s="1">
        <f t="shared" si="95"/>
        <v>45786.791666666664</v>
      </c>
      <c r="L1922" s="1">
        <f t="shared" si="96"/>
        <v>45786.791666666664</v>
      </c>
      <c r="M1922" s="1">
        <f t="shared" si="93"/>
        <v>45786.791666666664</v>
      </c>
      <c r="N1922" s="1"/>
      <c r="O1922" t="str">
        <f t="shared" si="97"/>
        <v>PIX</v>
      </c>
      <c r="P1922" t="s">
        <v>149</v>
      </c>
      <c r="Q1922" t="str">
        <f t="shared" si="98"/>
        <v>Produtos</v>
      </c>
      <c r="R1922" t="str">
        <f t="shared" si="99"/>
        <v>Oleo para barba fox</v>
      </c>
      <c r="T1922" s="14">
        <f t="shared" si="100"/>
        <v>40</v>
      </c>
      <c r="U1922" s="14">
        <f t="shared" si="101"/>
        <v>0</v>
      </c>
      <c r="V1922" s="14"/>
      <c r="W1922" t="str">
        <f>IF(A1922=$A$1707,base!$I$3,IF(A1922=$A$1709,base!$I$2,IF(Receitas!A1922=Receitas!$A$1701,base!$I$4,"")))</f>
        <v>Gustavo de Castro</v>
      </c>
      <c r="X1922" t="str">
        <f t="shared" si="102"/>
        <v>evandro martins</v>
      </c>
    </row>
    <row r="1923" spans="1:24">
      <c r="A1923" t="s">
        <v>252</v>
      </c>
      <c r="B1923" t="s">
        <v>163</v>
      </c>
      <c r="C1923" t="s">
        <v>2884</v>
      </c>
      <c r="D1923" s="14">
        <v>35</v>
      </c>
      <c r="E1923" s="14">
        <v>35</v>
      </c>
      <c r="F1923" s="13">
        <v>45786.697916666664</v>
      </c>
      <c r="G1923" t="s">
        <v>354</v>
      </c>
      <c r="H1923" t="s">
        <v>482</v>
      </c>
      <c r="I1923" t="str">
        <f>IF(A1923="","Pacote",IF(B1923=IFERROR(VLOOKUP(B1923,base!$L$1:$L$20,1,0),""),"Produtos",IF(B1923=IFERROR(VLOOKUP(B1923,base!$K$2:$K$20,1,0),""),"Serviços",IF(B1923="Gorjeta","Gorjeta","Combos"))))</f>
        <v>Serviços</v>
      </c>
      <c r="J1923">
        <f t="shared" si="94"/>
        <v>15.75</v>
      </c>
      <c r="K1923" s="1">
        <f t="shared" si="95"/>
        <v>45786.697916666664</v>
      </c>
      <c r="L1923" s="1">
        <f t="shared" si="96"/>
        <v>45786.697916666664</v>
      </c>
      <c r="M1923" s="1">
        <f t="shared" si="93"/>
        <v>45786.697916666664</v>
      </c>
      <c r="N1923" s="1"/>
      <c r="O1923" t="str">
        <f t="shared" si="97"/>
        <v>Cartão de Crédito</v>
      </c>
      <c r="P1923" t="s">
        <v>149</v>
      </c>
      <c r="Q1923" t="str">
        <f t="shared" si="98"/>
        <v>Serviços</v>
      </c>
      <c r="R1923" t="str">
        <f t="shared" si="99"/>
        <v>Corte</v>
      </c>
      <c r="T1923" s="14">
        <f t="shared" si="100"/>
        <v>35</v>
      </c>
      <c r="U1923" s="14">
        <f t="shared" si="101"/>
        <v>35</v>
      </c>
      <c r="V1923" s="14"/>
      <c r="W1923" t="str">
        <f>IF(A1923=$A$1707,base!$I$3,IF(A1923=$A$1709,base!$I$2,IF(Receitas!A1923=Receitas!$A$1701,base!$I$4,"")))</f>
        <v>Christian Magon</v>
      </c>
      <c r="X1923" t="str">
        <f t="shared" si="102"/>
        <v>Rodrigo Cabral</v>
      </c>
    </row>
    <row r="1924" spans="1:24">
      <c r="A1924" t="s">
        <v>536</v>
      </c>
      <c r="B1924" t="s">
        <v>163</v>
      </c>
      <c r="C1924" t="s">
        <v>2885</v>
      </c>
      <c r="D1924" s="14">
        <v>20</v>
      </c>
      <c r="E1924" s="14">
        <v>20</v>
      </c>
      <c r="F1924" s="13">
        <v>45786.708333333336</v>
      </c>
      <c r="G1924" t="s">
        <v>310</v>
      </c>
      <c r="H1924" t="s">
        <v>1077</v>
      </c>
      <c r="I1924" t="str">
        <f>IF(A1924="","Pacote",IF(B1924=IFERROR(VLOOKUP(B1924,base!$L$1:$L$20,1,0),""),"Produtos",IF(B1924=IFERROR(VLOOKUP(B1924,base!$K$2:$K$20,1,0),""),"Serviços",IF(B1924="Gorjeta","Gorjeta","Combos"))))</f>
        <v>Serviços</v>
      </c>
      <c r="J1924">
        <f t="shared" si="94"/>
        <v>9</v>
      </c>
      <c r="K1924" s="1">
        <f t="shared" si="95"/>
        <v>45786.708333333336</v>
      </c>
      <c r="L1924" s="1">
        <f t="shared" si="96"/>
        <v>45786.708333333336</v>
      </c>
      <c r="M1924" s="1">
        <f t="shared" si="93"/>
        <v>45786.708333333336</v>
      </c>
      <c r="N1924" s="1"/>
      <c r="O1924" t="str">
        <f t="shared" si="97"/>
        <v>Cartão de Débito</v>
      </c>
      <c r="P1924" t="s">
        <v>149</v>
      </c>
      <c r="Q1924" t="str">
        <f t="shared" si="98"/>
        <v>Serviços</v>
      </c>
      <c r="R1924" t="str">
        <f t="shared" si="99"/>
        <v>Corte</v>
      </c>
      <c r="T1924" s="14">
        <f t="shared" si="100"/>
        <v>20</v>
      </c>
      <c r="U1924" s="14">
        <f t="shared" si="101"/>
        <v>20</v>
      </c>
      <c r="V1924" s="14"/>
      <c r="W1924" t="str">
        <f>IF(A1924=$A$1707,base!$I$3,IF(A1924=$A$1709,base!$I$2,IF(Receitas!A1924=Receitas!$A$1701,base!$I$4,"")))</f>
        <v>PATRICK CARDOSO</v>
      </c>
      <c r="X1924" t="str">
        <f t="shared" si="102"/>
        <v>leonardo souza de moura</v>
      </c>
    </row>
    <row r="1925" spans="1:24">
      <c r="A1925" t="s">
        <v>536</v>
      </c>
      <c r="B1925" t="s">
        <v>163</v>
      </c>
      <c r="C1925" t="s">
        <v>2886</v>
      </c>
      <c r="D1925" s="14">
        <v>35</v>
      </c>
      <c r="E1925" s="14">
        <v>35</v>
      </c>
      <c r="F1925" s="13">
        <v>45786.770833333336</v>
      </c>
      <c r="G1925" t="s">
        <v>1</v>
      </c>
      <c r="H1925" t="s">
        <v>2887</v>
      </c>
      <c r="I1925" t="str">
        <f>IF(A1925="","Pacote",IF(B1925=IFERROR(VLOOKUP(B1925,base!$L$1:$L$20,1,0),""),"Produtos",IF(B1925=IFERROR(VLOOKUP(B1925,base!$K$2:$K$20,1,0),""),"Serviços",IF(B1925="Gorjeta","Gorjeta","Combos"))))</f>
        <v>Serviços</v>
      </c>
      <c r="J1925">
        <f t="shared" si="94"/>
        <v>15.75</v>
      </c>
      <c r="K1925" s="1">
        <f t="shared" si="95"/>
        <v>45786.770833333336</v>
      </c>
      <c r="L1925" s="1">
        <f t="shared" si="96"/>
        <v>45786.770833333336</v>
      </c>
      <c r="M1925" s="1">
        <f t="shared" si="93"/>
        <v>45786.770833333336</v>
      </c>
      <c r="N1925" s="1"/>
      <c r="O1925" t="str">
        <f t="shared" si="97"/>
        <v>PIX</v>
      </c>
      <c r="P1925" t="s">
        <v>149</v>
      </c>
      <c r="Q1925" t="str">
        <f t="shared" si="98"/>
        <v>Serviços</v>
      </c>
      <c r="R1925" t="str">
        <f t="shared" si="99"/>
        <v>Corte</v>
      </c>
      <c r="T1925" s="14">
        <f t="shared" si="100"/>
        <v>35</v>
      </c>
      <c r="U1925" s="14">
        <f t="shared" si="101"/>
        <v>35</v>
      </c>
      <c r="V1925" s="14"/>
      <c r="W1925" t="str">
        <f>IF(A1925=$A$1707,base!$I$3,IF(A1925=$A$1709,base!$I$2,IF(Receitas!A1925=Receitas!$A$1701,base!$I$4,"")))</f>
        <v>PATRICK CARDOSO</v>
      </c>
      <c r="X1925" t="str">
        <f t="shared" si="102"/>
        <v>Matheus Vila</v>
      </c>
    </row>
    <row r="1926" spans="1:24">
      <c r="A1926" t="s">
        <v>536</v>
      </c>
      <c r="B1926" t="s">
        <v>353</v>
      </c>
      <c r="C1926" t="s">
        <v>2888</v>
      </c>
      <c r="D1926" s="14">
        <v>60</v>
      </c>
      <c r="E1926" s="14">
        <v>60</v>
      </c>
      <c r="F1926" s="13">
        <v>45786.78125</v>
      </c>
      <c r="G1926" t="s">
        <v>1</v>
      </c>
      <c r="H1926" t="s">
        <v>2229</v>
      </c>
      <c r="I1926" t="str">
        <f>IF(A1926="","Pacote",IF(B1926=IFERROR(VLOOKUP(B1926,base!$L$1:$L$20,1,0),""),"Produtos",IF(B1926=IFERROR(VLOOKUP(B1926,base!$K$2:$K$20,1,0),""),"Serviços",IF(B1926="Gorjeta","Gorjeta","Combos"))))</f>
        <v>Combos</v>
      </c>
      <c r="J1926">
        <f t="shared" si="94"/>
        <v>27</v>
      </c>
      <c r="K1926" s="1">
        <f t="shared" si="95"/>
        <v>45786.78125</v>
      </c>
      <c r="L1926" s="1">
        <f t="shared" si="96"/>
        <v>45786.78125</v>
      </c>
      <c r="M1926" s="1">
        <f t="shared" si="93"/>
        <v>45786.78125</v>
      </c>
      <c r="N1926" s="1"/>
      <c r="O1926" t="str">
        <f t="shared" si="97"/>
        <v>PIX</v>
      </c>
      <c r="P1926" t="s">
        <v>149</v>
      </c>
      <c r="Q1926" t="str">
        <f t="shared" si="98"/>
        <v>Combos</v>
      </c>
      <c r="R1926" t="str">
        <f t="shared" si="99"/>
        <v>Combo ( Corte + Barba )</v>
      </c>
      <c r="T1926" s="14">
        <f t="shared" si="100"/>
        <v>60</v>
      </c>
      <c r="U1926" s="14">
        <f t="shared" si="101"/>
        <v>60</v>
      </c>
      <c r="V1926" s="14"/>
      <c r="W1926" t="str">
        <f>IF(A1926=$A$1707,base!$I$3,IF(A1926=$A$1709,base!$I$2,IF(Receitas!A1926=Receitas!$A$1701,base!$I$4,"")))</f>
        <v>PATRICK CARDOSO</v>
      </c>
      <c r="X1926" t="str">
        <f t="shared" si="102"/>
        <v>Carlos Eduardo</v>
      </c>
    </row>
    <row r="1927" spans="1:24">
      <c r="A1927" t="s">
        <v>252</v>
      </c>
      <c r="B1927" t="s">
        <v>353</v>
      </c>
      <c r="C1927" t="s">
        <v>2889</v>
      </c>
      <c r="D1927" s="14">
        <v>60</v>
      </c>
      <c r="E1927" s="14">
        <v>60</v>
      </c>
      <c r="F1927" s="13">
        <v>45786.809027777781</v>
      </c>
      <c r="G1927" t="s">
        <v>1</v>
      </c>
      <c r="H1927" t="s">
        <v>2890</v>
      </c>
      <c r="I1927" t="str">
        <f>IF(A1927="","Pacote",IF(B1927=IFERROR(VLOOKUP(B1927,base!$L$1:$L$20,1,0),""),"Produtos",IF(B1927=IFERROR(VLOOKUP(B1927,base!$K$2:$K$20,1,0),""),"Serviços",IF(B1927="Gorjeta","Gorjeta","Combos"))))</f>
        <v>Combos</v>
      </c>
      <c r="J1927">
        <f t="shared" si="94"/>
        <v>27</v>
      </c>
      <c r="K1927" s="1">
        <f t="shared" si="95"/>
        <v>45786.809027777781</v>
      </c>
      <c r="L1927" s="1">
        <f t="shared" si="96"/>
        <v>45786.809027777781</v>
      </c>
      <c r="M1927" s="1">
        <f t="shared" si="93"/>
        <v>45786.809027777781</v>
      </c>
      <c r="N1927" s="1"/>
      <c r="O1927" t="str">
        <f t="shared" si="97"/>
        <v>PIX</v>
      </c>
      <c r="P1927" t="s">
        <v>149</v>
      </c>
      <c r="Q1927" t="str">
        <f t="shared" si="98"/>
        <v>Combos</v>
      </c>
      <c r="R1927" t="str">
        <f t="shared" si="99"/>
        <v>Combo ( Corte + Barba )</v>
      </c>
      <c r="T1927" s="14">
        <f t="shared" si="100"/>
        <v>60</v>
      </c>
      <c r="U1927" s="14">
        <f t="shared" si="101"/>
        <v>60</v>
      </c>
      <c r="V1927" s="14"/>
      <c r="W1927" t="str">
        <f>IF(A1927=$A$1707,base!$I$3,IF(A1927=$A$1709,base!$I$2,IF(Receitas!A1927=Receitas!$A$1701,base!$I$4,"")))</f>
        <v>Christian Magon</v>
      </c>
      <c r="X1927" t="str">
        <f t="shared" si="102"/>
        <v>gean barradas</v>
      </c>
    </row>
    <row r="1928" spans="1:24">
      <c r="A1928" t="s">
        <v>536</v>
      </c>
      <c r="B1928" t="s">
        <v>163</v>
      </c>
      <c r="C1928" t="s">
        <v>2891</v>
      </c>
      <c r="D1928" s="14">
        <v>30</v>
      </c>
      <c r="E1928" s="14">
        <v>50</v>
      </c>
      <c r="F1928" s="13">
        <v>45786.815972222219</v>
      </c>
      <c r="G1928" t="s">
        <v>1</v>
      </c>
      <c r="H1928" t="s">
        <v>1348</v>
      </c>
      <c r="I1928" t="str">
        <f>IF(A1928="","Pacote",IF(B1928=IFERROR(VLOOKUP(B1928,base!$L$1:$L$20,1,0),""),"Produtos",IF(B1928=IFERROR(VLOOKUP(B1928,base!$K$2:$K$20,1,0),""),"Serviços",IF(B1928="Gorjeta","Gorjeta","Combos"))))</f>
        <v>Serviços</v>
      </c>
      <c r="J1928">
        <f t="shared" si="94"/>
        <v>13.5</v>
      </c>
      <c r="K1928" s="1">
        <f t="shared" si="95"/>
        <v>45786.815972222219</v>
      </c>
      <c r="L1928" s="1">
        <f t="shared" si="96"/>
        <v>45786.815972222219</v>
      </c>
      <c r="M1928" s="1">
        <f t="shared" si="93"/>
        <v>45786.815972222219</v>
      </c>
      <c r="N1928" s="1"/>
      <c r="O1928" t="str">
        <f t="shared" si="97"/>
        <v>PIX</v>
      </c>
      <c r="P1928" t="s">
        <v>149</v>
      </c>
      <c r="Q1928" t="str">
        <f t="shared" si="98"/>
        <v>Serviços</v>
      </c>
      <c r="R1928" t="str">
        <f t="shared" si="99"/>
        <v>Corte</v>
      </c>
      <c r="T1928" s="14">
        <f t="shared" si="100"/>
        <v>30</v>
      </c>
      <c r="U1928" s="14">
        <f t="shared" si="101"/>
        <v>50</v>
      </c>
      <c r="V1928" s="14"/>
      <c r="W1928" t="str">
        <f>IF(A1928=$A$1707,base!$I$3,IF(A1928=$A$1709,base!$I$2,IF(Receitas!A1928=Receitas!$A$1701,base!$I$4,"")))</f>
        <v>PATRICK CARDOSO</v>
      </c>
      <c r="X1928" t="str">
        <f t="shared" si="102"/>
        <v>Jeremias Bastos</v>
      </c>
    </row>
    <row r="1929" spans="1:24">
      <c r="A1929" t="s">
        <v>536</v>
      </c>
      <c r="B1929" t="s">
        <v>2536</v>
      </c>
      <c r="C1929" t="s">
        <v>2891</v>
      </c>
      <c r="D1929" s="14">
        <v>40</v>
      </c>
      <c r="F1929" s="13">
        <v>45786.815972222219</v>
      </c>
      <c r="G1929" t="s">
        <v>1</v>
      </c>
      <c r="H1929" t="s">
        <v>1348</v>
      </c>
      <c r="I1929" t="str">
        <f>IF(A1929="","Pacote",IF(B1929=IFERROR(VLOOKUP(B1929,base!$L$1:$L$20,1,0),""),"Produtos",IF(B1929=IFERROR(VLOOKUP(B1929,base!$K$2:$K$20,1,0),""),"Serviços",IF(B1929="Gorjeta","Gorjeta","Combos"))))</f>
        <v>Produtos</v>
      </c>
      <c r="J1929">
        <f t="shared" si="94"/>
        <v>16</v>
      </c>
      <c r="K1929" s="1">
        <f t="shared" si="95"/>
        <v>45786.815972222219</v>
      </c>
      <c r="L1929" s="1">
        <f t="shared" si="96"/>
        <v>45786.815972222219</v>
      </c>
      <c r="M1929" s="1">
        <f t="shared" si="93"/>
        <v>45786.815972222219</v>
      </c>
      <c r="N1929" s="1"/>
      <c r="O1929" t="str">
        <f t="shared" si="97"/>
        <v>PIX</v>
      </c>
      <c r="P1929" t="s">
        <v>149</v>
      </c>
      <c r="Q1929" t="str">
        <f t="shared" si="98"/>
        <v>Produtos</v>
      </c>
      <c r="R1929" t="str">
        <f t="shared" si="99"/>
        <v>Oleo para barba fox</v>
      </c>
      <c r="T1929" s="14">
        <f t="shared" si="100"/>
        <v>40</v>
      </c>
      <c r="U1929" s="14">
        <f t="shared" si="101"/>
        <v>0</v>
      </c>
      <c r="V1929" s="14"/>
      <c r="W1929" t="str">
        <f>IF(A1929=$A$1707,base!$I$3,IF(A1929=$A$1709,base!$I$2,IF(Receitas!A1929=Receitas!$A$1701,base!$I$4,"")))</f>
        <v>PATRICK CARDOSO</v>
      </c>
      <c r="X1929" t="str">
        <f t="shared" si="102"/>
        <v>Jeremias Bastos</v>
      </c>
    </row>
    <row r="1930" spans="1:24">
      <c r="A1930" t="s">
        <v>519</v>
      </c>
      <c r="B1930" t="s">
        <v>2825</v>
      </c>
      <c r="C1930" t="s">
        <v>2891</v>
      </c>
      <c r="D1930" s="14">
        <v>10</v>
      </c>
      <c r="F1930" s="13">
        <v>45786.815972222219</v>
      </c>
      <c r="G1930" t="s">
        <v>1</v>
      </c>
      <c r="H1930" t="s">
        <v>1348</v>
      </c>
      <c r="I1930" t="str">
        <f>IF(A1930="","Pacote",IF(B1930=IFERROR(VLOOKUP(B1930,base!$L$1:$L$20,1,0),""),"Produtos",IF(B1930=IFERROR(VLOOKUP(B1930,base!$K$2:$K$20,1,0),""),"Serviços",IF(B1930="Gorjeta","Gorjeta","Combos"))))</f>
        <v>Serviços</v>
      </c>
      <c r="J1930">
        <f t="shared" si="94"/>
        <v>4.5</v>
      </c>
      <c r="K1930" s="1">
        <f t="shared" si="95"/>
        <v>45786.815972222219</v>
      </c>
      <c r="L1930" s="1">
        <f t="shared" si="96"/>
        <v>45786.815972222219</v>
      </c>
      <c r="M1930" s="1">
        <f t="shared" si="93"/>
        <v>45786.815972222219</v>
      </c>
      <c r="N1930" s="1"/>
      <c r="O1930" t="str">
        <f t="shared" si="97"/>
        <v>PIX</v>
      </c>
      <c r="P1930" t="s">
        <v>149</v>
      </c>
      <c r="Q1930" t="str">
        <f t="shared" si="98"/>
        <v>Serviços</v>
      </c>
      <c r="R1930" t="str">
        <f t="shared" si="99"/>
        <v>barboterapia</v>
      </c>
      <c r="T1930" s="14">
        <f t="shared" si="100"/>
        <v>10</v>
      </c>
      <c r="U1930" s="14">
        <f t="shared" si="101"/>
        <v>0</v>
      </c>
      <c r="V1930" s="14"/>
      <c r="W1930" t="str">
        <f>IF(A1930=$A$1707,base!$I$3,IF(A1930=$A$1709,base!$I$2,IF(Receitas!A1930=Receitas!$A$1701,base!$I$4,"")))</f>
        <v>Gustavo de Castro</v>
      </c>
      <c r="X1930" t="str">
        <f t="shared" si="102"/>
        <v>Jeremias Bastos</v>
      </c>
    </row>
    <row r="1931" spans="1:24">
      <c r="A1931" t="s">
        <v>252</v>
      </c>
      <c r="B1931" t="s">
        <v>163</v>
      </c>
      <c r="C1931" t="s">
        <v>2892</v>
      </c>
      <c r="D1931" s="14">
        <v>35</v>
      </c>
      <c r="E1931" s="14">
        <v>35</v>
      </c>
      <c r="F1931" s="13">
        <v>45786.840277777781</v>
      </c>
      <c r="G1931" t="s">
        <v>310</v>
      </c>
      <c r="H1931" t="s">
        <v>1778</v>
      </c>
      <c r="I1931" t="str">
        <f>IF(A1931="","Pacote",IF(B1931=IFERROR(VLOOKUP(B1931,base!$L$1:$L$20,1,0),""),"Produtos",IF(B1931=IFERROR(VLOOKUP(B1931,base!$K$2:$K$20,1,0),""),"Serviços",IF(B1931="Gorjeta","Gorjeta","Combos"))))</f>
        <v>Serviços</v>
      </c>
      <c r="J1931">
        <f t="shared" si="94"/>
        <v>15.75</v>
      </c>
      <c r="K1931" s="1">
        <f t="shared" si="95"/>
        <v>45786.840277777781</v>
      </c>
      <c r="L1931" s="1">
        <f t="shared" si="96"/>
        <v>45786.840277777781</v>
      </c>
      <c r="M1931" s="1">
        <f t="shared" si="93"/>
        <v>45786.840277777781</v>
      </c>
      <c r="N1931" s="1"/>
      <c r="O1931" t="str">
        <f t="shared" si="97"/>
        <v>Cartão de Débito</v>
      </c>
      <c r="P1931" t="s">
        <v>149</v>
      </c>
      <c r="Q1931" t="str">
        <f t="shared" si="98"/>
        <v>Serviços</v>
      </c>
      <c r="R1931" t="str">
        <f t="shared" si="99"/>
        <v>Corte</v>
      </c>
      <c r="T1931" s="14">
        <f t="shared" si="100"/>
        <v>35</v>
      </c>
      <c r="U1931" s="14">
        <f t="shared" si="101"/>
        <v>35</v>
      </c>
      <c r="V1931" s="14"/>
      <c r="W1931" t="str">
        <f>IF(A1931=$A$1707,base!$I$3,IF(A1931=$A$1709,base!$I$2,IF(Receitas!A1931=Receitas!$A$1701,base!$I$4,"")))</f>
        <v>Christian Magon</v>
      </c>
      <c r="X1931" t="str">
        <f t="shared" si="102"/>
        <v>felipe martins</v>
      </c>
    </row>
    <row r="1932" spans="1:24">
      <c r="A1932" t="s">
        <v>519</v>
      </c>
      <c r="B1932" t="s">
        <v>163</v>
      </c>
      <c r="C1932" t="s">
        <v>2893</v>
      </c>
      <c r="D1932" s="14">
        <v>35</v>
      </c>
      <c r="E1932" s="14">
        <v>35</v>
      </c>
      <c r="F1932" s="13">
        <v>45786.840277777781</v>
      </c>
      <c r="G1932" t="s">
        <v>1</v>
      </c>
      <c r="H1932" t="s">
        <v>2060</v>
      </c>
      <c r="I1932" t="str">
        <f>IF(A1932="","Pacote",IF(B1932=IFERROR(VLOOKUP(B1932,base!$L$1:$L$20,1,0),""),"Produtos",IF(B1932=IFERROR(VLOOKUP(B1932,base!$K$2:$K$20,1,0),""),"Serviços",IF(B1932="Gorjeta","Gorjeta","Combos"))))</f>
        <v>Serviços</v>
      </c>
      <c r="J1932">
        <f t="shared" si="94"/>
        <v>15.75</v>
      </c>
      <c r="K1932" s="1">
        <f t="shared" si="95"/>
        <v>45786.840277777781</v>
      </c>
      <c r="L1932" s="1">
        <f t="shared" si="96"/>
        <v>45786.840277777781</v>
      </c>
      <c r="M1932" s="1">
        <f t="shared" si="93"/>
        <v>45786.840277777781</v>
      </c>
      <c r="N1932" s="1"/>
      <c r="O1932" t="str">
        <f t="shared" si="97"/>
        <v>PIX</v>
      </c>
      <c r="P1932" t="s">
        <v>149</v>
      </c>
      <c r="Q1932" t="str">
        <f t="shared" si="98"/>
        <v>Serviços</v>
      </c>
      <c r="R1932" t="str">
        <f t="shared" si="99"/>
        <v>Corte</v>
      </c>
      <c r="T1932" s="14">
        <f t="shared" si="100"/>
        <v>35</v>
      </c>
      <c r="U1932" s="14">
        <f t="shared" si="101"/>
        <v>35</v>
      </c>
      <c r="V1932" s="14"/>
      <c r="W1932" t="str">
        <f>IF(A1932=$A$1707,base!$I$3,IF(A1932=$A$1709,base!$I$2,IF(Receitas!A1932=Receitas!$A$1701,base!$I$4,"")))</f>
        <v>Gustavo de Castro</v>
      </c>
      <c r="X1932" t="str">
        <f t="shared" si="102"/>
        <v>Gabriel</v>
      </c>
    </row>
    <row r="1933" spans="1:24">
      <c r="A1933" t="s">
        <v>519</v>
      </c>
      <c r="B1933" t="s">
        <v>163</v>
      </c>
      <c r="C1933" t="s">
        <v>2894</v>
      </c>
      <c r="D1933" s="14">
        <v>35</v>
      </c>
      <c r="E1933" s="14">
        <v>35</v>
      </c>
      <c r="F1933" s="13">
        <v>45786.857638888891</v>
      </c>
      <c r="G1933" t="s">
        <v>1</v>
      </c>
      <c r="H1933" t="s">
        <v>2895</v>
      </c>
      <c r="I1933" t="str">
        <f>IF(A1933="","Pacote",IF(B1933=IFERROR(VLOOKUP(B1933,base!$L$1:$L$20,1,0),""),"Produtos",IF(B1933=IFERROR(VLOOKUP(B1933,base!$K$2:$K$20,1,0),""),"Serviços",IF(B1933="Gorjeta","Gorjeta","Combos"))))</f>
        <v>Serviços</v>
      </c>
      <c r="J1933">
        <f t="shared" si="94"/>
        <v>15.75</v>
      </c>
      <c r="K1933" s="1">
        <f t="shared" si="95"/>
        <v>45786.857638888891</v>
      </c>
      <c r="L1933" s="1">
        <f t="shared" si="96"/>
        <v>45786.857638888891</v>
      </c>
      <c r="M1933" s="1">
        <f t="shared" si="93"/>
        <v>45786.857638888891</v>
      </c>
      <c r="N1933" s="1"/>
      <c r="O1933" t="str">
        <f t="shared" si="97"/>
        <v>PIX</v>
      </c>
      <c r="P1933" t="s">
        <v>149</v>
      </c>
      <c r="Q1933" t="str">
        <f t="shared" si="98"/>
        <v>Serviços</v>
      </c>
      <c r="R1933" t="str">
        <f t="shared" si="99"/>
        <v>Corte</v>
      </c>
      <c r="T1933" s="14">
        <f t="shared" si="100"/>
        <v>35</v>
      </c>
      <c r="U1933" s="14">
        <f t="shared" si="101"/>
        <v>35</v>
      </c>
      <c r="V1933" s="14"/>
      <c r="W1933" t="str">
        <f>IF(A1933=$A$1707,base!$I$3,IF(A1933=$A$1709,base!$I$2,IF(Receitas!A1933=Receitas!$A$1701,base!$I$4,"")))</f>
        <v>Gustavo de Castro</v>
      </c>
      <c r="X1933" t="str">
        <f t="shared" si="102"/>
        <v>romulo ramon</v>
      </c>
    </row>
    <row r="1934" spans="1:24">
      <c r="A1934" t="s">
        <v>519</v>
      </c>
      <c r="B1934" t="s">
        <v>163</v>
      </c>
      <c r="C1934" t="s">
        <v>2896</v>
      </c>
      <c r="D1934" s="14">
        <v>35</v>
      </c>
      <c r="E1934" s="14">
        <v>45</v>
      </c>
      <c r="F1934" s="13">
        <v>45787.40625</v>
      </c>
      <c r="G1934" t="s">
        <v>2</v>
      </c>
      <c r="H1934" t="s">
        <v>278</v>
      </c>
      <c r="I1934" t="str">
        <f>IF(A1934="","Pacote",IF(B1934=IFERROR(VLOOKUP(B1934,base!$L$1:$L$20,1,0),""),"Produtos",IF(B1934=IFERROR(VLOOKUP(B1934,base!$K$2:$K$20,1,0),""),"Serviços",IF(B1934="Gorjeta","Gorjeta","Combos"))))</f>
        <v>Serviços</v>
      </c>
      <c r="J1934">
        <f t="shared" si="94"/>
        <v>15.75</v>
      </c>
      <c r="K1934" s="1">
        <f t="shared" si="95"/>
        <v>45787.40625</v>
      </c>
      <c r="L1934" s="1">
        <f t="shared" si="96"/>
        <v>45787.40625</v>
      </c>
      <c r="M1934" s="1">
        <f t="shared" si="93"/>
        <v>45787.40625</v>
      </c>
      <c r="N1934" s="1"/>
      <c r="O1934" t="str">
        <f t="shared" si="97"/>
        <v>Dinheiro</v>
      </c>
      <c r="P1934" t="s">
        <v>149</v>
      </c>
      <c r="Q1934" t="str">
        <f t="shared" si="98"/>
        <v>Serviços</v>
      </c>
      <c r="R1934" t="str">
        <f t="shared" si="99"/>
        <v>Corte</v>
      </c>
      <c r="T1934" s="14">
        <f t="shared" si="100"/>
        <v>35</v>
      </c>
      <c r="U1934" s="14">
        <f t="shared" si="101"/>
        <v>45</v>
      </c>
      <c r="V1934" s="14"/>
      <c r="W1934" t="str">
        <f>IF(A1934=$A$1707,base!$I$3,IF(A1934=$A$1709,base!$I$2,IF(Receitas!A1934=Receitas!$A$1701,base!$I$4,"")))</f>
        <v>Gustavo de Castro</v>
      </c>
      <c r="X1934" t="str">
        <f t="shared" si="102"/>
        <v>Jorge Luiz pereira</v>
      </c>
    </row>
    <row r="1935" spans="1:24">
      <c r="A1935" t="s">
        <v>519</v>
      </c>
      <c r="B1935" t="s">
        <v>167</v>
      </c>
      <c r="C1935" t="s">
        <v>2896</v>
      </c>
      <c r="D1935" s="14">
        <v>10</v>
      </c>
      <c r="F1935" s="13">
        <v>45787.40625</v>
      </c>
      <c r="G1935" t="s">
        <v>2</v>
      </c>
      <c r="H1935" t="s">
        <v>278</v>
      </c>
      <c r="I1935" t="str">
        <f>IF(A1935="","Pacote",IF(B1935=IFERROR(VLOOKUP(B1935,base!$L$1:$L$20,1,0),""),"Produtos",IF(B1935=IFERROR(VLOOKUP(B1935,base!$K$2:$K$20,1,0),""),"Serviços",IF(B1935="Gorjeta","Gorjeta","Combos"))))</f>
        <v>Serviços</v>
      </c>
      <c r="J1935">
        <f t="shared" si="94"/>
        <v>4.5</v>
      </c>
      <c r="K1935" s="1">
        <f t="shared" si="95"/>
        <v>45787.40625</v>
      </c>
      <c r="L1935" s="1">
        <f t="shared" si="96"/>
        <v>45787.40625</v>
      </c>
      <c r="M1935" s="1">
        <f t="shared" si="93"/>
        <v>45787.40625</v>
      </c>
      <c r="N1935" s="1"/>
      <c r="O1935" t="str">
        <f t="shared" si="97"/>
        <v>Dinheiro</v>
      </c>
      <c r="P1935" t="s">
        <v>149</v>
      </c>
      <c r="Q1935" t="str">
        <f t="shared" si="98"/>
        <v>Serviços</v>
      </c>
      <c r="R1935" t="str">
        <f t="shared" si="99"/>
        <v>Sobrancelha</v>
      </c>
      <c r="T1935" s="14">
        <f t="shared" si="100"/>
        <v>10</v>
      </c>
      <c r="U1935" s="14">
        <f t="shared" si="101"/>
        <v>0</v>
      </c>
      <c r="V1935" s="14"/>
      <c r="W1935" t="str">
        <f>IF(A1935=$A$1707,base!$I$3,IF(A1935=$A$1709,base!$I$2,IF(Receitas!A1935=Receitas!$A$1701,base!$I$4,"")))</f>
        <v>Gustavo de Castro</v>
      </c>
      <c r="X1935" t="str">
        <f t="shared" si="102"/>
        <v>Jorge Luiz pereira</v>
      </c>
    </row>
    <row r="1936" spans="1:24">
      <c r="A1936" t="s">
        <v>536</v>
      </c>
      <c r="B1936" t="s">
        <v>163</v>
      </c>
      <c r="C1936" t="s">
        <v>2897</v>
      </c>
      <c r="D1936" s="14">
        <v>35</v>
      </c>
      <c r="E1936" s="14">
        <v>35</v>
      </c>
      <c r="F1936" s="13">
        <v>45786.902777777781</v>
      </c>
      <c r="G1936" t="s">
        <v>1</v>
      </c>
      <c r="H1936" t="s">
        <v>2898</v>
      </c>
      <c r="I1936" t="str">
        <f>IF(A1936="","Pacote",IF(B1936=IFERROR(VLOOKUP(B1936,base!$L$1:$L$20,1,0),""),"Produtos",IF(B1936=IFERROR(VLOOKUP(B1936,base!$K$2:$K$20,1,0),""),"Serviços",IF(B1936="Gorjeta","Gorjeta","Combos"))))</f>
        <v>Serviços</v>
      </c>
      <c r="J1936">
        <f t="shared" si="94"/>
        <v>15.75</v>
      </c>
      <c r="K1936" s="1">
        <f t="shared" si="95"/>
        <v>45786.902777777781</v>
      </c>
      <c r="L1936" s="1">
        <f t="shared" si="96"/>
        <v>45786.902777777781</v>
      </c>
      <c r="M1936" s="1">
        <f t="shared" si="93"/>
        <v>45786.902777777781</v>
      </c>
      <c r="N1936" s="1"/>
      <c r="O1936" t="str">
        <f t="shared" si="97"/>
        <v>PIX</v>
      </c>
      <c r="P1936" t="s">
        <v>149</v>
      </c>
      <c r="Q1936" t="str">
        <f t="shared" si="98"/>
        <v>Serviços</v>
      </c>
      <c r="R1936" t="str">
        <f t="shared" si="99"/>
        <v>Corte</v>
      </c>
      <c r="T1936" s="14">
        <f t="shared" si="100"/>
        <v>35</v>
      </c>
      <c r="U1936" s="14">
        <f t="shared" si="101"/>
        <v>35</v>
      </c>
      <c r="V1936" s="14"/>
      <c r="W1936" t="str">
        <f>IF(A1936=$A$1707,base!$I$3,IF(A1936=$A$1709,base!$I$2,IF(Receitas!A1936=Receitas!$A$1701,base!$I$4,"")))</f>
        <v>PATRICK CARDOSO</v>
      </c>
      <c r="X1936" t="str">
        <f t="shared" si="102"/>
        <v>Breno Gomes</v>
      </c>
    </row>
    <row r="1937" spans="1:24">
      <c r="A1937" t="s">
        <v>252</v>
      </c>
      <c r="B1937" t="s">
        <v>163</v>
      </c>
      <c r="C1937" t="s">
        <v>2899</v>
      </c>
      <c r="D1937" s="14">
        <v>35</v>
      </c>
      <c r="E1937" s="14">
        <v>35</v>
      </c>
      <c r="F1937" s="13">
        <v>45786.875</v>
      </c>
      <c r="G1937" t="s">
        <v>1</v>
      </c>
      <c r="H1937" t="s">
        <v>24</v>
      </c>
      <c r="I1937" t="str">
        <f>IF(A1937="","Pacote",IF(B1937=IFERROR(VLOOKUP(B1937,base!$L$1:$L$20,1,0),""),"Produtos",IF(B1937=IFERROR(VLOOKUP(B1937,base!$K$2:$K$20,1,0),""),"Serviços",IF(B1937="Gorjeta","Gorjeta","Combos"))))</f>
        <v>Serviços</v>
      </c>
      <c r="J1937">
        <f t="shared" si="94"/>
        <v>15.75</v>
      </c>
      <c r="K1937" s="1">
        <f t="shared" si="95"/>
        <v>45786.875</v>
      </c>
      <c r="L1937" s="1">
        <f t="shared" si="96"/>
        <v>45786.875</v>
      </c>
      <c r="M1937" s="1">
        <f t="shared" si="93"/>
        <v>45786.875</v>
      </c>
      <c r="N1937" s="1"/>
      <c r="O1937" t="str">
        <f t="shared" si="97"/>
        <v>PIX</v>
      </c>
      <c r="P1937" t="s">
        <v>149</v>
      </c>
      <c r="Q1937" t="str">
        <f t="shared" si="98"/>
        <v>Serviços</v>
      </c>
      <c r="R1937" t="str">
        <f t="shared" si="99"/>
        <v>Corte</v>
      </c>
      <c r="T1937" s="14">
        <f t="shared" si="100"/>
        <v>35</v>
      </c>
      <c r="U1937" s="14">
        <f t="shared" si="101"/>
        <v>35</v>
      </c>
      <c r="V1937" s="14"/>
      <c r="W1937" t="str">
        <f>IF(A1937=$A$1707,base!$I$3,IF(A1937=$A$1709,base!$I$2,IF(Receitas!A1937=Receitas!$A$1701,base!$I$4,"")))</f>
        <v>Christian Magon</v>
      </c>
      <c r="X1937" t="str">
        <f t="shared" si="102"/>
        <v>Luis De Gonzaga Neto</v>
      </c>
    </row>
    <row r="1938" spans="1:24">
      <c r="A1938" t="s">
        <v>252</v>
      </c>
      <c r="B1938" t="s">
        <v>163</v>
      </c>
      <c r="C1938" t="s">
        <v>2900</v>
      </c>
      <c r="D1938" s="14">
        <v>35</v>
      </c>
      <c r="E1938" s="14">
        <v>70</v>
      </c>
      <c r="F1938" s="13">
        <v>45787.395833333336</v>
      </c>
      <c r="G1938" t="s">
        <v>310</v>
      </c>
      <c r="H1938" t="s">
        <v>79</v>
      </c>
      <c r="I1938" t="str">
        <f>IF(A1938="","Pacote",IF(B1938=IFERROR(VLOOKUP(B1938,base!$L$1:$L$20,1,0),""),"Produtos",IF(B1938=IFERROR(VLOOKUP(B1938,base!$K$2:$K$20,1,0),""),"Serviços",IF(B1938="Gorjeta","Gorjeta","Combos"))))</f>
        <v>Serviços</v>
      </c>
      <c r="J1938">
        <f t="shared" si="94"/>
        <v>15.75</v>
      </c>
      <c r="K1938" s="1">
        <f t="shared" si="95"/>
        <v>45787.395833333336</v>
      </c>
      <c r="L1938" s="1">
        <f t="shared" si="96"/>
        <v>45787.395833333336</v>
      </c>
      <c r="M1938" s="1">
        <f t="shared" si="93"/>
        <v>45787.395833333336</v>
      </c>
      <c r="N1938" s="1"/>
      <c r="O1938" t="str">
        <f t="shared" si="97"/>
        <v>Cartão de Débito</v>
      </c>
      <c r="P1938" t="s">
        <v>149</v>
      </c>
      <c r="Q1938" t="str">
        <f t="shared" si="98"/>
        <v>Serviços</v>
      </c>
      <c r="R1938" t="str">
        <f t="shared" si="99"/>
        <v>Corte</v>
      </c>
      <c r="T1938" s="14">
        <f t="shared" si="100"/>
        <v>35</v>
      </c>
      <c r="U1938" s="14">
        <f t="shared" si="101"/>
        <v>70</v>
      </c>
      <c r="V1938" s="14"/>
      <c r="W1938" t="str">
        <f>IF(A1938=$A$1707,base!$I$3,IF(A1938=$A$1709,base!$I$2,IF(Receitas!A1938=Receitas!$A$1701,base!$I$4,"")))</f>
        <v>Christian Magon</v>
      </c>
      <c r="X1938" t="str">
        <f t="shared" si="102"/>
        <v>Wallace braz</v>
      </c>
    </row>
    <row r="1939" spans="1:24">
      <c r="A1939" t="s">
        <v>252</v>
      </c>
      <c r="B1939" t="s">
        <v>166</v>
      </c>
      <c r="C1939" t="s">
        <v>2900</v>
      </c>
      <c r="D1939" s="14">
        <v>20</v>
      </c>
      <c r="F1939" s="13">
        <v>45787.395833333336</v>
      </c>
      <c r="G1939" t="s">
        <v>310</v>
      </c>
      <c r="H1939" t="s">
        <v>79</v>
      </c>
      <c r="I1939" t="str">
        <f>IF(A1939="","Pacote",IF(B1939=IFERROR(VLOOKUP(B1939,base!$L$1:$L$20,1,0),""),"Produtos",IF(B1939=IFERROR(VLOOKUP(B1939,base!$K$2:$K$20,1,0),""),"Serviços",IF(B1939="Gorjeta","Gorjeta","Combos"))))</f>
        <v>Serviços</v>
      </c>
      <c r="J1939">
        <f t="shared" si="94"/>
        <v>9</v>
      </c>
      <c r="K1939" s="1">
        <f t="shared" si="95"/>
        <v>45787.395833333336</v>
      </c>
      <c r="L1939" s="1">
        <f t="shared" si="96"/>
        <v>45787.395833333336</v>
      </c>
      <c r="M1939" s="1">
        <f t="shared" si="93"/>
        <v>45787.395833333336</v>
      </c>
      <c r="N1939" s="1"/>
      <c r="O1939" t="str">
        <f t="shared" si="97"/>
        <v>Cartão de Débito</v>
      </c>
      <c r="P1939" t="s">
        <v>149</v>
      </c>
      <c r="Q1939" t="str">
        <f t="shared" si="98"/>
        <v>Serviços</v>
      </c>
      <c r="R1939" t="str">
        <f t="shared" si="99"/>
        <v>Pigmentação</v>
      </c>
      <c r="T1939" s="14">
        <f t="shared" si="100"/>
        <v>20</v>
      </c>
      <c r="U1939" s="14">
        <f t="shared" si="101"/>
        <v>0</v>
      </c>
      <c r="V1939" s="14"/>
      <c r="W1939" t="str">
        <f>IF(A1939=$A$1707,base!$I$3,IF(A1939=$A$1709,base!$I$2,IF(Receitas!A1939=Receitas!$A$1701,base!$I$4,"")))</f>
        <v>Christian Magon</v>
      </c>
      <c r="X1939" t="str">
        <f t="shared" si="102"/>
        <v>Wallace braz</v>
      </c>
    </row>
    <row r="1940" spans="1:24">
      <c r="A1940" t="s">
        <v>519</v>
      </c>
      <c r="B1940" t="s">
        <v>163</v>
      </c>
      <c r="C1940" t="s">
        <v>2901</v>
      </c>
      <c r="D1940" s="14">
        <v>35</v>
      </c>
      <c r="E1940" s="14">
        <v>45</v>
      </c>
      <c r="F1940" s="13">
        <v>45787.59375</v>
      </c>
      <c r="G1940" t="s">
        <v>1</v>
      </c>
      <c r="H1940" t="s">
        <v>77</v>
      </c>
      <c r="I1940" t="str">
        <f>IF(A1940="","Pacote",IF(B1940=IFERROR(VLOOKUP(B1940,base!$L$1:$L$20,1,0),""),"Produtos",IF(B1940=IFERROR(VLOOKUP(B1940,base!$K$2:$K$20,1,0),""),"Serviços",IF(B1940="Gorjeta","Gorjeta","Combos"))))</f>
        <v>Serviços</v>
      </c>
      <c r="J1940">
        <f t="shared" si="94"/>
        <v>15.75</v>
      </c>
      <c r="K1940" s="1">
        <f t="shared" si="95"/>
        <v>45787.59375</v>
      </c>
      <c r="L1940" s="1">
        <f t="shared" si="96"/>
        <v>45787.59375</v>
      </c>
      <c r="M1940" s="1">
        <f t="shared" si="93"/>
        <v>45787.59375</v>
      </c>
      <c r="N1940" s="1"/>
      <c r="O1940" t="str">
        <f t="shared" si="97"/>
        <v>PIX</v>
      </c>
      <c r="P1940" t="s">
        <v>149</v>
      </c>
      <c r="Q1940" t="str">
        <f t="shared" si="98"/>
        <v>Serviços</v>
      </c>
      <c r="R1940" t="str">
        <f t="shared" si="99"/>
        <v>Corte</v>
      </c>
      <c r="T1940" s="14">
        <f t="shared" si="100"/>
        <v>35</v>
      </c>
      <c r="U1940" s="14">
        <f t="shared" si="101"/>
        <v>45</v>
      </c>
      <c r="V1940" s="14"/>
      <c r="W1940" t="str">
        <f>IF(A1940=$A$1707,base!$I$3,IF(A1940=$A$1709,base!$I$2,IF(Receitas!A1940=Receitas!$A$1701,base!$I$4,"")))</f>
        <v>Gustavo de Castro</v>
      </c>
      <c r="X1940" t="str">
        <f t="shared" si="102"/>
        <v>Matheus simao lira</v>
      </c>
    </row>
    <row r="1941" spans="1:24">
      <c r="A1941" t="s">
        <v>519</v>
      </c>
      <c r="B1941" t="s">
        <v>167</v>
      </c>
      <c r="C1941" t="s">
        <v>2901</v>
      </c>
      <c r="D1941" s="14">
        <v>10</v>
      </c>
      <c r="F1941" s="13">
        <v>45787.59375</v>
      </c>
      <c r="G1941" t="s">
        <v>1</v>
      </c>
      <c r="H1941" t="s">
        <v>77</v>
      </c>
      <c r="I1941" t="str">
        <f>IF(A1941="","Pacote",IF(B1941=IFERROR(VLOOKUP(B1941,base!$L$1:$L$20,1,0),""),"Produtos",IF(B1941=IFERROR(VLOOKUP(B1941,base!$K$2:$K$20,1,0),""),"Serviços",IF(B1941="Gorjeta","Gorjeta","Combos"))))</f>
        <v>Serviços</v>
      </c>
      <c r="J1941">
        <f t="shared" si="94"/>
        <v>4.5</v>
      </c>
      <c r="K1941" s="1">
        <f t="shared" si="95"/>
        <v>45787.59375</v>
      </c>
      <c r="L1941" s="1">
        <f t="shared" si="96"/>
        <v>45787.59375</v>
      </c>
      <c r="M1941" s="1">
        <f t="shared" si="93"/>
        <v>45787.59375</v>
      </c>
      <c r="N1941" s="1"/>
      <c r="O1941" t="str">
        <f t="shared" si="97"/>
        <v>PIX</v>
      </c>
      <c r="P1941" t="s">
        <v>149</v>
      </c>
      <c r="Q1941" t="str">
        <f t="shared" si="98"/>
        <v>Serviços</v>
      </c>
      <c r="R1941" t="str">
        <f t="shared" si="99"/>
        <v>Sobrancelha</v>
      </c>
      <c r="T1941" s="14">
        <f t="shared" si="100"/>
        <v>10</v>
      </c>
      <c r="U1941" s="14">
        <f t="shared" si="101"/>
        <v>0</v>
      </c>
      <c r="V1941" s="14"/>
      <c r="W1941" t="str">
        <f>IF(A1941=$A$1707,base!$I$3,IF(A1941=$A$1709,base!$I$2,IF(Receitas!A1941=Receitas!$A$1701,base!$I$4,"")))</f>
        <v>Gustavo de Castro</v>
      </c>
      <c r="X1941" t="str">
        <f t="shared" si="102"/>
        <v>Matheus simao lira</v>
      </c>
    </row>
    <row r="1942" spans="1:24">
      <c r="A1942" t="s">
        <v>519</v>
      </c>
      <c r="B1942" t="s">
        <v>163</v>
      </c>
      <c r="C1942" t="s">
        <v>2902</v>
      </c>
      <c r="D1942" s="14">
        <v>35</v>
      </c>
      <c r="E1942" s="14">
        <v>45</v>
      </c>
      <c r="F1942" s="13">
        <v>45787.427083333336</v>
      </c>
      <c r="G1942" t="s">
        <v>1</v>
      </c>
      <c r="H1942" t="s">
        <v>62</v>
      </c>
      <c r="I1942" t="str">
        <f>IF(A1942="","Pacote",IF(B1942=IFERROR(VLOOKUP(B1942,base!$L$1:$L$20,1,0),""),"Produtos",IF(B1942=IFERROR(VLOOKUP(B1942,base!$K$2:$K$20,1,0),""),"Serviços",IF(B1942="Gorjeta","Gorjeta","Combos"))))</f>
        <v>Serviços</v>
      </c>
      <c r="J1942">
        <f t="shared" si="94"/>
        <v>15.75</v>
      </c>
      <c r="K1942" s="1">
        <f t="shared" si="95"/>
        <v>45787.427083333336</v>
      </c>
      <c r="L1942" s="1">
        <f t="shared" si="96"/>
        <v>45787.427083333336</v>
      </c>
      <c r="M1942" s="1">
        <f t="shared" si="93"/>
        <v>45787.427083333336</v>
      </c>
      <c r="N1942" s="1"/>
      <c r="O1942" t="str">
        <f t="shared" si="97"/>
        <v>PIX</v>
      </c>
      <c r="P1942" t="s">
        <v>149</v>
      </c>
      <c r="Q1942" t="str">
        <f t="shared" si="98"/>
        <v>Serviços</v>
      </c>
      <c r="R1942" t="str">
        <f t="shared" si="99"/>
        <v>Corte</v>
      </c>
      <c r="T1942" s="14">
        <f t="shared" si="100"/>
        <v>35</v>
      </c>
      <c r="U1942" s="14">
        <f t="shared" si="101"/>
        <v>45</v>
      </c>
      <c r="V1942" s="14"/>
      <c r="W1942" t="str">
        <f>IF(A1942=$A$1707,base!$I$3,IF(A1942=$A$1709,base!$I$2,IF(Receitas!A1942=Receitas!$A$1701,base!$I$4,"")))</f>
        <v>Gustavo de Castro</v>
      </c>
      <c r="X1942" t="str">
        <f t="shared" si="102"/>
        <v>Bruno Masello</v>
      </c>
    </row>
    <row r="1943" spans="1:24">
      <c r="A1943" t="s">
        <v>519</v>
      </c>
      <c r="B1943" t="s">
        <v>167</v>
      </c>
      <c r="C1943" t="s">
        <v>2902</v>
      </c>
      <c r="D1943" s="14">
        <v>10</v>
      </c>
      <c r="F1943" s="13">
        <v>45787.427083333336</v>
      </c>
      <c r="G1943" t="s">
        <v>1</v>
      </c>
      <c r="H1943" t="s">
        <v>62</v>
      </c>
      <c r="I1943" t="str">
        <f>IF(A1943="","Pacote",IF(B1943=IFERROR(VLOOKUP(B1943,base!$L$1:$L$20,1,0),""),"Produtos",IF(B1943=IFERROR(VLOOKUP(B1943,base!$K$2:$K$20,1,0),""),"Serviços",IF(B1943="Gorjeta","Gorjeta","Combos"))))</f>
        <v>Serviços</v>
      </c>
      <c r="J1943">
        <f t="shared" si="94"/>
        <v>4.5</v>
      </c>
      <c r="K1943" s="1">
        <f t="shared" si="95"/>
        <v>45787.427083333336</v>
      </c>
      <c r="L1943" s="1">
        <f t="shared" si="96"/>
        <v>45787.427083333336</v>
      </c>
      <c r="M1943" s="1">
        <f t="shared" si="93"/>
        <v>45787.427083333336</v>
      </c>
      <c r="N1943" s="1"/>
      <c r="O1943" t="str">
        <f t="shared" si="97"/>
        <v>PIX</v>
      </c>
      <c r="P1943" t="s">
        <v>149</v>
      </c>
      <c r="Q1943" t="str">
        <f t="shared" si="98"/>
        <v>Serviços</v>
      </c>
      <c r="R1943" t="str">
        <f t="shared" si="99"/>
        <v>Sobrancelha</v>
      </c>
      <c r="T1943" s="14">
        <f t="shared" si="100"/>
        <v>10</v>
      </c>
      <c r="U1943" s="14">
        <f t="shared" si="101"/>
        <v>0</v>
      </c>
      <c r="V1943" s="14"/>
      <c r="W1943" t="str">
        <f>IF(A1943=$A$1707,base!$I$3,IF(A1943=$A$1709,base!$I$2,IF(Receitas!A1943=Receitas!$A$1701,base!$I$4,"")))</f>
        <v>Gustavo de Castro</v>
      </c>
      <c r="X1943" t="str">
        <f t="shared" si="102"/>
        <v>Bruno Masello</v>
      </c>
    </row>
    <row r="1944" spans="1:24">
      <c r="A1944" t="s">
        <v>519</v>
      </c>
      <c r="B1944" t="s">
        <v>163</v>
      </c>
      <c r="C1944" t="s">
        <v>2903</v>
      </c>
      <c r="D1944" s="14">
        <v>35</v>
      </c>
      <c r="E1944" s="14">
        <v>50</v>
      </c>
      <c r="F1944" s="13">
        <v>45787.645833333336</v>
      </c>
      <c r="G1944" t="s">
        <v>1</v>
      </c>
      <c r="H1944" t="s">
        <v>414</v>
      </c>
      <c r="I1944" t="str">
        <f>IF(A1944="","Pacote",IF(B1944=IFERROR(VLOOKUP(B1944,base!$L$1:$L$20,1,0),""),"Produtos",IF(B1944=IFERROR(VLOOKUP(B1944,base!$K$2:$K$20,1,0),""),"Serviços",IF(B1944="Gorjeta","Gorjeta","Combos"))))</f>
        <v>Serviços</v>
      </c>
      <c r="J1944">
        <f t="shared" si="94"/>
        <v>15.75</v>
      </c>
      <c r="K1944" s="1">
        <f t="shared" si="95"/>
        <v>45787.645833333336</v>
      </c>
      <c r="L1944" s="1">
        <f t="shared" si="96"/>
        <v>45787.645833333336</v>
      </c>
      <c r="M1944" s="1">
        <f t="shared" si="93"/>
        <v>45787.645833333336</v>
      </c>
      <c r="N1944" s="1"/>
      <c r="O1944" t="str">
        <f t="shared" si="97"/>
        <v>PIX</v>
      </c>
      <c r="P1944" t="s">
        <v>149</v>
      </c>
      <c r="Q1944" t="str">
        <f t="shared" si="98"/>
        <v>Serviços</v>
      </c>
      <c r="R1944" t="str">
        <f t="shared" si="99"/>
        <v>Corte</v>
      </c>
      <c r="T1944" s="14">
        <f t="shared" si="100"/>
        <v>35</v>
      </c>
      <c r="U1944" s="14">
        <f t="shared" si="101"/>
        <v>50</v>
      </c>
      <c r="V1944" s="14"/>
      <c r="W1944" t="str">
        <f>IF(A1944=$A$1707,base!$I$3,IF(A1944=$A$1709,base!$I$2,IF(Receitas!A1944=Receitas!$A$1701,base!$I$4,"")))</f>
        <v>Gustavo de Castro</v>
      </c>
      <c r="X1944" t="str">
        <f t="shared" si="102"/>
        <v>Alexandre andrade</v>
      </c>
    </row>
    <row r="1945" spans="1:24">
      <c r="A1945" t="s">
        <v>519</v>
      </c>
      <c r="B1945" t="s">
        <v>1046</v>
      </c>
      <c r="C1945" t="s">
        <v>2903</v>
      </c>
      <c r="D1945" s="14">
        <v>15</v>
      </c>
      <c r="F1945" s="13">
        <v>45787.645833333336</v>
      </c>
      <c r="G1945" t="s">
        <v>1</v>
      </c>
      <c r="H1945" t="s">
        <v>414</v>
      </c>
      <c r="I1945" t="str">
        <f>IF(A1945="","Pacote",IF(B1945=IFERROR(VLOOKUP(B1945,base!$L$1:$L$20,1,0),""),"Produtos",IF(B1945=IFERROR(VLOOKUP(B1945,base!$K$2:$K$20,1,0),""),"Serviços",IF(B1945="Gorjeta","Gorjeta","Combos"))))</f>
        <v>Serviços</v>
      </c>
      <c r="J1945">
        <f t="shared" si="94"/>
        <v>6.75</v>
      </c>
      <c r="K1945" s="1">
        <f t="shared" si="95"/>
        <v>45787.645833333336</v>
      </c>
      <c r="L1945" s="1">
        <f t="shared" si="96"/>
        <v>45787.645833333336</v>
      </c>
      <c r="M1945" s="1">
        <f t="shared" si="93"/>
        <v>45787.645833333336</v>
      </c>
      <c r="N1945" s="1"/>
      <c r="O1945" t="str">
        <f t="shared" si="97"/>
        <v>PIX</v>
      </c>
      <c r="P1945" t="s">
        <v>149</v>
      </c>
      <c r="Q1945" t="str">
        <f t="shared" si="98"/>
        <v>Serviços</v>
      </c>
      <c r="R1945" t="str">
        <f t="shared" si="99"/>
        <v>Barba</v>
      </c>
      <c r="T1945" s="14">
        <f t="shared" si="100"/>
        <v>15</v>
      </c>
      <c r="U1945" s="14">
        <f t="shared" si="101"/>
        <v>0</v>
      </c>
      <c r="V1945" s="14"/>
      <c r="W1945" t="str">
        <f>IF(A1945=$A$1707,base!$I$3,IF(A1945=$A$1709,base!$I$2,IF(Receitas!A1945=Receitas!$A$1701,base!$I$4,"")))</f>
        <v>Gustavo de Castro</v>
      </c>
      <c r="X1945" t="str">
        <f t="shared" si="102"/>
        <v>Alexandre andrade</v>
      </c>
    </row>
    <row r="1946" spans="1:24">
      <c r="A1946" t="s">
        <v>252</v>
      </c>
      <c r="B1946" t="s">
        <v>163</v>
      </c>
      <c r="C1946" t="s">
        <v>2904</v>
      </c>
      <c r="D1946" s="14">
        <v>35</v>
      </c>
      <c r="E1946" s="14">
        <v>35</v>
      </c>
      <c r="F1946" s="13">
        <v>45787.375</v>
      </c>
      <c r="G1946" t="s">
        <v>310</v>
      </c>
      <c r="H1946" t="s">
        <v>44</v>
      </c>
      <c r="I1946" t="str">
        <f>IF(A1946="","Pacote",IF(B1946=IFERROR(VLOOKUP(B1946,base!$L$1:$L$20,1,0),""),"Produtos",IF(B1946=IFERROR(VLOOKUP(B1946,base!$K$2:$K$20,1,0),""),"Serviços",IF(B1946="Gorjeta","Gorjeta","Combos"))))</f>
        <v>Serviços</v>
      </c>
      <c r="J1946">
        <f t="shared" si="94"/>
        <v>15.75</v>
      </c>
      <c r="K1946" s="1">
        <f t="shared" si="95"/>
        <v>45787.375</v>
      </c>
      <c r="L1946" s="1">
        <f t="shared" si="96"/>
        <v>45787.375</v>
      </c>
      <c r="M1946" s="1">
        <f t="shared" si="93"/>
        <v>45787.375</v>
      </c>
      <c r="N1946" s="1"/>
      <c r="O1946" t="str">
        <f t="shared" si="97"/>
        <v>Cartão de Débito</v>
      </c>
      <c r="P1946" t="s">
        <v>149</v>
      </c>
      <c r="Q1946" t="str">
        <f t="shared" si="98"/>
        <v>Serviços</v>
      </c>
      <c r="R1946" t="str">
        <f t="shared" si="99"/>
        <v>Corte</v>
      </c>
      <c r="T1946" s="14">
        <f t="shared" si="100"/>
        <v>35</v>
      </c>
      <c r="U1946" s="14">
        <f t="shared" si="101"/>
        <v>35</v>
      </c>
      <c r="V1946" s="14"/>
      <c r="W1946" t="str">
        <f>IF(A1946=$A$1707,base!$I$3,IF(A1946=$A$1709,base!$I$2,IF(Receitas!A1946=Receitas!$A$1701,base!$I$4,"")))</f>
        <v>Christian Magon</v>
      </c>
      <c r="X1946" t="str">
        <f t="shared" si="102"/>
        <v>Marcio Felipe</v>
      </c>
    </row>
    <row r="1947" spans="1:24">
      <c r="A1947" t="s">
        <v>536</v>
      </c>
      <c r="B1947" t="s">
        <v>353</v>
      </c>
      <c r="C1947" t="s">
        <v>2905</v>
      </c>
      <c r="D1947" s="14">
        <v>60</v>
      </c>
      <c r="E1947" s="14">
        <v>80</v>
      </c>
      <c r="F1947" s="13">
        <v>45787.395833333336</v>
      </c>
      <c r="G1947" t="s">
        <v>1</v>
      </c>
      <c r="H1947" t="s">
        <v>2895</v>
      </c>
      <c r="I1947" t="str">
        <f>IF(A1947="","Pacote",IF(B1947=IFERROR(VLOOKUP(B1947,base!$L$1:$L$20,1,0),""),"Produtos",IF(B1947=IFERROR(VLOOKUP(B1947,base!$K$2:$K$20,1,0),""),"Serviços",IF(B1947="Gorjeta","Gorjeta","Combos"))))</f>
        <v>Combos</v>
      </c>
      <c r="J1947">
        <f t="shared" si="94"/>
        <v>27</v>
      </c>
      <c r="K1947" s="1">
        <f t="shared" si="95"/>
        <v>45787.395833333336</v>
      </c>
      <c r="L1947" s="1">
        <f t="shared" si="96"/>
        <v>45787.395833333336</v>
      </c>
      <c r="M1947" s="1">
        <f t="shared" si="93"/>
        <v>45787.395833333336</v>
      </c>
      <c r="N1947" s="1"/>
      <c r="O1947" t="str">
        <f t="shared" si="97"/>
        <v>PIX</v>
      </c>
      <c r="P1947" t="s">
        <v>149</v>
      </c>
      <c r="Q1947" t="str">
        <f t="shared" si="98"/>
        <v>Combos</v>
      </c>
      <c r="R1947" t="str">
        <f t="shared" si="99"/>
        <v>Combo ( Corte + Barba )</v>
      </c>
      <c r="T1947" s="14">
        <f t="shared" si="100"/>
        <v>60</v>
      </c>
      <c r="U1947" s="14">
        <f t="shared" si="101"/>
        <v>80</v>
      </c>
      <c r="V1947" s="14"/>
      <c r="W1947" t="str">
        <f>IF(A1947=$A$1707,base!$I$3,IF(A1947=$A$1709,base!$I$2,IF(Receitas!A1947=Receitas!$A$1701,base!$I$4,"")))</f>
        <v>PATRICK CARDOSO</v>
      </c>
      <c r="X1947" t="str">
        <f t="shared" si="102"/>
        <v>romulo ramon</v>
      </c>
    </row>
    <row r="1948" spans="1:24">
      <c r="A1948" t="s">
        <v>536</v>
      </c>
      <c r="B1948" t="s">
        <v>166</v>
      </c>
      <c r="C1948" t="s">
        <v>2905</v>
      </c>
      <c r="D1948" s="14">
        <v>20</v>
      </c>
      <c r="F1948" s="13">
        <v>45787.395833333336</v>
      </c>
      <c r="G1948" t="s">
        <v>1</v>
      </c>
      <c r="H1948" t="s">
        <v>2895</v>
      </c>
      <c r="I1948" t="str">
        <f>IF(A1948="","Pacote",IF(B1948=IFERROR(VLOOKUP(B1948,base!$L$1:$L$20,1,0),""),"Produtos",IF(B1948=IFERROR(VLOOKUP(B1948,base!$K$2:$K$20,1,0),""),"Serviços",IF(B1948="Gorjeta","Gorjeta","Combos"))))</f>
        <v>Serviços</v>
      </c>
      <c r="J1948">
        <f t="shared" si="94"/>
        <v>9</v>
      </c>
      <c r="K1948" s="1">
        <f t="shared" si="95"/>
        <v>45787.395833333336</v>
      </c>
      <c r="L1948" s="1">
        <f t="shared" si="96"/>
        <v>45787.395833333336</v>
      </c>
      <c r="M1948" s="1">
        <f t="shared" si="93"/>
        <v>45787.395833333336</v>
      </c>
      <c r="N1948" s="1"/>
      <c r="O1948" t="str">
        <f t="shared" si="97"/>
        <v>PIX</v>
      </c>
      <c r="P1948" t="s">
        <v>149</v>
      </c>
      <c r="Q1948" t="str">
        <f t="shared" si="98"/>
        <v>Serviços</v>
      </c>
      <c r="R1948" t="str">
        <f t="shared" si="99"/>
        <v>Pigmentação</v>
      </c>
      <c r="T1948" s="14">
        <f t="shared" si="100"/>
        <v>20</v>
      </c>
      <c r="U1948" s="14">
        <f t="shared" si="101"/>
        <v>0</v>
      </c>
      <c r="V1948" s="14"/>
      <c r="W1948" t="str">
        <f>IF(A1948=$A$1707,base!$I$3,IF(A1948=$A$1709,base!$I$2,IF(Receitas!A1948=Receitas!$A$1701,base!$I$4,"")))</f>
        <v>PATRICK CARDOSO</v>
      </c>
      <c r="X1948" t="str">
        <f t="shared" si="102"/>
        <v>romulo ramon</v>
      </c>
    </row>
    <row r="1949" spans="1:24">
      <c r="A1949" t="s">
        <v>519</v>
      </c>
      <c r="B1949" t="s">
        <v>163</v>
      </c>
      <c r="C1949" t="s">
        <v>2906</v>
      </c>
      <c r="D1949" s="14">
        <v>35</v>
      </c>
      <c r="E1949" s="14">
        <v>35</v>
      </c>
      <c r="F1949" s="13">
        <v>45787.666666666664</v>
      </c>
      <c r="G1949" t="s">
        <v>1</v>
      </c>
      <c r="H1949" t="s">
        <v>40</v>
      </c>
      <c r="I1949" t="str">
        <f>IF(A1949="","Pacote",IF(B1949=IFERROR(VLOOKUP(B1949,base!$L$1:$L$20,1,0),""),"Produtos",IF(B1949=IFERROR(VLOOKUP(B1949,base!$K$2:$K$20,1,0),""),"Serviços",IF(B1949="Gorjeta","Gorjeta","Combos"))))</f>
        <v>Serviços</v>
      </c>
      <c r="J1949">
        <f t="shared" si="94"/>
        <v>15.75</v>
      </c>
      <c r="K1949" s="1">
        <f t="shared" si="95"/>
        <v>45787.666666666664</v>
      </c>
      <c r="L1949" s="1">
        <f t="shared" si="96"/>
        <v>45787.666666666664</v>
      </c>
      <c r="M1949" s="1">
        <f t="shared" si="93"/>
        <v>45787.666666666664</v>
      </c>
      <c r="N1949" s="1"/>
      <c r="O1949" t="str">
        <f t="shared" si="97"/>
        <v>PIX</v>
      </c>
      <c r="P1949" t="s">
        <v>149</v>
      </c>
      <c r="Q1949" t="str">
        <f t="shared" si="98"/>
        <v>Serviços</v>
      </c>
      <c r="R1949" t="str">
        <f t="shared" si="99"/>
        <v>Corte</v>
      </c>
      <c r="T1949" s="14">
        <f t="shared" si="100"/>
        <v>35</v>
      </c>
      <c r="U1949" s="14">
        <f t="shared" si="101"/>
        <v>35</v>
      </c>
      <c r="V1949" s="14"/>
      <c r="W1949" t="str">
        <f>IF(A1949=$A$1707,base!$I$3,IF(A1949=$A$1709,base!$I$2,IF(Receitas!A1949=Receitas!$A$1701,base!$I$4,"")))</f>
        <v>Gustavo de Castro</v>
      </c>
      <c r="X1949" t="str">
        <f t="shared" si="102"/>
        <v>MARLON DE CASTRO FRANCELINO</v>
      </c>
    </row>
    <row r="1950" spans="1:24">
      <c r="A1950" t="s">
        <v>252</v>
      </c>
      <c r="B1950" t="s">
        <v>163</v>
      </c>
      <c r="C1950" t="s">
        <v>2907</v>
      </c>
      <c r="D1950" s="14">
        <v>35</v>
      </c>
      <c r="E1950" s="14">
        <v>35</v>
      </c>
      <c r="F1950" s="13">
        <v>45787.447916666664</v>
      </c>
      <c r="G1950" t="s">
        <v>2</v>
      </c>
      <c r="H1950" t="s">
        <v>2908</v>
      </c>
      <c r="I1950" t="str">
        <f>IF(A1950="","Pacote",IF(B1950=IFERROR(VLOOKUP(B1950,base!$L$1:$L$20,1,0),""),"Produtos",IF(B1950=IFERROR(VLOOKUP(B1950,base!$K$2:$K$20,1,0),""),"Serviços",IF(B1950="Gorjeta","Gorjeta","Combos"))))</f>
        <v>Serviços</v>
      </c>
      <c r="J1950">
        <f t="shared" si="94"/>
        <v>15.75</v>
      </c>
      <c r="K1950" s="1">
        <f t="shared" si="95"/>
        <v>45787.447916666664</v>
      </c>
      <c r="L1950" s="1">
        <f t="shared" si="96"/>
        <v>45787.447916666664</v>
      </c>
      <c r="M1950" s="1">
        <f t="shared" si="93"/>
        <v>45787.447916666664</v>
      </c>
      <c r="N1950" s="1"/>
      <c r="O1950" t="str">
        <f t="shared" si="97"/>
        <v>Dinheiro</v>
      </c>
      <c r="P1950" t="s">
        <v>149</v>
      </c>
      <c r="Q1950" t="str">
        <f t="shared" si="98"/>
        <v>Serviços</v>
      </c>
      <c r="R1950" t="str">
        <f t="shared" si="99"/>
        <v>Corte</v>
      </c>
      <c r="T1950" s="14">
        <f t="shared" si="100"/>
        <v>35</v>
      </c>
      <c r="U1950" s="14">
        <f t="shared" si="101"/>
        <v>35</v>
      </c>
      <c r="V1950" s="14"/>
      <c r="W1950" t="str">
        <f>IF(A1950=$A$1707,base!$I$3,IF(A1950=$A$1709,base!$I$2,IF(Receitas!A1950=Receitas!$A$1701,base!$I$4,"")))</f>
        <v>Christian Magon</v>
      </c>
      <c r="X1950" t="str">
        <f t="shared" si="102"/>
        <v>ananda nunes</v>
      </c>
    </row>
    <row r="1951" spans="1:24">
      <c r="A1951" t="s">
        <v>536</v>
      </c>
      <c r="B1951" t="s">
        <v>163</v>
      </c>
      <c r="C1951" t="s">
        <v>2909</v>
      </c>
      <c r="D1951" s="14">
        <v>35</v>
      </c>
      <c r="E1951" s="14">
        <v>35</v>
      </c>
      <c r="F1951" s="13">
        <v>45787.4375</v>
      </c>
      <c r="G1951" t="s">
        <v>2</v>
      </c>
      <c r="H1951" t="s">
        <v>89</v>
      </c>
      <c r="I1951" t="str">
        <f>IF(A1951="","Pacote",IF(B1951=IFERROR(VLOOKUP(B1951,base!$L$1:$L$20,1,0),""),"Produtos",IF(B1951=IFERROR(VLOOKUP(B1951,base!$K$2:$K$20,1,0),""),"Serviços",IF(B1951="Gorjeta","Gorjeta","Combos"))))</f>
        <v>Serviços</v>
      </c>
      <c r="J1951">
        <f t="shared" si="94"/>
        <v>15.75</v>
      </c>
      <c r="K1951" s="1">
        <f t="shared" si="95"/>
        <v>45787.4375</v>
      </c>
      <c r="L1951" s="1">
        <f t="shared" si="96"/>
        <v>45787.4375</v>
      </c>
      <c r="M1951" s="1">
        <f t="shared" si="93"/>
        <v>45787.4375</v>
      </c>
      <c r="N1951" s="1"/>
      <c r="O1951" t="str">
        <f t="shared" si="97"/>
        <v>Dinheiro</v>
      </c>
      <c r="P1951" t="s">
        <v>149</v>
      </c>
      <c r="Q1951" t="str">
        <f t="shared" si="98"/>
        <v>Serviços</v>
      </c>
      <c r="R1951" t="str">
        <f t="shared" si="99"/>
        <v>Corte</v>
      </c>
      <c r="T1951" s="14">
        <f t="shared" si="100"/>
        <v>35</v>
      </c>
      <c r="U1951" s="14">
        <f t="shared" si="101"/>
        <v>35</v>
      </c>
      <c r="V1951" s="14"/>
      <c r="W1951" t="str">
        <f>IF(A1951=$A$1707,base!$I$3,IF(A1951=$A$1709,base!$I$2,IF(Receitas!A1951=Receitas!$A$1701,base!$I$4,"")))</f>
        <v>PATRICK CARDOSO</v>
      </c>
      <c r="X1951" t="str">
        <f t="shared" si="102"/>
        <v>Bruna lima da silva</v>
      </c>
    </row>
    <row r="1952" spans="1:24">
      <c r="A1952" t="s">
        <v>536</v>
      </c>
      <c r="B1952" t="s">
        <v>163</v>
      </c>
      <c r="C1952" t="s">
        <v>2910</v>
      </c>
      <c r="D1952" s="14">
        <v>35</v>
      </c>
      <c r="E1952" s="14">
        <v>35</v>
      </c>
      <c r="F1952" s="13">
        <v>45787.395833333336</v>
      </c>
      <c r="G1952" t="s">
        <v>1</v>
      </c>
      <c r="H1952" t="s">
        <v>16</v>
      </c>
      <c r="I1952" t="str">
        <f>IF(A1952="","Pacote",IF(B1952=IFERROR(VLOOKUP(B1952,base!$L$1:$L$20,1,0),""),"Produtos",IF(B1952=IFERROR(VLOOKUP(B1952,base!$K$2:$K$20,1,0),""),"Serviços",IF(B1952="Gorjeta","Gorjeta","Combos"))))</f>
        <v>Serviços</v>
      </c>
      <c r="J1952">
        <f t="shared" si="94"/>
        <v>15.75</v>
      </c>
      <c r="K1952" s="1">
        <f t="shared" si="95"/>
        <v>45787.395833333336</v>
      </c>
      <c r="L1952" s="1">
        <f t="shared" si="96"/>
        <v>45787.395833333336</v>
      </c>
      <c r="M1952" s="1">
        <f t="shared" si="93"/>
        <v>45787.395833333336</v>
      </c>
      <c r="N1952" s="1"/>
      <c r="O1952" t="str">
        <f t="shared" si="97"/>
        <v>PIX</v>
      </c>
      <c r="P1952" t="s">
        <v>149</v>
      </c>
      <c r="Q1952" t="str">
        <f t="shared" si="98"/>
        <v>Serviços</v>
      </c>
      <c r="R1952" t="str">
        <f t="shared" si="99"/>
        <v>Corte</v>
      </c>
      <c r="T1952" s="14">
        <f t="shared" si="100"/>
        <v>35</v>
      </c>
      <c r="U1952" s="14">
        <f t="shared" si="101"/>
        <v>35</v>
      </c>
      <c r="V1952" s="14"/>
      <c r="W1952" t="str">
        <f>IF(A1952=$A$1707,base!$I$3,IF(A1952=$A$1709,base!$I$2,IF(Receitas!A1952=Receitas!$A$1701,base!$I$4,"")))</f>
        <v>PATRICK CARDOSO</v>
      </c>
      <c r="X1952" t="str">
        <f t="shared" si="102"/>
        <v>Luis Carlos paixão</v>
      </c>
    </row>
    <row r="1953" spans="1:24">
      <c r="A1953" t="s">
        <v>252</v>
      </c>
      <c r="B1953" t="s">
        <v>163</v>
      </c>
      <c r="C1953" t="s">
        <v>2911</v>
      </c>
      <c r="D1953" s="14">
        <v>35</v>
      </c>
      <c r="E1953" s="14">
        <v>35</v>
      </c>
      <c r="F1953" s="13">
        <v>45787.541666666664</v>
      </c>
      <c r="G1953" t="s">
        <v>1</v>
      </c>
      <c r="H1953" t="s">
        <v>487</v>
      </c>
      <c r="I1953" t="str">
        <f>IF(A1953="","Pacote",IF(B1953=IFERROR(VLOOKUP(B1953,base!$L$1:$L$20,1,0),""),"Produtos",IF(B1953=IFERROR(VLOOKUP(B1953,base!$K$2:$K$20,1,0),""),"Serviços",IF(B1953="Gorjeta","Gorjeta","Combos"))))</f>
        <v>Serviços</v>
      </c>
      <c r="J1953">
        <f t="shared" si="94"/>
        <v>15.75</v>
      </c>
      <c r="K1953" s="1">
        <f t="shared" si="95"/>
        <v>45787.541666666664</v>
      </c>
      <c r="L1953" s="1">
        <f t="shared" si="96"/>
        <v>45787.541666666664</v>
      </c>
      <c r="M1953" s="1">
        <f t="shared" si="93"/>
        <v>45787.541666666664</v>
      </c>
      <c r="N1953" s="1"/>
      <c r="O1953" t="str">
        <f t="shared" si="97"/>
        <v>PIX</v>
      </c>
      <c r="P1953" t="s">
        <v>149</v>
      </c>
      <c r="Q1953" t="str">
        <f t="shared" si="98"/>
        <v>Serviços</v>
      </c>
      <c r="R1953" t="str">
        <f t="shared" si="99"/>
        <v>Corte</v>
      </c>
      <c r="T1953" s="14">
        <f t="shared" si="100"/>
        <v>35</v>
      </c>
      <c r="U1953" s="14">
        <f t="shared" si="101"/>
        <v>35</v>
      </c>
      <c r="V1953" s="14"/>
      <c r="W1953" t="str">
        <f>IF(A1953=$A$1707,base!$I$3,IF(A1953=$A$1709,base!$I$2,IF(Receitas!A1953=Receitas!$A$1701,base!$I$4,"")))</f>
        <v>Christian Magon</v>
      </c>
      <c r="X1953" t="str">
        <f t="shared" si="102"/>
        <v>Leonan Roberto Aniceto Pereira</v>
      </c>
    </row>
    <row r="1954" spans="1:24">
      <c r="A1954" t="s">
        <v>536</v>
      </c>
      <c r="B1954" t="s">
        <v>163</v>
      </c>
      <c r="C1954" t="s">
        <v>2912</v>
      </c>
      <c r="D1954" s="14">
        <v>35</v>
      </c>
      <c r="E1954" s="14">
        <v>35</v>
      </c>
      <c r="F1954" s="13">
        <v>45787.510416666664</v>
      </c>
      <c r="G1954" t="s">
        <v>310</v>
      </c>
      <c r="H1954" t="s">
        <v>1531</v>
      </c>
      <c r="I1954" t="str">
        <f>IF(A1954="","Pacote",IF(B1954=IFERROR(VLOOKUP(B1954,base!$L$1:$L$20,1,0),""),"Produtos",IF(B1954=IFERROR(VLOOKUP(B1954,base!$K$2:$K$20,1,0),""),"Serviços",IF(B1954="Gorjeta","Gorjeta","Combos"))))</f>
        <v>Serviços</v>
      </c>
      <c r="J1954">
        <f t="shared" si="94"/>
        <v>15.75</v>
      </c>
      <c r="K1954" s="1">
        <f t="shared" si="95"/>
        <v>45787.510416666664</v>
      </c>
      <c r="L1954" s="1">
        <f t="shared" si="96"/>
        <v>45787.510416666664</v>
      </c>
      <c r="M1954" s="1">
        <f t="shared" si="93"/>
        <v>45787.510416666664</v>
      </c>
      <c r="N1954" s="1"/>
      <c r="O1954" t="str">
        <f t="shared" si="97"/>
        <v>Cartão de Débito</v>
      </c>
      <c r="P1954" t="s">
        <v>149</v>
      </c>
      <c r="Q1954" t="str">
        <f t="shared" si="98"/>
        <v>Serviços</v>
      </c>
      <c r="R1954" t="str">
        <f t="shared" si="99"/>
        <v>Corte</v>
      </c>
      <c r="T1954" s="14">
        <f t="shared" si="100"/>
        <v>35</v>
      </c>
      <c r="U1954" s="14">
        <f t="shared" si="101"/>
        <v>35</v>
      </c>
      <c r="V1954" s="14"/>
      <c r="W1954" t="str">
        <f>IF(A1954=$A$1707,base!$I$3,IF(A1954=$A$1709,base!$I$2,IF(Receitas!A1954=Receitas!$A$1701,base!$I$4,"")))</f>
        <v>PATRICK CARDOSO</v>
      </c>
      <c r="X1954" t="str">
        <f t="shared" si="102"/>
        <v>Patrick Puell</v>
      </c>
    </row>
    <row r="1955" spans="1:24">
      <c r="A1955" t="s">
        <v>519</v>
      </c>
      <c r="B1955" t="s">
        <v>306</v>
      </c>
      <c r="C1955" t="s">
        <v>2913</v>
      </c>
      <c r="D1955" s="14">
        <v>55</v>
      </c>
      <c r="E1955" s="14">
        <v>70</v>
      </c>
      <c r="F1955" s="13">
        <v>45787.524305555555</v>
      </c>
      <c r="G1955" t="s">
        <v>1</v>
      </c>
      <c r="H1955" t="s">
        <v>2088</v>
      </c>
      <c r="I1955" t="str">
        <f>IF(A1955="","Pacote",IF(B1955=IFERROR(VLOOKUP(B1955,base!$L$1:$L$20,1,0),""),"Produtos",IF(B1955=IFERROR(VLOOKUP(B1955,base!$K$2:$K$20,1,0),""),"Serviços",IF(B1955="Gorjeta","Gorjeta","Combos"))))</f>
        <v>Combos</v>
      </c>
      <c r="J1955">
        <f t="shared" si="94"/>
        <v>24.75</v>
      </c>
      <c r="K1955" s="1">
        <f t="shared" si="95"/>
        <v>45787.524305555555</v>
      </c>
      <c r="L1955" s="1">
        <f t="shared" si="96"/>
        <v>45787.524305555555</v>
      </c>
      <c r="M1955" s="1">
        <f t="shared" si="93"/>
        <v>45787.524305555555</v>
      </c>
      <c r="N1955" s="1"/>
      <c r="O1955" t="str">
        <f t="shared" si="97"/>
        <v>PIX</v>
      </c>
      <c r="P1955" t="s">
        <v>149</v>
      </c>
      <c r="Q1955" t="str">
        <f t="shared" si="98"/>
        <v>Combos</v>
      </c>
      <c r="R1955" t="str">
        <f t="shared" si="99"/>
        <v>combo ( corte + pigmentação)</v>
      </c>
      <c r="T1955" s="14">
        <f t="shared" si="100"/>
        <v>55</v>
      </c>
      <c r="U1955" s="14">
        <f t="shared" si="101"/>
        <v>70</v>
      </c>
      <c r="V1955" s="14"/>
      <c r="W1955" t="str">
        <f>IF(A1955=$A$1707,base!$I$3,IF(A1955=$A$1709,base!$I$2,IF(Receitas!A1955=Receitas!$A$1701,base!$I$4,"")))</f>
        <v>Gustavo de Castro</v>
      </c>
      <c r="X1955" t="str">
        <f t="shared" si="102"/>
        <v>valdecir oliveira</v>
      </c>
    </row>
    <row r="1956" spans="1:24">
      <c r="A1956" t="s">
        <v>519</v>
      </c>
      <c r="B1956" t="s">
        <v>1046</v>
      </c>
      <c r="C1956" t="s">
        <v>2913</v>
      </c>
      <c r="D1956" s="14">
        <v>15</v>
      </c>
      <c r="F1956" s="13">
        <v>45787.524305555555</v>
      </c>
      <c r="G1956" t="s">
        <v>1</v>
      </c>
      <c r="H1956" t="s">
        <v>2088</v>
      </c>
      <c r="I1956" t="str">
        <f>IF(A1956="","Pacote",IF(B1956=IFERROR(VLOOKUP(B1956,base!$L$1:$L$20,1,0),""),"Produtos",IF(B1956=IFERROR(VLOOKUP(B1956,base!$K$2:$K$20,1,0),""),"Serviços",IF(B1956="Gorjeta","Gorjeta","Combos"))))</f>
        <v>Serviços</v>
      </c>
      <c r="J1956">
        <f t="shared" si="94"/>
        <v>6.75</v>
      </c>
      <c r="K1956" s="1">
        <f t="shared" si="95"/>
        <v>45787.524305555555</v>
      </c>
      <c r="L1956" s="1">
        <f t="shared" si="96"/>
        <v>45787.524305555555</v>
      </c>
      <c r="M1956" s="1">
        <f t="shared" si="93"/>
        <v>45787.524305555555</v>
      </c>
      <c r="N1956" s="1"/>
      <c r="O1956" t="str">
        <f t="shared" si="97"/>
        <v>PIX</v>
      </c>
      <c r="P1956" t="s">
        <v>149</v>
      </c>
      <c r="Q1956" t="str">
        <f t="shared" si="98"/>
        <v>Serviços</v>
      </c>
      <c r="R1956" t="str">
        <f t="shared" si="99"/>
        <v>Barba</v>
      </c>
      <c r="T1956" s="14">
        <f t="shared" si="100"/>
        <v>15</v>
      </c>
      <c r="U1956" s="14">
        <f t="shared" si="101"/>
        <v>0</v>
      </c>
      <c r="V1956" s="14"/>
      <c r="W1956" t="str">
        <f>IF(A1956=$A$1707,base!$I$3,IF(A1956=$A$1709,base!$I$2,IF(Receitas!A1956=Receitas!$A$1701,base!$I$4,"")))</f>
        <v>Gustavo de Castro</v>
      </c>
      <c r="X1956" t="str">
        <f t="shared" si="102"/>
        <v>valdecir oliveira</v>
      </c>
    </row>
    <row r="1957" spans="1:24">
      <c r="A1957" t="s">
        <v>252</v>
      </c>
      <c r="B1957" t="s">
        <v>163</v>
      </c>
      <c r="C1957" t="s">
        <v>2914</v>
      </c>
      <c r="D1957" s="14">
        <v>35</v>
      </c>
      <c r="E1957" s="14">
        <v>35</v>
      </c>
      <c r="F1957" s="13">
        <v>45787.75</v>
      </c>
      <c r="G1957" t="s">
        <v>1</v>
      </c>
      <c r="H1957" t="s">
        <v>73</v>
      </c>
      <c r="I1957" t="str">
        <f>IF(A1957="","Pacote",IF(B1957=IFERROR(VLOOKUP(B1957,base!$L$1:$L$20,1,0),""),"Produtos",IF(B1957=IFERROR(VLOOKUP(B1957,base!$K$2:$K$20,1,0),""),"Serviços",IF(B1957="Gorjeta","Gorjeta","Combos"))))</f>
        <v>Serviços</v>
      </c>
      <c r="J1957">
        <f t="shared" si="94"/>
        <v>15.75</v>
      </c>
      <c r="K1957" s="1">
        <f t="shared" si="95"/>
        <v>45787.75</v>
      </c>
      <c r="L1957" s="1">
        <f t="shared" si="96"/>
        <v>45787.75</v>
      </c>
      <c r="M1957" s="1">
        <f t="shared" si="93"/>
        <v>45787.75</v>
      </c>
      <c r="N1957" s="1"/>
      <c r="O1957" t="str">
        <f t="shared" si="97"/>
        <v>PIX</v>
      </c>
      <c r="P1957" t="s">
        <v>149</v>
      </c>
      <c r="Q1957" t="str">
        <f t="shared" si="98"/>
        <v>Serviços</v>
      </c>
      <c r="R1957" t="str">
        <f t="shared" si="99"/>
        <v>Corte</v>
      </c>
      <c r="T1957" s="14">
        <f t="shared" si="100"/>
        <v>35</v>
      </c>
      <c r="U1957" s="14">
        <f t="shared" si="101"/>
        <v>35</v>
      </c>
      <c r="V1957" s="14"/>
      <c r="W1957" t="str">
        <f>IF(A1957=$A$1707,base!$I$3,IF(A1957=$A$1709,base!$I$2,IF(Receitas!A1957=Receitas!$A$1701,base!$I$4,"")))</f>
        <v>Christian Magon</v>
      </c>
      <c r="X1957" t="str">
        <f t="shared" si="102"/>
        <v>Lucas Aniceto</v>
      </c>
    </row>
    <row r="1958" spans="1:24">
      <c r="A1958" t="s">
        <v>252</v>
      </c>
      <c r="B1958" t="s">
        <v>353</v>
      </c>
      <c r="C1958" t="s">
        <v>2915</v>
      </c>
      <c r="D1958" s="14">
        <v>60</v>
      </c>
      <c r="E1958" s="14">
        <v>60</v>
      </c>
      <c r="F1958" s="13">
        <v>45787.625</v>
      </c>
      <c r="G1958" t="s">
        <v>1</v>
      </c>
      <c r="H1958" t="s">
        <v>363</v>
      </c>
      <c r="I1958" t="str">
        <f>IF(A1958="","Pacote",IF(B1958=IFERROR(VLOOKUP(B1958,base!$L$1:$L$20,1,0),""),"Produtos",IF(B1958=IFERROR(VLOOKUP(B1958,base!$K$2:$K$20,1,0),""),"Serviços",IF(B1958="Gorjeta","Gorjeta","Combos"))))</f>
        <v>Combos</v>
      </c>
      <c r="J1958">
        <f t="shared" si="94"/>
        <v>27</v>
      </c>
      <c r="K1958" s="1">
        <f t="shared" si="95"/>
        <v>45787.625</v>
      </c>
      <c r="L1958" s="1">
        <f t="shared" si="96"/>
        <v>45787.625</v>
      </c>
      <c r="M1958" s="1">
        <f t="shared" si="93"/>
        <v>45787.625</v>
      </c>
      <c r="N1958" s="1"/>
      <c r="O1958" t="str">
        <f t="shared" si="97"/>
        <v>PIX</v>
      </c>
      <c r="P1958" t="s">
        <v>149</v>
      </c>
      <c r="Q1958" t="str">
        <f t="shared" si="98"/>
        <v>Combos</v>
      </c>
      <c r="R1958" t="str">
        <f t="shared" si="99"/>
        <v>Combo ( Corte + Barba )</v>
      </c>
      <c r="T1958" s="14">
        <f t="shared" si="100"/>
        <v>60</v>
      </c>
      <c r="U1958" s="14">
        <f t="shared" si="101"/>
        <v>60</v>
      </c>
      <c r="V1958" s="14"/>
      <c r="W1958" t="str">
        <f>IF(A1958=$A$1707,base!$I$3,IF(A1958=$A$1709,base!$I$2,IF(Receitas!A1958=Receitas!$A$1701,base!$I$4,"")))</f>
        <v>Christian Magon</v>
      </c>
      <c r="X1958" t="str">
        <f t="shared" si="102"/>
        <v>Clayton Queroz</v>
      </c>
    </row>
    <row r="1959" spans="1:24">
      <c r="A1959" t="s">
        <v>519</v>
      </c>
      <c r="B1959" t="s">
        <v>163</v>
      </c>
      <c r="C1959" t="s">
        <v>2916</v>
      </c>
      <c r="D1959" s="14">
        <v>35</v>
      </c>
      <c r="E1959" s="14">
        <v>35</v>
      </c>
      <c r="F1959" s="13">
        <v>45787.614583333336</v>
      </c>
      <c r="G1959" t="s">
        <v>1</v>
      </c>
      <c r="H1959" t="s">
        <v>282</v>
      </c>
      <c r="I1959" t="str">
        <f>IF(A1959="","Pacote",IF(B1959=IFERROR(VLOOKUP(B1959,base!$L$1:$L$20,1,0),""),"Produtos",IF(B1959=IFERROR(VLOOKUP(B1959,base!$K$2:$K$20,1,0),""),"Serviços",IF(B1959="Gorjeta","Gorjeta","Combos"))))</f>
        <v>Serviços</v>
      </c>
      <c r="J1959">
        <f t="shared" si="94"/>
        <v>15.75</v>
      </c>
      <c r="K1959" s="1">
        <f t="shared" si="95"/>
        <v>45787.614583333336</v>
      </c>
      <c r="L1959" s="1">
        <f t="shared" si="96"/>
        <v>45787.614583333336</v>
      </c>
      <c r="M1959" s="1">
        <f t="shared" si="93"/>
        <v>45787.614583333336</v>
      </c>
      <c r="N1959" s="1"/>
      <c r="O1959" t="str">
        <f t="shared" si="97"/>
        <v>PIX</v>
      </c>
      <c r="P1959" t="s">
        <v>149</v>
      </c>
      <c r="Q1959" t="str">
        <f t="shared" si="98"/>
        <v>Serviços</v>
      </c>
      <c r="R1959" t="str">
        <f t="shared" si="99"/>
        <v>Corte</v>
      </c>
      <c r="T1959" s="14">
        <f t="shared" si="100"/>
        <v>35</v>
      </c>
      <c r="U1959" s="14">
        <f t="shared" si="101"/>
        <v>35</v>
      </c>
      <c r="V1959" s="14"/>
      <c r="W1959" t="str">
        <f>IF(A1959=$A$1707,base!$I$3,IF(A1959=$A$1709,base!$I$2,IF(Receitas!A1959=Receitas!$A$1701,base!$I$4,"")))</f>
        <v>Gustavo de Castro</v>
      </c>
      <c r="X1959" t="str">
        <f t="shared" si="102"/>
        <v>Eduardo Menndes</v>
      </c>
    </row>
    <row r="1960" spans="1:24">
      <c r="A1960" t="s">
        <v>536</v>
      </c>
      <c r="B1960" t="s">
        <v>353</v>
      </c>
      <c r="C1960" t="s">
        <v>2917</v>
      </c>
      <c r="D1960" s="14">
        <v>60</v>
      </c>
      <c r="E1960" s="14">
        <v>60</v>
      </c>
      <c r="F1960" s="13">
        <v>45787.604166666664</v>
      </c>
      <c r="G1960" t="s">
        <v>2</v>
      </c>
      <c r="H1960" t="s">
        <v>2270</v>
      </c>
      <c r="I1960" t="str">
        <f>IF(A1960="","Pacote",IF(B1960=IFERROR(VLOOKUP(B1960,base!$L$1:$L$20,1,0),""),"Produtos",IF(B1960=IFERROR(VLOOKUP(B1960,base!$K$2:$K$20,1,0),""),"Serviços",IF(B1960="Gorjeta","Gorjeta","Combos"))))</f>
        <v>Combos</v>
      </c>
      <c r="J1960">
        <f t="shared" si="94"/>
        <v>27</v>
      </c>
      <c r="K1960" s="1">
        <f t="shared" si="95"/>
        <v>45787.604166666664</v>
      </c>
      <c r="L1960" s="1">
        <f t="shared" si="96"/>
        <v>45787.604166666664</v>
      </c>
      <c r="M1960" s="1">
        <f t="shared" si="93"/>
        <v>45787.604166666664</v>
      </c>
      <c r="N1960" s="1"/>
      <c r="O1960" t="str">
        <f t="shared" si="97"/>
        <v>Dinheiro</v>
      </c>
      <c r="P1960" t="s">
        <v>149</v>
      </c>
      <c r="Q1960" t="str">
        <f t="shared" si="98"/>
        <v>Combos</v>
      </c>
      <c r="R1960" t="str">
        <f t="shared" si="99"/>
        <v>Combo ( Corte + Barba )</v>
      </c>
      <c r="T1960" s="14">
        <f t="shared" si="100"/>
        <v>60</v>
      </c>
      <c r="U1960" s="14">
        <f t="shared" si="101"/>
        <v>60</v>
      </c>
      <c r="V1960" s="14"/>
      <c r="W1960" t="str">
        <f>IF(A1960=$A$1707,base!$I$3,IF(A1960=$A$1709,base!$I$2,IF(Receitas!A1960=Receitas!$A$1701,base!$I$4,"")))</f>
        <v>PATRICK CARDOSO</v>
      </c>
      <c r="X1960" t="str">
        <f t="shared" si="102"/>
        <v>Thiago Lacerda</v>
      </c>
    </row>
    <row r="1961" spans="1:24">
      <c r="A1961" t="s">
        <v>536</v>
      </c>
      <c r="B1961" t="s">
        <v>163</v>
      </c>
      <c r="C1961" t="s">
        <v>2918</v>
      </c>
      <c r="D1961" s="14">
        <v>35</v>
      </c>
      <c r="E1961" s="14">
        <v>35</v>
      </c>
      <c r="F1961" s="13">
        <v>45787.770833333336</v>
      </c>
      <c r="G1961" t="s">
        <v>1</v>
      </c>
      <c r="H1961" t="s">
        <v>1720</v>
      </c>
      <c r="I1961" t="str">
        <f>IF(A1961="","Pacote",IF(B1961=IFERROR(VLOOKUP(B1961,base!$L$1:$L$20,1,0),""),"Produtos",IF(B1961=IFERROR(VLOOKUP(B1961,base!$K$2:$K$20,1,0),""),"Serviços",IF(B1961="Gorjeta","Gorjeta","Combos"))))</f>
        <v>Serviços</v>
      </c>
      <c r="J1961">
        <f t="shared" si="94"/>
        <v>15.75</v>
      </c>
      <c r="K1961" s="1">
        <f t="shared" si="95"/>
        <v>45787.770833333336</v>
      </c>
      <c r="L1961" s="1">
        <f t="shared" si="96"/>
        <v>45787.770833333336</v>
      </c>
      <c r="M1961" s="1">
        <f t="shared" si="93"/>
        <v>45787.770833333336</v>
      </c>
      <c r="N1961" s="1"/>
      <c r="O1961" t="str">
        <f t="shared" si="97"/>
        <v>PIX</v>
      </c>
      <c r="P1961" t="s">
        <v>149</v>
      </c>
      <c r="Q1961" t="str">
        <f t="shared" si="98"/>
        <v>Serviços</v>
      </c>
      <c r="R1961" t="str">
        <f t="shared" si="99"/>
        <v>Corte</v>
      </c>
      <c r="T1961" s="14">
        <f t="shared" si="100"/>
        <v>35</v>
      </c>
      <c r="U1961" s="14">
        <f t="shared" si="101"/>
        <v>35</v>
      </c>
      <c r="V1961" s="14"/>
      <c r="W1961" t="str">
        <f>IF(A1961=$A$1707,base!$I$3,IF(A1961=$A$1709,base!$I$2,IF(Receitas!A1961=Receitas!$A$1701,base!$I$4,"")))</f>
        <v>PATRICK CARDOSO</v>
      </c>
      <c r="X1961" t="str">
        <f t="shared" si="102"/>
        <v>Luciana Curvello</v>
      </c>
    </row>
    <row r="1962" spans="1:24">
      <c r="A1962" t="s">
        <v>536</v>
      </c>
      <c r="B1962" t="s">
        <v>163</v>
      </c>
      <c r="C1962" t="s">
        <v>2919</v>
      </c>
      <c r="D1962" s="14">
        <v>35</v>
      </c>
      <c r="E1962" s="14">
        <v>35</v>
      </c>
      <c r="F1962" s="13">
        <v>45787.559027777781</v>
      </c>
      <c r="G1962" t="s">
        <v>1</v>
      </c>
      <c r="H1962" t="s">
        <v>213</v>
      </c>
      <c r="I1962" t="str">
        <f>IF(A1962="","Pacote",IF(B1962=IFERROR(VLOOKUP(B1962,base!$L$1:$L$20,1,0),""),"Produtos",IF(B1962=IFERROR(VLOOKUP(B1962,base!$K$2:$K$20,1,0),""),"Serviços",IF(B1962="Gorjeta","Gorjeta","Combos"))))</f>
        <v>Serviços</v>
      </c>
      <c r="J1962">
        <f t="shared" si="94"/>
        <v>15.75</v>
      </c>
      <c r="K1962" s="1">
        <f t="shared" si="95"/>
        <v>45787.559027777781</v>
      </c>
      <c r="L1962" s="1">
        <f t="shared" si="96"/>
        <v>45787.559027777781</v>
      </c>
      <c r="M1962" s="1">
        <f t="shared" si="93"/>
        <v>45787.559027777781</v>
      </c>
      <c r="N1962" s="1"/>
      <c r="O1962" t="str">
        <f t="shared" si="97"/>
        <v>PIX</v>
      </c>
      <c r="P1962" t="s">
        <v>149</v>
      </c>
      <c r="Q1962" t="str">
        <f t="shared" si="98"/>
        <v>Serviços</v>
      </c>
      <c r="R1962" t="str">
        <f t="shared" si="99"/>
        <v>Corte</v>
      </c>
      <c r="T1962" s="14">
        <f t="shared" si="100"/>
        <v>35</v>
      </c>
      <c r="U1962" s="14">
        <f t="shared" si="101"/>
        <v>35</v>
      </c>
      <c r="V1962" s="14"/>
      <c r="W1962" t="str">
        <f>IF(A1962=$A$1707,base!$I$3,IF(A1962=$A$1709,base!$I$2,IF(Receitas!A1962=Receitas!$A$1701,base!$I$4,"")))</f>
        <v>PATRICK CARDOSO</v>
      </c>
      <c r="X1962" t="str">
        <f t="shared" si="102"/>
        <v>Rafael borges</v>
      </c>
    </row>
    <row r="1963" spans="1:24">
      <c r="A1963" t="s">
        <v>519</v>
      </c>
      <c r="B1963" t="s">
        <v>2825</v>
      </c>
      <c r="C1963" t="s">
        <v>2920</v>
      </c>
      <c r="D1963" s="14">
        <v>20</v>
      </c>
      <c r="E1963" s="14">
        <v>70</v>
      </c>
      <c r="F1963" s="13">
        <v>45787.565972222219</v>
      </c>
      <c r="G1963" t="s">
        <v>1</v>
      </c>
      <c r="H1963" t="s">
        <v>2921</v>
      </c>
      <c r="I1963" t="str">
        <f>IF(A1963="","Pacote",IF(B1963=IFERROR(VLOOKUP(B1963,base!$L$1:$L$20,1,0),""),"Produtos",IF(B1963=IFERROR(VLOOKUP(B1963,base!$K$2:$K$20,1,0),""),"Serviços",IF(B1963="Gorjeta","Gorjeta","Combos"))))</f>
        <v>Serviços</v>
      </c>
      <c r="J1963">
        <f t="shared" si="94"/>
        <v>9</v>
      </c>
      <c r="K1963" s="1">
        <f t="shared" si="95"/>
        <v>45787.565972222219</v>
      </c>
      <c r="L1963" s="1">
        <f t="shared" si="96"/>
        <v>45787.565972222219</v>
      </c>
      <c r="M1963" s="1">
        <f t="shared" si="93"/>
        <v>45787.565972222219</v>
      </c>
      <c r="N1963" s="1"/>
      <c r="O1963" t="str">
        <f t="shared" si="97"/>
        <v>PIX</v>
      </c>
      <c r="P1963" t="s">
        <v>149</v>
      </c>
      <c r="Q1963" t="str">
        <f t="shared" si="98"/>
        <v>Serviços</v>
      </c>
      <c r="R1963" t="str">
        <f t="shared" si="99"/>
        <v>barboterapia</v>
      </c>
      <c r="T1963" s="14">
        <f t="shared" si="100"/>
        <v>20</v>
      </c>
      <c r="U1963" s="14">
        <f t="shared" si="101"/>
        <v>70</v>
      </c>
      <c r="V1963" s="14"/>
      <c r="W1963" t="str">
        <f>IF(A1963=$A$1707,base!$I$3,IF(A1963=$A$1709,base!$I$2,IF(Receitas!A1963=Receitas!$A$1701,base!$I$4,"")))</f>
        <v>Gustavo de Castro</v>
      </c>
      <c r="X1963" t="str">
        <f t="shared" si="102"/>
        <v>JJ ferrreira</v>
      </c>
    </row>
    <row r="1964" spans="1:24">
      <c r="A1964" t="s">
        <v>519</v>
      </c>
      <c r="B1964" t="s">
        <v>163</v>
      </c>
      <c r="C1964" t="s">
        <v>2920</v>
      </c>
      <c r="D1964" s="14">
        <v>35</v>
      </c>
      <c r="F1964" s="13">
        <v>45787.565972222219</v>
      </c>
      <c r="G1964" t="s">
        <v>1</v>
      </c>
      <c r="H1964" t="s">
        <v>2921</v>
      </c>
      <c r="I1964" t="str">
        <f>IF(A1964="","Pacote",IF(B1964=IFERROR(VLOOKUP(B1964,base!$L$1:$L$20,1,0),""),"Produtos",IF(B1964=IFERROR(VLOOKUP(B1964,base!$K$2:$K$20,1,0),""),"Serviços",IF(B1964="Gorjeta","Gorjeta","Combos"))))</f>
        <v>Serviços</v>
      </c>
      <c r="J1964">
        <f t="shared" si="94"/>
        <v>15.75</v>
      </c>
      <c r="K1964" s="1">
        <f t="shared" si="95"/>
        <v>45787.565972222219</v>
      </c>
      <c r="L1964" s="1">
        <f t="shared" si="96"/>
        <v>45787.565972222219</v>
      </c>
      <c r="M1964" s="1">
        <f t="shared" si="93"/>
        <v>45787.565972222219</v>
      </c>
      <c r="N1964" s="1"/>
      <c r="O1964" t="str">
        <f t="shared" si="97"/>
        <v>PIX</v>
      </c>
      <c r="P1964" t="s">
        <v>149</v>
      </c>
      <c r="Q1964" t="str">
        <f t="shared" si="98"/>
        <v>Serviços</v>
      </c>
      <c r="R1964" t="str">
        <f t="shared" si="99"/>
        <v>Corte</v>
      </c>
      <c r="T1964" s="14">
        <f t="shared" si="100"/>
        <v>35</v>
      </c>
      <c r="U1964" s="14">
        <f t="shared" si="101"/>
        <v>0</v>
      </c>
      <c r="V1964" s="14"/>
      <c r="W1964" t="str">
        <f>IF(A1964=$A$1707,base!$I$3,IF(A1964=$A$1709,base!$I$2,IF(Receitas!A1964=Receitas!$A$1701,base!$I$4,"")))</f>
        <v>Gustavo de Castro</v>
      </c>
      <c r="X1964" t="str">
        <f t="shared" si="102"/>
        <v>JJ ferrreira</v>
      </c>
    </row>
    <row r="1965" spans="1:24">
      <c r="A1965" t="s">
        <v>519</v>
      </c>
      <c r="B1965" t="s">
        <v>1046</v>
      </c>
      <c r="C1965" t="s">
        <v>2920</v>
      </c>
      <c r="D1965" s="14">
        <v>15</v>
      </c>
      <c r="F1965" s="13">
        <v>45787.565972222219</v>
      </c>
      <c r="G1965" t="s">
        <v>1</v>
      </c>
      <c r="H1965" t="s">
        <v>2921</v>
      </c>
      <c r="I1965" t="str">
        <f>IF(A1965="","Pacote",IF(B1965=IFERROR(VLOOKUP(B1965,base!$L$1:$L$20,1,0),""),"Produtos",IF(B1965=IFERROR(VLOOKUP(B1965,base!$K$2:$K$20,1,0),""),"Serviços",IF(B1965="Gorjeta","Gorjeta","Combos"))))</f>
        <v>Serviços</v>
      </c>
      <c r="J1965">
        <f t="shared" si="94"/>
        <v>6.75</v>
      </c>
      <c r="K1965" s="1">
        <f t="shared" si="95"/>
        <v>45787.565972222219</v>
      </c>
      <c r="L1965" s="1">
        <f t="shared" si="96"/>
        <v>45787.565972222219</v>
      </c>
      <c r="M1965" s="1">
        <f t="shared" si="93"/>
        <v>45787.565972222219</v>
      </c>
      <c r="N1965" s="1"/>
      <c r="O1965" t="str">
        <f t="shared" si="97"/>
        <v>PIX</v>
      </c>
      <c r="P1965" t="s">
        <v>149</v>
      </c>
      <c r="Q1965" t="str">
        <f t="shared" si="98"/>
        <v>Serviços</v>
      </c>
      <c r="R1965" t="str">
        <f t="shared" si="99"/>
        <v>Barba</v>
      </c>
      <c r="T1965" s="14">
        <f t="shared" si="100"/>
        <v>15</v>
      </c>
      <c r="U1965" s="14">
        <f t="shared" si="101"/>
        <v>0</v>
      </c>
      <c r="V1965" s="14"/>
      <c r="W1965" t="str">
        <f>IF(A1965=$A$1707,base!$I$3,IF(A1965=$A$1709,base!$I$2,IF(Receitas!A1965=Receitas!$A$1701,base!$I$4,"")))</f>
        <v>Gustavo de Castro</v>
      </c>
      <c r="X1965" t="str">
        <f t="shared" si="102"/>
        <v>JJ ferrreira</v>
      </c>
    </row>
    <row r="1966" spans="1:24">
      <c r="A1966" t="s">
        <v>536</v>
      </c>
      <c r="B1966" t="s">
        <v>163</v>
      </c>
      <c r="C1966" t="s">
        <v>2922</v>
      </c>
      <c r="D1966" s="14">
        <v>35</v>
      </c>
      <c r="E1966" s="14">
        <v>35</v>
      </c>
      <c r="F1966" s="13">
        <v>45787.576388888891</v>
      </c>
      <c r="G1966" t="s">
        <v>2</v>
      </c>
      <c r="H1966" t="s">
        <v>75</v>
      </c>
      <c r="I1966" t="str">
        <f>IF(A1966="","Pacote",IF(B1966=IFERROR(VLOOKUP(B1966,base!$L$1:$L$20,1,0),""),"Produtos",IF(B1966=IFERROR(VLOOKUP(B1966,base!$K$2:$K$20,1,0),""),"Serviços",IF(B1966="Gorjeta","Gorjeta","Combos"))))</f>
        <v>Serviços</v>
      </c>
      <c r="J1966">
        <f t="shared" si="94"/>
        <v>15.75</v>
      </c>
      <c r="K1966" s="1">
        <f t="shared" si="95"/>
        <v>45787.576388888891</v>
      </c>
      <c r="L1966" s="1">
        <f t="shared" si="96"/>
        <v>45787.576388888891</v>
      </c>
      <c r="M1966" s="1">
        <f t="shared" si="93"/>
        <v>45787.576388888891</v>
      </c>
      <c r="N1966" s="1"/>
      <c r="O1966" t="str">
        <f t="shared" si="97"/>
        <v>Dinheiro</v>
      </c>
      <c r="P1966" t="s">
        <v>149</v>
      </c>
      <c r="Q1966" t="str">
        <f t="shared" si="98"/>
        <v>Serviços</v>
      </c>
      <c r="R1966" t="str">
        <f t="shared" si="99"/>
        <v>Corte</v>
      </c>
      <c r="T1966" s="14">
        <f t="shared" si="100"/>
        <v>35</v>
      </c>
      <c r="U1966" s="14">
        <f t="shared" si="101"/>
        <v>35</v>
      </c>
      <c r="V1966" s="14"/>
      <c r="W1966" t="str">
        <f>IF(A1966=$A$1707,base!$I$3,IF(A1966=$A$1709,base!$I$2,IF(Receitas!A1966=Receitas!$A$1701,base!$I$4,"")))</f>
        <v>PATRICK CARDOSO</v>
      </c>
      <c r="X1966" t="str">
        <f t="shared" si="102"/>
        <v>joaquin varão</v>
      </c>
    </row>
    <row r="1967" spans="1:24">
      <c r="A1967" t="s">
        <v>536</v>
      </c>
      <c r="B1967" t="s">
        <v>353</v>
      </c>
      <c r="C1967" t="s">
        <v>2923</v>
      </c>
      <c r="D1967" s="14">
        <v>50</v>
      </c>
      <c r="E1967" s="14">
        <v>50</v>
      </c>
      <c r="F1967" s="13">
        <v>45787.708333333336</v>
      </c>
      <c r="G1967" t="s">
        <v>1</v>
      </c>
      <c r="H1967" t="s">
        <v>1499</v>
      </c>
      <c r="I1967" t="str">
        <f>IF(A1967="","Pacote",IF(B1967=IFERROR(VLOOKUP(B1967,base!$L$1:$L$20,1,0),""),"Produtos",IF(B1967=IFERROR(VLOOKUP(B1967,base!$K$2:$K$20,1,0),""),"Serviços",IF(B1967="Gorjeta","Gorjeta","Combos"))))</f>
        <v>Combos</v>
      </c>
      <c r="J1967">
        <f t="shared" si="94"/>
        <v>22.5</v>
      </c>
      <c r="K1967" s="1">
        <f t="shared" si="95"/>
        <v>45787.708333333336</v>
      </c>
      <c r="L1967" s="1">
        <f t="shared" si="96"/>
        <v>45787.708333333336</v>
      </c>
      <c r="M1967" s="1">
        <f t="shared" si="93"/>
        <v>45787.708333333336</v>
      </c>
      <c r="N1967" s="1"/>
      <c r="O1967" t="str">
        <f t="shared" si="97"/>
        <v>PIX</v>
      </c>
      <c r="P1967" t="s">
        <v>149</v>
      </c>
      <c r="Q1967" t="str">
        <f t="shared" si="98"/>
        <v>Combos</v>
      </c>
      <c r="R1967" t="str">
        <f t="shared" si="99"/>
        <v>Combo ( Corte + Barba )</v>
      </c>
      <c r="T1967" s="14">
        <f t="shared" si="100"/>
        <v>50</v>
      </c>
      <c r="U1967" s="14">
        <f t="shared" si="101"/>
        <v>50</v>
      </c>
      <c r="V1967" s="14"/>
      <c r="W1967" t="str">
        <f>IF(A1967=$A$1707,base!$I$3,IF(A1967=$A$1709,base!$I$2,IF(Receitas!A1967=Receitas!$A$1701,base!$I$4,"")))</f>
        <v>PATRICK CARDOSO</v>
      </c>
      <c r="X1967" t="str">
        <f t="shared" si="102"/>
        <v>Kelven Moraes</v>
      </c>
    </row>
    <row r="1968" spans="1:24">
      <c r="A1968" t="s">
        <v>252</v>
      </c>
      <c r="B1968" t="s">
        <v>163</v>
      </c>
      <c r="C1968" t="s">
        <v>2924</v>
      </c>
      <c r="D1968" s="14">
        <v>35</v>
      </c>
      <c r="E1968" s="14">
        <v>40</v>
      </c>
      <c r="F1968" s="13">
        <v>45787.59375</v>
      </c>
      <c r="G1968" t="s">
        <v>2</v>
      </c>
      <c r="H1968" t="s">
        <v>2925</v>
      </c>
      <c r="I1968" t="str">
        <f>IF(A1968="","Pacote",IF(B1968=IFERROR(VLOOKUP(B1968,base!$L$1:$L$20,1,0),""),"Produtos",IF(B1968=IFERROR(VLOOKUP(B1968,base!$K$2:$K$20,1,0),""),"Serviços",IF(B1968="Gorjeta","Gorjeta","Combos"))))</f>
        <v>Serviços</v>
      </c>
      <c r="J1968">
        <f t="shared" si="94"/>
        <v>15.75</v>
      </c>
      <c r="K1968" s="1">
        <f t="shared" si="95"/>
        <v>45787.59375</v>
      </c>
      <c r="L1968" s="1">
        <f t="shared" si="96"/>
        <v>45787.59375</v>
      </c>
      <c r="M1968" s="1">
        <f t="shared" si="93"/>
        <v>45787.59375</v>
      </c>
      <c r="N1968" s="1"/>
      <c r="O1968" t="str">
        <f t="shared" si="97"/>
        <v>Dinheiro</v>
      </c>
      <c r="P1968" t="s">
        <v>149</v>
      </c>
      <c r="Q1968" t="str">
        <f t="shared" si="98"/>
        <v>Serviços</v>
      </c>
      <c r="R1968" t="str">
        <f t="shared" si="99"/>
        <v>Corte</v>
      </c>
      <c r="T1968" s="14">
        <f t="shared" si="100"/>
        <v>35</v>
      </c>
      <c r="U1968" s="14">
        <f t="shared" si="101"/>
        <v>40</v>
      </c>
      <c r="V1968" s="14"/>
      <c r="W1968" t="str">
        <f>IF(A1968=$A$1707,base!$I$3,IF(A1968=$A$1709,base!$I$2,IF(Receitas!A1968=Receitas!$A$1701,base!$I$4,"")))</f>
        <v>Christian Magon</v>
      </c>
      <c r="X1968" t="str">
        <f t="shared" si="102"/>
        <v>johnison justino</v>
      </c>
    </row>
    <row r="1969" spans="1:24">
      <c r="A1969" t="s">
        <v>252</v>
      </c>
      <c r="B1969" t="s">
        <v>910</v>
      </c>
      <c r="C1969" t="s">
        <v>2924</v>
      </c>
      <c r="D1969" s="14">
        <v>5</v>
      </c>
      <c r="F1969" s="13">
        <v>45787.59375</v>
      </c>
      <c r="G1969" t="s">
        <v>2</v>
      </c>
      <c r="H1969" t="s">
        <v>2925</v>
      </c>
      <c r="I1969" t="str">
        <f>IF(A1969="","Pacote",IF(B1969=IFERROR(VLOOKUP(B1969,base!$L$1:$L$20,1,0),""),"Produtos",IF(B1969=IFERROR(VLOOKUP(B1969,base!$K$2:$K$20,1,0),""),"Serviços",IF(B1969="Gorjeta","Gorjeta","Combos"))))</f>
        <v>Gorjeta</v>
      </c>
      <c r="J1969">
        <f t="shared" si="94"/>
        <v>2.25</v>
      </c>
      <c r="K1969" s="1">
        <f t="shared" si="95"/>
        <v>45787.59375</v>
      </c>
      <c r="L1969" s="1">
        <f t="shared" si="96"/>
        <v>45787.59375</v>
      </c>
      <c r="M1969" s="1">
        <f t="shared" si="93"/>
        <v>45787.59375</v>
      </c>
      <c r="N1969" s="1"/>
      <c r="O1969" t="str">
        <f t="shared" si="97"/>
        <v>Dinheiro</v>
      </c>
      <c r="P1969" t="s">
        <v>149</v>
      </c>
      <c r="Q1969" t="str">
        <f t="shared" si="98"/>
        <v>Gorjeta</v>
      </c>
      <c r="R1969" t="str">
        <f t="shared" si="99"/>
        <v>Gorjeta</v>
      </c>
      <c r="T1969" s="14">
        <f t="shared" si="100"/>
        <v>5</v>
      </c>
      <c r="U1969" s="14">
        <f t="shared" si="101"/>
        <v>0</v>
      </c>
      <c r="V1969" s="14"/>
      <c r="W1969" t="str">
        <f>IF(A1969=$A$1707,base!$I$3,IF(A1969=$A$1709,base!$I$2,IF(Receitas!A1969=Receitas!$A$1701,base!$I$4,"")))</f>
        <v>Christian Magon</v>
      </c>
      <c r="X1969" t="str">
        <f t="shared" si="102"/>
        <v>johnison justino</v>
      </c>
    </row>
    <row r="1970" spans="1:24">
      <c r="A1970" t="s">
        <v>519</v>
      </c>
      <c r="B1970" t="s">
        <v>163</v>
      </c>
      <c r="C1970" t="s">
        <v>2926</v>
      </c>
      <c r="D1970" s="14">
        <v>35</v>
      </c>
      <c r="E1970" s="14">
        <v>50</v>
      </c>
      <c r="F1970" s="13">
        <v>45787.697916666664</v>
      </c>
      <c r="G1970" t="s">
        <v>310</v>
      </c>
      <c r="H1970" t="s">
        <v>1523</v>
      </c>
      <c r="I1970" t="str">
        <f>IF(A1970="","Pacote",IF(B1970=IFERROR(VLOOKUP(B1970,base!$L$1:$L$20,1,0),""),"Produtos",IF(B1970=IFERROR(VLOOKUP(B1970,base!$K$2:$K$20,1,0),""),"Serviços",IF(B1970="Gorjeta","Gorjeta","Combos"))))</f>
        <v>Serviços</v>
      </c>
      <c r="J1970">
        <f t="shared" si="94"/>
        <v>15.75</v>
      </c>
      <c r="K1970" s="1">
        <f t="shared" si="95"/>
        <v>45787.697916666664</v>
      </c>
      <c r="L1970" s="1">
        <f t="shared" si="96"/>
        <v>45787.697916666664</v>
      </c>
      <c r="M1970" s="1">
        <f t="shared" si="93"/>
        <v>45787.697916666664</v>
      </c>
      <c r="N1970" s="1"/>
      <c r="O1970" t="str">
        <f t="shared" si="97"/>
        <v>Cartão de Débito</v>
      </c>
      <c r="P1970" t="s">
        <v>149</v>
      </c>
      <c r="Q1970" t="str">
        <f t="shared" si="98"/>
        <v>Serviços</v>
      </c>
      <c r="R1970" t="str">
        <f t="shared" si="99"/>
        <v>Corte</v>
      </c>
      <c r="T1970" s="14">
        <f t="shared" si="100"/>
        <v>35</v>
      </c>
      <c r="U1970" s="14">
        <f t="shared" si="101"/>
        <v>50</v>
      </c>
      <c r="V1970" s="14"/>
      <c r="W1970" t="str">
        <f>IF(A1970=$A$1707,base!$I$3,IF(A1970=$A$1709,base!$I$2,IF(Receitas!A1970=Receitas!$A$1701,base!$I$4,"")))</f>
        <v>Gustavo de Castro</v>
      </c>
      <c r="X1970" t="str">
        <f t="shared" si="102"/>
        <v>Victor Manoel</v>
      </c>
    </row>
    <row r="1971" spans="1:24">
      <c r="A1971" t="s">
        <v>519</v>
      </c>
      <c r="B1971" t="s">
        <v>1046</v>
      </c>
      <c r="C1971" t="s">
        <v>2926</v>
      </c>
      <c r="D1971" s="14">
        <v>15</v>
      </c>
      <c r="F1971" s="13">
        <v>45787.697916666664</v>
      </c>
      <c r="G1971" t="s">
        <v>310</v>
      </c>
      <c r="H1971" t="s">
        <v>1523</v>
      </c>
      <c r="I1971" t="str">
        <f>IF(A1971="","Pacote",IF(B1971=IFERROR(VLOOKUP(B1971,base!$L$1:$L$20,1,0),""),"Produtos",IF(B1971=IFERROR(VLOOKUP(B1971,base!$K$2:$K$20,1,0),""),"Serviços",IF(B1971="Gorjeta","Gorjeta","Combos"))))</f>
        <v>Serviços</v>
      </c>
      <c r="J1971">
        <f t="shared" si="94"/>
        <v>6.75</v>
      </c>
      <c r="K1971" s="1">
        <f t="shared" si="95"/>
        <v>45787.697916666664</v>
      </c>
      <c r="L1971" s="1">
        <f t="shared" si="96"/>
        <v>45787.697916666664</v>
      </c>
      <c r="M1971" s="1">
        <f t="shared" ref="M1971:M2008" si="103">F1971</f>
        <v>45787.697916666664</v>
      </c>
      <c r="N1971" s="1"/>
      <c r="O1971" t="str">
        <f t="shared" si="97"/>
        <v>Cartão de Débito</v>
      </c>
      <c r="P1971" t="s">
        <v>149</v>
      </c>
      <c r="Q1971" t="str">
        <f t="shared" si="98"/>
        <v>Serviços</v>
      </c>
      <c r="R1971" t="str">
        <f t="shared" si="99"/>
        <v>Barba</v>
      </c>
      <c r="T1971" s="14">
        <f t="shared" si="100"/>
        <v>15</v>
      </c>
      <c r="U1971" s="14">
        <f t="shared" si="101"/>
        <v>0</v>
      </c>
      <c r="V1971" s="14"/>
      <c r="W1971" t="str">
        <f>IF(A1971=$A$1707,base!$I$3,IF(A1971=$A$1709,base!$I$2,IF(Receitas!A1971=Receitas!$A$1701,base!$I$4,"")))</f>
        <v>Gustavo de Castro</v>
      </c>
      <c r="X1971" t="str">
        <f t="shared" si="102"/>
        <v>Victor Manoel</v>
      </c>
    </row>
    <row r="1972" spans="1:24">
      <c r="A1972" t="s">
        <v>519</v>
      </c>
      <c r="B1972" t="s">
        <v>163</v>
      </c>
      <c r="C1972" t="s">
        <v>2927</v>
      </c>
      <c r="D1972" s="14">
        <v>35</v>
      </c>
      <c r="E1972" s="14">
        <v>35</v>
      </c>
      <c r="F1972" s="13">
        <v>45787.71875</v>
      </c>
      <c r="G1972" t="s">
        <v>1</v>
      </c>
      <c r="H1972" t="s">
        <v>107</v>
      </c>
      <c r="I1972" t="str">
        <f>IF(A1972="","Pacote",IF(B1972=IFERROR(VLOOKUP(B1972,base!$L$1:$L$20,1,0),""),"Produtos",IF(B1972=IFERROR(VLOOKUP(B1972,base!$K$2:$K$20,1,0),""),"Serviços",IF(B1972="Gorjeta","Gorjeta","Combos"))))</f>
        <v>Serviços</v>
      </c>
      <c r="J1972">
        <f t="shared" ref="J1972:J2008" si="104">IF(AND(I1972="Serviços",E1972&gt;0),ROUND(D1972*45%,2),IF(I1972="Produtos",ROUND(D1972*40%,2),D1972*45%))</f>
        <v>15.75</v>
      </c>
      <c r="K1972" s="1">
        <f t="shared" ref="K1972:K2008" si="105">F1972</f>
        <v>45787.71875</v>
      </c>
      <c r="L1972" s="1">
        <f t="shared" ref="L1972:L2008" si="106">F1972</f>
        <v>45787.71875</v>
      </c>
      <c r="M1972" s="1">
        <f t="shared" si="103"/>
        <v>45787.71875</v>
      </c>
      <c r="N1972" s="1"/>
      <c r="O1972" t="str">
        <f t="shared" ref="O1972:O2008" si="107">G1972</f>
        <v>PIX</v>
      </c>
      <c r="P1972" t="s">
        <v>149</v>
      </c>
      <c r="Q1972" t="str">
        <f t="shared" ref="Q1972:Q2008" si="108">I1972</f>
        <v>Serviços</v>
      </c>
      <c r="R1972" t="str">
        <f t="shared" ref="R1972:R2008" si="109">B1972</f>
        <v>Corte</v>
      </c>
      <c r="T1972" s="14">
        <f t="shared" ref="T1972:T2008" si="110">D1972</f>
        <v>35</v>
      </c>
      <c r="U1972" s="14">
        <f t="shared" ref="U1972:U2008" si="111">E1972</f>
        <v>35</v>
      </c>
      <c r="V1972" s="14"/>
      <c r="W1972" t="str">
        <f>IF(A1972=$A$1707,base!$I$3,IF(A1972=$A$1709,base!$I$2,IF(Receitas!A1972=Receitas!$A$1701,base!$I$4,"")))</f>
        <v>Gustavo de Castro</v>
      </c>
      <c r="X1972" t="str">
        <f t="shared" ref="X1972:X2008" si="112">H1972</f>
        <v>Jhonatan Gabriel Martins Barboza</v>
      </c>
    </row>
    <row r="1973" spans="1:24">
      <c r="A1973" t="s">
        <v>252</v>
      </c>
      <c r="B1973" t="s">
        <v>163</v>
      </c>
      <c r="C1973" t="s">
        <v>2928</v>
      </c>
      <c r="D1973" s="14">
        <v>35</v>
      </c>
      <c r="E1973" s="14">
        <v>35</v>
      </c>
      <c r="F1973" s="13">
        <v>45787.666666666664</v>
      </c>
      <c r="G1973" t="s">
        <v>354</v>
      </c>
      <c r="H1973" t="s">
        <v>296</v>
      </c>
      <c r="I1973" t="str">
        <f>IF(A1973="","Pacote",IF(B1973=IFERROR(VLOOKUP(B1973,base!$L$1:$L$20,1,0),""),"Produtos",IF(B1973=IFERROR(VLOOKUP(B1973,base!$K$2:$K$20,1,0),""),"Serviços",IF(B1973="Gorjeta","Gorjeta","Combos"))))</f>
        <v>Serviços</v>
      </c>
      <c r="J1973">
        <f t="shared" si="104"/>
        <v>15.75</v>
      </c>
      <c r="K1973" s="1">
        <f t="shared" si="105"/>
        <v>45787.666666666664</v>
      </c>
      <c r="L1973" s="1">
        <f t="shared" si="106"/>
        <v>45787.666666666664</v>
      </c>
      <c r="M1973" s="1">
        <f t="shared" si="103"/>
        <v>45787.666666666664</v>
      </c>
      <c r="N1973" s="1"/>
      <c r="O1973" t="str">
        <f t="shared" si="107"/>
        <v>Cartão de Crédito</v>
      </c>
      <c r="P1973" t="s">
        <v>149</v>
      </c>
      <c r="Q1973" t="str">
        <f t="shared" si="108"/>
        <v>Serviços</v>
      </c>
      <c r="R1973" t="str">
        <f t="shared" si="109"/>
        <v>Corte</v>
      </c>
      <c r="T1973" s="14">
        <f t="shared" si="110"/>
        <v>35</v>
      </c>
      <c r="U1973" s="14">
        <f t="shared" si="111"/>
        <v>35</v>
      </c>
      <c r="V1973" s="14"/>
      <c r="W1973" t="str">
        <f>IF(A1973=$A$1707,base!$I$3,IF(A1973=$A$1709,base!$I$2,IF(Receitas!A1973=Receitas!$A$1701,base!$I$4,"")))</f>
        <v>Christian Magon</v>
      </c>
      <c r="X1973" t="str">
        <f t="shared" si="112"/>
        <v>Joao vitor</v>
      </c>
    </row>
    <row r="1974" spans="1:24">
      <c r="A1974" t="s">
        <v>536</v>
      </c>
      <c r="B1974" t="s">
        <v>1046</v>
      </c>
      <c r="C1974" t="s">
        <v>2929</v>
      </c>
      <c r="D1974" s="14">
        <v>45</v>
      </c>
      <c r="E1974" s="14">
        <v>45</v>
      </c>
      <c r="F1974" s="13">
        <v>45787.618055555555</v>
      </c>
      <c r="G1974" t="s">
        <v>1</v>
      </c>
      <c r="H1974" t="s">
        <v>502</v>
      </c>
      <c r="I1974" t="str">
        <f>IF(A1974="","Pacote",IF(B1974=IFERROR(VLOOKUP(B1974,base!$L$1:$L$20,1,0),""),"Produtos",IF(B1974=IFERROR(VLOOKUP(B1974,base!$K$2:$K$20,1,0),""),"Serviços",IF(B1974="Gorjeta","Gorjeta","Combos"))))</f>
        <v>Serviços</v>
      </c>
      <c r="J1974">
        <f t="shared" si="104"/>
        <v>20.25</v>
      </c>
      <c r="K1974" s="1">
        <f t="shared" si="105"/>
        <v>45787.618055555555</v>
      </c>
      <c r="L1974" s="1">
        <f t="shared" si="106"/>
        <v>45787.618055555555</v>
      </c>
      <c r="M1974" s="1">
        <f t="shared" si="103"/>
        <v>45787.618055555555</v>
      </c>
      <c r="N1974" s="1"/>
      <c r="O1974" t="str">
        <f t="shared" si="107"/>
        <v>PIX</v>
      </c>
      <c r="P1974" t="s">
        <v>149</v>
      </c>
      <c r="Q1974" t="str">
        <f t="shared" si="108"/>
        <v>Serviços</v>
      </c>
      <c r="R1974" t="str">
        <f t="shared" si="109"/>
        <v>Barba</v>
      </c>
      <c r="T1974" s="14">
        <f t="shared" si="110"/>
        <v>45</v>
      </c>
      <c r="U1974" s="14">
        <f t="shared" si="111"/>
        <v>45</v>
      </c>
      <c r="V1974" s="14"/>
      <c r="W1974" t="str">
        <f>IF(A1974=$A$1707,base!$I$3,IF(A1974=$A$1709,base!$I$2,IF(Receitas!A1974=Receitas!$A$1701,base!$I$4,"")))</f>
        <v>PATRICK CARDOSO</v>
      </c>
      <c r="X1974" t="str">
        <f t="shared" si="112"/>
        <v>Flavio Fernandes</v>
      </c>
    </row>
    <row r="1975" spans="1:24">
      <c r="A1975" t="s">
        <v>252</v>
      </c>
      <c r="B1975" t="s">
        <v>1046</v>
      </c>
      <c r="C1975" t="s">
        <v>2930</v>
      </c>
      <c r="D1975" s="14">
        <v>35</v>
      </c>
      <c r="E1975" s="14">
        <v>95</v>
      </c>
      <c r="F1975" s="13">
        <v>45787.697916666664</v>
      </c>
      <c r="G1975" t="s">
        <v>354</v>
      </c>
      <c r="H1975" t="s">
        <v>192</v>
      </c>
      <c r="I1975" t="str">
        <f>IF(A1975="","Pacote",IF(B1975=IFERROR(VLOOKUP(B1975,base!$L$1:$L$20,1,0),""),"Produtos",IF(B1975=IFERROR(VLOOKUP(B1975,base!$K$2:$K$20,1,0),""),"Serviços",IF(B1975="Gorjeta","Gorjeta","Combos"))))</f>
        <v>Serviços</v>
      </c>
      <c r="J1975">
        <f t="shared" si="104"/>
        <v>15.75</v>
      </c>
      <c r="K1975" s="1">
        <f t="shared" si="105"/>
        <v>45787.697916666664</v>
      </c>
      <c r="L1975" s="1">
        <f t="shared" si="106"/>
        <v>45787.697916666664</v>
      </c>
      <c r="M1975" s="1">
        <f t="shared" si="103"/>
        <v>45787.697916666664</v>
      </c>
      <c r="N1975" s="1"/>
      <c r="O1975" t="str">
        <f t="shared" si="107"/>
        <v>Cartão de Crédito</v>
      </c>
      <c r="P1975" t="s">
        <v>149</v>
      </c>
      <c r="Q1975" t="str">
        <f t="shared" si="108"/>
        <v>Serviços</v>
      </c>
      <c r="R1975" t="str">
        <f t="shared" si="109"/>
        <v>Barba</v>
      </c>
      <c r="T1975" s="14">
        <f t="shared" si="110"/>
        <v>35</v>
      </c>
      <c r="U1975" s="14">
        <f t="shared" si="111"/>
        <v>95</v>
      </c>
      <c r="V1975" s="14"/>
      <c r="W1975" t="str">
        <f>IF(A1975=$A$1707,base!$I$3,IF(A1975=$A$1709,base!$I$2,IF(Receitas!A1975=Receitas!$A$1701,base!$I$4,"")))</f>
        <v>Christian Magon</v>
      </c>
      <c r="X1975" t="str">
        <f t="shared" si="112"/>
        <v>weivisson lopes ferreira</v>
      </c>
    </row>
    <row r="1976" spans="1:24">
      <c r="A1976" t="s">
        <v>519</v>
      </c>
      <c r="B1976" t="s">
        <v>163</v>
      </c>
      <c r="C1976" t="s">
        <v>2930</v>
      </c>
      <c r="D1976" s="14">
        <v>35</v>
      </c>
      <c r="F1976" s="13">
        <v>45787.697916666664</v>
      </c>
      <c r="G1976" t="s">
        <v>354</v>
      </c>
      <c r="H1976" t="s">
        <v>192</v>
      </c>
      <c r="I1976" t="str">
        <f>IF(A1976="","Pacote",IF(B1976=IFERROR(VLOOKUP(B1976,base!$L$1:$L$20,1,0),""),"Produtos",IF(B1976=IFERROR(VLOOKUP(B1976,base!$K$2:$K$20,1,0),""),"Serviços",IF(B1976="Gorjeta","Gorjeta","Combos"))))</f>
        <v>Serviços</v>
      </c>
      <c r="J1976">
        <f t="shared" si="104"/>
        <v>15.75</v>
      </c>
      <c r="K1976" s="1">
        <f t="shared" si="105"/>
        <v>45787.697916666664</v>
      </c>
      <c r="L1976" s="1">
        <f t="shared" si="106"/>
        <v>45787.697916666664</v>
      </c>
      <c r="M1976" s="1">
        <f t="shared" si="103"/>
        <v>45787.697916666664</v>
      </c>
      <c r="N1976" s="1"/>
      <c r="O1976" t="str">
        <f t="shared" si="107"/>
        <v>Cartão de Crédito</v>
      </c>
      <c r="P1976" t="s">
        <v>149</v>
      </c>
      <c r="Q1976" t="str">
        <f t="shared" si="108"/>
        <v>Serviços</v>
      </c>
      <c r="R1976" t="str">
        <f t="shared" si="109"/>
        <v>Corte</v>
      </c>
      <c r="T1976" s="14">
        <f t="shared" si="110"/>
        <v>35</v>
      </c>
      <c r="U1976" s="14">
        <f t="shared" si="111"/>
        <v>0</v>
      </c>
      <c r="V1976" s="14"/>
      <c r="W1976" t="str">
        <f>IF(A1976=$A$1707,base!$I$3,IF(A1976=$A$1709,base!$I$2,IF(Receitas!A1976=Receitas!$A$1701,base!$I$4,"")))</f>
        <v>Gustavo de Castro</v>
      </c>
      <c r="X1976" t="str">
        <f t="shared" si="112"/>
        <v>weivisson lopes ferreira</v>
      </c>
    </row>
    <row r="1977" spans="1:24">
      <c r="A1977" t="s">
        <v>519</v>
      </c>
      <c r="B1977" t="s">
        <v>2931</v>
      </c>
      <c r="C1977" t="s">
        <v>2930</v>
      </c>
      <c r="D1977" s="14">
        <v>25</v>
      </c>
      <c r="F1977" s="13">
        <v>45787.697916666664</v>
      </c>
      <c r="G1977" t="s">
        <v>354</v>
      </c>
      <c r="H1977" t="s">
        <v>192</v>
      </c>
      <c r="I1977" t="str">
        <f>IF(A1977="","Pacote",IF(B1977=IFERROR(VLOOKUP(B1977,base!$L$1:$L$20,1,0),""),"Produtos",IF(B1977=IFERROR(VLOOKUP(B1977,base!$K$2:$K$20,1,0),""),"Serviços",IF(B1977="Gorjeta","Gorjeta","Combos"))))</f>
        <v>Produtos</v>
      </c>
      <c r="J1977">
        <f t="shared" si="104"/>
        <v>10</v>
      </c>
      <c r="K1977" s="1">
        <f t="shared" si="105"/>
        <v>45787.697916666664</v>
      </c>
      <c r="L1977" s="1">
        <f t="shared" si="106"/>
        <v>45787.697916666664</v>
      </c>
      <c r="M1977" s="1">
        <f t="shared" si="103"/>
        <v>45787.697916666664</v>
      </c>
      <c r="N1977" s="1"/>
      <c r="O1977" t="str">
        <f t="shared" si="107"/>
        <v>Cartão de Crédito</v>
      </c>
      <c r="P1977" t="s">
        <v>149</v>
      </c>
      <c r="Q1977" t="str">
        <f t="shared" si="108"/>
        <v>Produtos</v>
      </c>
      <c r="R1977" t="str">
        <f t="shared" si="109"/>
        <v>Pomada matte 80g</v>
      </c>
      <c r="T1977" s="14">
        <f t="shared" si="110"/>
        <v>25</v>
      </c>
      <c r="U1977" s="14">
        <f t="shared" si="111"/>
        <v>0</v>
      </c>
      <c r="V1977" s="14"/>
      <c r="W1977" t="str">
        <f>IF(A1977=$A$1707,base!$I$3,IF(A1977=$A$1709,base!$I$2,IF(Receitas!A1977=Receitas!$A$1701,base!$I$4,"")))</f>
        <v>Gustavo de Castro</v>
      </c>
      <c r="X1977" t="str">
        <f t="shared" si="112"/>
        <v>weivisson lopes ferreira</v>
      </c>
    </row>
    <row r="1978" spans="1:24">
      <c r="A1978" t="s">
        <v>536</v>
      </c>
      <c r="B1978" t="s">
        <v>353</v>
      </c>
      <c r="C1978" t="s">
        <v>2932</v>
      </c>
      <c r="D1978" s="14">
        <v>60</v>
      </c>
      <c r="E1978" s="14">
        <v>110</v>
      </c>
      <c r="F1978" s="13">
        <v>45787.739583333336</v>
      </c>
      <c r="G1978" t="s">
        <v>1</v>
      </c>
      <c r="H1978" t="s">
        <v>1161</v>
      </c>
      <c r="I1978" t="str">
        <f>IF(A1978="","Pacote",IF(B1978=IFERROR(VLOOKUP(B1978,base!$L$1:$L$20,1,0),""),"Produtos",IF(B1978=IFERROR(VLOOKUP(B1978,base!$K$2:$K$20,1,0),""),"Serviços",IF(B1978="Gorjeta","Gorjeta","Combos"))))</f>
        <v>Combos</v>
      </c>
      <c r="J1978">
        <f t="shared" si="104"/>
        <v>27</v>
      </c>
      <c r="K1978" s="1">
        <f t="shared" si="105"/>
        <v>45787.739583333336</v>
      </c>
      <c r="L1978" s="1">
        <f t="shared" si="106"/>
        <v>45787.739583333336</v>
      </c>
      <c r="M1978" s="1">
        <f t="shared" si="103"/>
        <v>45787.739583333336</v>
      </c>
      <c r="N1978" s="1"/>
      <c r="O1978" t="str">
        <f t="shared" si="107"/>
        <v>PIX</v>
      </c>
      <c r="P1978" t="s">
        <v>149</v>
      </c>
      <c r="Q1978" t="str">
        <f t="shared" si="108"/>
        <v>Combos</v>
      </c>
      <c r="R1978" t="str">
        <f t="shared" si="109"/>
        <v>Combo ( Corte + Barba )</v>
      </c>
      <c r="T1978" s="14">
        <f t="shared" si="110"/>
        <v>60</v>
      </c>
      <c r="U1978" s="14">
        <f t="shared" si="111"/>
        <v>110</v>
      </c>
      <c r="V1978" s="14"/>
      <c r="W1978" t="str">
        <f>IF(A1978=$A$1707,base!$I$3,IF(A1978=$A$1709,base!$I$2,IF(Receitas!A1978=Receitas!$A$1701,base!$I$4,"")))</f>
        <v>PATRICK CARDOSO</v>
      </c>
      <c r="X1978" t="str">
        <f t="shared" si="112"/>
        <v>joao fernando</v>
      </c>
    </row>
    <row r="1979" spans="1:24">
      <c r="A1979" t="s">
        <v>536</v>
      </c>
      <c r="B1979" t="s">
        <v>163</v>
      </c>
      <c r="C1979" t="s">
        <v>2932</v>
      </c>
      <c r="D1979" s="14">
        <v>35</v>
      </c>
      <c r="F1979" s="13">
        <v>45787.739583333336</v>
      </c>
      <c r="G1979" t="s">
        <v>1</v>
      </c>
      <c r="H1979" t="s">
        <v>1161</v>
      </c>
      <c r="I1979" t="str">
        <f>IF(A1979="","Pacote",IF(B1979=IFERROR(VLOOKUP(B1979,base!$L$1:$L$20,1,0),""),"Produtos",IF(B1979=IFERROR(VLOOKUP(B1979,base!$K$2:$K$20,1,0),""),"Serviços",IF(B1979="Gorjeta","Gorjeta","Combos"))))</f>
        <v>Serviços</v>
      </c>
      <c r="J1979">
        <f t="shared" si="104"/>
        <v>15.75</v>
      </c>
      <c r="K1979" s="1">
        <f t="shared" si="105"/>
        <v>45787.739583333336</v>
      </c>
      <c r="L1979" s="1">
        <f t="shared" si="106"/>
        <v>45787.739583333336</v>
      </c>
      <c r="M1979" s="1">
        <f t="shared" si="103"/>
        <v>45787.739583333336</v>
      </c>
      <c r="N1979" s="1"/>
      <c r="O1979" t="str">
        <f t="shared" si="107"/>
        <v>PIX</v>
      </c>
      <c r="P1979" t="s">
        <v>149</v>
      </c>
      <c r="Q1979" t="str">
        <f t="shared" si="108"/>
        <v>Serviços</v>
      </c>
      <c r="R1979" t="str">
        <f t="shared" si="109"/>
        <v>Corte</v>
      </c>
      <c r="T1979" s="14">
        <f t="shared" si="110"/>
        <v>35</v>
      </c>
      <c r="U1979" s="14">
        <f t="shared" si="111"/>
        <v>0</v>
      </c>
      <c r="V1979" s="14"/>
      <c r="W1979" t="str">
        <f>IF(A1979=$A$1707,base!$I$3,IF(A1979=$A$1709,base!$I$2,IF(Receitas!A1979=Receitas!$A$1701,base!$I$4,"")))</f>
        <v>PATRICK CARDOSO</v>
      </c>
      <c r="X1979" t="str">
        <f t="shared" si="112"/>
        <v>joao fernando</v>
      </c>
    </row>
    <row r="1980" spans="1:24">
      <c r="A1980" t="s">
        <v>536</v>
      </c>
      <c r="B1980" t="s">
        <v>1046</v>
      </c>
      <c r="C1980" t="s">
        <v>2932</v>
      </c>
      <c r="D1980" s="14">
        <v>15</v>
      </c>
      <c r="F1980" s="13">
        <v>45787.739583333336</v>
      </c>
      <c r="G1980" t="s">
        <v>1</v>
      </c>
      <c r="H1980" t="s">
        <v>1161</v>
      </c>
      <c r="I1980" t="str">
        <f>IF(A1980="","Pacote",IF(B1980=IFERROR(VLOOKUP(B1980,base!$L$1:$L$20,1,0),""),"Produtos",IF(B1980=IFERROR(VLOOKUP(B1980,base!$K$2:$K$20,1,0),""),"Serviços",IF(B1980="Gorjeta","Gorjeta","Combos"))))</f>
        <v>Serviços</v>
      </c>
      <c r="J1980">
        <f t="shared" si="104"/>
        <v>6.75</v>
      </c>
      <c r="K1980" s="1">
        <f t="shared" si="105"/>
        <v>45787.739583333336</v>
      </c>
      <c r="L1980" s="1">
        <f t="shared" si="106"/>
        <v>45787.739583333336</v>
      </c>
      <c r="M1980" s="1">
        <f t="shared" si="103"/>
        <v>45787.739583333336</v>
      </c>
      <c r="N1980" s="1"/>
      <c r="O1980" t="str">
        <f t="shared" si="107"/>
        <v>PIX</v>
      </c>
      <c r="P1980" t="s">
        <v>149</v>
      </c>
      <c r="Q1980" t="str">
        <f t="shared" si="108"/>
        <v>Serviços</v>
      </c>
      <c r="R1980" t="str">
        <f t="shared" si="109"/>
        <v>Barba</v>
      </c>
      <c r="T1980" s="14">
        <f t="shared" si="110"/>
        <v>15</v>
      </c>
      <c r="U1980" s="14">
        <f t="shared" si="111"/>
        <v>0</v>
      </c>
      <c r="V1980" s="14"/>
      <c r="W1980" t="str">
        <f>IF(A1980=$A$1707,base!$I$3,IF(A1980=$A$1709,base!$I$2,IF(Receitas!A1980=Receitas!$A$1701,base!$I$4,"")))</f>
        <v>PATRICK CARDOSO</v>
      </c>
      <c r="X1980" t="str">
        <f t="shared" si="112"/>
        <v>joao fernando</v>
      </c>
    </row>
    <row r="1981" spans="1:24">
      <c r="A1981" t="s">
        <v>252</v>
      </c>
      <c r="B1981" t="s">
        <v>1046</v>
      </c>
      <c r="C1981" t="s">
        <v>2933</v>
      </c>
      <c r="D1981" s="14">
        <v>45</v>
      </c>
      <c r="E1981" s="14">
        <v>95</v>
      </c>
      <c r="F1981" s="13">
        <v>45787.78125</v>
      </c>
      <c r="G1981" t="s">
        <v>354</v>
      </c>
      <c r="H1981" t="s">
        <v>192</v>
      </c>
      <c r="I1981" t="str">
        <f>IF(A1981="","Pacote",IF(B1981=IFERROR(VLOOKUP(B1981,base!$L$1:$L$20,1,0),""),"Produtos",IF(B1981=IFERROR(VLOOKUP(B1981,base!$K$2:$K$20,1,0),""),"Serviços",IF(B1981="Gorjeta","Gorjeta","Combos"))))</f>
        <v>Serviços</v>
      </c>
      <c r="J1981">
        <f t="shared" si="104"/>
        <v>20.25</v>
      </c>
      <c r="K1981" s="1">
        <f t="shared" si="105"/>
        <v>45787.78125</v>
      </c>
      <c r="L1981" s="1">
        <f t="shared" si="106"/>
        <v>45787.78125</v>
      </c>
      <c r="M1981" s="1">
        <f t="shared" si="103"/>
        <v>45787.78125</v>
      </c>
      <c r="N1981" s="1"/>
      <c r="O1981" t="str">
        <f t="shared" si="107"/>
        <v>Cartão de Crédito</v>
      </c>
      <c r="P1981" t="s">
        <v>149</v>
      </c>
      <c r="Q1981" t="str">
        <f t="shared" si="108"/>
        <v>Serviços</v>
      </c>
      <c r="R1981" t="str">
        <f t="shared" si="109"/>
        <v>Barba</v>
      </c>
      <c r="T1981" s="14">
        <f t="shared" si="110"/>
        <v>45</v>
      </c>
      <c r="U1981" s="14">
        <f t="shared" si="111"/>
        <v>95</v>
      </c>
      <c r="V1981" s="14"/>
      <c r="W1981" t="str">
        <f>IF(A1981=$A$1707,base!$I$3,IF(A1981=$A$1709,base!$I$2,IF(Receitas!A1981=Receitas!$A$1701,base!$I$4,"")))</f>
        <v>Christian Magon</v>
      </c>
      <c r="X1981" t="str">
        <f t="shared" si="112"/>
        <v>weivisson lopes ferreira</v>
      </c>
    </row>
    <row r="1982" spans="1:24">
      <c r="A1982" t="s">
        <v>252</v>
      </c>
      <c r="B1982" t="s">
        <v>163</v>
      </c>
      <c r="C1982" t="s">
        <v>2933</v>
      </c>
      <c r="D1982" s="14">
        <v>35</v>
      </c>
      <c r="F1982" s="13">
        <v>45787.78125</v>
      </c>
      <c r="G1982" t="s">
        <v>354</v>
      </c>
      <c r="H1982" t="s">
        <v>192</v>
      </c>
      <c r="I1982" t="str">
        <f>IF(A1982="","Pacote",IF(B1982=IFERROR(VLOOKUP(B1982,base!$L$1:$L$20,1,0),""),"Produtos",IF(B1982=IFERROR(VLOOKUP(B1982,base!$K$2:$K$20,1,0),""),"Serviços",IF(B1982="Gorjeta","Gorjeta","Combos"))))</f>
        <v>Serviços</v>
      </c>
      <c r="J1982">
        <f t="shared" si="104"/>
        <v>15.75</v>
      </c>
      <c r="K1982" s="1">
        <f t="shared" si="105"/>
        <v>45787.78125</v>
      </c>
      <c r="L1982" s="1">
        <f t="shared" si="106"/>
        <v>45787.78125</v>
      </c>
      <c r="M1982" s="1">
        <f t="shared" si="103"/>
        <v>45787.78125</v>
      </c>
      <c r="N1982" s="1"/>
      <c r="O1982" t="str">
        <f t="shared" si="107"/>
        <v>Cartão de Crédito</v>
      </c>
      <c r="P1982" t="s">
        <v>149</v>
      </c>
      <c r="Q1982" t="str">
        <f t="shared" si="108"/>
        <v>Serviços</v>
      </c>
      <c r="R1982" t="str">
        <f t="shared" si="109"/>
        <v>Corte</v>
      </c>
      <c r="T1982" s="14">
        <f t="shared" si="110"/>
        <v>35</v>
      </c>
      <c r="U1982" s="14">
        <f t="shared" si="111"/>
        <v>0</v>
      </c>
      <c r="V1982" s="14"/>
      <c r="W1982" t="str">
        <f>IF(A1982=$A$1707,base!$I$3,IF(A1982=$A$1709,base!$I$2,IF(Receitas!A1982=Receitas!$A$1701,base!$I$4,"")))</f>
        <v>Christian Magon</v>
      </c>
      <c r="X1982" t="str">
        <f t="shared" si="112"/>
        <v>weivisson lopes ferreira</v>
      </c>
    </row>
    <row r="1983" spans="1:24">
      <c r="A1983" t="s">
        <v>252</v>
      </c>
      <c r="B1983" t="s">
        <v>1187</v>
      </c>
      <c r="C1983" t="s">
        <v>2933</v>
      </c>
      <c r="D1983" s="14">
        <v>15</v>
      </c>
      <c r="F1983" s="13">
        <v>45787.78125</v>
      </c>
      <c r="G1983" t="s">
        <v>354</v>
      </c>
      <c r="H1983" t="s">
        <v>192</v>
      </c>
      <c r="I1983" t="str">
        <f>IF(A1983="","Pacote",IF(B1983=IFERROR(VLOOKUP(B1983,base!$L$1:$L$20,1,0),""),"Produtos",IF(B1983=IFERROR(VLOOKUP(B1983,base!$K$2:$K$20,1,0),""),"Serviços",IF(B1983="Gorjeta","Gorjeta","Combos"))))</f>
        <v>Serviços</v>
      </c>
      <c r="J1983">
        <f t="shared" si="104"/>
        <v>6.75</v>
      </c>
      <c r="K1983" s="1">
        <f t="shared" si="105"/>
        <v>45787.78125</v>
      </c>
      <c r="L1983" s="1">
        <f t="shared" si="106"/>
        <v>45787.78125</v>
      </c>
      <c r="M1983" s="1">
        <f t="shared" si="103"/>
        <v>45787.78125</v>
      </c>
      <c r="N1983" s="1"/>
      <c r="O1983" t="str">
        <f t="shared" si="107"/>
        <v>Cartão de Crédito</v>
      </c>
      <c r="P1983" t="s">
        <v>149</v>
      </c>
      <c r="Q1983" t="str">
        <f t="shared" si="108"/>
        <v>Serviços</v>
      </c>
      <c r="R1983" t="str">
        <f t="shared" si="109"/>
        <v>depilação nariz</v>
      </c>
      <c r="T1983" s="14">
        <f t="shared" si="110"/>
        <v>15</v>
      </c>
      <c r="U1983" s="14">
        <f t="shared" si="111"/>
        <v>0</v>
      </c>
      <c r="V1983" s="14"/>
      <c r="W1983" t="str">
        <f>IF(A1983=$A$1707,base!$I$3,IF(A1983=$A$1709,base!$I$2,IF(Receitas!A1983=Receitas!$A$1701,base!$I$4,"")))</f>
        <v>Christian Magon</v>
      </c>
      <c r="X1983" t="str">
        <f t="shared" si="112"/>
        <v>weivisson lopes ferreira</v>
      </c>
    </row>
    <row r="1984" spans="1:24">
      <c r="A1984" t="s">
        <v>519</v>
      </c>
      <c r="B1984" t="s">
        <v>163</v>
      </c>
      <c r="C1984" t="s">
        <v>2934</v>
      </c>
      <c r="D1984" s="14">
        <v>35</v>
      </c>
      <c r="E1984" s="14">
        <v>35</v>
      </c>
      <c r="F1984" s="13">
        <v>45787.802083333336</v>
      </c>
      <c r="G1984" t="s">
        <v>2</v>
      </c>
      <c r="H1984" t="s">
        <v>1879</v>
      </c>
      <c r="I1984" t="str">
        <f>IF(A1984="","Pacote",IF(B1984=IFERROR(VLOOKUP(B1984,base!$L$1:$L$20,1,0),""),"Produtos",IF(B1984=IFERROR(VLOOKUP(B1984,base!$K$2:$K$20,1,0),""),"Serviços",IF(B1984="Gorjeta","Gorjeta","Combos"))))</f>
        <v>Serviços</v>
      </c>
      <c r="J1984">
        <f t="shared" si="104"/>
        <v>15.75</v>
      </c>
      <c r="K1984" s="1">
        <f t="shared" si="105"/>
        <v>45787.802083333336</v>
      </c>
      <c r="L1984" s="1">
        <f t="shared" si="106"/>
        <v>45787.802083333336</v>
      </c>
      <c r="M1984" s="1">
        <f t="shared" si="103"/>
        <v>45787.802083333336</v>
      </c>
      <c r="N1984" s="1"/>
      <c r="O1984" t="str">
        <f t="shared" si="107"/>
        <v>Dinheiro</v>
      </c>
      <c r="P1984" t="s">
        <v>149</v>
      </c>
      <c r="Q1984" t="str">
        <f t="shared" si="108"/>
        <v>Serviços</v>
      </c>
      <c r="R1984" t="str">
        <f t="shared" si="109"/>
        <v>Corte</v>
      </c>
      <c r="T1984" s="14">
        <f t="shared" si="110"/>
        <v>35</v>
      </c>
      <c r="U1984" s="14">
        <f t="shared" si="111"/>
        <v>35</v>
      </c>
      <c r="V1984" s="14"/>
      <c r="W1984" t="str">
        <f>IF(A1984=$A$1707,base!$I$3,IF(A1984=$A$1709,base!$I$2,IF(Receitas!A1984=Receitas!$A$1701,base!$I$4,"")))</f>
        <v>Gustavo de Castro</v>
      </c>
      <c r="X1984" t="str">
        <f t="shared" si="112"/>
        <v>gabriel teixeira</v>
      </c>
    </row>
    <row r="1985" spans="1:24">
      <c r="A1985" t="s">
        <v>519</v>
      </c>
      <c r="B1985" t="s">
        <v>163</v>
      </c>
      <c r="C1985" t="s">
        <v>2935</v>
      </c>
      <c r="D1985" s="14">
        <v>35</v>
      </c>
      <c r="E1985" s="14">
        <v>50</v>
      </c>
      <c r="F1985" s="13">
        <v>45787.829861111109</v>
      </c>
      <c r="G1985" t="s">
        <v>1</v>
      </c>
      <c r="H1985" t="s">
        <v>52</v>
      </c>
      <c r="I1985" t="str">
        <f>IF(A1985="","Pacote",IF(B1985=IFERROR(VLOOKUP(B1985,base!$L$1:$L$20,1,0),""),"Produtos",IF(B1985=IFERROR(VLOOKUP(B1985,base!$K$2:$K$20,1,0),""),"Serviços",IF(B1985="Gorjeta","Gorjeta","Combos"))))</f>
        <v>Serviços</v>
      </c>
      <c r="J1985">
        <f t="shared" si="104"/>
        <v>15.75</v>
      </c>
      <c r="K1985" s="1">
        <f t="shared" si="105"/>
        <v>45787.829861111109</v>
      </c>
      <c r="L1985" s="1">
        <f t="shared" si="106"/>
        <v>45787.829861111109</v>
      </c>
      <c r="M1985" s="1">
        <f t="shared" si="103"/>
        <v>45787.829861111109</v>
      </c>
      <c r="N1985" s="1"/>
      <c r="O1985" t="str">
        <f t="shared" si="107"/>
        <v>PIX</v>
      </c>
      <c r="P1985" t="s">
        <v>149</v>
      </c>
      <c r="Q1985" t="str">
        <f t="shared" si="108"/>
        <v>Serviços</v>
      </c>
      <c r="R1985" t="str">
        <f t="shared" si="109"/>
        <v>Corte</v>
      </c>
      <c r="T1985" s="14">
        <f t="shared" si="110"/>
        <v>35</v>
      </c>
      <c r="U1985" s="14">
        <f t="shared" si="111"/>
        <v>50</v>
      </c>
      <c r="V1985" s="14"/>
      <c r="W1985" t="str">
        <f>IF(A1985=$A$1707,base!$I$3,IF(A1985=$A$1709,base!$I$2,IF(Receitas!A1985=Receitas!$A$1701,base!$I$4,"")))</f>
        <v>Gustavo de Castro</v>
      </c>
      <c r="X1985" t="str">
        <f t="shared" si="112"/>
        <v>Felipe rosa</v>
      </c>
    </row>
    <row r="1986" spans="1:24">
      <c r="A1986" t="s">
        <v>519</v>
      </c>
      <c r="B1986" t="s">
        <v>1046</v>
      </c>
      <c r="C1986" t="s">
        <v>2935</v>
      </c>
      <c r="D1986" s="14">
        <v>15</v>
      </c>
      <c r="F1986" s="13">
        <v>45787.829861111109</v>
      </c>
      <c r="G1986" t="s">
        <v>1</v>
      </c>
      <c r="H1986" t="s">
        <v>52</v>
      </c>
      <c r="I1986" t="str">
        <f>IF(A1986="","Pacote",IF(B1986=IFERROR(VLOOKUP(B1986,base!$L$1:$L$20,1,0),""),"Produtos",IF(B1986=IFERROR(VLOOKUP(B1986,base!$K$2:$K$20,1,0),""),"Serviços",IF(B1986="Gorjeta","Gorjeta","Combos"))))</f>
        <v>Serviços</v>
      </c>
      <c r="J1986">
        <f t="shared" si="104"/>
        <v>6.75</v>
      </c>
      <c r="K1986" s="1">
        <f t="shared" si="105"/>
        <v>45787.829861111109</v>
      </c>
      <c r="L1986" s="1">
        <f t="shared" si="106"/>
        <v>45787.829861111109</v>
      </c>
      <c r="M1986" s="1">
        <f t="shared" si="103"/>
        <v>45787.829861111109</v>
      </c>
      <c r="N1986" s="1"/>
      <c r="O1986" t="str">
        <f t="shared" si="107"/>
        <v>PIX</v>
      </c>
      <c r="P1986" t="s">
        <v>149</v>
      </c>
      <c r="Q1986" t="str">
        <f t="shared" si="108"/>
        <v>Serviços</v>
      </c>
      <c r="R1986" t="str">
        <f t="shared" si="109"/>
        <v>Barba</v>
      </c>
      <c r="T1986" s="14">
        <f t="shared" si="110"/>
        <v>15</v>
      </c>
      <c r="U1986" s="14">
        <f t="shared" si="111"/>
        <v>0</v>
      </c>
      <c r="V1986" s="14"/>
      <c r="W1986" t="str">
        <f>IF(A1986=$A$1707,base!$I$3,IF(A1986=$A$1709,base!$I$2,IF(Receitas!A1986=Receitas!$A$1701,base!$I$4,"")))</f>
        <v>Gustavo de Castro</v>
      </c>
      <c r="X1986" t="str">
        <f t="shared" si="112"/>
        <v>Felipe rosa</v>
      </c>
    </row>
    <row r="1987" spans="1:24">
      <c r="A1987" t="s">
        <v>536</v>
      </c>
      <c r="B1987" t="s">
        <v>163</v>
      </c>
      <c r="C1987" t="s">
        <v>2936</v>
      </c>
      <c r="D1987" s="14">
        <v>35</v>
      </c>
      <c r="E1987" s="14">
        <v>35</v>
      </c>
      <c r="F1987" s="13">
        <v>45787.840277777781</v>
      </c>
      <c r="G1987" t="s">
        <v>310</v>
      </c>
      <c r="H1987" t="s">
        <v>2937</v>
      </c>
      <c r="I1987" t="str">
        <f>IF(A1987="","Pacote",IF(B1987=IFERROR(VLOOKUP(B1987,base!$L$1:$L$20,1,0),""),"Produtos",IF(B1987=IFERROR(VLOOKUP(B1987,base!$K$2:$K$20,1,0),""),"Serviços",IF(B1987="Gorjeta","Gorjeta","Combos"))))</f>
        <v>Serviços</v>
      </c>
      <c r="J1987">
        <f t="shared" si="104"/>
        <v>15.75</v>
      </c>
      <c r="K1987" s="1">
        <f t="shared" si="105"/>
        <v>45787.840277777781</v>
      </c>
      <c r="L1987" s="1">
        <f t="shared" si="106"/>
        <v>45787.840277777781</v>
      </c>
      <c r="M1987" s="1">
        <f t="shared" si="103"/>
        <v>45787.840277777781</v>
      </c>
      <c r="N1987" s="1"/>
      <c r="O1987" t="str">
        <f t="shared" si="107"/>
        <v>Cartão de Débito</v>
      </c>
      <c r="P1987" t="s">
        <v>149</v>
      </c>
      <c r="Q1987" t="str">
        <f t="shared" si="108"/>
        <v>Serviços</v>
      </c>
      <c r="R1987" t="str">
        <f t="shared" si="109"/>
        <v>Corte</v>
      </c>
      <c r="T1987" s="14">
        <f t="shared" si="110"/>
        <v>35</v>
      </c>
      <c r="U1987" s="14">
        <f t="shared" si="111"/>
        <v>35</v>
      </c>
      <c r="V1987" s="14"/>
      <c r="W1987" t="str">
        <f>IF(A1987=$A$1707,base!$I$3,IF(A1987=$A$1709,base!$I$2,IF(Receitas!A1987=Receitas!$A$1701,base!$I$4,"")))</f>
        <v>PATRICK CARDOSO</v>
      </c>
      <c r="X1987" t="str">
        <f t="shared" si="112"/>
        <v>Fernando augusto</v>
      </c>
    </row>
    <row r="1988" spans="1:24">
      <c r="A1988" t="s">
        <v>536</v>
      </c>
      <c r="B1988" t="s">
        <v>163</v>
      </c>
      <c r="C1988" t="s">
        <v>2938</v>
      </c>
      <c r="D1988" s="14">
        <v>35</v>
      </c>
      <c r="E1988" s="14">
        <v>35</v>
      </c>
      <c r="F1988" s="13">
        <v>45787.84375</v>
      </c>
      <c r="G1988" t="s">
        <v>1</v>
      </c>
      <c r="H1988" t="s">
        <v>2305</v>
      </c>
      <c r="I1988" t="str">
        <f>IF(A1988="","Pacote",IF(B1988=IFERROR(VLOOKUP(B1988,base!$L$1:$L$20,1,0),""),"Produtos",IF(B1988=IFERROR(VLOOKUP(B1988,base!$K$2:$K$20,1,0),""),"Serviços",IF(B1988="Gorjeta","Gorjeta","Combos"))))</f>
        <v>Serviços</v>
      </c>
      <c r="J1988">
        <f t="shared" si="104"/>
        <v>15.75</v>
      </c>
      <c r="K1988" s="1">
        <f t="shared" si="105"/>
        <v>45787.84375</v>
      </c>
      <c r="L1988" s="1">
        <f t="shared" si="106"/>
        <v>45787.84375</v>
      </c>
      <c r="M1988" s="1">
        <f t="shared" si="103"/>
        <v>45787.84375</v>
      </c>
      <c r="N1988" s="1"/>
      <c r="O1988" t="str">
        <f t="shared" si="107"/>
        <v>PIX</v>
      </c>
      <c r="P1988" t="s">
        <v>149</v>
      </c>
      <c r="Q1988" t="str">
        <f t="shared" si="108"/>
        <v>Serviços</v>
      </c>
      <c r="R1988" t="str">
        <f t="shared" si="109"/>
        <v>Corte</v>
      </c>
      <c r="T1988" s="14">
        <f t="shared" si="110"/>
        <v>35</v>
      </c>
      <c r="U1988" s="14">
        <f t="shared" si="111"/>
        <v>35</v>
      </c>
      <c r="V1988" s="14"/>
      <c r="W1988" t="str">
        <f>IF(A1988=$A$1707,base!$I$3,IF(A1988=$A$1709,base!$I$2,IF(Receitas!A1988=Receitas!$A$1701,base!$I$4,"")))</f>
        <v>PATRICK CARDOSO</v>
      </c>
      <c r="X1988" t="str">
        <f t="shared" si="112"/>
        <v>henrique oliveira</v>
      </c>
    </row>
    <row r="1989" spans="1:24">
      <c r="A1989" t="s">
        <v>252</v>
      </c>
      <c r="B1989" t="s">
        <v>163</v>
      </c>
      <c r="C1989" t="s">
        <v>2939</v>
      </c>
      <c r="D1989" s="14">
        <v>35</v>
      </c>
      <c r="E1989" s="14">
        <v>45</v>
      </c>
      <c r="F1989" s="13">
        <v>45787.84375</v>
      </c>
      <c r="G1989" t="s">
        <v>1</v>
      </c>
      <c r="H1989" t="s">
        <v>2305</v>
      </c>
      <c r="I1989" t="str">
        <f>IF(A1989="","Pacote",IF(B1989=IFERROR(VLOOKUP(B1989,base!$L$1:$L$20,1,0),""),"Produtos",IF(B1989=IFERROR(VLOOKUP(B1989,base!$K$2:$K$20,1,0),""),"Serviços",IF(B1989="Gorjeta","Gorjeta","Combos"))))</f>
        <v>Serviços</v>
      </c>
      <c r="J1989">
        <f t="shared" si="104"/>
        <v>15.75</v>
      </c>
      <c r="K1989" s="1">
        <f t="shared" si="105"/>
        <v>45787.84375</v>
      </c>
      <c r="L1989" s="1">
        <f t="shared" si="106"/>
        <v>45787.84375</v>
      </c>
      <c r="M1989" s="1">
        <f t="shared" si="103"/>
        <v>45787.84375</v>
      </c>
      <c r="N1989" s="1"/>
      <c r="O1989" t="str">
        <f t="shared" si="107"/>
        <v>PIX</v>
      </c>
      <c r="P1989" t="s">
        <v>149</v>
      </c>
      <c r="Q1989" t="str">
        <f t="shared" si="108"/>
        <v>Serviços</v>
      </c>
      <c r="R1989" t="str">
        <f t="shared" si="109"/>
        <v>Corte</v>
      </c>
      <c r="T1989" s="14">
        <f t="shared" si="110"/>
        <v>35</v>
      </c>
      <c r="U1989" s="14">
        <f t="shared" si="111"/>
        <v>45</v>
      </c>
      <c r="V1989" s="14"/>
      <c r="W1989" t="str">
        <f>IF(A1989=$A$1707,base!$I$3,IF(A1989=$A$1709,base!$I$2,IF(Receitas!A1989=Receitas!$A$1701,base!$I$4,"")))</f>
        <v>Christian Magon</v>
      </c>
      <c r="X1989" t="str">
        <f t="shared" si="112"/>
        <v>henrique oliveira</v>
      </c>
    </row>
    <row r="1990" spans="1:24">
      <c r="A1990" t="s">
        <v>252</v>
      </c>
      <c r="B1990" t="s">
        <v>167</v>
      </c>
      <c r="C1990" t="s">
        <v>2939</v>
      </c>
      <c r="D1990" s="14">
        <v>10</v>
      </c>
      <c r="F1990" s="13">
        <v>45787.84375</v>
      </c>
      <c r="G1990" t="s">
        <v>1</v>
      </c>
      <c r="H1990" t="s">
        <v>2305</v>
      </c>
      <c r="I1990" t="str">
        <f>IF(A1990="","Pacote",IF(B1990=IFERROR(VLOOKUP(B1990,base!$L$1:$L$20,1,0),""),"Produtos",IF(B1990=IFERROR(VLOOKUP(B1990,base!$K$2:$K$20,1,0),""),"Serviços",IF(B1990="Gorjeta","Gorjeta","Combos"))))</f>
        <v>Serviços</v>
      </c>
      <c r="J1990">
        <f t="shared" si="104"/>
        <v>4.5</v>
      </c>
      <c r="K1990" s="1">
        <f t="shared" si="105"/>
        <v>45787.84375</v>
      </c>
      <c r="L1990" s="1">
        <f t="shared" si="106"/>
        <v>45787.84375</v>
      </c>
      <c r="M1990" s="1">
        <f t="shared" si="103"/>
        <v>45787.84375</v>
      </c>
      <c r="N1990" s="1"/>
      <c r="O1990" t="str">
        <f t="shared" si="107"/>
        <v>PIX</v>
      </c>
      <c r="P1990" t="s">
        <v>149</v>
      </c>
      <c r="Q1990" t="str">
        <f t="shared" si="108"/>
        <v>Serviços</v>
      </c>
      <c r="R1990" t="str">
        <f t="shared" si="109"/>
        <v>Sobrancelha</v>
      </c>
      <c r="T1990" s="14">
        <f t="shared" si="110"/>
        <v>10</v>
      </c>
      <c r="U1990" s="14">
        <f t="shared" si="111"/>
        <v>0</v>
      </c>
      <c r="V1990" s="14"/>
      <c r="W1990" t="str">
        <f>IF(A1990=$A$1707,base!$I$3,IF(A1990=$A$1709,base!$I$2,IF(Receitas!A1990=Receitas!$A$1701,base!$I$4,"")))</f>
        <v>Christian Magon</v>
      </c>
      <c r="X1990" t="str">
        <f t="shared" si="112"/>
        <v>henrique oliveira</v>
      </c>
    </row>
    <row r="1991" spans="1:24">
      <c r="A1991" t="s">
        <v>536</v>
      </c>
      <c r="B1991" t="s">
        <v>163</v>
      </c>
      <c r="C1991" t="s">
        <v>2940</v>
      </c>
      <c r="D1991" s="14">
        <v>35</v>
      </c>
      <c r="E1991" s="14">
        <v>35</v>
      </c>
      <c r="F1991" s="13">
        <v>45787.868055555555</v>
      </c>
      <c r="G1991" t="s">
        <v>2</v>
      </c>
      <c r="H1991" t="s">
        <v>2941</v>
      </c>
      <c r="I1991" t="str">
        <f>IF(A1991="","Pacote",IF(B1991=IFERROR(VLOOKUP(B1991,base!$L$1:$L$20,1,0),""),"Produtos",IF(B1991=IFERROR(VLOOKUP(B1991,base!$K$2:$K$20,1,0),""),"Serviços",IF(B1991="Gorjeta","Gorjeta","Combos"))))</f>
        <v>Serviços</v>
      </c>
      <c r="J1991">
        <f t="shared" si="104"/>
        <v>15.75</v>
      </c>
      <c r="K1991" s="1">
        <f t="shared" si="105"/>
        <v>45787.868055555555</v>
      </c>
      <c r="L1991" s="1">
        <f t="shared" si="106"/>
        <v>45787.868055555555</v>
      </c>
      <c r="M1991" s="1">
        <f t="shared" si="103"/>
        <v>45787.868055555555</v>
      </c>
      <c r="N1991" s="1"/>
      <c r="O1991" t="str">
        <f t="shared" si="107"/>
        <v>Dinheiro</v>
      </c>
      <c r="P1991" t="s">
        <v>149</v>
      </c>
      <c r="Q1991" t="str">
        <f t="shared" si="108"/>
        <v>Serviços</v>
      </c>
      <c r="R1991" t="str">
        <f t="shared" si="109"/>
        <v>Corte</v>
      </c>
      <c r="T1991" s="14">
        <f t="shared" si="110"/>
        <v>35</v>
      </c>
      <c r="U1991" s="14">
        <f t="shared" si="111"/>
        <v>35</v>
      </c>
      <c r="V1991" s="14"/>
      <c r="W1991" t="str">
        <f>IF(A1991=$A$1707,base!$I$3,IF(A1991=$A$1709,base!$I$2,IF(Receitas!A1991=Receitas!$A$1701,base!$I$4,"")))</f>
        <v>PATRICK CARDOSO</v>
      </c>
      <c r="X1991" t="str">
        <f t="shared" si="112"/>
        <v>fabio barbosa</v>
      </c>
    </row>
    <row r="1992" spans="1:24">
      <c r="A1992" t="s">
        <v>536</v>
      </c>
      <c r="B1992" t="s">
        <v>163</v>
      </c>
      <c r="C1992" t="s">
        <v>2942</v>
      </c>
      <c r="D1992" s="14">
        <v>30</v>
      </c>
      <c r="E1992" s="14">
        <v>80</v>
      </c>
      <c r="F1992" s="13">
        <v>45787.916666666664</v>
      </c>
      <c r="G1992" t="s">
        <v>1</v>
      </c>
      <c r="H1992" t="s">
        <v>1348</v>
      </c>
      <c r="I1992" t="str">
        <f>IF(A1992="","Pacote",IF(B1992=IFERROR(VLOOKUP(B1992,base!$L$1:$L$20,1,0),""),"Produtos",IF(B1992=IFERROR(VLOOKUP(B1992,base!$K$2:$K$20,1,0),""),"Serviços",IF(B1992="Gorjeta","Gorjeta","Combos"))))</f>
        <v>Serviços</v>
      </c>
      <c r="J1992">
        <f t="shared" si="104"/>
        <v>13.5</v>
      </c>
      <c r="K1992" s="1">
        <f t="shared" si="105"/>
        <v>45787.916666666664</v>
      </c>
      <c r="L1992" s="1">
        <f t="shared" si="106"/>
        <v>45787.916666666664</v>
      </c>
      <c r="M1992" s="1">
        <f t="shared" si="103"/>
        <v>45787.916666666664</v>
      </c>
      <c r="N1992" s="1"/>
      <c r="O1992" t="str">
        <f t="shared" si="107"/>
        <v>PIX</v>
      </c>
      <c r="P1992" t="s">
        <v>149</v>
      </c>
      <c r="Q1992" t="str">
        <f t="shared" si="108"/>
        <v>Serviços</v>
      </c>
      <c r="R1992" t="str">
        <f t="shared" si="109"/>
        <v>Corte</v>
      </c>
      <c r="T1992" s="14">
        <f t="shared" si="110"/>
        <v>30</v>
      </c>
      <c r="U1992" s="14">
        <f t="shared" si="111"/>
        <v>80</v>
      </c>
      <c r="V1992" s="14"/>
      <c r="W1992" t="str">
        <f>IF(A1992=$A$1707,base!$I$3,IF(A1992=$A$1709,base!$I$2,IF(Receitas!A1992=Receitas!$A$1701,base!$I$4,"")))</f>
        <v>PATRICK CARDOSO</v>
      </c>
      <c r="X1992" t="str">
        <f t="shared" si="112"/>
        <v>Jeremias Bastos</v>
      </c>
    </row>
    <row r="1993" spans="1:24">
      <c r="A1993" t="s">
        <v>536</v>
      </c>
      <c r="B1993" t="s">
        <v>2536</v>
      </c>
      <c r="C1993" t="s">
        <v>2942</v>
      </c>
      <c r="D1993" s="14">
        <v>40</v>
      </c>
      <c r="F1993" s="13">
        <v>45787.916666666664</v>
      </c>
      <c r="G1993" t="s">
        <v>1</v>
      </c>
      <c r="H1993" t="s">
        <v>1348</v>
      </c>
      <c r="I1993" t="str">
        <f>IF(A1993="","Pacote",IF(B1993=IFERROR(VLOOKUP(B1993,base!$L$1:$L$20,1,0),""),"Produtos",IF(B1993=IFERROR(VLOOKUP(B1993,base!$K$2:$K$20,1,0),""),"Serviços",IF(B1993="Gorjeta","Gorjeta","Combos"))))</f>
        <v>Produtos</v>
      </c>
      <c r="J1993">
        <f t="shared" si="104"/>
        <v>16</v>
      </c>
      <c r="K1993" s="1">
        <f t="shared" si="105"/>
        <v>45787.916666666664</v>
      </c>
      <c r="L1993" s="1">
        <f t="shared" si="106"/>
        <v>45787.916666666664</v>
      </c>
      <c r="M1993" s="1">
        <f t="shared" si="103"/>
        <v>45787.916666666664</v>
      </c>
      <c r="N1993" s="1"/>
      <c r="O1993" t="str">
        <f t="shared" si="107"/>
        <v>PIX</v>
      </c>
      <c r="P1993" t="s">
        <v>149</v>
      </c>
      <c r="Q1993" t="str">
        <f t="shared" si="108"/>
        <v>Produtos</v>
      </c>
      <c r="R1993" t="str">
        <f t="shared" si="109"/>
        <v>Oleo para barba fox</v>
      </c>
      <c r="T1993" s="14">
        <f t="shared" si="110"/>
        <v>40</v>
      </c>
      <c r="U1993" s="14">
        <f t="shared" si="111"/>
        <v>0</v>
      </c>
      <c r="V1993" s="14"/>
      <c r="W1993" t="str">
        <f>IF(A1993=$A$1707,base!$I$3,IF(A1993=$A$1709,base!$I$2,IF(Receitas!A1993=Receitas!$A$1701,base!$I$4,"")))</f>
        <v>PATRICK CARDOSO</v>
      </c>
      <c r="X1993" t="str">
        <f t="shared" si="112"/>
        <v>Jeremias Bastos</v>
      </c>
    </row>
    <row r="1994" spans="1:24">
      <c r="A1994" t="s">
        <v>536</v>
      </c>
      <c r="B1994" t="s">
        <v>1046</v>
      </c>
      <c r="C1994" t="s">
        <v>2942</v>
      </c>
      <c r="D1994" s="14">
        <v>10</v>
      </c>
      <c r="F1994" s="13">
        <v>45787.916666666664</v>
      </c>
      <c r="G1994" t="s">
        <v>1</v>
      </c>
      <c r="H1994" t="s">
        <v>1348</v>
      </c>
      <c r="I1994" t="str">
        <f>IF(A1994="","Pacote",IF(B1994=IFERROR(VLOOKUP(B1994,base!$L$1:$L$20,1,0),""),"Produtos",IF(B1994=IFERROR(VLOOKUP(B1994,base!$K$2:$K$20,1,0),""),"Serviços",IF(B1994="Gorjeta","Gorjeta","Combos"))))</f>
        <v>Serviços</v>
      </c>
      <c r="J1994">
        <f t="shared" si="104"/>
        <v>4.5</v>
      </c>
      <c r="K1994" s="1">
        <f t="shared" si="105"/>
        <v>45787.916666666664</v>
      </c>
      <c r="L1994" s="1">
        <f t="shared" si="106"/>
        <v>45787.916666666664</v>
      </c>
      <c r="M1994" s="1">
        <f t="shared" si="103"/>
        <v>45787.916666666664</v>
      </c>
      <c r="N1994" s="1"/>
      <c r="O1994" t="str">
        <f t="shared" si="107"/>
        <v>PIX</v>
      </c>
      <c r="P1994" t="s">
        <v>149</v>
      </c>
      <c r="Q1994" t="str">
        <f t="shared" si="108"/>
        <v>Serviços</v>
      </c>
      <c r="R1994" t="str">
        <f t="shared" si="109"/>
        <v>Barba</v>
      </c>
      <c r="T1994" s="14">
        <f t="shared" si="110"/>
        <v>10</v>
      </c>
      <c r="U1994" s="14">
        <f t="shared" si="111"/>
        <v>0</v>
      </c>
      <c r="V1994" s="14"/>
      <c r="W1994" t="str">
        <f>IF(A1994=$A$1707,base!$I$3,IF(A1994=$A$1709,base!$I$2,IF(Receitas!A1994=Receitas!$A$1701,base!$I$4,"")))</f>
        <v>PATRICK CARDOSO</v>
      </c>
      <c r="X1994" t="str">
        <f t="shared" si="112"/>
        <v>Jeremias Bastos</v>
      </c>
    </row>
    <row r="1995" spans="1:24">
      <c r="A1995" t="s">
        <v>519</v>
      </c>
      <c r="B1995" t="s">
        <v>163</v>
      </c>
      <c r="C1995" t="s">
        <v>2943</v>
      </c>
      <c r="D1995" s="14">
        <v>35</v>
      </c>
      <c r="E1995" s="14">
        <v>35</v>
      </c>
      <c r="F1995" s="13">
        <v>45789.416666666664</v>
      </c>
      <c r="G1995" t="s">
        <v>2</v>
      </c>
      <c r="H1995" t="s">
        <v>2944</v>
      </c>
      <c r="I1995" t="str">
        <f>IF(A1995="","Pacote",IF(B1995=IFERROR(VLOOKUP(B1995,base!$L$1:$L$20,1,0),""),"Produtos",IF(B1995=IFERROR(VLOOKUP(B1995,base!$K$2:$K$20,1,0),""),"Serviços",IF(B1995="Gorjeta","Gorjeta","Combos"))))</f>
        <v>Serviços</v>
      </c>
      <c r="J1995">
        <f t="shared" si="104"/>
        <v>15.75</v>
      </c>
      <c r="K1995" s="1">
        <f t="shared" si="105"/>
        <v>45789.416666666664</v>
      </c>
      <c r="L1995" s="1">
        <f t="shared" si="106"/>
        <v>45789.416666666664</v>
      </c>
      <c r="M1995" s="1">
        <f t="shared" si="103"/>
        <v>45789.416666666664</v>
      </c>
      <c r="N1995" s="1"/>
      <c r="O1995" t="str">
        <f t="shared" si="107"/>
        <v>Dinheiro</v>
      </c>
      <c r="P1995" t="s">
        <v>149</v>
      </c>
      <c r="Q1995" t="str">
        <f t="shared" si="108"/>
        <v>Serviços</v>
      </c>
      <c r="R1995" t="str">
        <f t="shared" si="109"/>
        <v>Corte</v>
      </c>
      <c r="T1995" s="14">
        <f t="shared" si="110"/>
        <v>35</v>
      </c>
      <c r="U1995" s="14">
        <f t="shared" si="111"/>
        <v>35</v>
      </c>
      <c r="V1995" s="14"/>
      <c r="W1995" t="str">
        <f>IF(A1995=$A$1707,base!$I$3,IF(A1995=$A$1709,base!$I$2,IF(Receitas!A1995=Receitas!$A$1701,base!$I$4,"")))</f>
        <v>Gustavo de Castro</v>
      </c>
      <c r="X1995" t="str">
        <f t="shared" si="112"/>
        <v>Nathalia Fialho</v>
      </c>
    </row>
    <row r="1996" spans="1:24">
      <c r="A1996" t="s">
        <v>519</v>
      </c>
      <c r="B1996" t="s">
        <v>163</v>
      </c>
      <c r="C1996" t="s">
        <v>2945</v>
      </c>
      <c r="D1996" s="14">
        <v>35</v>
      </c>
      <c r="E1996" s="14">
        <v>35</v>
      </c>
      <c r="F1996" s="13">
        <v>45789.479166666664</v>
      </c>
      <c r="G1996" t="s">
        <v>1</v>
      </c>
      <c r="H1996" t="s">
        <v>288</v>
      </c>
      <c r="I1996" t="str">
        <f>IF(A1996="","Pacote",IF(B1996=IFERROR(VLOOKUP(B1996,base!$L$1:$L$20,1,0),""),"Produtos",IF(B1996=IFERROR(VLOOKUP(B1996,base!$K$2:$K$20,1,0),""),"Serviços",IF(B1996="Gorjeta","Gorjeta","Combos"))))</f>
        <v>Serviços</v>
      </c>
      <c r="J1996">
        <f t="shared" si="104"/>
        <v>15.75</v>
      </c>
      <c r="K1996" s="1">
        <f t="shared" si="105"/>
        <v>45789.479166666664</v>
      </c>
      <c r="L1996" s="1">
        <f t="shared" si="106"/>
        <v>45789.479166666664</v>
      </c>
      <c r="M1996" s="1">
        <f t="shared" si="103"/>
        <v>45789.479166666664</v>
      </c>
      <c r="N1996" s="1"/>
      <c r="O1996" t="str">
        <f t="shared" si="107"/>
        <v>PIX</v>
      </c>
      <c r="P1996" t="s">
        <v>149</v>
      </c>
      <c r="Q1996" t="str">
        <f t="shared" si="108"/>
        <v>Serviços</v>
      </c>
      <c r="R1996" t="str">
        <f t="shared" si="109"/>
        <v>Corte</v>
      </c>
      <c r="T1996" s="14">
        <f t="shared" si="110"/>
        <v>35</v>
      </c>
      <c r="U1996" s="14">
        <f t="shared" si="111"/>
        <v>35</v>
      </c>
      <c r="V1996" s="14"/>
      <c r="W1996" t="str">
        <f>IF(A1996=$A$1707,base!$I$3,IF(A1996=$A$1709,base!$I$2,IF(Receitas!A1996=Receitas!$A$1701,base!$I$4,"")))</f>
        <v>Gustavo de Castro</v>
      </c>
      <c r="X1996" t="str">
        <f t="shared" si="112"/>
        <v>Daniel Fernandes Ruas</v>
      </c>
    </row>
    <row r="1997" spans="1:24">
      <c r="A1997" t="s">
        <v>252</v>
      </c>
      <c r="B1997" t="s">
        <v>163</v>
      </c>
      <c r="C1997" t="s">
        <v>2946</v>
      </c>
      <c r="D1997" s="14">
        <v>35</v>
      </c>
      <c r="E1997" s="14">
        <v>35</v>
      </c>
      <c r="F1997" s="13">
        <v>45789.545138888891</v>
      </c>
      <c r="G1997" t="s">
        <v>310</v>
      </c>
      <c r="H1997" t="s">
        <v>2947</v>
      </c>
      <c r="I1997" t="str">
        <f>IF(A1997="","Pacote",IF(B1997=IFERROR(VLOOKUP(B1997,base!$L$1:$L$20,1,0),""),"Produtos",IF(B1997=IFERROR(VLOOKUP(B1997,base!$K$2:$K$20,1,0),""),"Serviços",IF(B1997="Gorjeta","Gorjeta","Combos"))))</f>
        <v>Serviços</v>
      </c>
      <c r="J1997">
        <f t="shared" si="104"/>
        <v>15.75</v>
      </c>
      <c r="K1997" s="1">
        <f t="shared" si="105"/>
        <v>45789.545138888891</v>
      </c>
      <c r="L1997" s="1">
        <f t="shared" si="106"/>
        <v>45789.545138888891</v>
      </c>
      <c r="M1997" s="1">
        <f t="shared" si="103"/>
        <v>45789.545138888891</v>
      </c>
      <c r="N1997" s="1"/>
      <c r="O1997" t="str">
        <f t="shared" si="107"/>
        <v>Cartão de Débito</v>
      </c>
      <c r="P1997" t="s">
        <v>149</v>
      </c>
      <c r="Q1997" t="str">
        <f t="shared" si="108"/>
        <v>Serviços</v>
      </c>
      <c r="R1997" t="str">
        <f t="shared" si="109"/>
        <v>Corte</v>
      </c>
      <c r="T1997" s="14">
        <f t="shared" si="110"/>
        <v>35</v>
      </c>
      <c r="U1997" s="14">
        <f t="shared" si="111"/>
        <v>35</v>
      </c>
      <c r="V1997" s="14"/>
      <c r="W1997" t="str">
        <f>IF(A1997=$A$1707,base!$I$3,IF(A1997=$A$1709,base!$I$2,IF(Receitas!A1997=Receitas!$A$1701,base!$I$4,"")))</f>
        <v>Christian Magon</v>
      </c>
      <c r="X1997" t="str">
        <f t="shared" si="112"/>
        <v>LUCAS DOS SANTOS</v>
      </c>
    </row>
    <row r="1998" spans="1:24">
      <c r="A1998" t="s">
        <v>519</v>
      </c>
      <c r="B1998" t="s">
        <v>353</v>
      </c>
      <c r="C1998" t="s">
        <v>2948</v>
      </c>
      <c r="D1998" s="14">
        <v>50</v>
      </c>
      <c r="E1998" s="14">
        <v>50</v>
      </c>
      <c r="F1998" s="13">
        <v>45789.569444444445</v>
      </c>
      <c r="G1998" t="s">
        <v>1</v>
      </c>
      <c r="H1998" t="s">
        <v>28</v>
      </c>
      <c r="I1998" t="str">
        <f>IF(A1998="","Pacote",IF(B1998=IFERROR(VLOOKUP(B1998,base!$L$1:$L$20,1,0),""),"Produtos",IF(B1998=IFERROR(VLOOKUP(B1998,base!$K$2:$K$20,1,0),""),"Serviços",IF(B1998="Gorjeta","Gorjeta","Combos"))))</f>
        <v>Combos</v>
      </c>
      <c r="J1998">
        <f t="shared" si="104"/>
        <v>22.5</v>
      </c>
      <c r="K1998" s="1">
        <f t="shared" si="105"/>
        <v>45789.569444444445</v>
      </c>
      <c r="L1998" s="1">
        <f t="shared" si="106"/>
        <v>45789.569444444445</v>
      </c>
      <c r="M1998" s="1">
        <f t="shared" si="103"/>
        <v>45789.569444444445</v>
      </c>
      <c r="N1998" s="1"/>
      <c r="O1998" t="str">
        <f t="shared" si="107"/>
        <v>PIX</v>
      </c>
      <c r="P1998" t="s">
        <v>149</v>
      </c>
      <c r="Q1998" t="str">
        <f t="shared" si="108"/>
        <v>Combos</v>
      </c>
      <c r="R1998" t="str">
        <f t="shared" si="109"/>
        <v>Combo ( Corte + Barba )</v>
      </c>
      <c r="T1998" s="14">
        <f t="shared" si="110"/>
        <v>50</v>
      </c>
      <c r="U1998" s="14">
        <f t="shared" si="111"/>
        <v>50</v>
      </c>
      <c r="V1998" s="14"/>
      <c r="W1998" t="str">
        <f>IF(A1998=$A$1707,base!$I$3,IF(A1998=$A$1709,base!$I$2,IF(Receitas!A1998=Receitas!$A$1701,base!$I$4,"")))</f>
        <v>Gustavo de Castro</v>
      </c>
      <c r="X1998" t="str">
        <f t="shared" si="112"/>
        <v>Huan Fernandes</v>
      </c>
    </row>
    <row r="1999" spans="1:24">
      <c r="A1999" t="s">
        <v>252</v>
      </c>
      <c r="B1999" t="s">
        <v>163</v>
      </c>
      <c r="C1999" t="s">
        <v>2949</v>
      </c>
      <c r="D1999" s="14">
        <v>35</v>
      </c>
      <c r="E1999" s="14">
        <v>35</v>
      </c>
      <c r="F1999" s="13">
        <v>45789.628472222219</v>
      </c>
      <c r="G1999" t="s">
        <v>354</v>
      </c>
      <c r="H1999" t="s">
        <v>2950</v>
      </c>
      <c r="I1999" t="str">
        <f>IF(A1999="","Pacote",IF(B1999=IFERROR(VLOOKUP(B1999,base!$L$1:$L$20,1,0),""),"Produtos",IF(B1999=IFERROR(VLOOKUP(B1999,base!$K$2:$K$20,1,0),""),"Serviços",IF(B1999="Gorjeta","Gorjeta","Combos"))))</f>
        <v>Serviços</v>
      </c>
      <c r="J1999">
        <f t="shared" si="104"/>
        <v>15.75</v>
      </c>
      <c r="K1999" s="1">
        <f t="shared" si="105"/>
        <v>45789.628472222219</v>
      </c>
      <c r="L1999" s="1">
        <f t="shared" si="106"/>
        <v>45789.628472222219</v>
      </c>
      <c r="M1999" s="1">
        <f t="shared" si="103"/>
        <v>45789.628472222219</v>
      </c>
      <c r="N1999" s="1"/>
      <c r="O1999" t="str">
        <f t="shared" si="107"/>
        <v>Cartão de Crédito</v>
      </c>
      <c r="P1999" t="s">
        <v>149</v>
      </c>
      <c r="Q1999" t="str">
        <f t="shared" si="108"/>
        <v>Serviços</v>
      </c>
      <c r="R1999" t="str">
        <f t="shared" si="109"/>
        <v>Corte</v>
      </c>
      <c r="T1999" s="14">
        <f t="shared" si="110"/>
        <v>35</v>
      </c>
      <c r="U1999" s="14">
        <f t="shared" si="111"/>
        <v>35</v>
      </c>
      <c r="V1999" s="14"/>
      <c r="W1999" t="str">
        <f>IF(A1999=$A$1707,base!$I$3,IF(A1999=$A$1709,base!$I$2,IF(Receitas!A1999=Receitas!$A$1701,base!$I$4,"")))</f>
        <v>Christian Magon</v>
      </c>
      <c r="X1999" t="str">
        <f t="shared" si="112"/>
        <v>HELDER RODRIGUES</v>
      </c>
    </row>
    <row r="2000" spans="1:24">
      <c r="A2000" t="s">
        <v>252</v>
      </c>
      <c r="B2000" t="s">
        <v>163</v>
      </c>
      <c r="C2000" t="s">
        <v>2951</v>
      </c>
      <c r="D2000" s="14">
        <v>35</v>
      </c>
      <c r="E2000" s="14">
        <v>35</v>
      </c>
      <c r="F2000" s="13">
        <v>45789.631944444445</v>
      </c>
      <c r="G2000" t="s">
        <v>354</v>
      </c>
      <c r="H2000" t="s">
        <v>2952</v>
      </c>
      <c r="I2000" t="str">
        <f>IF(A2000="","Pacote",IF(B2000=IFERROR(VLOOKUP(B2000,base!$L$1:$L$20,1,0),""),"Produtos",IF(B2000=IFERROR(VLOOKUP(B2000,base!$K$2:$K$20,1,0),""),"Serviços",IF(B2000="Gorjeta","Gorjeta","Combos"))))</f>
        <v>Serviços</v>
      </c>
      <c r="J2000">
        <f t="shared" si="104"/>
        <v>15.75</v>
      </c>
      <c r="K2000" s="1">
        <f t="shared" si="105"/>
        <v>45789.631944444445</v>
      </c>
      <c r="L2000" s="1">
        <f t="shared" si="106"/>
        <v>45789.631944444445</v>
      </c>
      <c r="M2000" s="1">
        <f t="shared" si="103"/>
        <v>45789.631944444445</v>
      </c>
      <c r="N2000" s="1"/>
      <c r="O2000" t="str">
        <f t="shared" si="107"/>
        <v>Cartão de Crédito</v>
      </c>
      <c r="P2000" t="s">
        <v>149</v>
      </c>
      <c r="Q2000" t="str">
        <f t="shared" si="108"/>
        <v>Serviços</v>
      </c>
      <c r="R2000" t="str">
        <f t="shared" si="109"/>
        <v>Corte</v>
      </c>
      <c r="T2000" s="14">
        <f t="shared" si="110"/>
        <v>35</v>
      </c>
      <c r="U2000" s="14">
        <f t="shared" si="111"/>
        <v>35</v>
      </c>
      <c r="V2000" s="14"/>
      <c r="W2000" t="str">
        <f>IF(A2000=$A$1707,base!$I$3,IF(A2000=$A$1709,base!$I$2,IF(Receitas!A2000=Receitas!$A$1701,base!$I$4,"")))</f>
        <v>Christian Magon</v>
      </c>
      <c r="X2000" t="str">
        <f t="shared" si="112"/>
        <v>HELDER WILDE</v>
      </c>
    </row>
    <row r="2001" spans="1:24">
      <c r="A2001" t="s">
        <v>252</v>
      </c>
      <c r="B2001" t="s">
        <v>163</v>
      </c>
      <c r="C2001" t="s">
        <v>2953</v>
      </c>
      <c r="D2001" s="14">
        <v>35</v>
      </c>
      <c r="E2001" s="14">
        <v>35</v>
      </c>
      <c r="F2001" s="13">
        <v>45789.4375</v>
      </c>
      <c r="G2001" t="s">
        <v>310</v>
      </c>
      <c r="H2001" t="s">
        <v>1466</v>
      </c>
      <c r="I2001" t="str">
        <f>IF(A2001="","Pacote",IF(B2001=IFERROR(VLOOKUP(B2001,base!$L$1:$L$20,1,0),""),"Produtos",IF(B2001=IFERROR(VLOOKUP(B2001,base!$K$2:$K$20,1,0),""),"Serviços",IF(B2001="Gorjeta","Gorjeta","Combos"))))</f>
        <v>Serviços</v>
      </c>
      <c r="J2001">
        <f t="shared" si="104"/>
        <v>15.75</v>
      </c>
      <c r="K2001" s="1">
        <f t="shared" si="105"/>
        <v>45789.4375</v>
      </c>
      <c r="L2001" s="1">
        <f t="shared" si="106"/>
        <v>45789.4375</v>
      </c>
      <c r="M2001" s="1">
        <f t="shared" si="103"/>
        <v>45789.4375</v>
      </c>
      <c r="N2001" s="1"/>
      <c r="O2001" t="str">
        <f t="shared" si="107"/>
        <v>Cartão de Débito</v>
      </c>
      <c r="P2001" t="s">
        <v>149</v>
      </c>
      <c r="Q2001" t="str">
        <f t="shared" si="108"/>
        <v>Serviços</v>
      </c>
      <c r="R2001" t="str">
        <f t="shared" si="109"/>
        <v>Corte</v>
      </c>
      <c r="T2001" s="14">
        <f t="shared" si="110"/>
        <v>35</v>
      </c>
      <c r="U2001" s="14">
        <f t="shared" si="111"/>
        <v>35</v>
      </c>
      <c r="V2001" s="14"/>
      <c r="W2001" t="str">
        <f>IF(A2001=$A$1707,base!$I$3,IF(A2001=$A$1709,base!$I$2,IF(Receitas!A2001=Receitas!$A$1701,base!$I$4,"")))</f>
        <v>Christian Magon</v>
      </c>
      <c r="X2001" t="str">
        <f t="shared" si="112"/>
        <v>bruna amaral</v>
      </c>
    </row>
    <row r="2002" spans="1:24">
      <c r="A2002" t="s">
        <v>252</v>
      </c>
      <c r="B2002" t="s">
        <v>163</v>
      </c>
      <c r="C2002" t="s">
        <v>2954</v>
      </c>
      <c r="D2002" s="14">
        <v>35</v>
      </c>
      <c r="E2002" s="14">
        <v>35</v>
      </c>
      <c r="F2002" s="13">
        <v>45789.71875</v>
      </c>
      <c r="G2002" t="s">
        <v>1</v>
      </c>
      <c r="H2002" t="s">
        <v>470</v>
      </c>
      <c r="I2002" t="str">
        <f>IF(A2002="","Pacote",IF(B2002=IFERROR(VLOOKUP(B2002,base!$L$1:$L$20,1,0),""),"Produtos",IF(B2002=IFERROR(VLOOKUP(B2002,base!$K$2:$K$20,1,0),""),"Serviços",IF(B2002="Gorjeta","Gorjeta","Combos"))))</f>
        <v>Serviços</v>
      </c>
      <c r="J2002">
        <f t="shared" si="104"/>
        <v>15.75</v>
      </c>
      <c r="K2002" s="1">
        <f t="shared" si="105"/>
        <v>45789.71875</v>
      </c>
      <c r="L2002" s="1">
        <f t="shared" si="106"/>
        <v>45789.71875</v>
      </c>
      <c r="M2002" s="1">
        <f t="shared" si="103"/>
        <v>45789.71875</v>
      </c>
      <c r="N2002" s="1"/>
      <c r="O2002" t="str">
        <f t="shared" si="107"/>
        <v>PIX</v>
      </c>
      <c r="P2002" t="s">
        <v>149</v>
      </c>
      <c r="Q2002" t="str">
        <f t="shared" si="108"/>
        <v>Serviços</v>
      </c>
      <c r="R2002" t="str">
        <f t="shared" si="109"/>
        <v>Corte</v>
      </c>
      <c r="T2002" s="14">
        <f t="shared" si="110"/>
        <v>35</v>
      </c>
      <c r="U2002" s="14">
        <f t="shared" si="111"/>
        <v>35</v>
      </c>
      <c r="V2002" s="14"/>
      <c r="W2002" t="str">
        <f>IF(A2002=$A$1707,base!$I$3,IF(A2002=$A$1709,base!$I$2,IF(Receitas!A2002=Receitas!$A$1701,base!$I$4,"")))</f>
        <v>Christian Magon</v>
      </c>
      <c r="X2002" t="str">
        <f t="shared" si="112"/>
        <v>alan dorneles</v>
      </c>
    </row>
    <row r="2003" spans="1:24">
      <c r="A2003" t="s">
        <v>252</v>
      </c>
      <c r="B2003" t="s">
        <v>163</v>
      </c>
      <c r="C2003" t="s">
        <v>2955</v>
      </c>
      <c r="D2003" s="14">
        <v>35</v>
      </c>
      <c r="E2003" s="14">
        <v>55</v>
      </c>
      <c r="F2003" s="13">
        <v>45789.767361111109</v>
      </c>
      <c r="G2003" t="s">
        <v>1</v>
      </c>
      <c r="H2003" t="s">
        <v>2956</v>
      </c>
      <c r="I2003" t="str">
        <f>IF(A2003="","Pacote",IF(B2003=IFERROR(VLOOKUP(B2003,base!$L$1:$L$20,1,0),""),"Produtos",IF(B2003=IFERROR(VLOOKUP(B2003,base!$K$2:$K$20,1,0),""),"Serviços",IF(B2003="Gorjeta","Gorjeta","Combos"))))</f>
        <v>Serviços</v>
      </c>
      <c r="J2003">
        <f t="shared" si="104"/>
        <v>15.75</v>
      </c>
      <c r="K2003" s="1">
        <f t="shared" si="105"/>
        <v>45789.767361111109</v>
      </c>
      <c r="L2003" s="1">
        <f t="shared" si="106"/>
        <v>45789.767361111109</v>
      </c>
      <c r="M2003" s="1">
        <f t="shared" si="103"/>
        <v>45789.767361111109</v>
      </c>
      <c r="N2003" s="1"/>
      <c r="O2003" t="str">
        <f t="shared" si="107"/>
        <v>PIX</v>
      </c>
      <c r="P2003" t="s">
        <v>149</v>
      </c>
      <c r="Q2003" t="str">
        <f t="shared" si="108"/>
        <v>Serviços</v>
      </c>
      <c r="R2003" t="str">
        <f t="shared" si="109"/>
        <v>Corte</v>
      </c>
      <c r="T2003" s="14">
        <f t="shared" si="110"/>
        <v>35</v>
      </c>
      <c r="U2003" s="14">
        <f t="shared" si="111"/>
        <v>55</v>
      </c>
      <c r="V2003" s="14"/>
      <c r="W2003" t="str">
        <f>IF(A2003=$A$1707,base!$I$3,IF(A2003=$A$1709,base!$I$2,IF(Receitas!A2003=Receitas!$A$1701,base!$I$4,"")))</f>
        <v>Christian Magon</v>
      </c>
      <c r="X2003" t="str">
        <f t="shared" si="112"/>
        <v>LUIZ CLAUDIO FERNANDES</v>
      </c>
    </row>
    <row r="2004" spans="1:24">
      <c r="A2004" t="s">
        <v>252</v>
      </c>
      <c r="B2004" t="s">
        <v>166</v>
      </c>
      <c r="C2004" t="s">
        <v>2955</v>
      </c>
      <c r="D2004" s="14">
        <v>20</v>
      </c>
      <c r="F2004" s="13">
        <v>45789.767361111109</v>
      </c>
      <c r="G2004" t="s">
        <v>1</v>
      </c>
      <c r="H2004" t="s">
        <v>2956</v>
      </c>
      <c r="I2004" t="str">
        <f>IF(A2004="","Pacote",IF(B2004=IFERROR(VLOOKUP(B2004,base!$L$1:$L$20,1,0),""),"Produtos",IF(B2004=IFERROR(VLOOKUP(B2004,base!$K$2:$K$20,1,0),""),"Serviços",IF(B2004="Gorjeta","Gorjeta","Combos"))))</f>
        <v>Serviços</v>
      </c>
      <c r="J2004">
        <f t="shared" si="104"/>
        <v>9</v>
      </c>
      <c r="K2004" s="1">
        <f t="shared" si="105"/>
        <v>45789.767361111109</v>
      </c>
      <c r="L2004" s="1">
        <f t="shared" si="106"/>
        <v>45789.767361111109</v>
      </c>
      <c r="M2004" s="1">
        <f t="shared" si="103"/>
        <v>45789.767361111109</v>
      </c>
      <c r="N2004" s="1"/>
      <c r="O2004" t="str">
        <f t="shared" si="107"/>
        <v>PIX</v>
      </c>
      <c r="P2004" t="s">
        <v>149</v>
      </c>
      <c r="Q2004" t="str">
        <f t="shared" si="108"/>
        <v>Serviços</v>
      </c>
      <c r="R2004" t="str">
        <f t="shared" si="109"/>
        <v>Pigmentação</v>
      </c>
      <c r="T2004" s="14">
        <f t="shared" si="110"/>
        <v>20</v>
      </c>
      <c r="U2004" s="14">
        <f t="shared" si="111"/>
        <v>0</v>
      </c>
      <c r="V2004" s="14"/>
      <c r="W2004" t="str">
        <f>IF(A2004=$A$1707,base!$I$3,IF(A2004=$A$1709,base!$I$2,IF(Receitas!A2004=Receitas!$A$1701,base!$I$4,"")))</f>
        <v>Christian Magon</v>
      </c>
      <c r="X2004" t="str">
        <f t="shared" si="112"/>
        <v>LUIZ CLAUDIO FERNANDES</v>
      </c>
    </row>
    <row r="2005" spans="1:24">
      <c r="A2005" t="s">
        <v>252</v>
      </c>
      <c r="B2005" t="s">
        <v>163</v>
      </c>
      <c r="C2005" t="s">
        <v>2957</v>
      </c>
      <c r="D2005" s="14">
        <v>35</v>
      </c>
      <c r="E2005" s="14">
        <v>45</v>
      </c>
      <c r="F2005" s="13">
        <v>45789.805555555555</v>
      </c>
      <c r="G2005" t="s">
        <v>1</v>
      </c>
      <c r="H2005" t="s">
        <v>492</v>
      </c>
      <c r="I2005" t="str">
        <f>IF(A2005="","Pacote",IF(B2005=IFERROR(VLOOKUP(B2005,base!$L$1:$L$20,1,0),""),"Produtos",IF(B2005=IFERROR(VLOOKUP(B2005,base!$K$2:$K$20,1,0),""),"Serviços",IF(B2005="Gorjeta","Gorjeta","Combos"))))</f>
        <v>Serviços</v>
      </c>
      <c r="J2005">
        <f t="shared" si="104"/>
        <v>15.75</v>
      </c>
      <c r="K2005" s="1">
        <f t="shared" si="105"/>
        <v>45789.805555555555</v>
      </c>
      <c r="L2005" s="1">
        <f t="shared" si="106"/>
        <v>45789.805555555555</v>
      </c>
      <c r="M2005" s="1">
        <f t="shared" si="103"/>
        <v>45789.805555555555</v>
      </c>
      <c r="N2005" s="1"/>
      <c r="O2005" t="str">
        <f t="shared" si="107"/>
        <v>PIX</v>
      </c>
      <c r="P2005" t="s">
        <v>149</v>
      </c>
      <c r="Q2005" t="str">
        <f t="shared" si="108"/>
        <v>Serviços</v>
      </c>
      <c r="R2005" t="str">
        <f t="shared" si="109"/>
        <v>Corte</v>
      </c>
      <c r="T2005" s="14">
        <f t="shared" si="110"/>
        <v>35</v>
      </c>
      <c r="U2005" s="14">
        <f t="shared" si="111"/>
        <v>45</v>
      </c>
      <c r="V2005" s="14"/>
      <c r="W2005" t="str">
        <f>IF(A2005=$A$1707,base!$I$3,IF(A2005=$A$1709,base!$I$2,IF(Receitas!A2005=Receitas!$A$1701,base!$I$4,"")))</f>
        <v>Christian Magon</v>
      </c>
      <c r="X2005" t="str">
        <f t="shared" si="112"/>
        <v>Gilmar Carvalho</v>
      </c>
    </row>
    <row r="2006" spans="1:24">
      <c r="A2006" t="s">
        <v>252</v>
      </c>
      <c r="B2006" t="s">
        <v>167</v>
      </c>
      <c r="C2006" t="s">
        <v>2957</v>
      </c>
      <c r="D2006" s="14">
        <v>10</v>
      </c>
      <c r="F2006" s="13">
        <v>45789.805555555555</v>
      </c>
      <c r="G2006" t="s">
        <v>1</v>
      </c>
      <c r="H2006" t="s">
        <v>492</v>
      </c>
      <c r="I2006" t="str">
        <f>IF(A2006="","Pacote",IF(B2006=IFERROR(VLOOKUP(B2006,base!$L$1:$L$20,1,0),""),"Produtos",IF(B2006=IFERROR(VLOOKUP(B2006,base!$K$2:$K$20,1,0),""),"Serviços",IF(B2006="Gorjeta","Gorjeta","Combos"))))</f>
        <v>Serviços</v>
      </c>
      <c r="J2006">
        <f t="shared" si="104"/>
        <v>4.5</v>
      </c>
      <c r="K2006" s="1">
        <f t="shared" si="105"/>
        <v>45789.805555555555</v>
      </c>
      <c r="L2006" s="1">
        <f t="shared" si="106"/>
        <v>45789.805555555555</v>
      </c>
      <c r="M2006" s="1">
        <f t="shared" si="103"/>
        <v>45789.805555555555</v>
      </c>
      <c r="N2006" s="1"/>
      <c r="O2006" t="str">
        <f t="shared" si="107"/>
        <v>PIX</v>
      </c>
      <c r="P2006" t="s">
        <v>149</v>
      </c>
      <c r="Q2006" t="str">
        <f t="shared" si="108"/>
        <v>Serviços</v>
      </c>
      <c r="R2006" t="str">
        <f t="shared" si="109"/>
        <v>Sobrancelha</v>
      </c>
      <c r="T2006" s="14">
        <f t="shared" si="110"/>
        <v>10</v>
      </c>
      <c r="U2006" s="14">
        <f t="shared" si="111"/>
        <v>0</v>
      </c>
      <c r="V2006" s="14"/>
      <c r="W2006" t="str">
        <f>IF(A2006=$A$1707,base!$I$3,IF(A2006=$A$1709,base!$I$2,IF(Receitas!A2006=Receitas!$A$1701,base!$I$4,"")))</f>
        <v>Christian Magon</v>
      </c>
      <c r="X2006" t="str">
        <f t="shared" si="112"/>
        <v>Gilmar Carvalho</v>
      </c>
    </row>
    <row r="2007" spans="1:24">
      <c r="A2007" t="s">
        <v>252</v>
      </c>
      <c r="B2007" t="s">
        <v>163</v>
      </c>
      <c r="C2007" t="s">
        <v>2958</v>
      </c>
      <c r="D2007" s="14">
        <v>20</v>
      </c>
      <c r="E2007" s="14">
        <v>35</v>
      </c>
      <c r="F2007" s="13">
        <v>45789.836805555555</v>
      </c>
      <c r="G2007" t="s">
        <v>310</v>
      </c>
      <c r="H2007" t="s">
        <v>376</v>
      </c>
      <c r="I2007" t="str">
        <f>IF(A2007="","Pacote",IF(B2007=IFERROR(VLOOKUP(B2007,base!$L$1:$L$20,1,0),""),"Produtos",IF(B2007=IFERROR(VLOOKUP(B2007,base!$K$2:$K$20,1,0),""),"Serviços",IF(B2007="Gorjeta","Gorjeta","Combos"))))</f>
        <v>Serviços</v>
      </c>
      <c r="J2007">
        <f t="shared" si="104"/>
        <v>9</v>
      </c>
      <c r="K2007" s="1">
        <f t="shared" si="105"/>
        <v>45789.836805555555</v>
      </c>
      <c r="L2007" s="1">
        <f t="shared" si="106"/>
        <v>45789.836805555555</v>
      </c>
      <c r="M2007" s="1">
        <f t="shared" si="103"/>
        <v>45789.836805555555</v>
      </c>
      <c r="N2007" s="1"/>
      <c r="O2007" t="str">
        <f t="shared" si="107"/>
        <v>Cartão de Débito</v>
      </c>
      <c r="P2007" t="s">
        <v>149</v>
      </c>
      <c r="Q2007" t="str">
        <f t="shared" si="108"/>
        <v>Serviços</v>
      </c>
      <c r="R2007" t="str">
        <f t="shared" si="109"/>
        <v>Corte</v>
      </c>
      <c r="T2007" s="14">
        <f t="shared" si="110"/>
        <v>20</v>
      </c>
      <c r="U2007" s="14">
        <f t="shared" si="111"/>
        <v>35</v>
      </c>
      <c r="V2007" s="14"/>
      <c r="W2007" t="str">
        <f>IF(A2007=$A$1707,base!$I$3,IF(A2007=$A$1709,base!$I$2,IF(Receitas!A2007=Receitas!$A$1701,base!$I$4,"")))</f>
        <v>Christian Magon</v>
      </c>
      <c r="X2007" t="str">
        <f t="shared" si="112"/>
        <v>Alex Pimenta</v>
      </c>
    </row>
    <row r="2008" spans="1:24" s="25" customFormat="1">
      <c r="A2008" s="25" t="s">
        <v>252</v>
      </c>
      <c r="B2008" s="25" t="s">
        <v>1187</v>
      </c>
      <c r="C2008" s="25" t="s">
        <v>2958</v>
      </c>
      <c r="D2008" s="26">
        <v>15</v>
      </c>
      <c r="F2008" s="27">
        <v>45789.836805555555</v>
      </c>
      <c r="G2008" s="25" t="s">
        <v>310</v>
      </c>
      <c r="H2008" s="25" t="s">
        <v>376</v>
      </c>
      <c r="I2008" s="25" t="str">
        <f>IF(A2008="","Pacote",IF(B2008=IFERROR(VLOOKUP(B2008,base!$L$1:$L$20,1,0),""),"Produtos",IF(B2008=IFERROR(VLOOKUP(B2008,base!$K$2:$K$20,1,0),""),"Serviços",IF(B2008="Gorjeta","Gorjeta","Combos"))))</f>
        <v>Serviços</v>
      </c>
      <c r="J2008" s="25">
        <f t="shared" si="104"/>
        <v>6.75</v>
      </c>
      <c r="K2008" s="50">
        <f t="shared" si="105"/>
        <v>45789.836805555555</v>
      </c>
      <c r="L2008" s="50">
        <f t="shared" si="106"/>
        <v>45789.836805555555</v>
      </c>
      <c r="M2008" s="50">
        <f t="shared" si="103"/>
        <v>45789.836805555555</v>
      </c>
      <c r="N2008" s="50"/>
      <c r="O2008" s="25" t="str">
        <f t="shared" si="107"/>
        <v>Cartão de Débito</v>
      </c>
      <c r="P2008" s="25" t="s">
        <v>149</v>
      </c>
      <c r="Q2008" s="25" t="str">
        <f t="shared" si="108"/>
        <v>Serviços</v>
      </c>
      <c r="R2008" s="25" t="str">
        <f t="shared" si="109"/>
        <v>depilação nariz</v>
      </c>
      <c r="T2008" s="26">
        <f t="shared" si="110"/>
        <v>15</v>
      </c>
      <c r="U2008" s="26">
        <f t="shared" si="111"/>
        <v>0</v>
      </c>
      <c r="V2008" s="26"/>
      <c r="W2008" s="25" t="str">
        <f>IF(A2008=$A$1707,base!$I$3,IF(A2008=$A$1709,base!$I$2,IF(Receitas!A2008=Receitas!$A$1701,base!$I$4,"")))</f>
        <v>Christian Magon</v>
      </c>
      <c r="X2008" s="25" t="str">
        <f t="shared" si="112"/>
        <v>Alex Pimenta</v>
      </c>
    </row>
    <row r="2009" spans="1:24">
      <c r="A2009" t="s">
        <v>519</v>
      </c>
      <c r="B2009" t="s">
        <v>163</v>
      </c>
      <c r="C2009" t="s">
        <v>2993</v>
      </c>
      <c r="D2009" s="14">
        <v>35</v>
      </c>
      <c r="E2009" s="14">
        <v>140</v>
      </c>
      <c r="F2009" s="13">
        <v>45790.583333333336</v>
      </c>
      <c r="G2009" t="s">
        <v>2</v>
      </c>
      <c r="H2009" t="s">
        <v>2994</v>
      </c>
      <c r="I2009" t="str">
        <f>IF(A2009="","Pacote",IF(B2009=IFERROR(VLOOKUP(B2009,base!$L$1:$L$20,1,0),""),"Produtos",IF(B2009=IFERROR(VLOOKUP(B2009,base!$K$2:$K$20,1,0),""),"Serviços",IF(B2009="Gorjeta","Gorjeta","Combos"))))</f>
        <v>Serviços</v>
      </c>
      <c r="J2009">
        <f>IF(AND(I2009="Serviços",E2009&gt;0),ROUND(D2009*45%,2),IF(I2009="Produtos",ROUND(D2009*40%,2),D2009*45%))</f>
        <v>15.75</v>
      </c>
      <c r="K2009" s="1">
        <f>F2009</f>
        <v>45790.583333333336</v>
      </c>
      <c r="L2009" s="1">
        <f>F2009</f>
        <v>45790.583333333336</v>
      </c>
      <c r="M2009" s="1">
        <f>F2009</f>
        <v>45790.583333333336</v>
      </c>
      <c r="N2009" s="1"/>
      <c r="O2009" t="str">
        <f>G2009</f>
        <v>Dinheiro</v>
      </c>
      <c r="P2009" t="s">
        <v>149</v>
      </c>
      <c r="Q2009" t="str">
        <f>I2009</f>
        <v>Serviços</v>
      </c>
      <c r="R2009" t="str">
        <f>B2009</f>
        <v>Corte</v>
      </c>
      <c r="T2009" s="14">
        <f>D2009</f>
        <v>35</v>
      </c>
      <c r="U2009" s="14">
        <f>E2009</f>
        <v>140</v>
      </c>
      <c r="V2009" s="14"/>
      <c r="W2009" t="str">
        <f>IF(A2009=$A$1707,base!$I$3,IF(A2009=$A$1709,base!$I$2,IF(Receitas!A2009=Receitas!$A$1701,base!$I$4,"")))</f>
        <v>Gustavo de Castro</v>
      </c>
      <c r="X2009" t="str">
        <f>H2009</f>
        <v>adriano miranda</v>
      </c>
    </row>
    <row r="2010" spans="1:24">
      <c r="A2010" t="s">
        <v>519</v>
      </c>
      <c r="B2010" t="s">
        <v>163</v>
      </c>
      <c r="C2010" t="s">
        <v>2993</v>
      </c>
      <c r="D2010" s="14">
        <v>35</v>
      </c>
      <c r="F2010" s="13">
        <v>45790.583333333336</v>
      </c>
      <c r="G2010" t="s">
        <v>2</v>
      </c>
      <c r="H2010" t="s">
        <v>2994</v>
      </c>
      <c r="I2010" t="str">
        <f>IF(A2010="","Pacote",IF(B2010=IFERROR(VLOOKUP(B2010,base!$L$1:$L$20,1,0),""),"Produtos",IF(B2010=IFERROR(VLOOKUP(B2010,base!$K$2:$K$20,1,0),""),"Serviços",IF(B2010="Gorjeta","Gorjeta","Combos"))))</f>
        <v>Serviços</v>
      </c>
      <c r="J2010">
        <f t="shared" ref="J2010:J2073" si="113">IF(AND(I2010="Serviços",E2010&gt;0),ROUND(D2010*45%,2),IF(I2010="Produtos",ROUND(D2010*40%,2),D2010*45%))</f>
        <v>15.75</v>
      </c>
      <c r="K2010" s="1">
        <f t="shared" ref="K2010:K2073" si="114">F2010</f>
        <v>45790.583333333336</v>
      </c>
      <c r="L2010" s="1">
        <f t="shared" ref="L2010:L2073" si="115">F2010</f>
        <v>45790.583333333336</v>
      </c>
      <c r="M2010" s="1">
        <f t="shared" ref="M2010:M2073" si="116">F2010</f>
        <v>45790.583333333336</v>
      </c>
      <c r="N2010" s="1"/>
      <c r="O2010" t="str">
        <f t="shared" ref="O2010:O2073" si="117">G2010</f>
        <v>Dinheiro</v>
      </c>
      <c r="P2010" t="s">
        <v>149</v>
      </c>
      <c r="Q2010" t="str">
        <f t="shared" ref="Q2010:Q2073" si="118">I2010</f>
        <v>Serviços</v>
      </c>
      <c r="R2010" t="str">
        <f t="shared" ref="R2010:R2073" si="119">B2010</f>
        <v>Corte</v>
      </c>
      <c r="T2010" s="14">
        <f t="shared" ref="T2010:T2073" si="120">D2010</f>
        <v>35</v>
      </c>
      <c r="U2010" s="14">
        <f t="shared" ref="U2010:U2073" si="121">E2010</f>
        <v>0</v>
      </c>
      <c r="V2010" s="14"/>
      <c r="W2010" t="str">
        <f>IF(A2010=$A$1707,base!$I$3,IF(A2010=$A$1709,base!$I$2,IF(Receitas!A2010=Receitas!$A$1701,base!$I$4,"")))</f>
        <v>Gustavo de Castro</v>
      </c>
      <c r="X2010" t="str">
        <f t="shared" ref="X2010:X2073" si="122">H2010</f>
        <v>adriano miranda</v>
      </c>
    </row>
    <row r="2011" spans="1:24">
      <c r="A2011" t="s">
        <v>519</v>
      </c>
      <c r="B2011" t="s">
        <v>163</v>
      </c>
      <c r="C2011" t="s">
        <v>2993</v>
      </c>
      <c r="D2011" s="14">
        <v>35</v>
      </c>
      <c r="F2011" s="13">
        <v>45790.583333333336</v>
      </c>
      <c r="G2011" t="s">
        <v>2</v>
      </c>
      <c r="H2011" t="s">
        <v>2994</v>
      </c>
      <c r="I2011" t="str">
        <f>IF(A2011="","Pacote",IF(B2011=IFERROR(VLOOKUP(B2011,base!$L$1:$L$20,1,0),""),"Produtos",IF(B2011=IFERROR(VLOOKUP(B2011,base!$K$2:$K$20,1,0),""),"Serviços",IF(B2011="Gorjeta","Gorjeta","Combos"))))</f>
        <v>Serviços</v>
      </c>
      <c r="J2011">
        <f t="shared" si="113"/>
        <v>15.75</v>
      </c>
      <c r="K2011" s="1">
        <f t="shared" si="114"/>
        <v>45790.583333333336</v>
      </c>
      <c r="L2011" s="1">
        <f t="shared" si="115"/>
        <v>45790.583333333336</v>
      </c>
      <c r="M2011" s="1">
        <f t="shared" si="116"/>
        <v>45790.583333333336</v>
      </c>
      <c r="N2011" s="1"/>
      <c r="O2011" t="str">
        <f t="shared" si="117"/>
        <v>Dinheiro</v>
      </c>
      <c r="P2011" t="s">
        <v>149</v>
      </c>
      <c r="Q2011" t="str">
        <f t="shared" si="118"/>
        <v>Serviços</v>
      </c>
      <c r="R2011" t="str">
        <f t="shared" si="119"/>
        <v>Corte</v>
      </c>
      <c r="T2011" s="14">
        <f t="shared" si="120"/>
        <v>35</v>
      </c>
      <c r="U2011" s="14">
        <f t="shared" si="121"/>
        <v>0</v>
      </c>
      <c r="V2011" s="14"/>
      <c r="W2011" t="str">
        <f>IF(A2011=$A$1707,base!$I$3,IF(A2011=$A$1709,base!$I$2,IF(Receitas!A2011=Receitas!$A$1701,base!$I$4,"")))</f>
        <v>Gustavo de Castro</v>
      </c>
      <c r="X2011" t="str">
        <f t="shared" si="122"/>
        <v>adriano miranda</v>
      </c>
    </row>
    <row r="2012" spans="1:24">
      <c r="A2012" t="s">
        <v>252</v>
      </c>
      <c r="B2012" t="s">
        <v>163</v>
      </c>
      <c r="C2012" t="s">
        <v>2993</v>
      </c>
      <c r="D2012" s="14">
        <v>35</v>
      </c>
      <c r="F2012" s="13">
        <v>45790.583333333336</v>
      </c>
      <c r="G2012" t="s">
        <v>2</v>
      </c>
      <c r="H2012" t="s">
        <v>2994</v>
      </c>
      <c r="I2012" t="str">
        <f>IF(A2012="","Pacote",IF(B2012=IFERROR(VLOOKUP(B2012,base!$L$1:$L$20,1,0),""),"Produtos",IF(B2012=IFERROR(VLOOKUP(B2012,base!$K$2:$K$20,1,0),""),"Serviços",IF(B2012="Gorjeta","Gorjeta","Combos"))))</f>
        <v>Serviços</v>
      </c>
      <c r="J2012">
        <f t="shared" si="113"/>
        <v>15.75</v>
      </c>
      <c r="K2012" s="1">
        <f t="shared" si="114"/>
        <v>45790.583333333336</v>
      </c>
      <c r="L2012" s="1">
        <f t="shared" si="115"/>
        <v>45790.583333333336</v>
      </c>
      <c r="M2012" s="1">
        <f t="shared" si="116"/>
        <v>45790.583333333336</v>
      </c>
      <c r="N2012" s="1"/>
      <c r="O2012" t="str">
        <f t="shared" si="117"/>
        <v>Dinheiro</v>
      </c>
      <c r="P2012" t="s">
        <v>149</v>
      </c>
      <c r="Q2012" t="str">
        <f t="shared" si="118"/>
        <v>Serviços</v>
      </c>
      <c r="R2012" t="str">
        <f t="shared" si="119"/>
        <v>Corte</v>
      </c>
      <c r="T2012" s="14">
        <f t="shared" si="120"/>
        <v>35</v>
      </c>
      <c r="U2012" s="14">
        <f t="shared" si="121"/>
        <v>0</v>
      </c>
      <c r="V2012" s="14"/>
      <c r="W2012" t="str">
        <f>IF(A2012=$A$1707,base!$I$3,IF(A2012=$A$1709,base!$I$2,IF(Receitas!A2012=Receitas!$A$1701,base!$I$4,"")))</f>
        <v>Christian Magon</v>
      </c>
      <c r="X2012" t="str">
        <f t="shared" si="122"/>
        <v>adriano miranda</v>
      </c>
    </row>
    <row r="2013" spans="1:24">
      <c r="A2013" t="s">
        <v>536</v>
      </c>
      <c r="B2013" t="s">
        <v>163</v>
      </c>
      <c r="C2013" t="s">
        <v>2995</v>
      </c>
      <c r="D2013" s="14">
        <v>35</v>
      </c>
      <c r="E2013" s="14">
        <v>65</v>
      </c>
      <c r="F2013" s="13">
        <v>45790.46875</v>
      </c>
      <c r="G2013" t="s">
        <v>354</v>
      </c>
      <c r="H2013" t="s">
        <v>425</v>
      </c>
      <c r="I2013" t="str">
        <f>IF(A2013="","Pacote",IF(B2013=IFERROR(VLOOKUP(B2013,base!$L$1:$L$20,1,0),""),"Produtos",IF(B2013=IFERROR(VLOOKUP(B2013,base!$K$2:$K$20,1,0),""),"Serviços",IF(B2013="Gorjeta","Gorjeta","Combos"))))</f>
        <v>Serviços</v>
      </c>
      <c r="J2013">
        <f t="shared" si="113"/>
        <v>15.75</v>
      </c>
      <c r="K2013" s="1">
        <f t="shared" si="114"/>
        <v>45790.46875</v>
      </c>
      <c r="L2013" s="1">
        <f t="shared" si="115"/>
        <v>45790.46875</v>
      </c>
      <c r="M2013" s="1">
        <f t="shared" si="116"/>
        <v>45790.46875</v>
      </c>
      <c r="N2013" s="1"/>
      <c r="O2013" t="str">
        <f t="shared" si="117"/>
        <v>Cartão de Crédito</v>
      </c>
      <c r="P2013" t="s">
        <v>149</v>
      </c>
      <c r="Q2013" t="str">
        <f t="shared" si="118"/>
        <v>Serviços</v>
      </c>
      <c r="R2013" t="str">
        <f t="shared" si="119"/>
        <v>Corte</v>
      </c>
      <c r="T2013" s="14">
        <f t="shared" si="120"/>
        <v>35</v>
      </c>
      <c r="U2013" s="14">
        <f t="shared" si="121"/>
        <v>65</v>
      </c>
      <c r="V2013" s="14"/>
      <c r="W2013" t="str">
        <f>IF(A2013=$A$1707,base!$I$3,IF(A2013=$A$1709,base!$I$2,IF(Receitas!A2013=Receitas!$A$1701,base!$I$4,"")))</f>
        <v>PATRICK CARDOSO</v>
      </c>
      <c r="X2013" t="str">
        <f t="shared" si="122"/>
        <v>luiz henrique</v>
      </c>
    </row>
    <row r="2014" spans="1:24">
      <c r="A2014" t="s">
        <v>536</v>
      </c>
      <c r="B2014" t="s">
        <v>167</v>
      </c>
      <c r="C2014" t="s">
        <v>2995</v>
      </c>
      <c r="D2014" s="14">
        <v>10</v>
      </c>
      <c r="F2014" s="13">
        <v>45790.46875</v>
      </c>
      <c r="G2014" t="s">
        <v>354</v>
      </c>
      <c r="H2014" t="s">
        <v>425</v>
      </c>
      <c r="I2014" t="str">
        <f>IF(A2014="","Pacote",IF(B2014=IFERROR(VLOOKUP(B2014,base!$L$1:$L$20,1,0),""),"Produtos",IF(B2014=IFERROR(VLOOKUP(B2014,base!$K$2:$K$20,1,0),""),"Serviços",IF(B2014="Gorjeta","Gorjeta","Combos"))))</f>
        <v>Serviços</v>
      </c>
      <c r="J2014">
        <f t="shared" si="113"/>
        <v>4.5</v>
      </c>
      <c r="K2014" s="1">
        <f t="shared" si="114"/>
        <v>45790.46875</v>
      </c>
      <c r="L2014" s="1">
        <f t="shared" si="115"/>
        <v>45790.46875</v>
      </c>
      <c r="M2014" s="1">
        <f t="shared" si="116"/>
        <v>45790.46875</v>
      </c>
      <c r="N2014" s="1"/>
      <c r="O2014" t="str">
        <f t="shared" si="117"/>
        <v>Cartão de Crédito</v>
      </c>
      <c r="P2014" t="s">
        <v>149</v>
      </c>
      <c r="Q2014" t="str">
        <f t="shared" si="118"/>
        <v>Serviços</v>
      </c>
      <c r="R2014" t="str">
        <f t="shared" si="119"/>
        <v>Sobrancelha</v>
      </c>
      <c r="T2014" s="14">
        <f t="shared" si="120"/>
        <v>10</v>
      </c>
      <c r="U2014" s="14">
        <f t="shared" si="121"/>
        <v>0</v>
      </c>
      <c r="V2014" s="14"/>
      <c r="W2014" t="str">
        <f>IF(A2014=$A$1707,base!$I$3,IF(A2014=$A$1709,base!$I$2,IF(Receitas!A2014=Receitas!$A$1701,base!$I$4,"")))</f>
        <v>PATRICK CARDOSO</v>
      </c>
      <c r="X2014" t="str">
        <f t="shared" si="122"/>
        <v>luiz henrique</v>
      </c>
    </row>
    <row r="2015" spans="1:24">
      <c r="A2015" t="s">
        <v>536</v>
      </c>
      <c r="B2015" t="s">
        <v>166</v>
      </c>
      <c r="C2015" t="s">
        <v>2995</v>
      </c>
      <c r="D2015" s="14">
        <v>20</v>
      </c>
      <c r="F2015" s="13">
        <v>45790.46875</v>
      </c>
      <c r="G2015" t="s">
        <v>354</v>
      </c>
      <c r="H2015" t="s">
        <v>425</v>
      </c>
      <c r="I2015" t="str">
        <f>IF(A2015="","Pacote",IF(B2015=IFERROR(VLOOKUP(B2015,base!$L$1:$L$20,1,0),""),"Produtos",IF(B2015=IFERROR(VLOOKUP(B2015,base!$K$2:$K$20,1,0),""),"Serviços",IF(B2015="Gorjeta","Gorjeta","Combos"))))</f>
        <v>Serviços</v>
      </c>
      <c r="J2015">
        <f t="shared" si="113"/>
        <v>9</v>
      </c>
      <c r="K2015" s="1">
        <f t="shared" si="114"/>
        <v>45790.46875</v>
      </c>
      <c r="L2015" s="1">
        <f t="shared" si="115"/>
        <v>45790.46875</v>
      </c>
      <c r="M2015" s="1">
        <f t="shared" si="116"/>
        <v>45790.46875</v>
      </c>
      <c r="N2015" s="1"/>
      <c r="O2015" t="str">
        <f t="shared" si="117"/>
        <v>Cartão de Crédito</v>
      </c>
      <c r="P2015" t="s">
        <v>149</v>
      </c>
      <c r="Q2015" t="str">
        <f t="shared" si="118"/>
        <v>Serviços</v>
      </c>
      <c r="R2015" t="str">
        <f t="shared" si="119"/>
        <v>Pigmentação</v>
      </c>
      <c r="T2015" s="14">
        <f t="shared" si="120"/>
        <v>20</v>
      </c>
      <c r="U2015" s="14">
        <f t="shared" si="121"/>
        <v>0</v>
      </c>
      <c r="V2015" s="14"/>
      <c r="W2015" t="str">
        <f>IF(A2015=$A$1707,base!$I$3,IF(A2015=$A$1709,base!$I$2,IF(Receitas!A2015=Receitas!$A$1701,base!$I$4,"")))</f>
        <v>PATRICK CARDOSO</v>
      </c>
      <c r="X2015" t="str">
        <f t="shared" si="122"/>
        <v>luiz henrique</v>
      </c>
    </row>
    <row r="2016" spans="1:24">
      <c r="A2016" t="s">
        <v>252</v>
      </c>
      <c r="B2016" t="s">
        <v>163</v>
      </c>
      <c r="C2016" t="s">
        <v>2996</v>
      </c>
      <c r="D2016" s="14">
        <v>35</v>
      </c>
      <c r="E2016" s="14">
        <v>35</v>
      </c>
      <c r="F2016" s="13">
        <v>45790.496527777781</v>
      </c>
      <c r="G2016" t="s">
        <v>1</v>
      </c>
      <c r="H2016" t="s">
        <v>2956</v>
      </c>
      <c r="I2016" t="str">
        <f>IF(A2016="","Pacote",IF(B2016=IFERROR(VLOOKUP(B2016,base!$L$1:$L$20,1,0),""),"Produtos",IF(B2016=IFERROR(VLOOKUP(B2016,base!$K$2:$K$20,1,0),""),"Serviços",IF(B2016="Gorjeta","Gorjeta","Combos"))))</f>
        <v>Serviços</v>
      </c>
      <c r="J2016">
        <f t="shared" si="113"/>
        <v>15.75</v>
      </c>
      <c r="K2016" s="1">
        <f t="shared" si="114"/>
        <v>45790.496527777781</v>
      </c>
      <c r="L2016" s="1">
        <f t="shared" si="115"/>
        <v>45790.496527777781</v>
      </c>
      <c r="M2016" s="1">
        <f t="shared" si="116"/>
        <v>45790.496527777781</v>
      </c>
      <c r="N2016" s="1"/>
      <c r="O2016" t="str">
        <f t="shared" si="117"/>
        <v>PIX</v>
      </c>
      <c r="P2016" t="s">
        <v>149</v>
      </c>
      <c r="Q2016" t="str">
        <f t="shared" si="118"/>
        <v>Serviços</v>
      </c>
      <c r="R2016" t="str">
        <f t="shared" si="119"/>
        <v>Corte</v>
      </c>
      <c r="T2016" s="14">
        <f t="shared" si="120"/>
        <v>35</v>
      </c>
      <c r="U2016" s="14">
        <f t="shared" si="121"/>
        <v>35</v>
      </c>
      <c r="V2016" s="14"/>
      <c r="W2016" t="str">
        <f>IF(A2016=$A$1707,base!$I$3,IF(A2016=$A$1709,base!$I$2,IF(Receitas!A2016=Receitas!$A$1701,base!$I$4,"")))</f>
        <v>Christian Magon</v>
      </c>
      <c r="X2016" t="str">
        <f t="shared" si="122"/>
        <v>LUIZ CLAUDIO FERNANDES</v>
      </c>
    </row>
    <row r="2017" spans="1:24">
      <c r="A2017" t="s">
        <v>252</v>
      </c>
      <c r="B2017" t="s">
        <v>163</v>
      </c>
      <c r="C2017" t="s">
        <v>2997</v>
      </c>
      <c r="D2017" s="14">
        <v>35</v>
      </c>
      <c r="E2017" s="14">
        <v>35</v>
      </c>
      <c r="F2017" s="13">
        <v>45792.416666666664</v>
      </c>
      <c r="G2017" t="s">
        <v>1</v>
      </c>
      <c r="H2017" t="s">
        <v>364</v>
      </c>
      <c r="I2017" t="str">
        <f>IF(A2017="","Pacote",IF(B2017=IFERROR(VLOOKUP(B2017,base!$L$1:$L$20,1,0),""),"Produtos",IF(B2017=IFERROR(VLOOKUP(B2017,base!$K$2:$K$20,1,0),""),"Serviços",IF(B2017="Gorjeta","Gorjeta","Combos"))))</f>
        <v>Serviços</v>
      </c>
      <c r="J2017">
        <f t="shared" si="113"/>
        <v>15.75</v>
      </c>
      <c r="K2017" s="1">
        <f t="shared" si="114"/>
        <v>45792.416666666664</v>
      </c>
      <c r="L2017" s="1">
        <f t="shared" si="115"/>
        <v>45792.416666666664</v>
      </c>
      <c r="M2017" s="1">
        <f t="shared" si="116"/>
        <v>45792.416666666664</v>
      </c>
      <c r="N2017" s="1"/>
      <c r="O2017" t="str">
        <f t="shared" si="117"/>
        <v>PIX</v>
      </c>
      <c r="P2017" t="s">
        <v>149</v>
      </c>
      <c r="Q2017" t="str">
        <f t="shared" si="118"/>
        <v>Serviços</v>
      </c>
      <c r="R2017" t="str">
        <f t="shared" si="119"/>
        <v>Corte</v>
      </c>
      <c r="T2017" s="14">
        <f t="shared" si="120"/>
        <v>35</v>
      </c>
      <c r="U2017" s="14">
        <f t="shared" si="121"/>
        <v>35</v>
      </c>
      <c r="V2017" s="14"/>
      <c r="W2017" t="str">
        <f>IF(A2017=$A$1707,base!$I$3,IF(A2017=$A$1709,base!$I$2,IF(Receitas!A2017=Receitas!$A$1701,base!$I$4,"")))</f>
        <v>Christian Magon</v>
      </c>
      <c r="X2017" t="str">
        <f t="shared" si="122"/>
        <v>Gabriel lucas</v>
      </c>
    </row>
    <row r="2018" spans="1:24">
      <c r="A2018" t="s">
        <v>536</v>
      </c>
      <c r="B2018" t="s">
        <v>163</v>
      </c>
      <c r="C2018" t="s">
        <v>2998</v>
      </c>
      <c r="D2018" s="14">
        <v>35</v>
      </c>
      <c r="E2018" s="14">
        <v>35</v>
      </c>
      <c r="F2018" s="13">
        <v>45790.5</v>
      </c>
      <c r="G2018" t="s">
        <v>1</v>
      </c>
      <c r="H2018" t="s">
        <v>403</v>
      </c>
      <c r="I2018" t="str">
        <f>IF(A2018="","Pacote",IF(B2018=IFERROR(VLOOKUP(B2018,base!$L$1:$L$20,1,0),""),"Produtos",IF(B2018=IFERROR(VLOOKUP(B2018,base!$K$2:$K$20,1,0),""),"Serviços",IF(B2018="Gorjeta","Gorjeta","Combos"))))</f>
        <v>Serviços</v>
      </c>
      <c r="J2018">
        <f t="shared" si="113"/>
        <v>15.75</v>
      </c>
      <c r="K2018" s="1">
        <f t="shared" si="114"/>
        <v>45790.5</v>
      </c>
      <c r="L2018" s="1">
        <f t="shared" si="115"/>
        <v>45790.5</v>
      </c>
      <c r="M2018" s="1">
        <f t="shared" si="116"/>
        <v>45790.5</v>
      </c>
      <c r="N2018" s="1"/>
      <c r="O2018" t="str">
        <f t="shared" si="117"/>
        <v>PIX</v>
      </c>
      <c r="P2018" t="s">
        <v>149</v>
      </c>
      <c r="Q2018" t="str">
        <f t="shared" si="118"/>
        <v>Serviços</v>
      </c>
      <c r="R2018" t="str">
        <f t="shared" si="119"/>
        <v>Corte</v>
      </c>
      <c r="T2018" s="14">
        <f t="shared" si="120"/>
        <v>35</v>
      </c>
      <c r="U2018" s="14">
        <f t="shared" si="121"/>
        <v>35</v>
      </c>
      <c r="V2018" s="14"/>
      <c r="W2018" t="str">
        <f>IF(A2018=$A$1707,base!$I$3,IF(A2018=$A$1709,base!$I$2,IF(Receitas!A2018=Receitas!$A$1701,base!$I$4,"")))</f>
        <v>PATRICK CARDOSO</v>
      </c>
      <c r="X2018" t="str">
        <f t="shared" si="122"/>
        <v>robson dos santos moura</v>
      </c>
    </row>
    <row r="2019" spans="1:24">
      <c r="A2019" t="s">
        <v>536</v>
      </c>
      <c r="B2019" t="s">
        <v>163</v>
      </c>
      <c r="C2019" t="s">
        <v>2999</v>
      </c>
      <c r="D2019" s="14">
        <v>10</v>
      </c>
      <c r="E2019" s="14">
        <v>10</v>
      </c>
      <c r="F2019" s="13">
        <v>45790.586805555555</v>
      </c>
      <c r="G2019" t="s">
        <v>2</v>
      </c>
      <c r="H2019" t="s">
        <v>1067</v>
      </c>
      <c r="I2019" t="str">
        <f>IF(A2019="","Pacote",IF(B2019=IFERROR(VLOOKUP(B2019,base!$L$1:$L$20,1,0),""),"Produtos",IF(B2019=IFERROR(VLOOKUP(B2019,base!$K$2:$K$20,1,0),""),"Serviços",IF(B2019="Gorjeta","Gorjeta","Combos"))))</f>
        <v>Serviços</v>
      </c>
      <c r="J2019">
        <f t="shared" si="113"/>
        <v>4.5</v>
      </c>
      <c r="K2019" s="1">
        <f t="shared" si="114"/>
        <v>45790.586805555555</v>
      </c>
      <c r="L2019" s="1">
        <f t="shared" si="115"/>
        <v>45790.586805555555</v>
      </c>
      <c r="M2019" s="1">
        <f t="shared" si="116"/>
        <v>45790.586805555555</v>
      </c>
      <c r="N2019" s="1"/>
      <c r="O2019" t="str">
        <f t="shared" si="117"/>
        <v>Dinheiro</v>
      </c>
      <c r="P2019" t="s">
        <v>149</v>
      </c>
      <c r="Q2019" t="str">
        <f t="shared" si="118"/>
        <v>Serviços</v>
      </c>
      <c r="R2019" t="str">
        <f t="shared" si="119"/>
        <v>Corte</v>
      </c>
      <c r="T2019" s="14">
        <f t="shared" si="120"/>
        <v>10</v>
      </c>
      <c r="U2019" s="14">
        <f t="shared" si="121"/>
        <v>10</v>
      </c>
      <c r="V2019" s="14"/>
      <c r="W2019" t="str">
        <f>IF(A2019=$A$1707,base!$I$3,IF(A2019=$A$1709,base!$I$2,IF(Receitas!A2019=Receitas!$A$1701,base!$I$4,"")))</f>
        <v>PATRICK CARDOSO</v>
      </c>
      <c r="X2019" t="str">
        <f t="shared" si="122"/>
        <v>Alexandre</v>
      </c>
    </row>
    <row r="2020" spans="1:24">
      <c r="A2020" t="s">
        <v>252</v>
      </c>
      <c r="B2020" t="s">
        <v>163</v>
      </c>
      <c r="C2020" t="s">
        <v>3000</v>
      </c>
      <c r="D2020" s="14">
        <v>35</v>
      </c>
      <c r="E2020" s="14">
        <v>50</v>
      </c>
      <c r="F2020" s="13">
        <v>45790.625</v>
      </c>
      <c r="G2020" t="s">
        <v>1</v>
      </c>
      <c r="H2020" t="s">
        <v>3001</v>
      </c>
      <c r="I2020" t="str">
        <f>IF(A2020="","Pacote",IF(B2020=IFERROR(VLOOKUP(B2020,base!$L$1:$L$20,1,0),""),"Produtos",IF(B2020=IFERROR(VLOOKUP(B2020,base!$K$2:$K$20,1,0),""),"Serviços",IF(B2020="Gorjeta","Gorjeta","Combos"))))</f>
        <v>Serviços</v>
      </c>
      <c r="J2020">
        <f t="shared" si="113"/>
        <v>15.75</v>
      </c>
      <c r="K2020" s="1">
        <f t="shared" si="114"/>
        <v>45790.625</v>
      </c>
      <c r="L2020" s="1">
        <f t="shared" si="115"/>
        <v>45790.625</v>
      </c>
      <c r="M2020" s="1">
        <f t="shared" si="116"/>
        <v>45790.625</v>
      </c>
      <c r="N2020" s="1"/>
      <c r="O2020" t="str">
        <f t="shared" si="117"/>
        <v>PIX</v>
      </c>
      <c r="P2020" t="s">
        <v>149</v>
      </c>
      <c r="Q2020" t="str">
        <f t="shared" si="118"/>
        <v>Serviços</v>
      </c>
      <c r="R2020" t="str">
        <f t="shared" si="119"/>
        <v>Corte</v>
      </c>
      <c r="T2020" s="14">
        <f t="shared" si="120"/>
        <v>35</v>
      </c>
      <c r="U2020" s="14">
        <f t="shared" si="121"/>
        <v>50</v>
      </c>
      <c r="V2020" s="14"/>
      <c r="W2020" t="str">
        <f>IF(A2020=$A$1707,base!$I$3,IF(A2020=$A$1709,base!$I$2,IF(Receitas!A2020=Receitas!$A$1701,base!$I$4,"")))</f>
        <v>Christian Magon</v>
      </c>
      <c r="X2020" t="str">
        <f t="shared" si="122"/>
        <v>fabio luiz reis</v>
      </c>
    </row>
    <row r="2021" spans="1:24">
      <c r="A2021" t="s">
        <v>252</v>
      </c>
      <c r="B2021" t="s">
        <v>167</v>
      </c>
      <c r="C2021" t="s">
        <v>3000</v>
      </c>
      <c r="D2021" s="14">
        <v>10</v>
      </c>
      <c r="F2021" s="13">
        <v>45790.625</v>
      </c>
      <c r="G2021" t="s">
        <v>1</v>
      </c>
      <c r="H2021" t="s">
        <v>3001</v>
      </c>
      <c r="I2021" t="str">
        <f>IF(A2021="","Pacote",IF(B2021=IFERROR(VLOOKUP(B2021,base!$L$1:$L$20,1,0),""),"Produtos",IF(B2021=IFERROR(VLOOKUP(B2021,base!$K$2:$K$20,1,0),""),"Serviços",IF(B2021="Gorjeta","Gorjeta","Combos"))))</f>
        <v>Serviços</v>
      </c>
      <c r="J2021">
        <f t="shared" si="113"/>
        <v>4.5</v>
      </c>
      <c r="K2021" s="1">
        <f t="shared" si="114"/>
        <v>45790.625</v>
      </c>
      <c r="L2021" s="1">
        <f t="shared" si="115"/>
        <v>45790.625</v>
      </c>
      <c r="M2021" s="1">
        <f t="shared" si="116"/>
        <v>45790.625</v>
      </c>
      <c r="N2021" s="1"/>
      <c r="O2021" t="str">
        <f t="shared" si="117"/>
        <v>PIX</v>
      </c>
      <c r="P2021" t="s">
        <v>149</v>
      </c>
      <c r="Q2021" t="str">
        <f t="shared" si="118"/>
        <v>Serviços</v>
      </c>
      <c r="R2021" t="str">
        <f t="shared" si="119"/>
        <v>Sobrancelha</v>
      </c>
      <c r="T2021" s="14">
        <f t="shared" si="120"/>
        <v>10</v>
      </c>
      <c r="U2021" s="14">
        <f t="shared" si="121"/>
        <v>0</v>
      </c>
      <c r="V2021" s="14"/>
      <c r="W2021" t="str">
        <f>IF(A2021=$A$1707,base!$I$3,IF(A2021=$A$1709,base!$I$2,IF(Receitas!A2021=Receitas!$A$1701,base!$I$4,"")))</f>
        <v>Christian Magon</v>
      </c>
      <c r="X2021" t="str">
        <f t="shared" si="122"/>
        <v>fabio luiz reis</v>
      </c>
    </row>
    <row r="2022" spans="1:24">
      <c r="A2022" t="s">
        <v>252</v>
      </c>
      <c r="B2022" t="s">
        <v>910</v>
      </c>
      <c r="C2022" t="s">
        <v>3000</v>
      </c>
      <c r="D2022" s="14">
        <v>5</v>
      </c>
      <c r="F2022" s="13">
        <v>45790.625</v>
      </c>
      <c r="G2022" t="s">
        <v>1</v>
      </c>
      <c r="H2022" t="s">
        <v>3001</v>
      </c>
      <c r="I2022" t="str">
        <f>IF(A2022="","Pacote",IF(B2022=IFERROR(VLOOKUP(B2022,base!$L$1:$L$20,1,0),""),"Produtos",IF(B2022=IFERROR(VLOOKUP(B2022,base!$K$2:$K$20,1,0),""),"Serviços",IF(B2022="Gorjeta","Gorjeta","Combos"))))</f>
        <v>Gorjeta</v>
      </c>
      <c r="J2022">
        <f t="shared" si="113"/>
        <v>2.25</v>
      </c>
      <c r="K2022" s="1">
        <f t="shared" si="114"/>
        <v>45790.625</v>
      </c>
      <c r="L2022" s="1">
        <f t="shared" si="115"/>
        <v>45790.625</v>
      </c>
      <c r="M2022" s="1">
        <f t="shared" si="116"/>
        <v>45790.625</v>
      </c>
      <c r="N2022" s="1"/>
      <c r="O2022" t="str">
        <f t="shared" si="117"/>
        <v>PIX</v>
      </c>
      <c r="P2022" t="s">
        <v>149</v>
      </c>
      <c r="Q2022" t="str">
        <f t="shared" si="118"/>
        <v>Gorjeta</v>
      </c>
      <c r="R2022" t="str">
        <f t="shared" si="119"/>
        <v>Gorjeta</v>
      </c>
      <c r="T2022" s="14">
        <f t="shared" si="120"/>
        <v>5</v>
      </c>
      <c r="U2022" s="14">
        <f t="shared" si="121"/>
        <v>0</v>
      </c>
      <c r="V2022" s="14"/>
      <c r="W2022" t="str">
        <f>IF(A2022=$A$1707,base!$I$3,IF(A2022=$A$1709,base!$I$2,IF(Receitas!A2022=Receitas!$A$1701,base!$I$4,"")))</f>
        <v>Christian Magon</v>
      </c>
      <c r="X2022" t="str">
        <f t="shared" si="122"/>
        <v>fabio luiz reis</v>
      </c>
    </row>
    <row r="2023" spans="1:24">
      <c r="A2023" t="s">
        <v>519</v>
      </c>
      <c r="B2023" t="s">
        <v>163</v>
      </c>
      <c r="C2023" t="s">
        <v>3002</v>
      </c>
      <c r="D2023" s="14">
        <v>30</v>
      </c>
      <c r="E2023" s="14">
        <v>0</v>
      </c>
      <c r="F2023" s="13">
        <v>45790.666666666664</v>
      </c>
      <c r="G2023" t="s">
        <v>1</v>
      </c>
      <c r="H2023" t="s">
        <v>122</v>
      </c>
      <c r="I2023" t="str">
        <f>IF(A2023="","Pacote",IF(B2023=IFERROR(VLOOKUP(B2023,base!$L$1:$L$20,1,0),""),"Produtos",IF(B2023=IFERROR(VLOOKUP(B2023,base!$K$2:$K$20,1,0),""),"Serviços",IF(B2023="Gorjeta","Gorjeta","Combos"))))</f>
        <v>Serviços</v>
      </c>
      <c r="J2023">
        <f t="shared" si="113"/>
        <v>13.5</v>
      </c>
      <c r="K2023" s="1">
        <f t="shared" si="114"/>
        <v>45790.666666666664</v>
      </c>
      <c r="L2023" s="1">
        <f t="shared" si="115"/>
        <v>45790.666666666664</v>
      </c>
      <c r="M2023" s="1">
        <f t="shared" si="116"/>
        <v>45790.666666666664</v>
      </c>
      <c r="N2023" s="1"/>
      <c r="O2023" t="str">
        <f t="shared" si="117"/>
        <v>PIX</v>
      </c>
      <c r="P2023" t="s">
        <v>149</v>
      </c>
      <c r="Q2023" t="str">
        <f t="shared" si="118"/>
        <v>Serviços</v>
      </c>
      <c r="R2023" t="str">
        <f t="shared" si="119"/>
        <v>Corte</v>
      </c>
      <c r="T2023" s="14">
        <f t="shared" si="120"/>
        <v>30</v>
      </c>
      <c r="U2023" s="14">
        <f t="shared" si="121"/>
        <v>0</v>
      </c>
      <c r="V2023" s="14"/>
      <c r="W2023" t="str">
        <f>IF(A2023=$A$1707,base!$I$3,IF(A2023=$A$1709,base!$I$2,IF(Receitas!A2023=Receitas!$A$1701,base!$I$4,"")))</f>
        <v>Gustavo de Castro</v>
      </c>
      <c r="X2023" t="str">
        <f t="shared" si="122"/>
        <v>Paulo Roberto</v>
      </c>
    </row>
    <row r="2024" spans="1:24">
      <c r="A2024" t="s">
        <v>252</v>
      </c>
      <c r="B2024" t="s">
        <v>163</v>
      </c>
      <c r="C2024" t="s">
        <v>3003</v>
      </c>
      <c r="D2024" s="14">
        <v>35</v>
      </c>
      <c r="E2024" s="14">
        <v>70</v>
      </c>
      <c r="F2024" s="13">
        <v>45790.677083333336</v>
      </c>
      <c r="G2024" t="s">
        <v>354</v>
      </c>
      <c r="H2024" t="s">
        <v>3004</v>
      </c>
      <c r="I2024" t="str">
        <f>IF(A2024="","Pacote",IF(B2024=IFERROR(VLOOKUP(B2024,base!$L$1:$L$20,1,0),""),"Produtos",IF(B2024=IFERROR(VLOOKUP(B2024,base!$K$2:$K$20,1,0),""),"Serviços",IF(B2024="Gorjeta","Gorjeta","Combos"))))</f>
        <v>Serviços</v>
      </c>
      <c r="J2024">
        <f t="shared" si="113"/>
        <v>15.75</v>
      </c>
      <c r="K2024" s="1">
        <f t="shared" si="114"/>
        <v>45790.677083333336</v>
      </c>
      <c r="L2024" s="1">
        <f t="shared" si="115"/>
        <v>45790.677083333336</v>
      </c>
      <c r="M2024" s="1">
        <f t="shared" si="116"/>
        <v>45790.677083333336</v>
      </c>
      <c r="N2024" s="1"/>
      <c r="O2024" t="str">
        <f t="shared" si="117"/>
        <v>Cartão de Crédito</v>
      </c>
      <c r="P2024" t="s">
        <v>149</v>
      </c>
      <c r="Q2024" t="str">
        <f t="shared" si="118"/>
        <v>Serviços</v>
      </c>
      <c r="R2024" t="str">
        <f t="shared" si="119"/>
        <v>Corte</v>
      </c>
      <c r="T2024" s="14">
        <f t="shared" si="120"/>
        <v>35</v>
      </c>
      <c r="U2024" s="14">
        <f t="shared" si="121"/>
        <v>70</v>
      </c>
      <c r="V2024" s="14"/>
      <c r="W2024" t="str">
        <f>IF(A2024=$A$1707,base!$I$3,IF(A2024=$A$1709,base!$I$2,IF(Receitas!A2024=Receitas!$A$1701,base!$I$4,"")))</f>
        <v>Christian Magon</v>
      </c>
      <c r="X2024" t="str">
        <f t="shared" si="122"/>
        <v>bruno feitosa</v>
      </c>
    </row>
    <row r="2025" spans="1:24">
      <c r="A2025" t="s">
        <v>536</v>
      </c>
      <c r="B2025" t="s">
        <v>163</v>
      </c>
      <c r="C2025" t="s">
        <v>3003</v>
      </c>
      <c r="D2025" s="14">
        <v>35</v>
      </c>
      <c r="F2025" s="13">
        <v>45790.677083333336</v>
      </c>
      <c r="G2025" t="s">
        <v>354</v>
      </c>
      <c r="H2025" t="s">
        <v>3004</v>
      </c>
      <c r="I2025" t="str">
        <f>IF(A2025="","Pacote",IF(B2025=IFERROR(VLOOKUP(B2025,base!$L$1:$L$20,1,0),""),"Produtos",IF(B2025=IFERROR(VLOOKUP(B2025,base!$K$2:$K$20,1,0),""),"Serviços",IF(B2025="Gorjeta","Gorjeta","Combos"))))</f>
        <v>Serviços</v>
      </c>
      <c r="J2025">
        <f t="shared" si="113"/>
        <v>15.75</v>
      </c>
      <c r="K2025" s="1">
        <f t="shared" si="114"/>
        <v>45790.677083333336</v>
      </c>
      <c r="L2025" s="1">
        <f t="shared" si="115"/>
        <v>45790.677083333336</v>
      </c>
      <c r="M2025" s="1">
        <f t="shared" si="116"/>
        <v>45790.677083333336</v>
      </c>
      <c r="N2025" s="1"/>
      <c r="O2025" t="str">
        <f t="shared" si="117"/>
        <v>Cartão de Crédito</v>
      </c>
      <c r="P2025" t="s">
        <v>149</v>
      </c>
      <c r="Q2025" t="str">
        <f t="shared" si="118"/>
        <v>Serviços</v>
      </c>
      <c r="R2025" t="str">
        <f t="shared" si="119"/>
        <v>Corte</v>
      </c>
      <c r="T2025" s="14">
        <f t="shared" si="120"/>
        <v>35</v>
      </c>
      <c r="U2025" s="14">
        <f t="shared" si="121"/>
        <v>0</v>
      </c>
      <c r="V2025" s="14"/>
      <c r="W2025" t="str">
        <f>IF(A2025=$A$1707,base!$I$3,IF(A2025=$A$1709,base!$I$2,IF(Receitas!A2025=Receitas!$A$1701,base!$I$4,"")))</f>
        <v>PATRICK CARDOSO</v>
      </c>
      <c r="X2025" t="str">
        <f t="shared" si="122"/>
        <v>bruno feitosa</v>
      </c>
    </row>
    <row r="2026" spans="1:24">
      <c r="A2026" t="s">
        <v>536</v>
      </c>
      <c r="B2026" t="s">
        <v>163</v>
      </c>
      <c r="C2026" t="s">
        <v>3005</v>
      </c>
      <c r="D2026" s="14">
        <v>35</v>
      </c>
      <c r="E2026" s="14">
        <v>35</v>
      </c>
      <c r="F2026" s="13">
        <v>45790.802083333336</v>
      </c>
      <c r="G2026" t="s">
        <v>1</v>
      </c>
      <c r="H2026" t="s">
        <v>3006</v>
      </c>
      <c r="I2026" t="str">
        <f>IF(A2026="","Pacote",IF(B2026=IFERROR(VLOOKUP(B2026,base!$L$1:$L$20,1,0),""),"Produtos",IF(B2026=IFERROR(VLOOKUP(B2026,base!$K$2:$K$20,1,0),""),"Serviços",IF(B2026="Gorjeta","Gorjeta","Combos"))))</f>
        <v>Serviços</v>
      </c>
      <c r="J2026">
        <f t="shared" si="113"/>
        <v>15.75</v>
      </c>
      <c r="K2026" s="1">
        <f t="shared" si="114"/>
        <v>45790.802083333336</v>
      </c>
      <c r="L2026" s="1">
        <f t="shared" si="115"/>
        <v>45790.802083333336</v>
      </c>
      <c r="M2026" s="1">
        <f t="shared" si="116"/>
        <v>45790.802083333336</v>
      </c>
      <c r="N2026" s="1"/>
      <c r="O2026" t="str">
        <f t="shared" si="117"/>
        <v>PIX</v>
      </c>
      <c r="P2026" t="s">
        <v>149</v>
      </c>
      <c r="Q2026" t="str">
        <f t="shared" si="118"/>
        <v>Serviços</v>
      </c>
      <c r="R2026" t="str">
        <f t="shared" si="119"/>
        <v>Corte</v>
      </c>
      <c r="T2026" s="14">
        <f t="shared" si="120"/>
        <v>35</v>
      </c>
      <c r="U2026" s="14">
        <f t="shared" si="121"/>
        <v>35</v>
      </c>
      <c r="V2026" s="14"/>
      <c r="W2026" t="str">
        <f>IF(A2026=$A$1707,base!$I$3,IF(A2026=$A$1709,base!$I$2,IF(Receitas!A2026=Receitas!$A$1701,base!$I$4,"")))</f>
        <v>PATRICK CARDOSO</v>
      </c>
      <c r="X2026" t="str">
        <f t="shared" si="122"/>
        <v>Lucas Geremias</v>
      </c>
    </row>
    <row r="2027" spans="1:24">
      <c r="A2027" t="s">
        <v>252</v>
      </c>
      <c r="B2027" t="s">
        <v>163</v>
      </c>
      <c r="C2027" t="s">
        <v>3007</v>
      </c>
      <c r="D2027" s="14">
        <v>35</v>
      </c>
      <c r="E2027" s="14">
        <v>70</v>
      </c>
      <c r="F2027" s="13">
        <v>45790.829861111109</v>
      </c>
      <c r="G2027" t="s">
        <v>354</v>
      </c>
      <c r="H2027" t="s">
        <v>187</v>
      </c>
      <c r="I2027" t="str">
        <f>IF(A2027="","Pacote",IF(B2027=IFERROR(VLOOKUP(B2027,base!$L$1:$L$20,1,0),""),"Produtos",IF(B2027=IFERROR(VLOOKUP(B2027,base!$K$2:$K$20,1,0),""),"Serviços",IF(B2027="Gorjeta","Gorjeta","Combos"))))</f>
        <v>Serviços</v>
      </c>
      <c r="J2027">
        <f t="shared" si="113"/>
        <v>15.75</v>
      </c>
      <c r="K2027" s="1">
        <f t="shared" si="114"/>
        <v>45790.829861111109</v>
      </c>
      <c r="L2027" s="1">
        <f t="shared" si="115"/>
        <v>45790.829861111109</v>
      </c>
      <c r="M2027" s="1">
        <f t="shared" si="116"/>
        <v>45790.829861111109</v>
      </c>
      <c r="N2027" s="1"/>
      <c r="O2027" t="str">
        <f t="shared" si="117"/>
        <v>Cartão de Crédito</v>
      </c>
      <c r="P2027" t="s">
        <v>149</v>
      </c>
      <c r="Q2027" t="str">
        <f t="shared" si="118"/>
        <v>Serviços</v>
      </c>
      <c r="R2027" t="str">
        <f t="shared" si="119"/>
        <v>Corte</v>
      </c>
      <c r="T2027" s="14">
        <f t="shared" si="120"/>
        <v>35</v>
      </c>
      <c r="U2027" s="14">
        <f t="shared" si="121"/>
        <v>70</v>
      </c>
      <c r="V2027" s="14"/>
      <c r="W2027" t="str">
        <f>IF(A2027=$A$1707,base!$I$3,IF(A2027=$A$1709,base!$I$2,IF(Receitas!A2027=Receitas!$A$1701,base!$I$4,"")))</f>
        <v>Christian Magon</v>
      </c>
      <c r="X2027" t="str">
        <f t="shared" si="122"/>
        <v>sebastiao joseval</v>
      </c>
    </row>
    <row r="2028" spans="1:24">
      <c r="A2028" t="s">
        <v>519</v>
      </c>
      <c r="B2028" t="s">
        <v>163</v>
      </c>
      <c r="C2028" t="s">
        <v>3007</v>
      </c>
      <c r="D2028" s="14">
        <v>35</v>
      </c>
      <c r="F2028" s="13">
        <v>45790.829861111109</v>
      </c>
      <c r="G2028" t="s">
        <v>354</v>
      </c>
      <c r="H2028" t="s">
        <v>187</v>
      </c>
      <c r="I2028" t="str">
        <f>IF(A2028="","Pacote",IF(B2028=IFERROR(VLOOKUP(B2028,base!$L$1:$L$20,1,0),""),"Produtos",IF(B2028=IFERROR(VLOOKUP(B2028,base!$K$2:$K$20,1,0),""),"Serviços",IF(B2028="Gorjeta","Gorjeta","Combos"))))</f>
        <v>Serviços</v>
      </c>
      <c r="J2028">
        <f t="shared" si="113"/>
        <v>15.75</v>
      </c>
      <c r="K2028" s="1">
        <f t="shared" si="114"/>
        <v>45790.829861111109</v>
      </c>
      <c r="L2028" s="1">
        <f t="shared" si="115"/>
        <v>45790.829861111109</v>
      </c>
      <c r="M2028" s="1">
        <f t="shared" si="116"/>
        <v>45790.829861111109</v>
      </c>
      <c r="N2028" s="1"/>
      <c r="O2028" t="str">
        <f t="shared" si="117"/>
        <v>Cartão de Crédito</v>
      </c>
      <c r="P2028" t="s">
        <v>149</v>
      </c>
      <c r="Q2028" t="str">
        <f t="shared" si="118"/>
        <v>Serviços</v>
      </c>
      <c r="R2028" t="str">
        <f t="shared" si="119"/>
        <v>Corte</v>
      </c>
      <c r="T2028" s="14">
        <f t="shared" si="120"/>
        <v>35</v>
      </c>
      <c r="U2028" s="14">
        <f t="shared" si="121"/>
        <v>0</v>
      </c>
      <c r="V2028" s="14"/>
      <c r="W2028" t="str">
        <f>IF(A2028=$A$1707,base!$I$3,IF(A2028=$A$1709,base!$I$2,IF(Receitas!A2028=Receitas!$A$1701,base!$I$4,"")))</f>
        <v>Gustavo de Castro</v>
      </c>
      <c r="X2028" t="str">
        <f t="shared" si="122"/>
        <v>sebastiao joseval</v>
      </c>
    </row>
    <row r="2029" spans="1:24">
      <c r="A2029" t="s">
        <v>519</v>
      </c>
      <c r="B2029" t="s">
        <v>163</v>
      </c>
      <c r="C2029" t="s">
        <v>3008</v>
      </c>
      <c r="D2029" s="14">
        <v>35</v>
      </c>
      <c r="E2029" s="14">
        <v>35</v>
      </c>
      <c r="F2029" s="13">
        <v>45794.395833333336</v>
      </c>
      <c r="G2029" t="s">
        <v>1</v>
      </c>
      <c r="H2029" t="s">
        <v>3009</v>
      </c>
      <c r="I2029" t="str">
        <f>IF(A2029="","Pacote",IF(B2029=IFERROR(VLOOKUP(B2029,base!$L$1:$L$20,1,0),""),"Produtos",IF(B2029=IFERROR(VLOOKUP(B2029,base!$K$2:$K$20,1,0),""),"Serviços",IF(B2029="Gorjeta","Gorjeta","Combos"))))</f>
        <v>Serviços</v>
      </c>
      <c r="J2029">
        <f t="shared" si="113"/>
        <v>15.75</v>
      </c>
      <c r="K2029" s="1">
        <f t="shared" si="114"/>
        <v>45794.395833333336</v>
      </c>
      <c r="L2029" s="1">
        <f t="shared" si="115"/>
        <v>45794.395833333336</v>
      </c>
      <c r="M2029" s="1">
        <f t="shared" si="116"/>
        <v>45794.395833333336</v>
      </c>
      <c r="N2029" s="1"/>
      <c r="O2029" t="str">
        <f t="shared" si="117"/>
        <v>PIX</v>
      </c>
      <c r="P2029" t="s">
        <v>149</v>
      </c>
      <c r="Q2029" t="str">
        <f t="shared" si="118"/>
        <v>Serviços</v>
      </c>
      <c r="R2029" t="str">
        <f t="shared" si="119"/>
        <v>Corte</v>
      </c>
      <c r="T2029" s="14">
        <f t="shared" si="120"/>
        <v>35</v>
      </c>
      <c r="U2029" s="14">
        <f t="shared" si="121"/>
        <v>35</v>
      </c>
      <c r="V2029" s="14"/>
      <c r="W2029" t="str">
        <f>IF(A2029=$A$1707,base!$I$3,IF(A2029=$A$1709,base!$I$2,IF(Receitas!A2029=Receitas!$A$1701,base!$I$4,"")))</f>
        <v>Gustavo de Castro</v>
      </c>
      <c r="X2029" t="str">
        <f t="shared" si="122"/>
        <v>igor</v>
      </c>
    </row>
    <row r="2030" spans="1:24">
      <c r="A2030" t="s">
        <v>519</v>
      </c>
      <c r="B2030" t="s">
        <v>163</v>
      </c>
      <c r="C2030" t="s">
        <v>3010</v>
      </c>
      <c r="D2030" s="14">
        <v>35</v>
      </c>
      <c r="E2030" s="14">
        <v>35</v>
      </c>
      <c r="F2030" s="13">
        <v>45791.479166666664</v>
      </c>
      <c r="G2030" t="s">
        <v>1</v>
      </c>
      <c r="H2030" t="s">
        <v>384</v>
      </c>
      <c r="I2030" t="str">
        <f>IF(A2030="","Pacote",IF(B2030=IFERROR(VLOOKUP(B2030,base!$L$1:$L$20,1,0),""),"Produtos",IF(B2030=IFERROR(VLOOKUP(B2030,base!$K$2:$K$20,1,0),""),"Serviços",IF(B2030="Gorjeta","Gorjeta","Combos"))))</f>
        <v>Serviços</v>
      </c>
      <c r="J2030">
        <f t="shared" si="113"/>
        <v>15.75</v>
      </c>
      <c r="K2030" s="1">
        <f t="shared" si="114"/>
        <v>45791.479166666664</v>
      </c>
      <c r="L2030" s="1">
        <f t="shared" si="115"/>
        <v>45791.479166666664</v>
      </c>
      <c r="M2030" s="1">
        <f t="shared" si="116"/>
        <v>45791.479166666664</v>
      </c>
      <c r="N2030" s="1"/>
      <c r="O2030" t="str">
        <f t="shared" si="117"/>
        <v>PIX</v>
      </c>
      <c r="P2030" t="s">
        <v>149</v>
      </c>
      <c r="Q2030" t="str">
        <f t="shared" si="118"/>
        <v>Serviços</v>
      </c>
      <c r="R2030" t="str">
        <f t="shared" si="119"/>
        <v>Corte</v>
      </c>
      <c r="T2030" s="14">
        <f t="shared" si="120"/>
        <v>35</v>
      </c>
      <c r="U2030" s="14">
        <f t="shared" si="121"/>
        <v>35</v>
      </c>
      <c r="V2030" s="14"/>
      <c r="W2030" t="str">
        <f>IF(A2030=$A$1707,base!$I$3,IF(A2030=$A$1709,base!$I$2,IF(Receitas!A2030=Receitas!$A$1701,base!$I$4,"")))</f>
        <v>Gustavo de Castro</v>
      </c>
      <c r="X2030" t="str">
        <f t="shared" si="122"/>
        <v>Matheus Rodriguês</v>
      </c>
    </row>
    <row r="2031" spans="1:24">
      <c r="A2031" t="s">
        <v>519</v>
      </c>
      <c r="B2031" t="s">
        <v>2825</v>
      </c>
      <c r="C2031" t="s">
        <v>3011</v>
      </c>
      <c r="D2031" s="14">
        <v>20</v>
      </c>
      <c r="E2031" s="14">
        <v>140</v>
      </c>
      <c r="F2031" s="13">
        <v>45791.760416666664</v>
      </c>
      <c r="G2031" t="s">
        <v>354</v>
      </c>
      <c r="H2031" t="s">
        <v>1081</v>
      </c>
      <c r="I2031" t="str">
        <f>IF(A2031="","Pacote",IF(B2031=IFERROR(VLOOKUP(B2031,base!$L$1:$L$20,1,0),""),"Produtos",IF(B2031=IFERROR(VLOOKUP(B2031,base!$K$2:$K$20,1,0),""),"Serviços",IF(B2031="Gorjeta","Gorjeta","Combos"))))</f>
        <v>Serviços</v>
      </c>
      <c r="J2031">
        <f t="shared" si="113"/>
        <v>9</v>
      </c>
      <c r="K2031" s="1">
        <f t="shared" si="114"/>
        <v>45791.760416666664</v>
      </c>
      <c r="L2031" s="1">
        <f t="shared" si="115"/>
        <v>45791.760416666664</v>
      </c>
      <c r="M2031" s="1">
        <f t="shared" si="116"/>
        <v>45791.760416666664</v>
      </c>
      <c r="N2031" s="1"/>
      <c r="O2031" t="str">
        <f t="shared" si="117"/>
        <v>Cartão de Crédito</v>
      </c>
      <c r="P2031" t="s">
        <v>149</v>
      </c>
      <c r="Q2031" t="str">
        <f t="shared" si="118"/>
        <v>Serviços</v>
      </c>
      <c r="R2031" t="str">
        <f t="shared" si="119"/>
        <v>barboterapia</v>
      </c>
      <c r="T2031" s="14">
        <f t="shared" si="120"/>
        <v>20</v>
      </c>
      <c r="U2031" s="14">
        <f t="shared" si="121"/>
        <v>140</v>
      </c>
      <c r="V2031" s="14"/>
      <c r="W2031" t="str">
        <f>IF(A2031=$A$1707,base!$I$3,IF(A2031=$A$1709,base!$I$2,IF(Receitas!A2031=Receitas!$A$1701,base!$I$4,"")))</f>
        <v>Gustavo de Castro</v>
      </c>
      <c r="X2031" t="str">
        <f t="shared" si="122"/>
        <v>douglas jesus</v>
      </c>
    </row>
    <row r="2032" spans="1:24">
      <c r="A2032" t="s">
        <v>519</v>
      </c>
      <c r="B2032" t="s">
        <v>163</v>
      </c>
      <c r="C2032" t="s">
        <v>3011</v>
      </c>
      <c r="D2032" s="14">
        <v>35</v>
      </c>
      <c r="F2032" s="13">
        <v>45791.760416666664</v>
      </c>
      <c r="G2032" t="s">
        <v>354</v>
      </c>
      <c r="H2032" t="s">
        <v>1081</v>
      </c>
      <c r="I2032" t="str">
        <f>IF(A2032="","Pacote",IF(B2032=IFERROR(VLOOKUP(B2032,base!$L$1:$L$20,1,0),""),"Produtos",IF(B2032=IFERROR(VLOOKUP(B2032,base!$K$2:$K$20,1,0),""),"Serviços",IF(B2032="Gorjeta","Gorjeta","Combos"))))</f>
        <v>Serviços</v>
      </c>
      <c r="J2032">
        <f t="shared" si="113"/>
        <v>15.75</v>
      </c>
      <c r="K2032" s="1">
        <f t="shared" si="114"/>
        <v>45791.760416666664</v>
      </c>
      <c r="L2032" s="1">
        <f t="shared" si="115"/>
        <v>45791.760416666664</v>
      </c>
      <c r="M2032" s="1">
        <f t="shared" si="116"/>
        <v>45791.760416666664</v>
      </c>
      <c r="N2032" s="1"/>
      <c r="O2032" t="str">
        <f t="shared" si="117"/>
        <v>Cartão de Crédito</v>
      </c>
      <c r="P2032" t="s">
        <v>149</v>
      </c>
      <c r="Q2032" t="str">
        <f t="shared" si="118"/>
        <v>Serviços</v>
      </c>
      <c r="R2032" t="str">
        <f t="shared" si="119"/>
        <v>Corte</v>
      </c>
      <c r="T2032" s="14">
        <f t="shared" si="120"/>
        <v>35</v>
      </c>
      <c r="U2032" s="14">
        <f t="shared" si="121"/>
        <v>0</v>
      </c>
      <c r="V2032" s="14"/>
      <c r="W2032" t="str">
        <f>IF(A2032=$A$1707,base!$I$3,IF(A2032=$A$1709,base!$I$2,IF(Receitas!A2032=Receitas!$A$1701,base!$I$4,"")))</f>
        <v>Gustavo de Castro</v>
      </c>
      <c r="X2032" t="str">
        <f t="shared" si="122"/>
        <v>douglas jesus</v>
      </c>
    </row>
    <row r="2033" spans="1:24">
      <c r="A2033" t="s">
        <v>519</v>
      </c>
      <c r="B2033" t="s">
        <v>1046</v>
      </c>
      <c r="C2033" t="s">
        <v>3011</v>
      </c>
      <c r="D2033" s="14">
        <v>15</v>
      </c>
      <c r="F2033" s="13">
        <v>45791.760416666664</v>
      </c>
      <c r="G2033" t="s">
        <v>354</v>
      </c>
      <c r="H2033" t="s">
        <v>1081</v>
      </c>
      <c r="I2033" t="str">
        <f>IF(A2033="","Pacote",IF(B2033=IFERROR(VLOOKUP(B2033,base!$L$1:$L$20,1,0),""),"Produtos",IF(B2033=IFERROR(VLOOKUP(B2033,base!$K$2:$K$20,1,0),""),"Serviços",IF(B2033="Gorjeta","Gorjeta","Combos"))))</f>
        <v>Serviços</v>
      </c>
      <c r="J2033">
        <f t="shared" si="113"/>
        <v>6.75</v>
      </c>
      <c r="K2033" s="1">
        <f t="shared" si="114"/>
        <v>45791.760416666664</v>
      </c>
      <c r="L2033" s="1">
        <f t="shared" si="115"/>
        <v>45791.760416666664</v>
      </c>
      <c r="M2033" s="1">
        <f t="shared" si="116"/>
        <v>45791.760416666664</v>
      </c>
      <c r="N2033" s="1"/>
      <c r="O2033" t="str">
        <f t="shared" si="117"/>
        <v>Cartão de Crédito</v>
      </c>
      <c r="P2033" t="s">
        <v>149</v>
      </c>
      <c r="Q2033" t="str">
        <f t="shared" si="118"/>
        <v>Serviços</v>
      </c>
      <c r="R2033" t="str">
        <f t="shared" si="119"/>
        <v>Barba</v>
      </c>
      <c r="T2033" s="14">
        <f t="shared" si="120"/>
        <v>15</v>
      </c>
      <c r="U2033" s="14">
        <f t="shared" si="121"/>
        <v>0</v>
      </c>
      <c r="V2033" s="14"/>
      <c r="W2033" t="str">
        <f>IF(A2033=$A$1707,base!$I$3,IF(A2033=$A$1709,base!$I$2,IF(Receitas!A2033=Receitas!$A$1701,base!$I$4,"")))</f>
        <v>Gustavo de Castro</v>
      </c>
      <c r="X2033" t="str">
        <f t="shared" si="122"/>
        <v>douglas jesus</v>
      </c>
    </row>
    <row r="2034" spans="1:24">
      <c r="A2034" t="s">
        <v>519</v>
      </c>
      <c r="B2034" t="s">
        <v>352</v>
      </c>
      <c r="C2034" t="s">
        <v>3011</v>
      </c>
      <c r="D2034" s="14">
        <v>20</v>
      </c>
      <c r="F2034" s="13">
        <v>45791.760416666664</v>
      </c>
      <c r="G2034" t="s">
        <v>354</v>
      </c>
      <c r="H2034" t="s">
        <v>1081</v>
      </c>
      <c r="I2034" t="str">
        <f>IF(A2034="","Pacote",IF(B2034=IFERROR(VLOOKUP(B2034,base!$L$1:$L$20,1,0),""),"Produtos",IF(B2034=IFERROR(VLOOKUP(B2034,base!$K$2:$K$20,1,0),""),"Serviços",IF(B2034="Gorjeta","Gorjeta","Combos"))))</f>
        <v>Combos</v>
      </c>
      <c r="J2034">
        <f t="shared" si="113"/>
        <v>9</v>
      </c>
      <c r="K2034" s="1">
        <f t="shared" si="114"/>
        <v>45791.760416666664</v>
      </c>
      <c r="L2034" s="1">
        <f t="shared" si="115"/>
        <v>45791.760416666664</v>
      </c>
      <c r="M2034" s="1">
        <f t="shared" si="116"/>
        <v>45791.760416666664</v>
      </c>
      <c r="N2034" s="1"/>
      <c r="O2034" t="str">
        <f t="shared" si="117"/>
        <v>Cartão de Crédito</v>
      </c>
      <c r="P2034" t="s">
        <v>149</v>
      </c>
      <c r="Q2034" t="str">
        <f t="shared" si="118"/>
        <v>Combos</v>
      </c>
      <c r="R2034" t="str">
        <f t="shared" si="119"/>
        <v>Combo ( depilação nariz e orelha )</v>
      </c>
      <c r="T2034" s="14">
        <f t="shared" si="120"/>
        <v>20</v>
      </c>
      <c r="U2034" s="14">
        <f t="shared" si="121"/>
        <v>0</v>
      </c>
      <c r="V2034" s="14"/>
      <c r="W2034" t="str">
        <f>IF(A2034=$A$1707,base!$I$3,IF(A2034=$A$1709,base!$I$2,IF(Receitas!A2034=Receitas!$A$1701,base!$I$4,"")))</f>
        <v>Gustavo de Castro</v>
      </c>
      <c r="X2034" t="str">
        <f t="shared" si="122"/>
        <v>douglas jesus</v>
      </c>
    </row>
    <row r="2035" spans="1:24">
      <c r="A2035" t="s">
        <v>519</v>
      </c>
      <c r="B2035" t="s">
        <v>2536</v>
      </c>
      <c r="C2035" t="s">
        <v>3011</v>
      </c>
      <c r="D2035" s="14">
        <v>30</v>
      </c>
      <c r="F2035" s="13">
        <v>45791.760416666664</v>
      </c>
      <c r="G2035" t="s">
        <v>354</v>
      </c>
      <c r="H2035" t="s">
        <v>1081</v>
      </c>
      <c r="I2035" t="str">
        <f>IF(A2035="","Pacote",IF(B2035=IFERROR(VLOOKUP(B2035,base!$L$1:$L$20,1,0),""),"Produtos",IF(B2035=IFERROR(VLOOKUP(B2035,base!$K$2:$K$20,1,0),""),"Serviços",IF(B2035="Gorjeta","Gorjeta","Combos"))))</f>
        <v>Produtos</v>
      </c>
      <c r="J2035">
        <f t="shared" si="113"/>
        <v>12</v>
      </c>
      <c r="K2035" s="1">
        <f t="shared" si="114"/>
        <v>45791.760416666664</v>
      </c>
      <c r="L2035" s="1">
        <f t="shared" si="115"/>
        <v>45791.760416666664</v>
      </c>
      <c r="M2035" s="1">
        <f t="shared" si="116"/>
        <v>45791.760416666664</v>
      </c>
      <c r="N2035" s="1"/>
      <c r="O2035" t="str">
        <f t="shared" si="117"/>
        <v>Cartão de Crédito</v>
      </c>
      <c r="P2035" t="s">
        <v>149</v>
      </c>
      <c r="Q2035" t="str">
        <f t="shared" si="118"/>
        <v>Produtos</v>
      </c>
      <c r="R2035" t="str">
        <f t="shared" si="119"/>
        <v>Oleo para barba fox</v>
      </c>
      <c r="T2035" s="14">
        <f t="shared" si="120"/>
        <v>30</v>
      </c>
      <c r="U2035" s="14">
        <f t="shared" si="121"/>
        <v>0</v>
      </c>
      <c r="V2035" s="14"/>
      <c r="W2035" t="str">
        <f>IF(A2035=$A$1707,base!$I$3,IF(A2035=$A$1709,base!$I$2,IF(Receitas!A2035=Receitas!$A$1701,base!$I$4,"")))</f>
        <v>Gustavo de Castro</v>
      </c>
      <c r="X2035" t="str">
        <f t="shared" si="122"/>
        <v>douglas jesus</v>
      </c>
    </row>
    <row r="2036" spans="1:24">
      <c r="A2036" t="s">
        <v>519</v>
      </c>
      <c r="B2036" t="s">
        <v>509</v>
      </c>
      <c r="C2036" t="s">
        <v>3011</v>
      </c>
      <c r="D2036" s="14">
        <v>20</v>
      </c>
      <c r="F2036" s="13">
        <v>45791.760416666664</v>
      </c>
      <c r="G2036" t="s">
        <v>354</v>
      </c>
      <c r="H2036" t="s">
        <v>1081</v>
      </c>
      <c r="I2036" t="str">
        <f>IF(A2036="","Pacote",IF(B2036=IFERROR(VLOOKUP(B2036,base!$L$1:$L$20,1,0),""),"Produtos",IF(B2036=IFERROR(VLOOKUP(B2036,base!$K$2:$K$20,1,0),""),"Serviços",IF(B2036="Gorjeta","Gorjeta","Combos"))))</f>
        <v>Produtos</v>
      </c>
      <c r="J2036">
        <f t="shared" si="113"/>
        <v>8</v>
      </c>
      <c r="K2036" s="1">
        <f t="shared" si="114"/>
        <v>45791.760416666664</v>
      </c>
      <c r="L2036" s="1">
        <f t="shared" si="115"/>
        <v>45791.760416666664</v>
      </c>
      <c r="M2036" s="1">
        <f t="shared" si="116"/>
        <v>45791.760416666664</v>
      </c>
      <c r="N2036" s="1"/>
      <c r="O2036" t="str">
        <f t="shared" si="117"/>
        <v>Cartão de Crédito</v>
      </c>
      <c r="P2036" t="s">
        <v>149</v>
      </c>
      <c r="Q2036" t="str">
        <f t="shared" si="118"/>
        <v>Produtos</v>
      </c>
      <c r="R2036" t="str">
        <f t="shared" si="119"/>
        <v>Pasta Matte</v>
      </c>
      <c r="T2036" s="14">
        <f t="shared" si="120"/>
        <v>20</v>
      </c>
      <c r="U2036" s="14">
        <f t="shared" si="121"/>
        <v>0</v>
      </c>
      <c r="V2036" s="14"/>
      <c r="W2036" t="str">
        <f>IF(A2036=$A$1707,base!$I$3,IF(A2036=$A$1709,base!$I$2,IF(Receitas!A2036=Receitas!$A$1701,base!$I$4,"")))</f>
        <v>Gustavo de Castro</v>
      </c>
      <c r="X2036" t="str">
        <f t="shared" si="122"/>
        <v>douglas jesus</v>
      </c>
    </row>
    <row r="2037" spans="1:24">
      <c r="A2037" t="s">
        <v>536</v>
      </c>
      <c r="B2037" t="s">
        <v>163</v>
      </c>
      <c r="C2037" t="s">
        <v>3012</v>
      </c>
      <c r="D2037" s="14">
        <v>35</v>
      </c>
      <c r="E2037" s="14">
        <v>70</v>
      </c>
      <c r="F2037" s="13">
        <v>45791.479166666664</v>
      </c>
      <c r="G2037" t="s">
        <v>1</v>
      </c>
      <c r="H2037" t="s">
        <v>372</v>
      </c>
      <c r="I2037" t="str">
        <f>IF(A2037="","Pacote",IF(B2037=IFERROR(VLOOKUP(B2037,base!$L$1:$L$20,1,0),""),"Produtos",IF(B2037=IFERROR(VLOOKUP(B2037,base!$K$2:$K$20,1,0),""),"Serviços",IF(B2037="Gorjeta","Gorjeta","Combos"))))</f>
        <v>Serviços</v>
      </c>
      <c r="J2037">
        <f t="shared" si="113"/>
        <v>15.75</v>
      </c>
      <c r="K2037" s="1">
        <f t="shared" si="114"/>
        <v>45791.479166666664</v>
      </c>
      <c r="L2037" s="1">
        <f t="shared" si="115"/>
        <v>45791.479166666664</v>
      </c>
      <c r="M2037" s="1">
        <f t="shared" si="116"/>
        <v>45791.479166666664</v>
      </c>
      <c r="N2037" s="1"/>
      <c r="O2037" t="str">
        <f t="shared" si="117"/>
        <v>PIX</v>
      </c>
      <c r="P2037" t="s">
        <v>149</v>
      </c>
      <c r="Q2037" t="str">
        <f t="shared" si="118"/>
        <v>Serviços</v>
      </c>
      <c r="R2037" t="str">
        <f t="shared" si="119"/>
        <v>Corte</v>
      </c>
      <c r="T2037" s="14">
        <f t="shared" si="120"/>
        <v>35</v>
      </c>
      <c r="U2037" s="14">
        <f t="shared" si="121"/>
        <v>70</v>
      </c>
      <c r="V2037" s="14"/>
      <c r="W2037" t="str">
        <f>IF(A2037=$A$1707,base!$I$3,IF(A2037=$A$1709,base!$I$2,IF(Receitas!A2037=Receitas!$A$1701,base!$I$4,"")))</f>
        <v>PATRICK CARDOSO</v>
      </c>
      <c r="X2037" t="str">
        <f t="shared" si="122"/>
        <v>Joao Paulo</v>
      </c>
    </row>
    <row r="2038" spans="1:24">
      <c r="A2038" t="s">
        <v>519</v>
      </c>
      <c r="B2038" t="s">
        <v>163</v>
      </c>
      <c r="C2038" t="s">
        <v>3012</v>
      </c>
      <c r="D2038" s="14">
        <v>35</v>
      </c>
      <c r="F2038" s="13">
        <v>45791.479166666664</v>
      </c>
      <c r="G2038" t="s">
        <v>1</v>
      </c>
      <c r="H2038" t="s">
        <v>372</v>
      </c>
      <c r="I2038" t="str">
        <f>IF(A2038="","Pacote",IF(B2038=IFERROR(VLOOKUP(B2038,base!$L$1:$L$20,1,0),""),"Produtos",IF(B2038=IFERROR(VLOOKUP(B2038,base!$K$2:$K$20,1,0),""),"Serviços",IF(B2038="Gorjeta","Gorjeta","Combos"))))</f>
        <v>Serviços</v>
      </c>
      <c r="J2038">
        <f t="shared" si="113"/>
        <v>15.75</v>
      </c>
      <c r="K2038" s="1">
        <f t="shared" si="114"/>
        <v>45791.479166666664</v>
      </c>
      <c r="L2038" s="1">
        <f t="shared" si="115"/>
        <v>45791.479166666664</v>
      </c>
      <c r="M2038" s="1">
        <f t="shared" si="116"/>
        <v>45791.479166666664</v>
      </c>
      <c r="N2038" s="1"/>
      <c r="O2038" t="str">
        <f t="shared" si="117"/>
        <v>PIX</v>
      </c>
      <c r="P2038" t="s">
        <v>149</v>
      </c>
      <c r="Q2038" t="str">
        <f t="shared" si="118"/>
        <v>Serviços</v>
      </c>
      <c r="R2038" t="str">
        <f t="shared" si="119"/>
        <v>Corte</v>
      </c>
      <c r="T2038" s="14">
        <f t="shared" si="120"/>
        <v>35</v>
      </c>
      <c r="U2038" s="14">
        <f t="shared" si="121"/>
        <v>0</v>
      </c>
      <c r="V2038" s="14"/>
      <c r="W2038" t="str">
        <f>IF(A2038=$A$1707,base!$I$3,IF(A2038=$A$1709,base!$I$2,IF(Receitas!A2038=Receitas!$A$1701,base!$I$4,"")))</f>
        <v>Gustavo de Castro</v>
      </c>
      <c r="X2038" t="str">
        <f t="shared" si="122"/>
        <v>Joao Paulo</v>
      </c>
    </row>
    <row r="2039" spans="1:24">
      <c r="A2039" t="s">
        <v>519</v>
      </c>
      <c r="B2039" t="s">
        <v>163</v>
      </c>
      <c r="C2039" t="s">
        <v>3013</v>
      </c>
      <c r="D2039" s="14">
        <v>35</v>
      </c>
      <c r="E2039" s="14">
        <v>35</v>
      </c>
      <c r="F2039" s="13">
        <v>45791.5625</v>
      </c>
      <c r="G2039" t="s">
        <v>1</v>
      </c>
      <c r="H2039" t="s">
        <v>189</v>
      </c>
      <c r="I2039" t="str">
        <f>IF(A2039="","Pacote",IF(B2039=IFERROR(VLOOKUP(B2039,base!$L$1:$L$20,1,0),""),"Produtos",IF(B2039=IFERROR(VLOOKUP(B2039,base!$K$2:$K$20,1,0),""),"Serviços",IF(B2039="Gorjeta","Gorjeta","Combos"))))</f>
        <v>Serviços</v>
      </c>
      <c r="J2039">
        <f t="shared" si="113"/>
        <v>15.75</v>
      </c>
      <c r="K2039" s="1">
        <f t="shared" si="114"/>
        <v>45791.5625</v>
      </c>
      <c r="L2039" s="1">
        <f t="shared" si="115"/>
        <v>45791.5625</v>
      </c>
      <c r="M2039" s="1">
        <f t="shared" si="116"/>
        <v>45791.5625</v>
      </c>
      <c r="N2039" s="1"/>
      <c r="O2039" t="str">
        <f t="shared" si="117"/>
        <v>PIX</v>
      </c>
      <c r="P2039" t="s">
        <v>149</v>
      </c>
      <c r="Q2039" t="str">
        <f t="shared" si="118"/>
        <v>Serviços</v>
      </c>
      <c r="R2039" t="str">
        <f t="shared" si="119"/>
        <v>Corte</v>
      </c>
      <c r="T2039" s="14">
        <f t="shared" si="120"/>
        <v>35</v>
      </c>
      <c r="U2039" s="14">
        <f t="shared" si="121"/>
        <v>35</v>
      </c>
      <c r="V2039" s="14"/>
      <c r="W2039" t="str">
        <f>IF(A2039=$A$1707,base!$I$3,IF(A2039=$A$1709,base!$I$2,IF(Receitas!A2039=Receitas!$A$1701,base!$I$4,"")))</f>
        <v>Gustavo de Castro</v>
      </c>
      <c r="X2039" t="str">
        <f t="shared" si="122"/>
        <v>Leonan Eduardo</v>
      </c>
    </row>
    <row r="2040" spans="1:24">
      <c r="A2040" t="s">
        <v>536</v>
      </c>
      <c r="B2040" t="s">
        <v>163</v>
      </c>
      <c r="C2040" t="s">
        <v>3014</v>
      </c>
      <c r="D2040" s="14">
        <v>35</v>
      </c>
      <c r="E2040" s="14">
        <v>35</v>
      </c>
      <c r="F2040" s="13">
        <v>45791.739583333336</v>
      </c>
      <c r="G2040" t="s">
        <v>354</v>
      </c>
      <c r="H2040" t="s">
        <v>3015</v>
      </c>
      <c r="I2040" t="str">
        <f>IF(A2040="","Pacote",IF(B2040=IFERROR(VLOOKUP(B2040,base!$L$1:$L$20,1,0),""),"Produtos",IF(B2040=IFERROR(VLOOKUP(B2040,base!$K$2:$K$20,1,0),""),"Serviços",IF(B2040="Gorjeta","Gorjeta","Combos"))))</f>
        <v>Serviços</v>
      </c>
      <c r="J2040">
        <f t="shared" si="113"/>
        <v>15.75</v>
      </c>
      <c r="K2040" s="1">
        <f t="shared" si="114"/>
        <v>45791.739583333336</v>
      </c>
      <c r="L2040" s="1">
        <f t="shared" si="115"/>
        <v>45791.739583333336</v>
      </c>
      <c r="M2040" s="1">
        <f t="shared" si="116"/>
        <v>45791.739583333336</v>
      </c>
      <c r="N2040" s="1"/>
      <c r="O2040" t="str">
        <f t="shared" si="117"/>
        <v>Cartão de Crédito</v>
      </c>
      <c r="P2040" t="s">
        <v>149</v>
      </c>
      <c r="Q2040" t="str">
        <f t="shared" si="118"/>
        <v>Serviços</v>
      </c>
      <c r="R2040" t="str">
        <f t="shared" si="119"/>
        <v>Corte</v>
      </c>
      <c r="T2040" s="14">
        <f t="shared" si="120"/>
        <v>35</v>
      </c>
      <c r="U2040" s="14">
        <f t="shared" si="121"/>
        <v>35</v>
      </c>
      <c r="V2040" s="14"/>
      <c r="W2040" t="str">
        <f>IF(A2040=$A$1707,base!$I$3,IF(A2040=$A$1709,base!$I$2,IF(Receitas!A2040=Receitas!$A$1701,base!$I$4,"")))</f>
        <v>PATRICK CARDOSO</v>
      </c>
      <c r="X2040" t="str">
        <f t="shared" si="122"/>
        <v>Diogo Alves de Souza</v>
      </c>
    </row>
    <row r="2041" spans="1:24">
      <c r="A2041" t="s">
        <v>519</v>
      </c>
      <c r="B2041" t="s">
        <v>163</v>
      </c>
      <c r="C2041" t="s">
        <v>3016</v>
      </c>
      <c r="D2041" s="14">
        <v>35</v>
      </c>
      <c r="E2041" s="14">
        <v>45</v>
      </c>
      <c r="F2041" s="13">
        <v>45791.708333333336</v>
      </c>
      <c r="G2041" t="s">
        <v>1</v>
      </c>
      <c r="H2041" t="s">
        <v>1561</v>
      </c>
      <c r="I2041" t="str">
        <f>IF(A2041="","Pacote",IF(B2041=IFERROR(VLOOKUP(B2041,base!$L$1:$L$20,1,0),""),"Produtos",IF(B2041=IFERROR(VLOOKUP(B2041,base!$K$2:$K$20,1,0),""),"Serviços",IF(B2041="Gorjeta","Gorjeta","Combos"))))</f>
        <v>Serviços</v>
      </c>
      <c r="J2041">
        <f t="shared" si="113"/>
        <v>15.75</v>
      </c>
      <c r="K2041" s="1">
        <f t="shared" si="114"/>
        <v>45791.708333333336</v>
      </c>
      <c r="L2041" s="1">
        <f t="shared" si="115"/>
        <v>45791.708333333336</v>
      </c>
      <c r="M2041" s="1">
        <f t="shared" si="116"/>
        <v>45791.708333333336</v>
      </c>
      <c r="N2041" s="1"/>
      <c r="O2041" t="str">
        <f t="shared" si="117"/>
        <v>PIX</v>
      </c>
      <c r="P2041" t="s">
        <v>149</v>
      </c>
      <c r="Q2041" t="str">
        <f t="shared" si="118"/>
        <v>Serviços</v>
      </c>
      <c r="R2041" t="str">
        <f t="shared" si="119"/>
        <v>Corte</v>
      </c>
      <c r="T2041" s="14">
        <f t="shared" si="120"/>
        <v>35</v>
      </c>
      <c r="U2041" s="14">
        <f t="shared" si="121"/>
        <v>45</v>
      </c>
      <c r="V2041" s="14"/>
      <c r="W2041" t="str">
        <f>IF(A2041=$A$1707,base!$I$3,IF(A2041=$A$1709,base!$I$2,IF(Receitas!A2041=Receitas!$A$1701,base!$I$4,"")))</f>
        <v>Gustavo de Castro</v>
      </c>
      <c r="X2041" t="str">
        <f t="shared" si="122"/>
        <v>Eduardo morais</v>
      </c>
    </row>
    <row r="2042" spans="1:24">
      <c r="A2042" t="s">
        <v>519</v>
      </c>
      <c r="B2042" t="s">
        <v>167</v>
      </c>
      <c r="C2042" t="s">
        <v>3016</v>
      </c>
      <c r="D2042" s="14">
        <v>10</v>
      </c>
      <c r="F2042" s="13">
        <v>45791.708333333336</v>
      </c>
      <c r="G2042" t="s">
        <v>1</v>
      </c>
      <c r="H2042" t="s">
        <v>1561</v>
      </c>
      <c r="I2042" t="str">
        <f>IF(A2042="","Pacote",IF(B2042=IFERROR(VLOOKUP(B2042,base!$L$1:$L$20,1,0),""),"Produtos",IF(B2042=IFERROR(VLOOKUP(B2042,base!$K$2:$K$20,1,0),""),"Serviços",IF(B2042="Gorjeta","Gorjeta","Combos"))))</f>
        <v>Serviços</v>
      </c>
      <c r="J2042">
        <f t="shared" si="113"/>
        <v>4.5</v>
      </c>
      <c r="K2042" s="1">
        <f t="shared" si="114"/>
        <v>45791.708333333336</v>
      </c>
      <c r="L2042" s="1">
        <f t="shared" si="115"/>
        <v>45791.708333333336</v>
      </c>
      <c r="M2042" s="1">
        <f t="shared" si="116"/>
        <v>45791.708333333336</v>
      </c>
      <c r="N2042" s="1"/>
      <c r="O2042" t="str">
        <f t="shared" si="117"/>
        <v>PIX</v>
      </c>
      <c r="P2042" t="s">
        <v>149</v>
      </c>
      <c r="Q2042" t="str">
        <f t="shared" si="118"/>
        <v>Serviços</v>
      </c>
      <c r="R2042" t="str">
        <f t="shared" si="119"/>
        <v>Sobrancelha</v>
      </c>
      <c r="T2042" s="14">
        <f t="shared" si="120"/>
        <v>10</v>
      </c>
      <c r="U2042" s="14">
        <f t="shared" si="121"/>
        <v>0</v>
      </c>
      <c r="V2042" s="14"/>
      <c r="W2042" t="str">
        <f>IF(A2042=$A$1707,base!$I$3,IF(A2042=$A$1709,base!$I$2,IF(Receitas!A2042=Receitas!$A$1701,base!$I$4,"")))</f>
        <v>Gustavo de Castro</v>
      </c>
      <c r="X2042" t="str">
        <f t="shared" si="122"/>
        <v>Eduardo morais</v>
      </c>
    </row>
    <row r="2043" spans="1:24">
      <c r="A2043" t="s">
        <v>536</v>
      </c>
      <c r="B2043" t="s">
        <v>163</v>
      </c>
      <c r="C2043" t="s">
        <v>3017</v>
      </c>
      <c r="D2043" s="14">
        <v>35</v>
      </c>
      <c r="E2043" s="14">
        <v>40</v>
      </c>
      <c r="F2043" s="13">
        <v>45791.604166666664</v>
      </c>
      <c r="G2043" t="s">
        <v>1</v>
      </c>
      <c r="H2043" t="s">
        <v>3018</v>
      </c>
      <c r="I2043" t="str">
        <f>IF(A2043="","Pacote",IF(B2043=IFERROR(VLOOKUP(B2043,base!$L$1:$L$20,1,0),""),"Produtos",IF(B2043=IFERROR(VLOOKUP(B2043,base!$K$2:$K$20,1,0),""),"Serviços",IF(B2043="Gorjeta","Gorjeta","Combos"))))</f>
        <v>Serviços</v>
      </c>
      <c r="J2043">
        <f t="shared" si="113"/>
        <v>15.75</v>
      </c>
      <c r="K2043" s="1">
        <f t="shared" si="114"/>
        <v>45791.604166666664</v>
      </c>
      <c r="L2043" s="1">
        <f t="shared" si="115"/>
        <v>45791.604166666664</v>
      </c>
      <c r="M2043" s="1">
        <f t="shared" si="116"/>
        <v>45791.604166666664</v>
      </c>
      <c r="N2043" s="1"/>
      <c r="O2043" t="str">
        <f t="shared" si="117"/>
        <v>PIX</v>
      </c>
      <c r="P2043" t="s">
        <v>149</v>
      </c>
      <c r="Q2043" t="str">
        <f t="shared" si="118"/>
        <v>Serviços</v>
      </c>
      <c r="R2043" t="str">
        <f t="shared" si="119"/>
        <v>Corte</v>
      </c>
      <c r="T2043" s="14">
        <f t="shared" si="120"/>
        <v>35</v>
      </c>
      <c r="U2043" s="14">
        <f t="shared" si="121"/>
        <v>40</v>
      </c>
      <c r="V2043" s="14"/>
      <c r="W2043" t="str">
        <f>IF(A2043=$A$1707,base!$I$3,IF(A2043=$A$1709,base!$I$2,IF(Receitas!A2043=Receitas!$A$1701,base!$I$4,"")))</f>
        <v>PATRICK CARDOSO</v>
      </c>
      <c r="X2043" t="str">
        <f t="shared" si="122"/>
        <v>Junior Santos</v>
      </c>
    </row>
    <row r="2044" spans="1:24">
      <c r="A2044" t="s">
        <v>536</v>
      </c>
      <c r="B2044" t="s">
        <v>910</v>
      </c>
      <c r="C2044" t="s">
        <v>3017</v>
      </c>
      <c r="D2044" s="14">
        <v>5</v>
      </c>
      <c r="F2044" s="13">
        <v>45791.604166666664</v>
      </c>
      <c r="G2044" t="s">
        <v>1</v>
      </c>
      <c r="H2044" t="s">
        <v>3018</v>
      </c>
      <c r="I2044" t="str">
        <f>IF(A2044="","Pacote",IF(B2044=IFERROR(VLOOKUP(B2044,base!$L$1:$L$20,1,0),""),"Produtos",IF(B2044=IFERROR(VLOOKUP(B2044,base!$K$2:$K$20,1,0),""),"Serviços",IF(B2044="Gorjeta","Gorjeta","Combos"))))</f>
        <v>Gorjeta</v>
      </c>
      <c r="J2044">
        <f t="shared" si="113"/>
        <v>2.25</v>
      </c>
      <c r="K2044" s="1">
        <f t="shared" si="114"/>
        <v>45791.604166666664</v>
      </c>
      <c r="L2044" s="1">
        <f t="shared" si="115"/>
        <v>45791.604166666664</v>
      </c>
      <c r="M2044" s="1">
        <f t="shared" si="116"/>
        <v>45791.604166666664</v>
      </c>
      <c r="N2044" s="1"/>
      <c r="O2044" t="str">
        <f t="shared" si="117"/>
        <v>PIX</v>
      </c>
      <c r="P2044" t="s">
        <v>149</v>
      </c>
      <c r="Q2044" t="str">
        <f t="shared" si="118"/>
        <v>Gorjeta</v>
      </c>
      <c r="R2044" t="str">
        <f t="shared" si="119"/>
        <v>Gorjeta</v>
      </c>
      <c r="T2044" s="14">
        <f t="shared" si="120"/>
        <v>5</v>
      </c>
      <c r="U2044" s="14">
        <f t="shared" si="121"/>
        <v>0</v>
      </c>
      <c r="V2044" s="14"/>
      <c r="W2044" t="str">
        <f>IF(A2044=$A$1707,base!$I$3,IF(A2044=$A$1709,base!$I$2,IF(Receitas!A2044=Receitas!$A$1701,base!$I$4,"")))</f>
        <v>PATRICK CARDOSO</v>
      </c>
      <c r="X2044" t="str">
        <f t="shared" si="122"/>
        <v>Junior Santos</v>
      </c>
    </row>
    <row r="2045" spans="1:24">
      <c r="A2045" t="s">
        <v>536</v>
      </c>
      <c r="B2045" t="s">
        <v>163</v>
      </c>
      <c r="C2045" t="s">
        <v>3019</v>
      </c>
      <c r="D2045" s="14">
        <v>35</v>
      </c>
      <c r="E2045" s="14">
        <v>35</v>
      </c>
      <c r="F2045" s="13">
        <v>45792.71875</v>
      </c>
      <c r="G2045" t="s">
        <v>310</v>
      </c>
      <c r="H2045" t="s">
        <v>845</v>
      </c>
      <c r="I2045" t="str">
        <f>IF(A2045="","Pacote",IF(B2045=IFERROR(VLOOKUP(B2045,base!$L$1:$L$20,1,0),""),"Produtos",IF(B2045=IFERROR(VLOOKUP(B2045,base!$K$2:$K$20,1,0),""),"Serviços",IF(B2045="Gorjeta","Gorjeta","Combos"))))</f>
        <v>Serviços</v>
      </c>
      <c r="J2045">
        <f t="shared" si="113"/>
        <v>15.75</v>
      </c>
      <c r="K2045" s="1">
        <f t="shared" si="114"/>
        <v>45792.71875</v>
      </c>
      <c r="L2045" s="1">
        <f t="shared" si="115"/>
        <v>45792.71875</v>
      </c>
      <c r="M2045" s="1">
        <f t="shared" si="116"/>
        <v>45792.71875</v>
      </c>
      <c r="N2045" s="1"/>
      <c r="O2045" t="str">
        <f t="shared" si="117"/>
        <v>Cartão de Débito</v>
      </c>
      <c r="P2045" t="s">
        <v>149</v>
      </c>
      <c r="Q2045" t="str">
        <f t="shared" si="118"/>
        <v>Serviços</v>
      </c>
      <c r="R2045" t="str">
        <f t="shared" si="119"/>
        <v>Corte</v>
      </c>
      <c r="T2045" s="14">
        <f t="shared" si="120"/>
        <v>35</v>
      </c>
      <c r="U2045" s="14">
        <f t="shared" si="121"/>
        <v>35</v>
      </c>
      <c r="V2045" s="14"/>
      <c r="W2045" t="str">
        <f>IF(A2045=$A$1707,base!$I$3,IF(A2045=$A$1709,base!$I$2,IF(Receitas!A2045=Receitas!$A$1701,base!$I$4,"")))</f>
        <v>PATRICK CARDOSO</v>
      </c>
      <c r="X2045" t="str">
        <f t="shared" si="122"/>
        <v>JULIANA FRANCISCO PEREIRA VASCO</v>
      </c>
    </row>
    <row r="2046" spans="1:24">
      <c r="A2046" t="s">
        <v>252</v>
      </c>
      <c r="B2046" t="s">
        <v>163</v>
      </c>
      <c r="C2046" t="s">
        <v>3020</v>
      </c>
      <c r="D2046" s="14">
        <v>35</v>
      </c>
      <c r="E2046" s="14">
        <v>35</v>
      </c>
      <c r="F2046" s="13">
        <v>45792.5</v>
      </c>
      <c r="G2046" t="s">
        <v>354</v>
      </c>
      <c r="H2046" t="s">
        <v>789</v>
      </c>
      <c r="I2046" t="str">
        <f>IF(A2046="","Pacote",IF(B2046=IFERROR(VLOOKUP(B2046,base!$L$1:$L$20,1,0),""),"Produtos",IF(B2046=IFERROR(VLOOKUP(B2046,base!$K$2:$K$20,1,0),""),"Serviços",IF(B2046="Gorjeta","Gorjeta","Combos"))))</f>
        <v>Serviços</v>
      </c>
      <c r="J2046">
        <f t="shared" si="113"/>
        <v>15.75</v>
      </c>
      <c r="K2046" s="1">
        <f t="shared" si="114"/>
        <v>45792.5</v>
      </c>
      <c r="L2046" s="1">
        <f t="shared" si="115"/>
        <v>45792.5</v>
      </c>
      <c r="M2046" s="1">
        <f t="shared" si="116"/>
        <v>45792.5</v>
      </c>
      <c r="N2046" s="1"/>
      <c r="O2046" t="str">
        <f t="shared" si="117"/>
        <v>Cartão de Crédito</v>
      </c>
      <c r="P2046" t="s">
        <v>149</v>
      </c>
      <c r="Q2046" t="str">
        <f t="shared" si="118"/>
        <v>Serviços</v>
      </c>
      <c r="R2046" t="str">
        <f t="shared" si="119"/>
        <v>Corte</v>
      </c>
      <c r="T2046" s="14">
        <f t="shared" si="120"/>
        <v>35</v>
      </c>
      <c r="U2046" s="14">
        <f t="shared" si="121"/>
        <v>35</v>
      </c>
      <c r="V2046" s="14"/>
      <c r="W2046" t="str">
        <f>IF(A2046=$A$1707,base!$I$3,IF(A2046=$A$1709,base!$I$2,IF(Receitas!A2046=Receitas!$A$1701,base!$I$4,"")))</f>
        <v>Christian Magon</v>
      </c>
      <c r="X2046" t="str">
        <f t="shared" si="122"/>
        <v>Rodolfo Guerra</v>
      </c>
    </row>
    <row r="2047" spans="1:24">
      <c r="A2047" t="s">
        <v>252</v>
      </c>
      <c r="B2047" t="s">
        <v>163</v>
      </c>
      <c r="C2047" t="s">
        <v>3021</v>
      </c>
      <c r="D2047" s="14">
        <v>35</v>
      </c>
      <c r="E2047" s="14">
        <v>60</v>
      </c>
      <c r="F2047" s="13">
        <v>45792.520833333336</v>
      </c>
      <c r="G2047" t="s">
        <v>1</v>
      </c>
      <c r="H2047" t="s">
        <v>1988</v>
      </c>
      <c r="I2047" t="str">
        <f>IF(A2047="","Pacote",IF(B2047=IFERROR(VLOOKUP(B2047,base!$L$1:$L$20,1,0),""),"Produtos",IF(B2047=IFERROR(VLOOKUP(B2047,base!$K$2:$K$20,1,0),""),"Serviços",IF(B2047="Gorjeta","Gorjeta","Combos"))))</f>
        <v>Serviços</v>
      </c>
      <c r="J2047">
        <f t="shared" si="113"/>
        <v>15.75</v>
      </c>
      <c r="K2047" s="1">
        <f t="shared" si="114"/>
        <v>45792.520833333336</v>
      </c>
      <c r="L2047" s="1">
        <f t="shared" si="115"/>
        <v>45792.520833333336</v>
      </c>
      <c r="M2047" s="1">
        <f t="shared" si="116"/>
        <v>45792.520833333336</v>
      </c>
      <c r="N2047" s="1"/>
      <c r="O2047" t="str">
        <f t="shared" si="117"/>
        <v>PIX</v>
      </c>
      <c r="P2047" t="s">
        <v>149</v>
      </c>
      <c r="Q2047" t="str">
        <f t="shared" si="118"/>
        <v>Serviços</v>
      </c>
      <c r="R2047" t="str">
        <f t="shared" si="119"/>
        <v>Corte</v>
      </c>
      <c r="T2047" s="14">
        <f t="shared" si="120"/>
        <v>35</v>
      </c>
      <c r="U2047" s="14">
        <f t="shared" si="121"/>
        <v>60</v>
      </c>
      <c r="V2047" s="14"/>
      <c r="W2047" t="str">
        <f>IF(A2047=$A$1707,base!$I$3,IF(A2047=$A$1709,base!$I$2,IF(Receitas!A2047=Receitas!$A$1701,base!$I$4,"")))</f>
        <v>Christian Magon</v>
      </c>
      <c r="X2047" t="str">
        <f t="shared" si="122"/>
        <v>Rodrigo Jose Telles</v>
      </c>
    </row>
    <row r="2048" spans="1:24">
      <c r="A2048" t="s">
        <v>252</v>
      </c>
      <c r="B2048" t="s">
        <v>2526</v>
      </c>
      <c r="C2048" t="s">
        <v>3021</v>
      </c>
      <c r="D2048" s="14">
        <v>25</v>
      </c>
      <c r="F2048" s="13">
        <v>45792.520833333336</v>
      </c>
      <c r="G2048" t="s">
        <v>1</v>
      </c>
      <c r="H2048" t="s">
        <v>1988</v>
      </c>
      <c r="I2048" t="str">
        <f>IF(A2048="","Pacote",IF(B2048=IFERROR(VLOOKUP(B2048,base!$L$1:$L$20,1,0),""),"Produtos",IF(B2048=IFERROR(VLOOKUP(B2048,base!$K$2:$K$20,1,0),""),"Serviços",IF(B2048="Gorjeta","Gorjeta","Combos"))))</f>
        <v>Produtos</v>
      </c>
      <c r="J2048">
        <f t="shared" si="113"/>
        <v>10</v>
      </c>
      <c r="K2048" s="1">
        <f t="shared" si="114"/>
        <v>45792.520833333336</v>
      </c>
      <c r="L2048" s="1">
        <f t="shared" si="115"/>
        <v>45792.520833333336</v>
      </c>
      <c r="M2048" s="1">
        <f t="shared" si="116"/>
        <v>45792.520833333336</v>
      </c>
      <c r="N2048" s="1"/>
      <c r="O2048" t="str">
        <f t="shared" si="117"/>
        <v>PIX</v>
      </c>
      <c r="P2048" t="s">
        <v>149</v>
      </c>
      <c r="Q2048" t="str">
        <f t="shared" si="118"/>
        <v>Produtos</v>
      </c>
      <c r="R2048" t="str">
        <f t="shared" si="119"/>
        <v>POMADA INCOLOR FOX</v>
      </c>
      <c r="T2048" s="14">
        <f t="shared" si="120"/>
        <v>25</v>
      </c>
      <c r="U2048" s="14">
        <f t="shared" si="121"/>
        <v>0</v>
      </c>
      <c r="V2048" s="14"/>
      <c r="W2048" t="str">
        <f>IF(A2048=$A$1707,base!$I$3,IF(A2048=$A$1709,base!$I$2,IF(Receitas!A2048=Receitas!$A$1701,base!$I$4,"")))</f>
        <v>Christian Magon</v>
      </c>
      <c r="X2048" t="str">
        <f t="shared" si="122"/>
        <v>Rodrigo Jose Telles</v>
      </c>
    </row>
    <row r="2049" spans="1:24">
      <c r="A2049" t="s">
        <v>519</v>
      </c>
      <c r="B2049" t="s">
        <v>163</v>
      </c>
      <c r="C2049" t="s">
        <v>3022</v>
      </c>
      <c r="D2049" s="14">
        <v>35</v>
      </c>
      <c r="E2049" s="14">
        <v>35</v>
      </c>
      <c r="F2049" s="13">
        <v>45792.524305555555</v>
      </c>
      <c r="G2049" t="s">
        <v>310</v>
      </c>
      <c r="H2049" t="s">
        <v>499</v>
      </c>
      <c r="I2049" t="str">
        <f>IF(A2049="","Pacote",IF(B2049=IFERROR(VLOOKUP(B2049,base!$L$1:$L$20,1,0),""),"Produtos",IF(B2049=IFERROR(VLOOKUP(B2049,base!$K$2:$K$20,1,0),""),"Serviços",IF(B2049="Gorjeta","Gorjeta","Combos"))))</f>
        <v>Serviços</v>
      </c>
      <c r="J2049">
        <f t="shared" si="113"/>
        <v>15.75</v>
      </c>
      <c r="K2049" s="1">
        <f t="shared" si="114"/>
        <v>45792.524305555555</v>
      </c>
      <c r="L2049" s="1">
        <f t="shared" si="115"/>
        <v>45792.524305555555</v>
      </c>
      <c r="M2049" s="1">
        <f t="shared" si="116"/>
        <v>45792.524305555555</v>
      </c>
      <c r="N2049" s="1"/>
      <c r="O2049" t="str">
        <f t="shared" si="117"/>
        <v>Cartão de Débito</v>
      </c>
      <c r="P2049" t="s">
        <v>149</v>
      </c>
      <c r="Q2049" t="str">
        <f t="shared" si="118"/>
        <v>Serviços</v>
      </c>
      <c r="R2049" t="str">
        <f t="shared" si="119"/>
        <v>Corte</v>
      </c>
      <c r="T2049" s="14">
        <f t="shared" si="120"/>
        <v>35</v>
      </c>
      <c r="U2049" s="14">
        <f t="shared" si="121"/>
        <v>35</v>
      </c>
      <c r="V2049" s="14"/>
      <c r="W2049" t="str">
        <f>IF(A2049=$A$1707,base!$I$3,IF(A2049=$A$1709,base!$I$2,IF(Receitas!A2049=Receitas!$A$1701,base!$I$4,"")))</f>
        <v>Gustavo de Castro</v>
      </c>
      <c r="X2049" t="str">
        <f t="shared" si="122"/>
        <v>israel davy</v>
      </c>
    </row>
    <row r="2050" spans="1:24">
      <c r="A2050" t="s">
        <v>536</v>
      </c>
      <c r="B2050" t="s">
        <v>163</v>
      </c>
      <c r="C2050" t="s">
        <v>3023</v>
      </c>
      <c r="D2050" s="14">
        <v>35</v>
      </c>
      <c r="E2050" s="14">
        <v>35</v>
      </c>
      <c r="F2050" s="13">
        <v>45792.833333333336</v>
      </c>
      <c r="G2050" t="s">
        <v>354</v>
      </c>
      <c r="H2050" t="s">
        <v>2525</v>
      </c>
      <c r="I2050" t="str">
        <f>IF(A2050="","Pacote",IF(B2050=IFERROR(VLOOKUP(B2050,base!$L$1:$L$20,1,0),""),"Produtos",IF(B2050=IFERROR(VLOOKUP(B2050,base!$K$2:$K$20,1,0),""),"Serviços",IF(B2050="Gorjeta","Gorjeta","Combos"))))</f>
        <v>Serviços</v>
      </c>
      <c r="J2050">
        <f t="shared" si="113"/>
        <v>15.75</v>
      </c>
      <c r="K2050" s="1">
        <f t="shared" si="114"/>
        <v>45792.833333333336</v>
      </c>
      <c r="L2050" s="1">
        <f t="shared" si="115"/>
        <v>45792.833333333336</v>
      </c>
      <c r="M2050" s="1">
        <f t="shared" si="116"/>
        <v>45792.833333333336</v>
      </c>
      <c r="N2050" s="1"/>
      <c r="O2050" t="str">
        <f t="shared" si="117"/>
        <v>Cartão de Crédito</v>
      </c>
      <c r="P2050" t="s">
        <v>149</v>
      </c>
      <c r="Q2050" t="str">
        <f t="shared" si="118"/>
        <v>Serviços</v>
      </c>
      <c r="R2050" t="str">
        <f t="shared" si="119"/>
        <v>Corte</v>
      </c>
      <c r="T2050" s="14">
        <f t="shared" si="120"/>
        <v>35</v>
      </c>
      <c r="U2050" s="14">
        <f t="shared" si="121"/>
        <v>35</v>
      </c>
      <c r="V2050" s="14"/>
      <c r="W2050" t="str">
        <f>IF(A2050=$A$1707,base!$I$3,IF(A2050=$A$1709,base!$I$2,IF(Receitas!A2050=Receitas!$A$1701,base!$I$4,"")))</f>
        <v>PATRICK CARDOSO</v>
      </c>
      <c r="X2050" t="str">
        <f t="shared" si="122"/>
        <v>Junior Agnus</v>
      </c>
    </row>
    <row r="2051" spans="1:24">
      <c r="A2051" t="s">
        <v>519</v>
      </c>
      <c r="B2051" t="s">
        <v>163</v>
      </c>
      <c r="C2051" t="s">
        <v>3024</v>
      </c>
      <c r="D2051" s="14">
        <v>35</v>
      </c>
      <c r="E2051" s="14">
        <v>35</v>
      </c>
      <c r="F2051" s="13">
        <v>45792.572916666664</v>
      </c>
      <c r="G2051" t="s">
        <v>1</v>
      </c>
      <c r="H2051" t="s">
        <v>67</v>
      </c>
      <c r="I2051" t="str">
        <f>IF(A2051="","Pacote",IF(B2051=IFERROR(VLOOKUP(B2051,base!$L$1:$L$20,1,0),""),"Produtos",IF(B2051=IFERROR(VLOOKUP(B2051,base!$K$2:$K$20,1,0),""),"Serviços",IF(B2051="Gorjeta","Gorjeta","Combos"))))</f>
        <v>Serviços</v>
      </c>
      <c r="J2051">
        <f t="shared" si="113"/>
        <v>15.75</v>
      </c>
      <c r="K2051" s="1">
        <f t="shared" si="114"/>
        <v>45792.572916666664</v>
      </c>
      <c r="L2051" s="1">
        <f t="shared" si="115"/>
        <v>45792.572916666664</v>
      </c>
      <c r="M2051" s="1">
        <f t="shared" si="116"/>
        <v>45792.572916666664</v>
      </c>
      <c r="N2051" s="1"/>
      <c r="O2051" t="str">
        <f t="shared" si="117"/>
        <v>PIX</v>
      </c>
      <c r="P2051" t="s">
        <v>149</v>
      </c>
      <c r="Q2051" t="str">
        <f t="shared" si="118"/>
        <v>Serviços</v>
      </c>
      <c r="R2051" t="str">
        <f t="shared" si="119"/>
        <v>Corte</v>
      </c>
      <c r="T2051" s="14">
        <f t="shared" si="120"/>
        <v>35</v>
      </c>
      <c r="U2051" s="14">
        <f t="shared" si="121"/>
        <v>35</v>
      </c>
      <c r="V2051" s="14"/>
      <c r="W2051" t="str">
        <f>IF(A2051=$A$1707,base!$I$3,IF(A2051=$A$1709,base!$I$2,IF(Receitas!A2051=Receitas!$A$1701,base!$I$4,"")))</f>
        <v>Gustavo de Castro</v>
      </c>
      <c r="X2051" t="str">
        <f t="shared" si="122"/>
        <v>Felipe de Souza Macedo</v>
      </c>
    </row>
    <row r="2052" spans="1:24">
      <c r="A2052" t="s">
        <v>252</v>
      </c>
      <c r="B2052" t="s">
        <v>353</v>
      </c>
      <c r="C2052" t="s">
        <v>3025</v>
      </c>
      <c r="D2052" s="14">
        <v>60</v>
      </c>
      <c r="E2052" s="14">
        <v>60</v>
      </c>
      <c r="F2052" s="13">
        <v>45792.65625</v>
      </c>
      <c r="G2052" t="s">
        <v>310</v>
      </c>
      <c r="H2052" t="s">
        <v>2613</v>
      </c>
      <c r="I2052" t="str">
        <f>IF(A2052="","Pacote",IF(B2052=IFERROR(VLOOKUP(B2052,base!$L$1:$L$20,1,0),""),"Produtos",IF(B2052=IFERROR(VLOOKUP(B2052,base!$K$2:$K$20,1,0),""),"Serviços",IF(B2052="Gorjeta","Gorjeta","Combos"))))</f>
        <v>Combos</v>
      </c>
      <c r="J2052">
        <f t="shared" si="113"/>
        <v>27</v>
      </c>
      <c r="K2052" s="1">
        <f t="shared" si="114"/>
        <v>45792.65625</v>
      </c>
      <c r="L2052" s="1">
        <f t="shared" si="115"/>
        <v>45792.65625</v>
      </c>
      <c r="M2052" s="1">
        <f t="shared" si="116"/>
        <v>45792.65625</v>
      </c>
      <c r="N2052" s="1"/>
      <c r="O2052" t="str">
        <f t="shared" si="117"/>
        <v>Cartão de Débito</v>
      </c>
      <c r="P2052" t="s">
        <v>149</v>
      </c>
      <c r="Q2052" t="str">
        <f t="shared" si="118"/>
        <v>Combos</v>
      </c>
      <c r="R2052" t="str">
        <f t="shared" si="119"/>
        <v>Combo ( Corte + Barba )</v>
      </c>
      <c r="T2052" s="14">
        <f t="shared" si="120"/>
        <v>60</v>
      </c>
      <c r="U2052" s="14">
        <f t="shared" si="121"/>
        <v>60</v>
      </c>
      <c r="V2052" s="14"/>
      <c r="W2052" t="str">
        <f>IF(A2052=$A$1707,base!$I$3,IF(A2052=$A$1709,base!$I$2,IF(Receitas!A2052=Receitas!$A$1701,base!$I$4,"")))</f>
        <v>Christian Magon</v>
      </c>
      <c r="X2052" t="str">
        <f t="shared" si="122"/>
        <v>josue felipe</v>
      </c>
    </row>
    <row r="2053" spans="1:24">
      <c r="A2053" t="s">
        <v>252</v>
      </c>
      <c r="B2053" t="s">
        <v>163</v>
      </c>
      <c r="C2053" t="s">
        <v>3026</v>
      </c>
      <c r="D2053" s="14">
        <v>35</v>
      </c>
      <c r="E2053" s="14">
        <v>70</v>
      </c>
      <c r="F2053" s="13">
        <v>45792.635416666664</v>
      </c>
      <c r="G2053" t="s">
        <v>354</v>
      </c>
      <c r="H2053" t="s">
        <v>400</v>
      </c>
      <c r="I2053" t="str">
        <f>IF(A2053="","Pacote",IF(B2053=IFERROR(VLOOKUP(B2053,base!$L$1:$L$20,1,0),""),"Produtos",IF(B2053=IFERROR(VLOOKUP(B2053,base!$K$2:$K$20,1,0),""),"Serviços",IF(B2053="Gorjeta","Gorjeta","Combos"))))</f>
        <v>Serviços</v>
      </c>
      <c r="J2053">
        <f t="shared" si="113"/>
        <v>15.75</v>
      </c>
      <c r="K2053" s="1">
        <f t="shared" si="114"/>
        <v>45792.635416666664</v>
      </c>
      <c r="L2053" s="1">
        <f t="shared" si="115"/>
        <v>45792.635416666664</v>
      </c>
      <c r="M2053" s="1">
        <f t="shared" si="116"/>
        <v>45792.635416666664</v>
      </c>
      <c r="N2053" s="1"/>
      <c r="O2053" t="str">
        <f t="shared" si="117"/>
        <v>Cartão de Crédito</v>
      </c>
      <c r="P2053" t="s">
        <v>149</v>
      </c>
      <c r="Q2053" t="str">
        <f t="shared" si="118"/>
        <v>Serviços</v>
      </c>
      <c r="R2053" t="str">
        <f t="shared" si="119"/>
        <v>Corte</v>
      </c>
      <c r="T2053" s="14">
        <f t="shared" si="120"/>
        <v>35</v>
      </c>
      <c r="U2053" s="14">
        <f t="shared" si="121"/>
        <v>70</v>
      </c>
      <c r="V2053" s="14"/>
      <c r="W2053" t="str">
        <f>IF(A2053=$A$1707,base!$I$3,IF(A2053=$A$1709,base!$I$2,IF(Receitas!A2053=Receitas!$A$1701,base!$I$4,"")))</f>
        <v>Christian Magon</v>
      </c>
      <c r="X2053" t="str">
        <f t="shared" si="122"/>
        <v>Luciano Felix</v>
      </c>
    </row>
    <row r="2054" spans="1:24">
      <c r="A2054" t="s">
        <v>536</v>
      </c>
      <c r="B2054" t="s">
        <v>163</v>
      </c>
      <c r="C2054" t="s">
        <v>3026</v>
      </c>
      <c r="D2054" s="14">
        <v>35</v>
      </c>
      <c r="F2054" s="13">
        <v>45792.635416666664</v>
      </c>
      <c r="G2054" t="s">
        <v>354</v>
      </c>
      <c r="H2054" t="s">
        <v>400</v>
      </c>
      <c r="I2054" t="str">
        <f>IF(A2054="","Pacote",IF(B2054=IFERROR(VLOOKUP(B2054,base!$L$1:$L$20,1,0),""),"Produtos",IF(B2054=IFERROR(VLOOKUP(B2054,base!$K$2:$K$20,1,0),""),"Serviços",IF(B2054="Gorjeta","Gorjeta","Combos"))))</f>
        <v>Serviços</v>
      </c>
      <c r="J2054">
        <f t="shared" si="113"/>
        <v>15.75</v>
      </c>
      <c r="K2054" s="1">
        <f t="shared" si="114"/>
        <v>45792.635416666664</v>
      </c>
      <c r="L2054" s="1">
        <f t="shared" si="115"/>
        <v>45792.635416666664</v>
      </c>
      <c r="M2054" s="1">
        <f t="shared" si="116"/>
        <v>45792.635416666664</v>
      </c>
      <c r="N2054" s="1"/>
      <c r="O2054" t="str">
        <f t="shared" si="117"/>
        <v>Cartão de Crédito</v>
      </c>
      <c r="P2054" t="s">
        <v>149</v>
      </c>
      <c r="Q2054" t="str">
        <f t="shared" si="118"/>
        <v>Serviços</v>
      </c>
      <c r="R2054" t="str">
        <f t="shared" si="119"/>
        <v>Corte</v>
      </c>
      <c r="T2054" s="14">
        <f t="shared" si="120"/>
        <v>35</v>
      </c>
      <c r="U2054" s="14">
        <f t="shared" si="121"/>
        <v>0</v>
      </c>
      <c r="V2054" s="14"/>
      <c r="W2054" t="str">
        <f>IF(A2054=$A$1707,base!$I$3,IF(A2054=$A$1709,base!$I$2,IF(Receitas!A2054=Receitas!$A$1701,base!$I$4,"")))</f>
        <v>PATRICK CARDOSO</v>
      </c>
      <c r="X2054" t="str">
        <f t="shared" si="122"/>
        <v>Luciano Felix</v>
      </c>
    </row>
    <row r="2055" spans="1:24">
      <c r="A2055" t="s">
        <v>536</v>
      </c>
      <c r="B2055" t="s">
        <v>163</v>
      </c>
      <c r="C2055" t="s">
        <v>3027</v>
      </c>
      <c r="D2055" s="14">
        <v>35</v>
      </c>
      <c r="E2055" s="14">
        <v>35</v>
      </c>
      <c r="F2055" s="13">
        <v>45792.635416666664</v>
      </c>
      <c r="G2055" t="s">
        <v>354</v>
      </c>
      <c r="H2055" t="s">
        <v>1599</v>
      </c>
      <c r="I2055" t="str">
        <f>IF(A2055="","Pacote",IF(B2055=IFERROR(VLOOKUP(B2055,base!$L$1:$L$20,1,0),""),"Produtos",IF(B2055=IFERROR(VLOOKUP(B2055,base!$K$2:$K$20,1,0),""),"Serviços",IF(B2055="Gorjeta","Gorjeta","Combos"))))</f>
        <v>Serviços</v>
      </c>
      <c r="J2055">
        <f t="shared" si="113"/>
        <v>15.75</v>
      </c>
      <c r="K2055" s="1">
        <f t="shared" si="114"/>
        <v>45792.635416666664</v>
      </c>
      <c r="L2055" s="1">
        <f t="shared" si="115"/>
        <v>45792.635416666664</v>
      </c>
      <c r="M2055" s="1">
        <f t="shared" si="116"/>
        <v>45792.635416666664</v>
      </c>
      <c r="N2055" s="1"/>
      <c r="O2055" t="str">
        <f t="shared" si="117"/>
        <v>Cartão de Crédito</v>
      </c>
      <c r="P2055" t="s">
        <v>149</v>
      </c>
      <c r="Q2055" t="str">
        <f t="shared" si="118"/>
        <v>Serviços</v>
      </c>
      <c r="R2055" t="str">
        <f t="shared" si="119"/>
        <v>Corte</v>
      </c>
      <c r="T2055" s="14">
        <f t="shared" si="120"/>
        <v>35</v>
      </c>
      <c r="U2055" s="14">
        <f t="shared" si="121"/>
        <v>35</v>
      </c>
      <c r="V2055" s="14"/>
      <c r="W2055" t="str">
        <f>IF(A2055=$A$1707,base!$I$3,IF(A2055=$A$1709,base!$I$2,IF(Receitas!A2055=Receitas!$A$1701,base!$I$4,"")))</f>
        <v>PATRICK CARDOSO</v>
      </c>
      <c r="X2055" t="str">
        <f t="shared" si="122"/>
        <v>Carlos Alberto</v>
      </c>
    </row>
    <row r="2056" spans="1:24">
      <c r="A2056" t="s">
        <v>519</v>
      </c>
      <c r="B2056" t="s">
        <v>163</v>
      </c>
      <c r="C2056" t="s">
        <v>3028</v>
      </c>
      <c r="D2056" s="14">
        <v>35</v>
      </c>
      <c r="E2056" s="14">
        <v>35</v>
      </c>
      <c r="F2056" s="13">
        <v>45792.649305555555</v>
      </c>
      <c r="G2056" t="s">
        <v>1</v>
      </c>
      <c r="H2056" t="s">
        <v>278</v>
      </c>
      <c r="I2056" t="str">
        <f>IF(A2056="","Pacote",IF(B2056=IFERROR(VLOOKUP(B2056,base!$L$1:$L$20,1,0),""),"Produtos",IF(B2056=IFERROR(VLOOKUP(B2056,base!$K$2:$K$20,1,0),""),"Serviços",IF(B2056="Gorjeta","Gorjeta","Combos"))))</f>
        <v>Serviços</v>
      </c>
      <c r="J2056">
        <f t="shared" si="113"/>
        <v>15.75</v>
      </c>
      <c r="K2056" s="1">
        <f t="shared" si="114"/>
        <v>45792.649305555555</v>
      </c>
      <c r="L2056" s="1">
        <f t="shared" si="115"/>
        <v>45792.649305555555</v>
      </c>
      <c r="M2056" s="1">
        <f t="shared" si="116"/>
        <v>45792.649305555555</v>
      </c>
      <c r="N2056" s="1"/>
      <c r="O2056" t="str">
        <f t="shared" si="117"/>
        <v>PIX</v>
      </c>
      <c r="P2056" t="s">
        <v>149</v>
      </c>
      <c r="Q2056" t="str">
        <f t="shared" si="118"/>
        <v>Serviços</v>
      </c>
      <c r="R2056" t="str">
        <f t="shared" si="119"/>
        <v>Corte</v>
      </c>
      <c r="T2056" s="14">
        <f t="shared" si="120"/>
        <v>35</v>
      </c>
      <c r="U2056" s="14">
        <f t="shared" si="121"/>
        <v>35</v>
      </c>
      <c r="V2056" s="14"/>
      <c r="W2056" t="str">
        <f>IF(A2056=$A$1707,base!$I$3,IF(A2056=$A$1709,base!$I$2,IF(Receitas!A2056=Receitas!$A$1701,base!$I$4,"")))</f>
        <v>Gustavo de Castro</v>
      </c>
      <c r="X2056" t="str">
        <f t="shared" si="122"/>
        <v>Jorge Luiz pereira</v>
      </c>
    </row>
    <row r="2057" spans="1:24">
      <c r="A2057" t="s">
        <v>536</v>
      </c>
      <c r="B2057" t="s">
        <v>163</v>
      </c>
      <c r="C2057" t="s">
        <v>3029</v>
      </c>
      <c r="D2057" s="14">
        <v>35</v>
      </c>
      <c r="E2057" s="14">
        <v>35</v>
      </c>
      <c r="F2057" s="13">
        <v>45792.677083333336</v>
      </c>
      <c r="G2057" t="s">
        <v>1</v>
      </c>
      <c r="H2057" t="s">
        <v>1590</v>
      </c>
      <c r="I2057" t="str">
        <f>IF(A2057="","Pacote",IF(B2057=IFERROR(VLOOKUP(B2057,base!$L$1:$L$20,1,0),""),"Produtos",IF(B2057=IFERROR(VLOOKUP(B2057,base!$K$2:$K$20,1,0),""),"Serviços",IF(B2057="Gorjeta","Gorjeta","Combos"))))</f>
        <v>Serviços</v>
      </c>
      <c r="J2057">
        <f t="shared" si="113"/>
        <v>15.75</v>
      </c>
      <c r="K2057" s="1">
        <f t="shared" si="114"/>
        <v>45792.677083333336</v>
      </c>
      <c r="L2057" s="1">
        <f t="shared" si="115"/>
        <v>45792.677083333336</v>
      </c>
      <c r="M2057" s="1">
        <f t="shared" si="116"/>
        <v>45792.677083333336</v>
      </c>
      <c r="N2057" s="1"/>
      <c r="O2057" t="str">
        <f t="shared" si="117"/>
        <v>PIX</v>
      </c>
      <c r="P2057" t="s">
        <v>149</v>
      </c>
      <c r="Q2057" t="str">
        <f t="shared" si="118"/>
        <v>Serviços</v>
      </c>
      <c r="R2057" t="str">
        <f t="shared" si="119"/>
        <v>Corte</v>
      </c>
      <c r="T2057" s="14">
        <f t="shared" si="120"/>
        <v>35</v>
      </c>
      <c r="U2057" s="14">
        <f t="shared" si="121"/>
        <v>35</v>
      </c>
      <c r="V2057" s="14"/>
      <c r="W2057" t="str">
        <f>IF(A2057=$A$1707,base!$I$3,IF(A2057=$A$1709,base!$I$2,IF(Receitas!A2057=Receitas!$A$1701,base!$I$4,"")))</f>
        <v>PATRICK CARDOSO</v>
      </c>
      <c r="X2057" t="str">
        <f t="shared" si="122"/>
        <v>silviane farias</v>
      </c>
    </row>
    <row r="2058" spans="1:24">
      <c r="A2058" t="s">
        <v>252</v>
      </c>
      <c r="B2058" t="s">
        <v>353</v>
      </c>
      <c r="C2058" t="s">
        <v>3030</v>
      </c>
      <c r="D2058" s="14">
        <v>60</v>
      </c>
      <c r="E2058" s="14">
        <v>60</v>
      </c>
      <c r="F2058" s="13">
        <v>45792.760416666664</v>
      </c>
      <c r="G2058" t="s">
        <v>310</v>
      </c>
      <c r="H2058" t="s">
        <v>11</v>
      </c>
      <c r="I2058" t="str">
        <f>IF(A2058="","Pacote",IF(B2058=IFERROR(VLOOKUP(B2058,base!$L$1:$L$20,1,0),""),"Produtos",IF(B2058=IFERROR(VLOOKUP(B2058,base!$K$2:$K$20,1,0),""),"Serviços",IF(B2058="Gorjeta","Gorjeta","Combos"))))</f>
        <v>Combos</v>
      </c>
      <c r="J2058">
        <f t="shared" si="113"/>
        <v>27</v>
      </c>
      <c r="K2058" s="1">
        <f t="shared" si="114"/>
        <v>45792.760416666664</v>
      </c>
      <c r="L2058" s="1">
        <f t="shared" si="115"/>
        <v>45792.760416666664</v>
      </c>
      <c r="M2058" s="1">
        <f t="shared" si="116"/>
        <v>45792.760416666664</v>
      </c>
      <c r="N2058" s="1"/>
      <c r="O2058" t="str">
        <f t="shared" si="117"/>
        <v>Cartão de Débito</v>
      </c>
      <c r="P2058" t="s">
        <v>149</v>
      </c>
      <c r="Q2058" t="str">
        <f t="shared" si="118"/>
        <v>Combos</v>
      </c>
      <c r="R2058" t="str">
        <f t="shared" si="119"/>
        <v>Combo ( Corte + Barba )</v>
      </c>
      <c r="T2058" s="14">
        <f t="shared" si="120"/>
        <v>60</v>
      </c>
      <c r="U2058" s="14">
        <f t="shared" si="121"/>
        <v>60</v>
      </c>
      <c r="V2058" s="14"/>
      <c r="W2058" t="str">
        <f>IF(A2058=$A$1707,base!$I$3,IF(A2058=$A$1709,base!$I$2,IF(Receitas!A2058=Receitas!$A$1701,base!$I$4,"")))</f>
        <v>Christian Magon</v>
      </c>
      <c r="X2058" t="str">
        <f t="shared" si="122"/>
        <v>caio miranda</v>
      </c>
    </row>
    <row r="2059" spans="1:24">
      <c r="A2059" t="s">
        <v>519</v>
      </c>
      <c r="B2059" t="s">
        <v>163</v>
      </c>
      <c r="C2059" t="s">
        <v>3031</v>
      </c>
      <c r="D2059" s="14">
        <v>20</v>
      </c>
      <c r="E2059" s="14">
        <v>35</v>
      </c>
      <c r="F2059" s="13">
        <v>45792.736111111109</v>
      </c>
      <c r="G2059" t="s">
        <v>2</v>
      </c>
      <c r="H2059" t="s">
        <v>3032</v>
      </c>
      <c r="I2059" t="str">
        <f>IF(A2059="","Pacote",IF(B2059=IFERROR(VLOOKUP(B2059,base!$L$1:$L$20,1,0),""),"Produtos",IF(B2059=IFERROR(VLOOKUP(B2059,base!$K$2:$K$20,1,0),""),"Serviços",IF(B2059="Gorjeta","Gorjeta","Combos"))))</f>
        <v>Serviços</v>
      </c>
      <c r="J2059">
        <f t="shared" si="113"/>
        <v>9</v>
      </c>
      <c r="K2059" s="1">
        <f t="shared" si="114"/>
        <v>45792.736111111109</v>
      </c>
      <c r="L2059" s="1">
        <f t="shared" si="115"/>
        <v>45792.736111111109</v>
      </c>
      <c r="M2059" s="1">
        <f t="shared" si="116"/>
        <v>45792.736111111109</v>
      </c>
      <c r="N2059" s="1"/>
      <c r="O2059" t="str">
        <f t="shared" si="117"/>
        <v>Dinheiro</v>
      </c>
      <c r="P2059" t="s">
        <v>149</v>
      </c>
      <c r="Q2059" t="str">
        <f t="shared" si="118"/>
        <v>Serviços</v>
      </c>
      <c r="R2059" t="str">
        <f t="shared" si="119"/>
        <v>Corte</v>
      </c>
      <c r="T2059" s="14">
        <f t="shared" si="120"/>
        <v>20</v>
      </c>
      <c r="U2059" s="14">
        <f t="shared" si="121"/>
        <v>35</v>
      </c>
      <c r="V2059" s="14"/>
      <c r="W2059" t="str">
        <f>IF(A2059=$A$1707,base!$I$3,IF(A2059=$A$1709,base!$I$2,IF(Receitas!A2059=Receitas!$A$1701,base!$I$4,"")))</f>
        <v>Gustavo de Castro</v>
      </c>
      <c r="X2059" t="str">
        <f t="shared" si="122"/>
        <v>William</v>
      </c>
    </row>
    <row r="2060" spans="1:24">
      <c r="A2060" t="s">
        <v>519</v>
      </c>
      <c r="B2060" t="s">
        <v>1446</v>
      </c>
      <c r="C2060" t="s">
        <v>3031</v>
      </c>
      <c r="D2060" s="14">
        <v>15</v>
      </c>
      <c r="F2060" s="13">
        <v>45792.736111111109</v>
      </c>
      <c r="G2060" t="s">
        <v>2</v>
      </c>
      <c r="H2060" t="s">
        <v>3032</v>
      </c>
      <c r="I2060" t="str">
        <f>IF(A2060="","Pacote",IF(B2060=IFERROR(VLOOKUP(B2060,base!$L$1:$L$20,1,0),""),"Produtos",IF(B2060=IFERROR(VLOOKUP(B2060,base!$K$2:$K$20,1,0),""),"Serviços",IF(B2060="Gorjeta","Gorjeta","Combos"))))</f>
        <v>Serviços</v>
      </c>
      <c r="J2060">
        <f t="shared" si="113"/>
        <v>6.75</v>
      </c>
      <c r="K2060" s="1">
        <f t="shared" si="114"/>
        <v>45792.736111111109</v>
      </c>
      <c r="L2060" s="1">
        <f t="shared" si="115"/>
        <v>45792.736111111109</v>
      </c>
      <c r="M2060" s="1">
        <f t="shared" si="116"/>
        <v>45792.736111111109</v>
      </c>
      <c r="N2060" s="1"/>
      <c r="O2060" t="str">
        <f t="shared" si="117"/>
        <v>Dinheiro</v>
      </c>
      <c r="P2060" t="s">
        <v>149</v>
      </c>
      <c r="Q2060" t="str">
        <f t="shared" si="118"/>
        <v>Serviços</v>
      </c>
      <c r="R2060" t="str">
        <f t="shared" si="119"/>
        <v>depilação orelha</v>
      </c>
      <c r="T2060" s="14">
        <f t="shared" si="120"/>
        <v>15</v>
      </c>
      <c r="U2060" s="14">
        <f t="shared" si="121"/>
        <v>0</v>
      </c>
      <c r="V2060" s="14"/>
      <c r="W2060" t="str">
        <f>IF(A2060=$A$1707,base!$I$3,IF(A2060=$A$1709,base!$I$2,IF(Receitas!A2060=Receitas!$A$1701,base!$I$4,"")))</f>
        <v>Gustavo de Castro</v>
      </c>
      <c r="X2060" t="str">
        <f t="shared" si="122"/>
        <v>William</v>
      </c>
    </row>
    <row r="2061" spans="1:24">
      <c r="A2061" t="s">
        <v>519</v>
      </c>
      <c r="B2061" t="s">
        <v>163</v>
      </c>
      <c r="C2061" t="s">
        <v>3033</v>
      </c>
      <c r="D2061" s="14">
        <v>20</v>
      </c>
      <c r="E2061" s="14">
        <v>20</v>
      </c>
      <c r="F2061" s="13">
        <v>45792.739583333336</v>
      </c>
      <c r="G2061" t="s">
        <v>2</v>
      </c>
      <c r="H2061" t="s">
        <v>914</v>
      </c>
      <c r="I2061" t="str">
        <f>IF(A2061="","Pacote",IF(B2061=IFERROR(VLOOKUP(B2061,base!$L$1:$L$20,1,0),""),"Produtos",IF(B2061=IFERROR(VLOOKUP(B2061,base!$K$2:$K$20,1,0),""),"Serviços",IF(B2061="Gorjeta","Gorjeta","Combos"))))</f>
        <v>Serviços</v>
      </c>
      <c r="J2061">
        <f t="shared" si="113"/>
        <v>9</v>
      </c>
      <c r="K2061" s="1">
        <f t="shared" si="114"/>
        <v>45792.739583333336</v>
      </c>
      <c r="L2061" s="1">
        <f t="shared" si="115"/>
        <v>45792.739583333336</v>
      </c>
      <c r="M2061" s="1">
        <f t="shared" si="116"/>
        <v>45792.739583333336</v>
      </c>
      <c r="N2061" s="1"/>
      <c r="O2061" t="str">
        <f t="shared" si="117"/>
        <v>Dinheiro</v>
      </c>
      <c r="P2061" t="s">
        <v>149</v>
      </c>
      <c r="Q2061" t="str">
        <f t="shared" si="118"/>
        <v>Serviços</v>
      </c>
      <c r="R2061" t="str">
        <f t="shared" si="119"/>
        <v>Corte</v>
      </c>
      <c r="T2061" s="14">
        <f t="shared" si="120"/>
        <v>20</v>
      </c>
      <c r="U2061" s="14">
        <f t="shared" si="121"/>
        <v>20</v>
      </c>
      <c r="V2061" s="14"/>
      <c r="W2061" t="str">
        <f>IF(A2061=$A$1707,base!$I$3,IF(A2061=$A$1709,base!$I$2,IF(Receitas!A2061=Receitas!$A$1701,base!$I$4,"")))</f>
        <v>Gustavo de Castro</v>
      </c>
      <c r="X2061" t="str">
        <f t="shared" si="122"/>
        <v>edmilson santos fernandes</v>
      </c>
    </row>
    <row r="2062" spans="1:24">
      <c r="A2062" t="s">
        <v>519</v>
      </c>
      <c r="B2062" t="s">
        <v>163</v>
      </c>
      <c r="C2062" t="s">
        <v>3034</v>
      </c>
      <c r="D2062" s="14">
        <v>35</v>
      </c>
      <c r="E2062" s="14">
        <v>70</v>
      </c>
      <c r="F2062" s="13">
        <v>45792.767361111109</v>
      </c>
      <c r="G2062" t="s">
        <v>1</v>
      </c>
      <c r="H2062" t="s">
        <v>1657</v>
      </c>
      <c r="I2062" t="str">
        <f>IF(A2062="","Pacote",IF(B2062=IFERROR(VLOOKUP(B2062,base!$L$1:$L$20,1,0),""),"Produtos",IF(B2062=IFERROR(VLOOKUP(B2062,base!$K$2:$K$20,1,0),""),"Serviços",IF(B2062="Gorjeta","Gorjeta","Combos"))))</f>
        <v>Serviços</v>
      </c>
      <c r="J2062">
        <f t="shared" si="113"/>
        <v>15.75</v>
      </c>
      <c r="K2062" s="1">
        <f t="shared" si="114"/>
        <v>45792.767361111109</v>
      </c>
      <c r="L2062" s="1">
        <f t="shared" si="115"/>
        <v>45792.767361111109</v>
      </c>
      <c r="M2062" s="1">
        <f t="shared" si="116"/>
        <v>45792.767361111109</v>
      </c>
      <c r="N2062" s="1"/>
      <c r="O2062" t="str">
        <f t="shared" si="117"/>
        <v>PIX</v>
      </c>
      <c r="P2062" t="s">
        <v>149</v>
      </c>
      <c r="Q2062" t="str">
        <f t="shared" si="118"/>
        <v>Serviços</v>
      </c>
      <c r="R2062" t="str">
        <f t="shared" si="119"/>
        <v>Corte</v>
      </c>
      <c r="T2062" s="14">
        <f t="shared" si="120"/>
        <v>35</v>
      </c>
      <c r="U2062" s="14">
        <f t="shared" si="121"/>
        <v>70</v>
      </c>
      <c r="V2062" s="14"/>
      <c r="W2062" t="str">
        <f>IF(A2062=$A$1707,base!$I$3,IF(A2062=$A$1709,base!$I$2,IF(Receitas!A2062=Receitas!$A$1701,base!$I$4,"")))</f>
        <v>Gustavo de Castro</v>
      </c>
      <c r="X2062" t="str">
        <f t="shared" si="122"/>
        <v>Lean Dos Santos</v>
      </c>
    </row>
    <row r="2063" spans="1:24">
      <c r="A2063" t="s">
        <v>536</v>
      </c>
      <c r="B2063" t="s">
        <v>163</v>
      </c>
      <c r="C2063" t="s">
        <v>3034</v>
      </c>
      <c r="D2063" s="14">
        <v>35</v>
      </c>
      <c r="F2063" s="13">
        <v>45792.767361111109</v>
      </c>
      <c r="G2063" t="s">
        <v>1</v>
      </c>
      <c r="H2063" t="s">
        <v>1657</v>
      </c>
      <c r="I2063" t="str">
        <f>IF(A2063="","Pacote",IF(B2063=IFERROR(VLOOKUP(B2063,base!$L$1:$L$20,1,0),""),"Produtos",IF(B2063=IFERROR(VLOOKUP(B2063,base!$K$2:$K$20,1,0),""),"Serviços",IF(B2063="Gorjeta","Gorjeta","Combos"))))</f>
        <v>Serviços</v>
      </c>
      <c r="J2063">
        <f t="shared" si="113"/>
        <v>15.75</v>
      </c>
      <c r="K2063" s="1">
        <f t="shared" si="114"/>
        <v>45792.767361111109</v>
      </c>
      <c r="L2063" s="1">
        <f t="shared" si="115"/>
        <v>45792.767361111109</v>
      </c>
      <c r="M2063" s="1">
        <f t="shared" si="116"/>
        <v>45792.767361111109</v>
      </c>
      <c r="N2063" s="1"/>
      <c r="O2063" t="str">
        <f t="shared" si="117"/>
        <v>PIX</v>
      </c>
      <c r="P2063" t="s">
        <v>149</v>
      </c>
      <c r="Q2063" t="str">
        <f t="shared" si="118"/>
        <v>Serviços</v>
      </c>
      <c r="R2063" t="str">
        <f t="shared" si="119"/>
        <v>Corte</v>
      </c>
      <c r="T2063" s="14">
        <f t="shared" si="120"/>
        <v>35</v>
      </c>
      <c r="U2063" s="14">
        <f t="shared" si="121"/>
        <v>0</v>
      </c>
      <c r="V2063" s="14"/>
      <c r="W2063" t="str">
        <f>IF(A2063=$A$1707,base!$I$3,IF(A2063=$A$1709,base!$I$2,IF(Receitas!A2063=Receitas!$A$1701,base!$I$4,"")))</f>
        <v>PATRICK CARDOSO</v>
      </c>
      <c r="X2063" t="str">
        <f t="shared" si="122"/>
        <v>Lean Dos Santos</v>
      </c>
    </row>
    <row r="2064" spans="1:24">
      <c r="A2064" t="s">
        <v>519</v>
      </c>
      <c r="B2064" t="s">
        <v>163</v>
      </c>
      <c r="C2064" t="s">
        <v>3035</v>
      </c>
      <c r="D2064" s="14">
        <v>35</v>
      </c>
      <c r="E2064" s="14">
        <v>70</v>
      </c>
      <c r="F2064" s="13">
        <v>45793.770833333336</v>
      </c>
      <c r="G2064" t="s">
        <v>1</v>
      </c>
      <c r="H2064" t="s">
        <v>88</v>
      </c>
      <c r="I2064" t="str">
        <f>IF(A2064="","Pacote",IF(B2064=IFERROR(VLOOKUP(B2064,base!$L$1:$L$20,1,0),""),"Produtos",IF(B2064=IFERROR(VLOOKUP(B2064,base!$K$2:$K$20,1,0),""),"Serviços",IF(B2064="Gorjeta","Gorjeta","Combos"))))</f>
        <v>Serviços</v>
      </c>
      <c r="J2064">
        <f t="shared" si="113"/>
        <v>15.75</v>
      </c>
      <c r="K2064" s="1">
        <f t="shared" si="114"/>
        <v>45793.770833333336</v>
      </c>
      <c r="L2064" s="1">
        <f t="shared" si="115"/>
        <v>45793.770833333336</v>
      </c>
      <c r="M2064" s="1">
        <f t="shared" si="116"/>
        <v>45793.770833333336</v>
      </c>
      <c r="N2064" s="1"/>
      <c r="O2064" t="str">
        <f t="shared" si="117"/>
        <v>PIX</v>
      </c>
      <c r="P2064" t="s">
        <v>149</v>
      </c>
      <c r="Q2064" t="str">
        <f t="shared" si="118"/>
        <v>Serviços</v>
      </c>
      <c r="R2064" t="str">
        <f t="shared" si="119"/>
        <v>Corte</v>
      </c>
      <c r="T2064" s="14">
        <f t="shared" si="120"/>
        <v>35</v>
      </c>
      <c r="U2064" s="14">
        <f t="shared" si="121"/>
        <v>70</v>
      </c>
      <c r="V2064" s="14"/>
      <c r="W2064" t="str">
        <f>IF(A2064=$A$1707,base!$I$3,IF(A2064=$A$1709,base!$I$2,IF(Receitas!A2064=Receitas!$A$1701,base!$I$4,"")))</f>
        <v>Gustavo de Castro</v>
      </c>
      <c r="X2064" t="str">
        <f t="shared" si="122"/>
        <v>Luciano Teixeira Silva</v>
      </c>
    </row>
    <row r="2065" spans="1:24">
      <c r="A2065" t="s">
        <v>519</v>
      </c>
      <c r="B2065" t="s">
        <v>1046</v>
      </c>
      <c r="C2065" t="s">
        <v>3035</v>
      </c>
      <c r="D2065" s="14">
        <v>20</v>
      </c>
      <c r="F2065" s="13">
        <v>45793.770833333336</v>
      </c>
      <c r="G2065" t="s">
        <v>1</v>
      </c>
      <c r="H2065" t="s">
        <v>88</v>
      </c>
      <c r="I2065" t="str">
        <f>IF(A2065="","Pacote",IF(B2065=IFERROR(VLOOKUP(B2065,base!$L$1:$L$20,1,0),""),"Produtos",IF(B2065=IFERROR(VLOOKUP(B2065,base!$K$2:$K$20,1,0),""),"Serviços",IF(B2065="Gorjeta","Gorjeta","Combos"))))</f>
        <v>Serviços</v>
      </c>
      <c r="J2065">
        <f t="shared" si="113"/>
        <v>9</v>
      </c>
      <c r="K2065" s="1">
        <f t="shared" si="114"/>
        <v>45793.770833333336</v>
      </c>
      <c r="L2065" s="1">
        <f t="shared" si="115"/>
        <v>45793.770833333336</v>
      </c>
      <c r="M2065" s="1">
        <f t="shared" si="116"/>
        <v>45793.770833333336</v>
      </c>
      <c r="N2065" s="1"/>
      <c r="O2065" t="str">
        <f t="shared" si="117"/>
        <v>PIX</v>
      </c>
      <c r="P2065" t="s">
        <v>149</v>
      </c>
      <c r="Q2065" t="str">
        <f t="shared" si="118"/>
        <v>Serviços</v>
      </c>
      <c r="R2065" t="str">
        <f t="shared" si="119"/>
        <v>Barba</v>
      </c>
      <c r="T2065" s="14">
        <f t="shared" si="120"/>
        <v>20</v>
      </c>
      <c r="U2065" s="14">
        <f t="shared" si="121"/>
        <v>0</v>
      </c>
      <c r="V2065" s="14"/>
      <c r="W2065" t="str">
        <f>IF(A2065=$A$1707,base!$I$3,IF(A2065=$A$1709,base!$I$2,IF(Receitas!A2065=Receitas!$A$1701,base!$I$4,"")))</f>
        <v>Gustavo de Castro</v>
      </c>
      <c r="X2065" t="str">
        <f t="shared" si="122"/>
        <v>Luciano Teixeira Silva</v>
      </c>
    </row>
    <row r="2066" spans="1:24">
      <c r="A2066" t="s">
        <v>519</v>
      </c>
      <c r="B2066" t="s">
        <v>1187</v>
      </c>
      <c r="C2066" t="s">
        <v>3035</v>
      </c>
      <c r="D2066" s="14">
        <v>15</v>
      </c>
      <c r="F2066" s="13">
        <v>45793.770833333336</v>
      </c>
      <c r="G2066" t="s">
        <v>1</v>
      </c>
      <c r="H2066" t="s">
        <v>88</v>
      </c>
      <c r="I2066" t="str">
        <f>IF(A2066="","Pacote",IF(B2066=IFERROR(VLOOKUP(B2066,base!$L$1:$L$20,1,0),""),"Produtos",IF(B2066=IFERROR(VLOOKUP(B2066,base!$K$2:$K$20,1,0),""),"Serviços",IF(B2066="Gorjeta","Gorjeta","Combos"))))</f>
        <v>Serviços</v>
      </c>
      <c r="J2066">
        <f t="shared" si="113"/>
        <v>6.75</v>
      </c>
      <c r="K2066" s="1">
        <f t="shared" si="114"/>
        <v>45793.770833333336</v>
      </c>
      <c r="L2066" s="1">
        <f t="shared" si="115"/>
        <v>45793.770833333336</v>
      </c>
      <c r="M2066" s="1">
        <f t="shared" si="116"/>
        <v>45793.770833333336</v>
      </c>
      <c r="N2066" s="1"/>
      <c r="O2066" t="str">
        <f t="shared" si="117"/>
        <v>PIX</v>
      </c>
      <c r="P2066" t="s">
        <v>149</v>
      </c>
      <c r="Q2066" t="str">
        <f t="shared" si="118"/>
        <v>Serviços</v>
      </c>
      <c r="R2066" t="str">
        <f t="shared" si="119"/>
        <v>depilação nariz</v>
      </c>
      <c r="T2066" s="14">
        <f t="shared" si="120"/>
        <v>15</v>
      </c>
      <c r="U2066" s="14">
        <f t="shared" si="121"/>
        <v>0</v>
      </c>
      <c r="V2066" s="14"/>
      <c r="W2066" t="str">
        <f>IF(A2066=$A$1707,base!$I$3,IF(A2066=$A$1709,base!$I$2,IF(Receitas!A2066=Receitas!$A$1701,base!$I$4,"")))</f>
        <v>Gustavo de Castro</v>
      </c>
      <c r="X2066" t="str">
        <f t="shared" si="122"/>
        <v>Luciano Teixeira Silva</v>
      </c>
    </row>
    <row r="2067" spans="1:24">
      <c r="A2067" t="s">
        <v>252</v>
      </c>
      <c r="B2067" t="s">
        <v>353</v>
      </c>
      <c r="C2067" t="s">
        <v>3036</v>
      </c>
      <c r="D2067" s="14">
        <v>60</v>
      </c>
      <c r="E2067" s="14">
        <v>60</v>
      </c>
      <c r="F2067" s="13">
        <v>45792.8125</v>
      </c>
      <c r="G2067" t="s">
        <v>310</v>
      </c>
      <c r="H2067" t="s">
        <v>3037</v>
      </c>
      <c r="I2067" t="str">
        <f>IF(A2067="","Pacote",IF(B2067=IFERROR(VLOOKUP(B2067,base!$L$1:$L$20,1,0),""),"Produtos",IF(B2067=IFERROR(VLOOKUP(B2067,base!$K$2:$K$20,1,0),""),"Serviços",IF(B2067="Gorjeta","Gorjeta","Combos"))))</f>
        <v>Combos</v>
      </c>
      <c r="J2067">
        <f t="shared" si="113"/>
        <v>27</v>
      </c>
      <c r="K2067" s="1">
        <f t="shared" si="114"/>
        <v>45792.8125</v>
      </c>
      <c r="L2067" s="1">
        <f t="shared" si="115"/>
        <v>45792.8125</v>
      </c>
      <c r="M2067" s="1">
        <f t="shared" si="116"/>
        <v>45792.8125</v>
      </c>
      <c r="N2067" s="1"/>
      <c r="O2067" t="str">
        <f t="shared" si="117"/>
        <v>Cartão de Débito</v>
      </c>
      <c r="P2067" t="s">
        <v>149</v>
      </c>
      <c r="Q2067" t="str">
        <f t="shared" si="118"/>
        <v>Combos</v>
      </c>
      <c r="R2067" t="str">
        <f t="shared" si="119"/>
        <v>Combo ( Corte + Barba )</v>
      </c>
      <c r="T2067" s="14">
        <f t="shared" si="120"/>
        <v>60</v>
      </c>
      <c r="U2067" s="14">
        <f t="shared" si="121"/>
        <v>60</v>
      </c>
      <c r="V2067" s="14"/>
      <c r="W2067" t="str">
        <f>IF(A2067=$A$1707,base!$I$3,IF(A2067=$A$1709,base!$I$2,IF(Receitas!A2067=Receitas!$A$1701,base!$I$4,"")))</f>
        <v>Christian Magon</v>
      </c>
      <c r="X2067" t="str">
        <f t="shared" si="122"/>
        <v>leonardo gomes</v>
      </c>
    </row>
    <row r="2068" spans="1:24">
      <c r="A2068" t="s">
        <v>519</v>
      </c>
      <c r="B2068" t="s">
        <v>163</v>
      </c>
      <c r="C2068" t="s">
        <v>3038</v>
      </c>
      <c r="D2068" s="14">
        <v>35</v>
      </c>
      <c r="E2068" s="14">
        <v>50</v>
      </c>
      <c r="F2068" s="13">
        <v>45792.840277777781</v>
      </c>
      <c r="G2068" t="s">
        <v>310</v>
      </c>
      <c r="H2068" t="s">
        <v>467</v>
      </c>
      <c r="I2068" t="str">
        <f>IF(A2068="","Pacote",IF(B2068=IFERROR(VLOOKUP(B2068,base!$L$1:$L$20,1,0),""),"Produtos",IF(B2068=IFERROR(VLOOKUP(B2068,base!$K$2:$K$20,1,0),""),"Serviços",IF(B2068="Gorjeta","Gorjeta","Combos"))))</f>
        <v>Serviços</v>
      </c>
      <c r="J2068">
        <f t="shared" si="113"/>
        <v>15.75</v>
      </c>
      <c r="K2068" s="1">
        <f t="shared" si="114"/>
        <v>45792.840277777781</v>
      </c>
      <c r="L2068" s="1">
        <f t="shared" si="115"/>
        <v>45792.840277777781</v>
      </c>
      <c r="M2068" s="1">
        <f t="shared" si="116"/>
        <v>45792.840277777781</v>
      </c>
      <c r="N2068" s="1"/>
      <c r="O2068" t="str">
        <f t="shared" si="117"/>
        <v>Cartão de Débito</v>
      </c>
      <c r="P2068" t="s">
        <v>149</v>
      </c>
      <c r="Q2068" t="str">
        <f t="shared" si="118"/>
        <v>Serviços</v>
      </c>
      <c r="R2068" t="str">
        <f t="shared" si="119"/>
        <v>Corte</v>
      </c>
      <c r="T2068" s="14">
        <f t="shared" si="120"/>
        <v>35</v>
      </c>
      <c r="U2068" s="14">
        <f t="shared" si="121"/>
        <v>50</v>
      </c>
      <c r="V2068" s="14"/>
      <c r="W2068" t="str">
        <f>IF(A2068=$A$1707,base!$I$3,IF(A2068=$A$1709,base!$I$2,IF(Receitas!A2068=Receitas!$A$1701,base!$I$4,"")))</f>
        <v>Gustavo de Castro</v>
      </c>
      <c r="X2068" t="str">
        <f t="shared" si="122"/>
        <v>Joao Guilherme de Andrade Ferreira</v>
      </c>
    </row>
    <row r="2069" spans="1:24">
      <c r="A2069" t="s">
        <v>519</v>
      </c>
      <c r="B2069" t="s">
        <v>1046</v>
      </c>
      <c r="C2069" t="s">
        <v>3038</v>
      </c>
      <c r="D2069" s="14">
        <v>15</v>
      </c>
      <c r="F2069" s="13">
        <v>45792.840277777781</v>
      </c>
      <c r="G2069" t="s">
        <v>310</v>
      </c>
      <c r="H2069" t="s">
        <v>467</v>
      </c>
      <c r="I2069" t="str">
        <f>IF(A2069="","Pacote",IF(B2069=IFERROR(VLOOKUP(B2069,base!$L$1:$L$20,1,0),""),"Produtos",IF(B2069=IFERROR(VLOOKUP(B2069,base!$K$2:$K$20,1,0),""),"Serviços",IF(B2069="Gorjeta","Gorjeta","Combos"))))</f>
        <v>Serviços</v>
      </c>
      <c r="J2069">
        <f t="shared" si="113"/>
        <v>6.75</v>
      </c>
      <c r="K2069" s="1">
        <f t="shared" si="114"/>
        <v>45792.840277777781</v>
      </c>
      <c r="L2069" s="1">
        <f t="shared" si="115"/>
        <v>45792.840277777781</v>
      </c>
      <c r="M2069" s="1">
        <f t="shared" si="116"/>
        <v>45792.840277777781</v>
      </c>
      <c r="N2069" s="1"/>
      <c r="O2069" t="str">
        <f t="shared" si="117"/>
        <v>Cartão de Débito</v>
      </c>
      <c r="P2069" t="s">
        <v>149</v>
      </c>
      <c r="Q2069" t="str">
        <f t="shared" si="118"/>
        <v>Serviços</v>
      </c>
      <c r="R2069" t="str">
        <f t="shared" si="119"/>
        <v>Barba</v>
      </c>
      <c r="T2069" s="14">
        <f t="shared" si="120"/>
        <v>15</v>
      </c>
      <c r="U2069" s="14">
        <f t="shared" si="121"/>
        <v>0</v>
      </c>
      <c r="V2069" s="14"/>
      <c r="W2069" t="str">
        <f>IF(A2069=$A$1707,base!$I$3,IF(A2069=$A$1709,base!$I$2,IF(Receitas!A2069=Receitas!$A$1701,base!$I$4,"")))</f>
        <v>Gustavo de Castro</v>
      </c>
      <c r="X2069" t="str">
        <f t="shared" si="122"/>
        <v>Joao Guilherme de Andrade Ferreira</v>
      </c>
    </row>
    <row r="2070" spans="1:24">
      <c r="A2070" t="s">
        <v>252</v>
      </c>
      <c r="B2070" t="s">
        <v>163</v>
      </c>
      <c r="C2070" t="s">
        <v>3039</v>
      </c>
      <c r="D2070" s="14">
        <v>35</v>
      </c>
      <c r="E2070" s="14">
        <v>35</v>
      </c>
      <c r="F2070" s="13">
        <v>45792.840277777781</v>
      </c>
      <c r="G2070" t="s">
        <v>1</v>
      </c>
      <c r="H2070" t="s">
        <v>58</v>
      </c>
      <c r="I2070" t="str">
        <f>IF(A2070="","Pacote",IF(B2070=IFERROR(VLOOKUP(B2070,base!$L$1:$L$20,1,0),""),"Produtos",IF(B2070=IFERROR(VLOOKUP(B2070,base!$K$2:$K$20,1,0),""),"Serviços",IF(B2070="Gorjeta","Gorjeta","Combos"))))</f>
        <v>Serviços</v>
      </c>
      <c r="J2070">
        <f t="shared" si="113"/>
        <v>15.75</v>
      </c>
      <c r="K2070" s="1">
        <f t="shared" si="114"/>
        <v>45792.840277777781</v>
      </c>
      <c r="L2070" s="1">
        <f t="shared" si="115"/>
        <v>45792.840277777781</v>
      </c>
      <c r="M2070" s="1">
        <f t="shared" si="116"/>
        <v>45792.840277777781</v>
      </c>
      <c r="N2070" s="1"/>
      <c r="O2070" t="str">
        <f t="shared" si="117"/>
        <v>PIX</v>
      </c>
      <c r="P2070" t="s">
        <v>149</v>
      </c>
      <c r="Q2070" t="str">
        <f t="shared" si="118"/>
        <v>Serviços</v>
      </c>
      <c r="R2070" t="str">
        <f t="shared" si="119"/>
        <v>Corte</v>
      </c>
      <c r="T2070" s="14">
        <f t="shared" si="120"/>
        <v>35</v>
      </c>
      <c r="U2070" s="14">
        <f t="shared" si="121"/>
        <v>35</v>
      </c>
      <c r="V2070" s="14"/>
      <c r="W2070" t="str">
        <f>IF(A2070=$A$1707,base!$I$3,IF(A2070=$A$1709,base!$I$2,IF(Receitas!A2070=Receitas!$A$1701,base!$I$4,"")))</f>
        <v>Christian Magon</v>
      </c>
      <c r="X2070" t="str">
        <f t="shared" si="122"/>
        <v>Carlos Vinicius Amaral da Silva</v>
      </c>
    </row>
    <row r="2071" spans="1:24">
      <c r="A2071" t="s">
        <v>252</v>
      </c>
      <c r="B2071" t="s">
        <v>163</v>
      </c>
      <c r="C2071" t="s">
        <v>3040</v>
      </c>
      <c r="D2071" s="14">
        <v>35</v>
      </c>
      <c r="E2071" s="14">
        <v>35</v>
      </c>
      <c r="F2071" s="13">
        <v>45792.857638888891</v>
      </c>
      <c r="G2071" t="s">
        <v>1</v>
      </c>
      <c r="H2071" t="s">
        <v>424</v>
      </c>
      <c r="I2071" t="str">
        <f>IF(A2071="","Pacote",IF(B2071=IFERROR(VLOOKUP(B2071,base!$L$1:$L$20,1,0),""),"Produtos",IF(B2071=IFERROR(VLOOKUP(B2071,base!$K$2:$K$20,1,0),""),"Serviços",IF(B2071="Gorjeta","Gorjeta","Combos"))))</f>
        <v>Serviços</v>
      </c>
      <c r="J2071">
        <f t="shared" si="113"/>
        <v>15.75</v>
      </c>
      <c r="K2071" s="1">
        <f t="shared" si="114"/>
        <v>45792.857638888891</v>
      </c>
      <c r="L2071" s="1">
        <f t="shared" si="115"/>
        <v>45792.857638888891</v>
      </c>
      <c r="M2071" s="1">
        <f t="shared" si="116"/>
        <v>45792.857638888891</v>
      </c>
      <c r="N2071" s="1"/>
      <c r="O2071" t="str">
        <f t="shared" si="117"/>
        <v>PIX</v>
      </c>
      <c r="P2071" t="s">
        <v>149</v>
      </c>
      <c r="Q2071" t="str">
        <f t="shared" si="118"/>
        <v>Serviços</v>
      </c>
      <c r="R2071" t="str">
        <f t="shared" si="119"/>
        <v>Corte</v>
      </c>
      <c r="T2071" s="14">
        <f t="shared" si="120"/>
        <v>35</v>
      </c>
      <c r="U2071" s="14">
        <f t="shared" si="121"/>
        <v>35</v>
      </c>
      <c r="V2071" s="14"/>
      <c r="W2071" t="str">
        <f>IF(A2071=$A$1707,base!$I$3,IF(A2071=$A$1709,base!$I$2,IF(Receitas!A2071=Receitas!$A$1701,base!$I$4,"")))</f>
        <v>Christian Magon</v>
      </c>
      <c r="X2071" t="str">
        <f t="shared" si="122"/>
        <v>luciano da costa cruz</v>
      </c>
    </row>
    <row r="2072" spans="1:24">
      <c r="A2072" t="s">
        <v>536</v>
      </c>
      <c r="B2072" t="s">
        <v>353</v>
      </c>
      <c r="C2072" t="s">
        <v>3041</v>
      </c>
      <c r="D2072" s="14">
        <v>60</v>
      </c>
      <c r="E2072" s="14">
        <v>100</v>
      </c>
      <c r="F2072" s="13">
        <v>45792.864583333336</v>
      </c>
      <c r="G2072" t="s">
        <v>354</v>
      </c>
      <c r="H2072" t="s">
        <v>901</v>
      </c>
      <c r="I2072" t="str">
        <f>IF(A2072="","Pacote",IF(B2072=IFERROR(VLOOKUP(B2072,base!$L$1:$L$20,1,0),""),"Produtos",IF(B2072=IFERROR(VLOOKUP(B2072,base!$K$2:$K$20,1,0),""),"Serviços",IF(B2072="Gorjeta","Gorjeta","Combos"))))</f>
        <v>Combos</v>
      </c>
      <c r="J2072">
        <f t="shared" si="113"/>
        <v>27</v>
      </c>
      <c r="K2072" s="1">
        <f t="shared" si="114"/>
        <v>45792.864583333336</v>
      </c>
      <c r="L2072" s="1">
        <f t="shared" si="115"/>
        <v>45792.864583333336</v>
      </c>
      <c r="M2072" s="1">
        <f t="shared" si="116"/>
        <v>45792.864583333336</v>
      </c>
      <c r="N2072" s="1"/>
      <c r="O2072" t="str">
        <f t="shared" si="117"/>
        <v>Cartão de Crédito</v>
      </c>
      <c r="P2072" t="s">
        <v>149</v>
      </c>
      <c r="Q2072" t="str">
        <f t="shared" si="118"/>
        <v>Combos</v>
      </c>
      <c r="R2072" t="str">
        <f t="shared" si="119"/>
        <v>Combo ( Corte + Barba )</v>
      </c>
      <c r="T2072" s="14">
        <f t="shared" si="120"/>
        <v>60</v>
      </c>
      <c r="U2072" s="14">
        <f t="shared" si="121"/>
        <v>100</v>
      </c>
      <c r="V2072" s="14"/>
      <c r="W2072" t="str">
        <f>IF(A2072=$A$1707,base!$I$3,IF(A2072=$A$1709,base!$I$2,IF(Receitas!A2072=Receitas!$A$1701,base!$I$4,"")))</f>
        <v>PATRICK CARDOSO</v>
      </c>
      <c r="X2072" t="str">
        <f t="shared" si="122"/>
        <v>Reinaldo Magalhães Lage Porto</v>
      </c>
    </row>
    <row r="2073" spans="1:24">
      <c r="A2073" t="s">
        <v>536</v>
      </c>
      <c r="B2073" t="s">
        <v>2536</v>
      </c>
      <c r="C2073" t="s">
        <v>3041</v>
      </c>
      <c r="D2073" s="14">
        <v>40</v>
      </c>
      <c r="F2073" s="13">
        <v>45792.864583333336</v>
      </c>
      <c r="G2073" t="s">
        <v>354</v>
      </c>
      <c r="H2073" t="s">
        <v>901</v>
      </c>
      <c r="I2073" t="str">
        <f>IF(A2073="","Pacote",IF(B2073=IFERROR(VLOOKUP(B2073,base!$L$1:$L$20,1,0),""),"Produtos",IF(B2073=IFERROR(VLOOKUP(B2073,base!$K$2:$K$20,1,0),""),"Serviços",IF(B2073="Gorjeta","Gorjeta","Combos"))))</f>
        <v>Produtos</v>
      </c>
      <c r="J2073">
        <f t="shared" si="113"/>
        <v>16</v>
      </c>
      <c r="K2073" s="1">
        <f t="shared" si="114"/>
        <v>45792.864583333336</v>
      </c>
      <c r="L2073" s="1">
        <f t="shared" si="115"/>
        <v>45792.864583333336</v>
      </c>
      <c r="M2073" s="1">
        <f t="shared" si="116"/>
        <v>45792.864583333336</v>
      </c>
      <c r="N2073" s="1"/>
      <c r="O2073" t="str">
        <f t="shared" si="117"/>
        <v>Cartão de Crédito</v>
      </c>
      <c r="P2073" t="s">
        <v>149</v>
      </c>
      <c r="Q2073" t="str">
        <f t="shared" si="118"/>
        <v>Produtos</v>
      </c>
      <c r="R2073" t="str">
        <f t="shared" si="119"/>
        <v>Oleo para barba fox</v>
      </c>
      <c r="T2073" s="14">
        <f t="shared" si="120"/>
        <v>40</v>
      </c>
      <c r="U2073" s="14">
        <f t="shared" si="121"/>
        <v>0</v>
      </c>
      <c r="V2073" s="14"/>
      <c r="W2073" t="str">
        <f>IF(A2073=$A$1707,base!$I$3,IF(A2073=$A$1709,base!$I$2,IF(Receitas!A2073=Receitas!$A$1701,base!$I$4,"")))</f>
        <v>PATRICK CARDOSO</v>
      </c>
      <c r="X2073" t="str">
        <f t="shared" si="122"/>
        <v>Reinaldo Magalhães Lage Porto</v>
      </c>
    </row>
    <row r="2074" spans="1:24">
      <c r="A2074" t="s">
        <v>519</v>
      </c>
      <c r="B2074" t="s">
        <v>163</v>
      </c>
      <c r="C2074" t="s">
        <v>3042</v>
      </c>
      <c r="D2074" s="14">
        <v>35</v>
      </c>
      <c r="E2074" s="14">
        <v>45</v>
      </c>
      <c r="F2074" s="13">
        <v>45793.625</v>
      </c>
      <c r="G2074" t="s">
        <v>1</v>
      </c>
      <c r="H2074" t="s">
        <v>14</v>
      </c>
      <c r="I2074" t="str">
        <f>IF(A2074="","Pacote",IF(B2074=IFERROR(VLOOKUP(B2074,base!$L$1:$L$20,1,0),""),"Produtos",IF(B2074=IFERROR(VLOOKUP(B2074,base!$K$2:$K$20,1,0),""),"Serviços",IF(B2074="Gorjeta","Gorjeta","Combos"))))</f>
        <v>Serviços</v>
      </c>
      <c r="J2074">
        <f t="shared" ref="J2074:J2137" si="123">IF(AND(I2074="Serviços",E2074&gt;0),ROUND(D2074*45%,2),IF(I2074="Produtos",ROUND(D2074*40%,2),D2074*45%))</f>
        <v>15.75</v>
      </c>
      <c r="K2074" s="1">
        <f t="shared" ref="K2074:K2137" si="124">F2074</f>
        <v>45793.625</v>
      </c>
      <c r="L2074" s="1">
        <f t="shared" ref="L2074:L2137" si="125">F2074</f>
        <v>45793.625</v>
      </c>
      <c r="M2074" s="1">
        <f t="shared" ref="M2074:M2137" si="126">F2074</f>
        <v>45793.625</v>
      </c>
      <c r="N2074" s="1"/>
      <c r="O2074" t="str">
        <f t="shared" ref="O2074:O2137" si="127">G2074</f>
        <v>PIX</v>
      </c>
      <c r="P2074" t="s">
        <v>149</v>
      </c>
      <c r="Q2074" t="str">
        <f t="shared" ref="Q2074:Q2137" si="128">I2074</f>
        <v>Serviços</v>
      </c>
      <c r="R2074" t="str">
        <f t="shared" ref="R2074:R2137" si="129">B2074</f>
        <v>Corte</v>
      </c>
      <c r="T2074" s="14">
        <f t="shared" ref="T2074:T2137" si="130">D2074</f>
        <v>35</v>
      </c>
      <c r="U2074" s="14">
        <f t="shared" ref="U2074:U2137" si="131">E2074</f>
        <v>45</v>
      </c>
      <c r="V2074" s="14"/>
      <c r="W2074" t="str">
        <f>IF(A2074=$A$1707,base!$I$3,IF(A2074=$A$1709,base!$I$2,IF(Receitas!A2074=Receitas!$A$1701,base!$I$4,"")))</f>
        <v>Gustavo de Castro</v>
      </c>
      <c r="X2074" t="str">
        <f t="shared" ref="X2074:X2137" si="132">H2074</f>
        <v>Jackson carneiro Ramos</v>
      </c>
    </row>
    <row r="2075" spans="1:24">
      <c r="A2075" t="s">
        <v>519</v>
      </c>
      <c r="B2075" t="s">
        <v>167</v>
      </c>
      <c r="C2075" t="s">
        <v>3042</v>
      </c>
      <c r="D2075" s="14">
        <v>10</v>
      </c>
      <c r="F2075" s="13">
        <v>45793.625</v>
      </c>
      <c r="G2075" t="s">
        <v>1</v>
      </c>
      <c r="H2075" t="s">
        <v>14</v>
      </c>
      <c r="I2075" t="str">
        <f>IF(A2075="","Pacote",IF(B2075=IFERROR(VLOOKUP(B2075,base!$L$1:$L$20,1,0),""),"Produtos",IF(B2075=IFERROR(VLOOKUP(B2075,base!$K$2:$K$20,1,0),""),"Serviços",IF(B2075="Gorjeta","Gorjeta","Combos"))))</f>
        <v>Serviços</v>
      </c>
      <c r="J2075">
        <f t="shared" si="123"/>
        <v>4.5</v>
      </c>
      <c r="K2075" s="1">
        <f t="shared" si="124"/>
        <v>45793.625</v>
      </c>
      <c r="L2075" s="1">
        <f t="shared" si="125"/>
        <v>45793.625</v>
      </c>
      <c r="M2075" s="1">
        <f t="shared" si="126"/>
        <v>45793.625</v>
      </c>
      <c r="N2075" s="1"/>
      <c r="O2075" t="str">
        <f t="shared" si="127"/>
        <v>PIX</v>
      </c>
      <c r="P2075" t="s">
        <v>149</v>
      </c>
      <c r="Q2075" t="str">
        <f t="shared" si="128"/>
        <v>Serviços</v>
      </c>
      <c r="R2075" t="str">
        <f t="shared" si="129"/>
        <v>Sobrancelha</v>
      </c>
      <c r="T2075" s="14">
        <f t="shared" si="130"/>
        <v>10</v>
      </c>
      <c r="U2075" s="14">
        <f t="shared" si="131"/>
        <v>0</v>
      </c>
      <c r="V2075" s="14"/>
      <c r="W2075" t="str">
        <f>IF(A2075=$A$1707,base!$I$3,IF(A2075=$A$1709,base!$I$2,IF(Receitas!A2075=Receitas!$A$1701,base!$I$4,"")))</f>
        <v>Gustavo de Castro</v>
      </c>
      <c r="X2075" t="str">
        <f t="shared" si="132"/>
        <v>Jackson carneiro Ramos</v>
      </c>
    </row>
    <row r="2076" spans="1:24">
      <c r="A2076" t="s">
        <v>536</v>
      </c>
      <c r="B2076" t="s">
        <v>353</v>
      </c>
      <c r="C2076" t="s">
        <v>3043</v>
      </c>
      <c r="D2076" s="14">
        <v>60</v>
      </c>
      <c r="E2076" s="14">
        <v>105</v>
      </c>
      <c r="F2076" s="13">
        <v>45793.604166666664</v>
      </c>
      <c r="G2076" t="s">
        <v>1</v>
      </c>
      <c r="H2076" t="s">
        <v>465</v>
      </c>
      <c r="I2076" t="str">
        <f>IF(A2076="","Pacote",IF(B2076=IFERROR(VLOOKUP(B2076,base!$L$1:$L$20,1,0),""),"Produtos",IF(B2076=IFERROR(VLOOKUP(B2076,base!$K$2:$K$20,1,0),""),"Serviços",IF(B2076="Gorjeta","Gorjeta","Combos"))))</f>
        <v>Combos</v>
      </c>
      <c r="J2076">
        <f t="shared" si="123"/>
        <v>27</v>
      </c>
      <c r="K2076" s="1">
        <f t="shared" si="124"/>
        <v>45793.604166666664</v>
      </c>
      <c r="L2076" s="1">
        <f t="shared" si="125"/>
        <v>45793.604166666664</v>
      </c>
      <c r="M2076" s="1">
        <f t="shared" si="126"/>
        <v>45793.604166666664</v>
      </c>
      <c r="N2076" s="1"/>
      <c r="O2076" t="str">
        <f t="shared" si="127"/>
        <v>PIX</v>
      </c>
      <c r="P2076" t="s">
        <v>149</v>
      </c>
      <c r="Q2076" t="str">
        <f t="shared" si="128"/>
        <v>Combos</v>
      </c>
      <c r="R2076" t="str">
        <f t="shared" si="129"/>
        <v>Combo ( Corte + Barba )</v>
      </c>
      <c r="T2076" s="14">
        <f t="shared" si="130"/>
        <v>60</v>
      </c>
      <c r="U2076" s="14">
        <f t="shared" si="131"/>
        <v>105</v>
      </c>
      <c r="V2076" s="14"/>
      <c r="W2076" t="str">
        <f>IF(A2076=$A$1707,base!$I$3,IF(A2076=$A$1709,base!$I$2,IF(Receitas!A2076=Receitas!$A$1701,base!$I$4,"")))</f>
        <v>PATRICK CARDOSO</v>
      </c>
      <c r="X2076" t="str">
        <f t="shared" si="132"/>
        <v>Pablo Roberto</v>
      </c>
    </row>
    <row r="2077" spans="1:24">
      <c r="A2077" t="s">
        <v>536</v>
      </c>
      <c r="B2077" t="s">
        <v>2731</v>
      </c>
      <c r="C2077" t="s">
        <v>3043</v>
      </c>
      <c r="D2077" s="14">
        <v>45</v>
      </c>
      <c r="F2077" s="13">
        <v>45793.604166666664</v>
      </c>
      <c r="G2077" t="s">
        <v>1</v>
      </c>
      <c r="H2077" t="s">
        <v>465</v>
      </c>
      <c r="I2077" t="str">
        <f>IF(A2077="","Pacote",IF(B2077=IFERROR(VLOOKUP(B2077,base!$L$1:$L$20,1,0),""),"Produtos",IF(B2077=IFERROR(VLOOKUP(B2077,base!$K$2:$K$20,1,0),""),"Serviços",IF(B2077="Gorjeta","Gorjeta","Combos"))))</f>
        <v>Produtos</v>
      </c>
      <c r="J2077">
        <f t="shared" si="123"/>
        <v>18</v>
      </c>
      <c r="K2077" s="1">
        <f t="shared" si="124"/>
        <v>45793.604166666664</v>
      </c>
      <c r="L2077" s="1">
        <f t="shared" si="125"/>
        <v>45793.604166666664</v>
      </c>
      <c r="M2077" s="1">
        <f t="shared" si="126"/>
        <v>45793.604166666664</v>
      </c>
      <c r="N2077" s="1"/>
      <c r="O2077" t="str">
        <f t="shared" si="127"/>
        <v>PIX</v>
      </c>
      <c r="P2077" t="s">
        <v>149</v>
      </c>
      <c r="Q2077" t="str">
        <f t="shared" si="128"/>
        <v>Produtos</v>
      </c>
      <c r="R2077" t="str">
        <f t="shared" si="129"/>
        <v>shampoo anti caspa</v>
      </c>
      <c r="T2077" s="14">
        <f t="shared" si="130"/>
        <v>45</v>
      </c>
      <c r="U2077" s="14">
        <f t="shared" si="131"/>
        <v>0</v>
      </c>
      <c r="V2077" s="14"/>
      <c r="W2077" t="str">
        <f>IF(A2077=$A$1707,base!$I$3,IF(A2077=$A$1709,base!$I$2,IF(Receitas!A2077=Receitas!$A$1701,base!$I$4,"")))</f>
        <v>PATRICK CARDOSO</v>
      </c>
      <c r="X2077" t="str">
        <f t="shared" si="132"/>
        <v>Pablo Roberto</v>
      </c>
    </row>
    <row r="2078" spans="1:24">
      <c r="A2078" t="s">
        <v>519</v>
      </c>
      <c r="B2078" t="s">
        <v>163</v>
      </c>
      <c r="C2078" t="s">
        <v>3044</v>
      </c>
      <c r="D2078" s="14">
        <v>35</v>
      </c>
      <c r="E2078" s="14">
        <v>35</v>
      </c>
      <c r="F2078" s="13">
        <v>45793.666666666664</v>
      </c>
      <c r="G2078" t="s">
        <v>2</v>
      </c>
      <c r="H2078" t="s">
        <v>66</v>
      </c>
      <c r="I2078" t="str">
        <f>IF(A2078="","Pacote",IF(B2078=IFERROR(VLOOKUP(B2078,base!$L$1:$L$20,1,0),""),"Produtos",IF(B2078=IFERROR(VLOOKUP(B2078,base!$K$2:$K$20,1,0),""),"Serviços",IF(B2078="Gorjeta","Gorjeta","Combos"))))</f>
        <v>Serviços</v>
      </c>
      <c r="J2078">
        <f t="shared" si="123"/>
        <v>15.75</v>
      </c>
      <c r="K2078" s="1">
        <f t="shared" si="124"/>
        <v>45793.666666666664</v>
      </c>
      <c r="L2078" s="1">
        <f t="shared" si="125"/>
        <v>45793.666666666664</v>
      </c>
      <c r="M2078" s="1">
        <f t="shared" si="126"/>
        <v>45793.666666666664</v>
      </c>
      <c r="N2078" s="1"/>
      <c r="O2078" t="str">
        <f t="shared" si="127"/>
        <v>Dinheiro</v>
      </c>
      <c r="P2078" t="s">
        <v>149</v>
      </c>
      <c r="Q2078" t="str">
        <f t="shared" si="128"/>
        <v>Serviços</v>
      </c>
      <c r="R2078" t="str">
        <f t="shared" si="129"/>
        <v>Corte</v>
      </c>
      <c r="T2078" s="14">
        <f t="shared" si="130"/>
        <v>35</v>
      </c>
      <c r="U2078" s="14">
        <f t="shared" si="131"/>
        <v>35</v>
      </c>
      <c r="V2078" s="14"/>
      <c r="W2078" t="str">
        <f>IF(A2078=$A$1707,base!$I$3,IF(A2078=$A$1709,base!$I$2,IF(Receitas!A2078=Receitas!$A$1701,base!$I$4,"")))</f>
        <v>Gustavo de Castro</v>
      </c>
      <c r="X2078" t="str">
        <f t="shared" si="132"/>
        <v>Alyne Soares</v>
      </c>
    </row>
    <row r="2079" spans="1:24">
      <c r="A2079" t="s">
        <v>536</v>
      </c>
      <c r="B2079" t="s">
        <v>163</v>
      </c>
      <c r="C2079" t="s">
        <v>3045</v>
      </c>
      <c r="D2079" s="14">
        <v>35</v>
      </c>
      <c r="E2079" s="14">
        <v>35</v>
      </c>
      <c r="F2079" s="13">
        <v>45793.510416666664</v>
      </c>
      <c r="G2079" t="s">
        <v>1</v>
      </c>
      <c r="H2079" t="s">
        <v>2025</v>
      </c>
      <c r="I2079" t="str">
        <f>IF(A2079="","Pacote",IF(B2079=IFERROR(VLOOKUP(B2079,base!$L$1:$L$20,1,0),""),"Produtos",IF(B2079=IFERROR(VLOOKUP(B2079,base!$K$2:$K$20,1,0),""),"Serviços",IF(B2079="Gorjeta","Gorjeta","Combos"))))</f>
        <v>Serviços</v>
      </c>
      <c r="J2079">
        <f t="shared" si="123"/>
        <v>15.75</v>
      </c>
      <c r="K2079" s="1">
        <f t="shared" si="124"/>
        <v>45793.510416666664</v>
      </c>
      <c r="L2079" s="1">
        <f t="shared" si="125"/>
        <v>45793.510416666664</v>
      </c>
      <c r="M2079" s="1">
        <f t="shared" si="126"/>
        <v>45793.510416666664</v>
      </c>
      <c r="N2079" s="1"/>
      <c r="O2079" t="str">
        <f t="shared" si="127"/>
        <v>PIX</v>
      </c>
      <c r="P2079" t="s">
        <v>149</v>
      </c>
      <c r="Q2079" t="str">
        <f t="shared" si="128"/>
        <v>Serviços</v>
      </c>
      <c r="R2079" t="str">
        <f t="shared" si="129"/>
        <v>Corte</v>
      </c>
      <c r="T2079" s="14">
        <f t="shared" si="130"/>
        <v>35</v>
      </c>
      <c r="U2079" s="14">
        <f t="shared" si="131"/>
        <v>35</v>
      </c>
      <c r="V2079" s="14"/>
      <c r="W2079" t="str">
        <f>IF(A2079=$A$1707,base!$I$3,IF(A2079=$A$1709,base!$I$2,IF(Receitas!A2079=Receitas!$A$1701,base!$I$4,"")))</f>
        <v>PATRICK CARDOSO</v>
      </c>
      <c r="X2079" t="str">
        <f t="shared" si="132"/>
        <v>roney almeida</v>
      </c>
    </row>
    <row r="2080" spans="1:24">
      <c r="A2080" t="s">
        <v>519</v>
      </c>
      <c r="B2080" t="s">
        <v>1046</v>
      </c>
      <c r="C2080" t="s">
        <v>3046</v>
      </c>
      <c r="D2080" s="14">
        <v>35</v>
      </c>
      <c r="E2080" s="14">
        <v>35</v>
      </c>
      <c r="F2080" s="13">
        <v>45793.552083333336</v>
      </c>
      <c r="G2080" t="s">
        <v>2</v>
      </c>
      <c r="H2080" t="s">
        <v>2322</v>
      </c>
      <c r="I2080" t="str">
        <f>IF(A2080="","Pacote",IF(B2080=IFERROR(VLOOKUP(B2080,base!$L$1:$L$20,1,0),""),"Produtos",IF(B2080=IFERROR(VLOOKUP(B2080,base!$K$2:$K$20,1,0),""),"Serviços",IF(B2080="Gorjeta","Gorjeta","Combos"))))</f>
        <v>Serviços</v>
      </c>
      <c r="J2080">
        <f t="shared" si="123"/>
        <v>15.75</v>
      </c>
      <c r="K2080" s="1">
        <f t="shared" si="124"/>
        <v>45793.552083333336</v>
      </c>
      <c r="L2080" s="1">
        <f t="shared" si="125"/>
        <v>45793.552083333336</v>
      </c>
      <c r="M2080" s="1">
        <f t="shared" si="126"/>
        <v>45793.552083333336</v>
      </c>
      <c r="N2080" s="1"/>
      <c r="O2080" t="str">
        <f t="shared" si="127"/>
        <v>Dinheiro</v>
      </c>
      <c r="P2080" t="s">
        <v>149</v>
      </c>
      <c r="Q2080" t="str">
        <f t="shared" si="128"/>
        <v>Serviços</v>
      </c>
      <c r="R2080" t="str">
        <f t="shared" si="129"/>
        <v>Barba</v>
      </c>
      <c r="T2080" s="14">
        <f t="shared" si="130"/>
        <v>35</v>
      </c>
      <c r="U2080" s="14">
        <f t="shared" si="131"/>
        <v>35</v>
      </c>
      <c r="V2080" s="14"/>
      <c r="W2080" t="str">
        <f>IF(A2080=$A$1707,base!$I$3,IF(A2080=$A$1709,base!$I$2,IF(Receitas!A2080=Receitas!$A$1701,base!$I$4,"")))</f>
        <v>Gustavo de Castro</v>
      </c>
      <c r="X2080" t="str">
        <f t="shared" si="132"/>
        <v>marcos alexandre</v>
      </c>
    </row>
    <row r="2081" spans="1:24">
      <c r="A2081" t="s">
        <v>252</v>
      </c>
      <c r="B2081" t="s">
        <v>163</v>
      </c>
      <c r="C2081" t="s">
        <v>3047</v>
      </c>
      <c r="D2081" s="14">
        <v>35</v>
      </c>
      <c r="E2081" s="14">
        <v>35</v>
      </c>
      <c r="F2081" s="13">
        <v>45794.520833333336</v>
      </c>
      <c r="G2081" t="s">
        <v>1</v>
      </c>
      <c r="H2081" t="s">
        <v>798</v>
      </c>
      <c r="I2081" t="str">
        <f>IF(A2081="","Pacote",IF(B2081=IFERROR(VLOOKUP(B2081,base!$L$1:$L$20,1,0),""),"Produtos",IF(B2081=IFERROR(VLOOKUP(B2081,base!$K$2:$K$20,1,0),""),"Serviços",IF(B2081="Gorjeta","Gorjeta","Combos"))))</f>
        <v>Serviços</v>
      </c>
      <c r="J2081">
        <f t="shared" si="123"/>
        <v>15.75</v>
      </c>
      <c r="K2081" s="1">
        <f t="shared" si="124"/>
        <v>45794.520833333336</v>
      </c>
      <c r="L2081" s="1">
        <f t="shared" si="125"/>
        <v>45794.520833333336</v>
      </c>
      <c r="M2081" s="1">
        <f t="shared" si="126"/>
        <v>45794.520833333336</v>
      </c>
      <c r="N2081" s="1"/>
      <c r="O2081" t="str">
        <f t="shared" si="127"/>
        <v>PIX</v>
      </c>
      <c r="P2081" t="s">
        <v>149</v>
      </c>
      <c r="Q2081" t="str">
        <f t="shared" si="128"/>
        <v>Serviços</v>
      </c>
      <c r="R2081" t="str">
        <f t="shared" si="129"/>
        <v>Corte</v>
      </c>
      <c r="T2081" s="14">
        <f t="shared" si="130"/>
        <v>35</v>
      </c>
      <c r="U2081" s="14">
        <f t="shared" si="131"/>
        <v>35</v>
      </c>
      <c r="V2081" s="14"/>
      <c r="W2081" t="str">
        <f>IF(A2081=$A$1707,base!$I$3,IF(A2081=$A$1709,base!$I$2,IF(Receitas!A2081=Receitas!$A$1701,base!$I$4,"")))</f>
        <v>Christian Magon</v>
      </c>
      <c r="X2081" t="str">
        <f t="shared" si="132"/>
        <v>Eric Antonio Sa de almeida jaber</v>
      </c>
    </row>
    <row r="2082" spans="1:24">
      <c r="A2082" t="s">
        <v>536</v>
      </c>
      <c r="B2082" t="s">
        <v>163</v>
      </c>
      <c r="C2082" t="s">
        <v>3048</v>
      </c>
      <c r="D2082" s="14">
        <v>35</v>
      </c>
      <c r="E2082" s="14">
        <v>35</v>
      </c>
      <c r="F2082" s="13">
        <v>45793.65625</v>
      </c>
      <c r="G2082" t="s">
        <v>310</v>
      </c>
      <c r="H2082" t="s">
        <v>111</v>
      </c>
      <c r="I2082" t="str">
        <f>IF(A2082="","Pacote",IF(B2082=IFERROR(VLOOKUP(B2082,base!$L$1:$L$20,1,0),""),"Produtos",IF(B2082=IFERROR(VLOOKUP(B2082,base!$K$2:$K$20,1,0),""),"Serviços",IF(B2082="Gorjeta","Gorjeta","Combos"))))</f>
        <v>Serviços</v>
      </c>
      <c r="J2082">
        <f t="shared" si="123"/>
        <v>15.75</v>
      </c>
      <c r="K2082" s="1">
        <f t="shared" si="124"/>
        <v>45793.65625</v>
      </c>
      <c r="L2082" s="1">
        <f t="shared" si="125"/>
        <v>45793.65625</v>
      </c>
      <c r="M2082" s="1">
        <f t="shared" si="126"/>
        <v>45793.65625</v>
      </c>
      <c r="N2082" s="1"/>
      <c r="O2082" t="str">
        <f t="shared" si="127"/>
        <v>Cartão de Débito</v>
      </c>
      <c r="P2082" t="s">
        <v>149</v>
      </c>
      <c r="Q2082" t="str">
        <f t="shared" si="128"/>
        <v>Serviços</v>
      </c>
      <c r="R2082" t="str">
        <f t="shared" si="129"/>
        <v>Corte</v>
      </c>
      <c r="T2082" s="14">
        <f t="shared" si="130"/>
        <v>35</v>
      </c>
      <c r="U2082" s="14">
        <f t="shared" si="131"/>
        <v>35</v>
      </c>
      <c r="V2082" s="14"/>
      <c r="W2082" t="str">
        <f>IF(A2082=$A$1707,base!$I$3,IF(A2082=$A$1709,base!$I$2,IF(Receitas!A2082=Receitas!$A$1701,base!$I$4,"")))</f>
        <v>PATRICK CARDOSO</v>
      </c>
      <c r="X2082" t="str">
        <f t="shared" si="132"/>
        <v>Reginaldo Rodrigues pires</v>
      </c>
    </row>
    <row r="2083" spans="1:24">
      <c r="A2083" t="s">
        <v>252</v>
      </c>
      <c r="B2083" t="s">
        <v>163</v>
      </c>
      <c r="C2083" t="s">
        <v>3049</v>
      </c>
      <c r="D2083" s="14">
        <v>35</v>
      </c>
      <c r="E2083" s="14">
        <v>35</v>
      </c>
      <c r="F2083" s="13">
        <v>45793.659722222219</v>
      </c>
      <c r="G2083" t="s">
        <v>310</v>
      </c>
      <c r="H2083" t="s">
        <v>1161</v>
      </c>
      <c r="I2083" t="str">
        <f>IF(A2083="","Pacote",IF(B2083=IFERROR(VLOOKUP(B2083,base!$L$1:$L$20,1,0),""),"Produtos",IF(B2083=IFERROR(VLOOKUP(B2083,base!$K$2:$K$20,1,0),""),"Serviços",IF(B2083="Gorjeta","Gorjeta","Combos"))))</f>
        <v>Serviços</v>
      </c>
      <c r="J2083">
        <f t="shared" si="123"/>
        <v>15.75</v>
      </c>
      <c r="K2083" s="1">
        <f t="shared" si="124"/>
        <v>45793.659722222219</v>
      </c>
      <c r="L2083" s="1">
        <f t="shared" si="125"/>
        <v>45793.659722222219</v>
      </c>
      <c r="M2083" s="1">
        <f t="shared" si="126"/>
        <v>45793.659722222219</v>
      </c>
      <c r="N2083" s="1"/>
      <c r="O2083" t="str">
        <f t="shared" si="127"/>
        <v>Cartão de Débito</v>
      </c>
      <c r="P2083" t="s">
        <v>149</v>
      </c>
      <c r="Q2083" t="str">
        <f t="shared" si="128"/>
        <v>Serviços</v>
      </c>
      <c r="R2083" t="str">
        <f t="shared" si="129"/>
        <v>Corte</v>
      </c>
      <c r="T2083" s="14">
        <f t="shared" si="130"/>
        <v>35</v>
      </c>
      <c r="U2083" s="14">
        <f t="shared" si="131"/>
        <v>35</v>
      </c>
      <c r="V2083" s="14"/>
      <c r="W2083" t="str">
        <f>IF(A2083=$A$1707,base!$I$3,IF(A2083=$A$1709,base!$I$2,IF(Receitas!A2083=Receitas!$A$1701,base!$I$4,"")))</f>
        <v>Christian Magon</v>
      </c>
      <c r="X2083" t="str">
        <f t="shared" si="132"/>
        <v>joao fernando</v>
      </c>
    </row>
    <row r="2084" spans="1:24">
      <c r="A2084" t="s">
        <v>519</v>
      </c>
      <c r="B2084" t="s">
        <v>163</v>
      </c>
      <c r="C2084" t="s">
        <v>3050</v>
      </c>
      <c r="D2084" s="14">
        <v>30</v>
      </c>
      <c r="E2084" s="14">
        <v>30</v>
      </c>
      <c r="F2084" s="13">
        <v>45794.416666666664</v>
      </c>
      <c r="G2084" t="s">
        <v>354</v>
      </c>
      <c r="H2084" t="s">
        <v>401</v>
      </c>
      <c r="I2084" t="str">
        <f>IF(A2084="","Pacote",IF(B2084=IFERROR(VLOOKUP(B2084,base!$L$1:$L$20,1,0),""),"Produtos",IF(B2084=IFERROR(VLOOKUP(B2084,base!$K$2:$K$20,1,0),""),"Serviços",IF(B2084="Gorjeta","Gorjeta","Combos"))))</f>
        <v>Serviços</v>
      </c>
      <c r="J2084">
        <f t="shared" si="123"/>
        <v>13.5</v>
      </c>
      <c r="K2084" s="1">
        <f t="shared" si="124"/>
        <v>45794.416666666664</v>
      </c>
      <c r="L2084" s="1">
        <f t="shared" si="125"/>
        <v>45794.416666666664</v>
      </c>
      <c r="M2084" s="1">
        <f t="shared" si="126"/>
        <v>45794.416666666664</v>
      </c>
      <c r="N2084" s="1"/>
      <c r="O2084" t="str">
        <f t="shared" si="127"/>
        <v>Cartão de Crédito</v>
      </c>
      <c r="P2084" t="s">
        <v>149</v>
      </c>
      <c r="Q2084" t="str">
        <f t="shared" si="128"/>
        <v>Serviços</v>
      </c>
      <c r="R2084" t="str">
        <f t="shared" si="129"/>
        <v>Corte</v>
      </c>
      <c r="T2084" s="14">
        <f t="shared" si="130"/>
        <v>30</v>
      </c>
      <c r="U2084" s="14">
        <f t="shared" si="131"/>
        <v>30</v>
      </c>
      <c r="V2084" s="14"/>
      <c r="W2084" t="str">
        <f>IF(A2084=$A$1707,base!$I$3,IF(A2084=$A$1709,base!$I$2,IF(Receitas!A2084=Receitas!$A$1701,base!$I$4,"")))</f>
        <v>Gustavo de Castro</v>
      </c>
      <c r="X2084" t="str">
        <f t="shared" si="132"/>
        <v>Daniel Ramos</v>
      </c>
    </row>
    <row r="2085" spans="1:24">
      <c r="A2085" t="s">
        <v>519</v>
      </c>
      <c r="B2085" t="s">
        <v>163</v>
      </c>
      <c r="C2085" t="s">
        <v>3051</v>
      </c>
      <c r="D2085" s="14">
        <v>35</v>
      </c>
      <c r="E2085" s="14">
        <v>50</v>
      </c>
      <c r="F2085" s="13">
        <v>45793.791666666664</v>
      </c>
      <c r="G2085" t="s">
        <v>2</v>
      </c>
      <c r="H2085" t="s">
        <v>53</v>
      </c>
      <c r="I2085" t="str">
        <f>IF(A2085="","Pacote",IF(B2085=IFERROR(VLOOKUP(B2085,base!$L$1:$L$20,1,0),""),"Produtos",IF(B2085=IFERROR(VLOOKUP(B2085,base!$K$2:$K$20,1,0),""),"Serviços",IF(B2085="Gorjeta","Gorjeta","Combos"))))</f>
        <v>Serviços</v>
      </c>
      <c r="J2085">
        <f t="shared" si="123"/>
        <v>15.75</v>
      </c>
      <c r="K2085" s="1">
        <f t="shared" si="124"/>
        <v>45793.791666666664</v>
      </c>
      <c r="L2085" s="1">
        <f t="shared" si="125"/>
        <v>45793.791666666664</v>
      </c>
      <c r="M2085" s="1">
        <f t="shared" si="126"/>
        <v>45793.791666666664</v>
      </c>
      <c r="N2085" s="1"/>
      <c r="O2085" t="str">
        <f t="shared" si="127"/>
        <v>Dinheiro</v>
      </c>
      <c r="P2085" t="s">
        <v>149</v>
      </c>
      <c r="Q2085" t="str">
        <f t="shared" si="128"/>
        <v>Serviços</v>
      </c>
      <c r="R2085" t="str">
        <f t="shared" si="129"/>
        <v>Corte</v>
      </c>
      <c r="T2085" s="14">
        <f t="shared" si="130"/>
        <v>35</v>
      </c>
      <c r="U2085" s="14">
        <f t="shared" si="131"/>
        <v>50</v>
      </c>
      <c r="V2085" s="14"/>
      <c r="W2085" t="str">
        <f>IF(A2085=$A$1707,base!$I$3,IF(A2085=$A$1709,base!$I$2,IF(Receitas!A2085=Receitas!$A$1701,base!$I$4,"")))</f>
        <v>Gustavo de Castro</v>
      </c>
      <c r="X2085" t="str">
        <f t="shared" si="132"/>
        <v>Ramon Fernandes Da Silva</v>
      </c>
    </row>
    <row r="2086" spans="1:24">
      <c r="A2086" t="s">
        <v>519</v>
      </c>
      <c r="B2086" t="s">
        <v>2526</v>
      </c>
      <c r="C2086" t="s">
        <v>3051</v>
      </c>
      <c r="D2086" s="14">
        <v>25</v>
      </c>
      <c r="F2086" s="13">
        <v>45793.791666666664</v>
      </c>
      <c r="G2086" t="s">
        <v>2</v>
      </c>
      <c r="H2086" t="s">
        <v>53</v>
      </c>
      <c r="I2086" t="str">
        <f>IF(A2086="","Pacote",IF(B2086=IFERROR(VLOOKUP(B2086,base!$L$1:$L$20,1,0),""),"Produtos",IF(B2086=IFERROR(VLOOKUP(B2086,base!$K$2:$K$20,1,0),""),"Serviços",IF(B2086="Gorjeta","Gorjeta","Combos"))))</f>
        <v>Produtos</v>
      </c>
      <c r="J2086">
        <f t="shared" si="123"/>
        <v>10</v>
      </c>
      <c r="K2086" s="1">
        <f t="shared" si="124"/>
        <v>45793.791666666664</v>
      </c>
      <c r="L2086" s="1">
        <f t="shared" si="125"/>
        <v>45793.791666666664</v>
      </c>
      <c r="M2086" s="1">
        <f t="shared" si="126"/>
        <v>45793.791666666664</v>
      </c>
      <c r="N2086" s="1"/>
      <c r="O2086" t="str">
        <f t="shared" si="127"/>
        <v>Dinheiro</v>
      </c>
      <c r="P2086" t="s">
        <v>149</v>
      </c>
      <c r="Q2086" t="str">
        <f t="shared" si="128"/>
        <v>Produtos</v>
      </c>
      <c r="R2086" t="str">
        <f t="shared" si="129"/>
        <v>POMADA INCOLOR FOX</v>
      </c>
      <c r="T2086" s="14">
        <f t="shared" si="130"/>
        <v>25</v>
      </c>
      <c r="U2086" s="14">
        <f t="shared" si="131"/>
        <v>0</v>
      </c>
      <c r="V2086" s="14"/>
      <c r="W2086" t="str">
        <f>IF(A2086=$A$1707,base!$I$3,IF(A2086=$A$1709,base!$I$2,IF(Receitas!A2086=Receitas!$A$1701,base!$I$4,"")))</f>
        <v>Gustavo de Castro</v>
      </c>
      <c r="X2086" t="str">
        <f t="shared" si="132"/>
        <v>Ramon Fernandes Da Silva</v>
      </c>
    </row>
    <row r="2087" spans="1:24">
      <c r="A2087" t="s">
        <v>536</v>
      </c>
      <c r="B2087" t="s">
        <v>163</v>
      </c>
      <c r="C2087" t="s">
        <v>3052</v>
      </c>
      <c r="D2087" s="14">
        <v>35</v>
      </c>
      <c r="E2087" s="14">
        <v>35</v>
      </c>
      <c r="F2087" s="13">
        <v>45793.708333333336</v>
      </c>
      <c r="G2087" t="s">
        <v>1</v>
      </c>
      <c r="H2087" t="s">
        <v>1134</v>
      </c>
      <c r="I2087" t="str">
        <f>IF(A2087="","Pacote",IF(B2087=IFERROR(VLOOKUP(B2087,base!$L$1:$L$20,1,0),""),"Produtos",IF(B2087=IFERROR(VLOOKUP(B2087,base!$K$2:$K$20,1,0),""),"Serviços",IF(B2087="Gorjeta","Gorjeta","Combos"))))</f>
        <v>Serviços</v>
      </c>
      <c r="J2087">
        <f t="shared" si="123"/>
        <v>15.75</v>
      </c>
      <c r="K2087" s="1">
        <f t="shared" si="124"/>
        <v>45793.708333333336</v>
      </c>
      <c r="L2087" s="1">
        <f t="shared" si="125"/>
        <v>45793.708333333336</v>
      </c>
      <c r="M2087" s="1">
        <f t="shared" si="126"/>
        <v>45793.708333333336</v>
      </c>
      <c r="N2087" s="1"/>
      <c r="O2087" t="str">
        <f t="shared" si="127"/>
        <v>PIX</v>
      </c>
      <c r="P2087" t="s">
        <v>149</v>
      </c>
      <c r="Q2087" t="str">
        <f t="shared" si="128"/>
        <v>Serviços</v>
      </c>
      <c r="R2087" t="str">
        <f t="shared" si="129"/>
        <v>Corte</v>
      </c>
      <c r="T2087" s="14">
        <f t="shared" si="130"/>
        <v>35</v>
      </c>
      <c r="U2087" s="14">
        <f t="shared" si="131"/>
        <v>35</v>
      </c>
      <c r="V2087" s="14"/>
      <c r="W2087" t="str">
        <f>IF(A2087=$A$1707,base!$I$3,IF(A2087=$A$1709,base!$I$2,IF(Receitas!A2087=Receitas!$A$1701,base!$I$4,"")))</f>
        <v>PATRICK CARDOSO</v>
      </c>
      <c r="X2087" t="str">
        <f t="shared" si="132"/>
        <v>Douglas Carlos</v>
      </c>
    </row>
    <row r="2088" spans="1:24">
      <c r="A2088" t="s">
        <v>252</v>
      </c>
      <c r="B2088" t="s">
        <v>163</v>
      </c>
      <c r="C2088" t="s">
        <v>3053</v>
      </c>
      <c r="D2088" s="14">
        <v>35</v>
      </c>
      <c r="E2088" s="14">
        <v>35</v>
      </c>
      <c r="F2088" s="13">
        <v>45793.71875</v>
      </c>
      <c r="G2088" t="s">
        <v>1</v>
      </c>
      <c r="H2088" t="s">
        <v>10</v>
      </c>
      <c r="I2088" t="str">
        <f>IF(A2088="","Pacote",IF(B2088=IFERROR(VLOOKUP(B2088,base!$L$1:$L$20,1,0),""),"Produtos",IF(B2088=IFERROR(VLOOKUP(B2088,base!$K$2:$K$20,1,0),""),"Serviços",IF(B2088="Gorjeta","Gorjeta","Combos"))))</f>
        <v>Serviços</v>
      </c>
      <c r="J2088">
        <f t="shared" si="123"/>
        <v>15.75</v>
      </c>
      <c r="K2088" s="1">
        <f t="shared" si="124"/>
        <v>45793.71875</v>
      </c>
      <c r="L2088" s="1">
        <f t="shared" si="125"/>
        <v>45793.71875</v>
      </c>
      <c r="M2088" s="1">
        <f t="shared" si="126"/>
        <v>45793.71875</v>
      </c>
      <c r="N2088" s="1"/>
      <c r="O2088" t="str">
        <f t="shared" si="127"/>
        <v>PIX</v>
      </c>
      <c r="P2088" t="s">
        <v>149</v>
      </c>
      <c r="Q2088" t="str">
        <f t="shared" si="128"/>
        <v>Serviços</v>
      </c>
      <c r="R2088" t="str">
        <f t="shared" si="129"/>
        <v>Corte</v>
      </c>
      <c r="T2088" s="14">
        <f t="shared" si="130"/>
        <v>35</v>
      </c>
      <c r="U2088" s="14">
        <f t="shared" si="131"/>
        <v>35</v>
      </c>
      <c r="V2088" s="14"/>
      <c r="W2088" t="str">
        <f>IF(A2088=$A$1707,base!$I$3,IF(A2088=$A$1709,base!$I$2,IF(Receitas!A2088=Receitas!$A$1701,base!$I$4,"")))</f>
        <v>Christian Magon</v>
      </c>
      <c r="X2088" t="str">
        <f t="shared" si="132"/>
        <v>Valcir Pedro</v>
      </c>
    </row>
    <row r="2089" spans="1:24">
      <c r="A2089" t="s">
        <v>536</v>
      </c>
      <c r="B2089" t="s">
        <v>353</v>
      </c>
      <c r="C2089" t="s">
        <v>3054</v>
      </c>
      <c r="D2089" s="14">
        <v>55</v>
      </c>
      <c r="E2089" s="14">
        <v>55</v>
      </c>
      <c r="F2089" s="13">
        <v>45793.75</v>
      </c>
      <c r="G2089" t="s">
        <v>354</v>
      </c>
      <c r="H2089" t="s">
        <v>1899</v>
      </c>
      <c r="I2089" t="str">
        <f>IF(A2089="","Pacote",IF(B2089=IFERROR(VLOOKUP(B2089,base!$L$1:$L$20,1,0),""),"Produtos",IF(B2089=IFERROR(VLOOKUP(B2089,base!$K$2:$K$20,1,0),""),"Serviços",IF(B2089="Gorjeta","Gorjeta","Combos"))))</f>
        <v>Combos</v>
      </c>
      <c r="J2089">
        <f t="shared" si="123"/>
        <v>24.75</v>
      </c>
      <c r="K2089" s="1">
        <f t="shared" si="124"/>
        <v>45793.75</v>
      </c>
      <c r="L2089" s="1">
        <f t="shared" si="125"/>
        <v>45793.75</v>
      </c>
      <c r="M2089" s="1">
        <f t="shared" si="126"/>
        <v>45793.75</v>
      </c>
      <c r="N2089" s="1"/>
      <c r="O2089" t="str">
        <f t="shared" si="127"/>
        <v>Cartão de Crédito</v>
      </c>
      <c r="P2089" t="s">
        <v>149</v>
      </c>
      <c r="Q2089" t="str">
        <f t="shared" si="128"/>
        <v>Combos</v>
      </c>
      <c r="R2089" t="str">
        <f t="shared" si="129"/>
        <v>Combo ( Corte + Barba )</v>
      </c>
      <c r="T2089" s="14">
        <f t="shared" si="130"/>
        <v>55</v>
      </c>
      <c r="U2089" s="14">
        <f t="shared" si="131"/>
        <v>55</v>
      </c>
      <c r="V2089" s="14"/>
      <c r="W2089" t="str">
        <f>IF(A2089=$A$1707,base!$I$3,IF(A2089=$A$1709,base!$I$2,IF(Receitas!A2089=Receitas!$A$1701,base!$I$4,"")))</f>
        <v>PATRICK CARDOSO</v>
      </c>
      <c r="X2089" t="str">
        <f t="shared" si="132"/>
        <v>thiago lima santos</v>
      </c>
    </row>
    <row r="2090" spans="1:24">
      <c r="A2090" t="s">
        <v>252</v>
      </c>
      <c r="B2090" t="s">
        <v>163</v>
      </c>
      <c r="C2090" t="s">
        <v>3055</v>
      </c>
      <c r="D2090" s="14">
        <v>35</v>
      </c>
      <c r="E2090" s="14">
        <v>35</v>
      </c>
      <c r="F2090" s="13">
        <v>45793.8125</v>
      </c>
      <c r="G2090" t="s">
        <v>1</v>
      </c>
      <c r="H2090" t="s">
        <v>18</v>
      </c>
      <c r="I2090" t="str">
        <f>IF(A2090="","Pacote",IF(B2090=IFERROR(VLOOKUP(B2090,base!$L$1:$L$20,1,0),""),"Produtos",IF(B2090=IFERROR(VLOOKUP(B2090,base!$K$2:$K$20,1,0),""),"Serviços",IF(B2090="Gorjeta","Gorjeta","Combos"))))</f>
        <v>Serviços</v>
      </c>
      <c r="J2090">
        <f t="shared" si="123"/>
        <v>15.75</v>
      </c>
      <c r="K2090" s="1">
        <f t="shared" si="124"/>
        <v>45793.8125</v>
      </c>
      <c r="L2090" s="1">
        <f t="shared" si="125"/>
        <v>45793.8125</v>
      </c>
      <c r="M2090" s="1">
        <f t="shared" si="126"/>
        <v>45793.8125</v>
      </c>
      <c r="N2090" s="1"/>
      <c r="O2090" t="str">
        <f t="shared" si="127"/>
        <v>PIX</v>
      </c>
      <c r="P2090" t="s">
        <v>149</v>
      </c>
      <c r="Q2090" t="str">
        <f t="shared" si="128"/>
        <v>Serviços</v>
      </c>
      <c r="R2090" t="str">
        <f t="shared" si="129"/>
        <v>Corte</v>
      </c>
      <c r="T2090" s="14">
        <f t="shared" si="130"/>
        <v>35</v>
      </c>
      <c r="U2090" s="14">
        <f t="shared" si="131"/>
        <v>35</v>
      </c>
      <c r="V2090" s="14"/>
      <c r="W2090" t="str">
        <f>IF(A2090=$A$1707,base!$I$3,IF(A2090=$A$1709,base!$I$2,IF(Receitas!A2090=Receitas!$A$1701,base!$I$4,"")))</f>
        <v>Christian Magon</v>
      </c>
      <c r="X2090" t="str">
        <f t="shared" si="132"/>
        <v>Igor Ferreira</v>
      </c>
    </row>
    <row r="2091" spans="1:24">
      <c r="A2091" t="s">
        <v>536</v>
      </c>
      <c r="B2091" t="s">
        <v>353</v>
      </c>
      <c r="C2091" t="s">
        <v>3056</v>
      </c>
      <c r="D2091" s="14">
        <v>60</v>
      </c>
      <c r="E2091" s="14">
        <v>85</v>
      </c>
      <c r="F2091" s="13">
        <v>45793.815972222219</v>
      </c>
      <c r="G2091" t="s">
        <v>1</v>
      </c>
      <c r="H2091" t="s">
        <v>502</v>
      </c>
      <c r="I2091" t="str">
        <f>IF(A2091="","Pacote",IF(B2091=IFERROR(VLOOKUP(B2091,base!$L$1:$L$20,1,0),""),"Produtos",IF(B2091=IFERROR(VLOOKUP(B2091,base!$K$2:$K$20,1,0),""),"Serviços",IF(B2091="Gorjeta","Gorjeta","Combos"))))</f>
        <v>Combos</v>
      </c>
      <c r="J2091">
        <f t="shared" si="123"/>
        <v>27</v>
      </c>
      <c r="K2091" s="1">
        <f t="shared" si="124"/>
        <v>45793.815972222219</v>
      </c>
      <c r="L2091" s="1">
        <f t="shared" si="125"/>
        <v>45793.815972222219</v>
      </c>
      <c r="M2091" s="1">
        <f t="shared" si="126"/>
        <v>45793.815972222219</v>
      </c>
      <c r="N2091" s="1"/>
      <c r="O2091" t="str">
        <f t="shared" si="127"/>
        <v>PIX</v>
      </c>
      <c r="P2091" t="s">
        <v>149</v>
      </c>
      <c r="Q2091" t="str">
        <f t="shared" si="128"/>
        <v>Combos</v>
      </c>
      <c r="R2091" t="str">
        <f t="shared" si="129"/>
        <v>Combo ( Corte + Barba )</v>
      </c>
      <c r="T2091" s="14">
        <f t="shared" si="130"/>
        <v>60</v>
      </c>
      <c r="U2091" s="14">
        <f t="shared" si="131"/>
        <v>85</v>
      </c>
      <c r="V2091" s="14"/>
      <c r="W2091" t="str">
        <f>IF(A2091=$A$1707,base!$I$3,IF(A2091=$A$1709,base!$I$2,IF(Receitas!A2091=Receitas!$A$1701,base!$I$4,"")))</f>
        <v>PATRICK CARDOSO</v>
      </c>
      <c r="X2091" t="str">
        <f t="shared" si="132"/>
        <v>Flavio Fernandes</v>
      </c>
    </row>
    <row r="2092" spans="1:24">
      <c r="A2092" t="s">
        <v>536</v>
      </c>
      <c r="B2092" t="s">
        <v>2825</v>
      </c>
      <c r="C2092" t="s">
        <v>3056</v>
      </c>
      <c r="D2092" s="14">
        <v>10</v>
      </c>
      <c r="F2092" s="13">
        <v>45793.815972222219</v>
      </c>
      <c r="G2092" t="s">
        <v>1</v>
      </c>
      <c r="H2092" t="s">
        <v>502</v>
      </c>
      <c r="I2092" t="str">
        <f>IF(A2092="","Pacote",IF(B2092=IFERROR(VLOOKUP(B2092,base!$L$1:$L$20,1,0),""),"Produtos",IF(B2092=IFERROR(VLOOKUP(B2092,base!$K$2:$K$20,1,0),""),"Serviços",IF(B2092="Gorjeta","Gorjeta","Combos"))))</f>
        <v>Serviços</v>
      </c>
      <c r="J2092">
        <f t="shared" si="123"/>
        <v>4.5</v>
      </c>
      <c r="K2092" s="1">
        <f t="shared" si="124"/>
        <v>45793.815972222219</v>
      </c>
      <c r="L2092" s="1">
        <f t="shared" si="125"/>
        <v>45793.815972222219</v>
      </c>
      <c r="M2092" s="1">
        <f t="shared" si="126"/>
        <v>45793.815972222219</v>
      </c>
      <c r="N2092" s="1"/>
      <c r="O2092" t="str">
        <f t="shared" si="127"/>
        <v>PIX</v>
      </c>
      <c r="P2092" t="s">
        <v>149</v>
      </c>
      <c r="Q2092" t="str">
        <f t="shared" si="128"/>
        <v>Serviços</v>
      </c>
      <c r="R2092" t="str">
        <f t="shared" si="129"/>
        <v>barboterapia</v>
      </c>
      <c r="T2092" s="14">
        <f t="shared" si="130"/>
        <v>10</v>
      </c>
      <c r="U2092" s="14">
        <f t="shared" si="131"/>
        <v>0</v>
      </c>
      <c r="V2092" s="14"/>
      <c r="W2092" t="str">
        <f>IF(A2092=$A$1707,base!$I$3,IF(A2092=$A$1709,base!$I$2,IF(Receitas!A2092=Receitas!$A$1701,base!$I$4,"")))</f>
        <v>PATRICK CARDOSO</v>
      </c>
      <c r="X2092" t="str">
        <f t="shared" si="132"/>
        <v>Flavio Fernandes</v>
      </c>
    </row>
    <row r="2093" spans="1:24">
      <c r="A2093" t="s">
        <v>536</v>
      </c>
      <c r="B2093" t="s">
        <v>1187</v>
      </c>
      <c r="C2093" t="s">
        <v>3056</v>
      </c>
      <c r="D2093" s="14">
        <v>15</v>
      </c>
      <c r="F2093" s="13">
        <v>45793.815972222219</v>
      </c>
      <c r="G2093" t="s">
        <v>1</v>
      </c>
      <c r="H2093" t="s">
        <v>502</v>
      </c>
      <c r="I2093" t="str">
        <f>IF(A2093="","Pacote",IF(B2093=IFERROR(VLOOKUP(B2093,base!$L$1:$L$20,1,0),""),"Produtos",IF(B2093=IFERROR(VLOOKUP(B2093,base!$K$2:$K$20,1,0),""),"Serviços",IF(B2093="Gorjeta","Gorjeta","Combos"))))</f>
        <v>Serviços</v>
      </c>
      <c r="J2093">
        <f t="shared" si="123"/>
        <v>6.75</v>
      </c>
      <c r="K2093" s="1">
        <f t="shared" si="124"/>
        <v>45793.815972222219</v>
      </c>
      <c r="L2093" s="1">
        <f t="shared" si="125"/>
        <v>45793.815972222219</v>
      </c>
      <c r="M2093" s="1">
        <f t="shared" si="126"/>
        <v>45793.815972222219</v>
      </c>
      <c r="N2093" s="1"/>
      <c r="O2093" t="str">
        <f t="shared" si="127"/>
        <v>PIX</v>
      </c>
      <c r="P2093" t="s">
        <v>149</v>
      </c>
      <c r="Q2093" t="str">
        <f t="shared" si="128"/>
        <v>Serviços</v>
      </c>
      <c r="R2093" t="str">
        <f t="shared" si="129"/>
        <v>depilação nariz</v>
      </c>
      <c r="T2093" s="14">
        <f t="shared" si="130"/>
        <v>15</v>
      </c>
      <c r="U2093" s="14">
        <f t="shared" si="131"/>
        <v>0</v>
      </c>
      <c r="V2093" s="14"/>
      <c r="W2093" t="str">
        <f>IF(A2093=$A$1707,base!$I$3,IF(A2093=$A$1709,base!$I$2,IF(Receitas!A2093=Receitas!$A$1701,base!$I$4,"")))</f>
        <v>PATRICK CARDOSO</v>
      </c>
      <c r="X2093" t="str">
        <f t="shared" si="132"/>
        <v>Flavio Fernandes</v>
      </c>
    </row>
    <row r="2094" spans="1:24">
      <c r="A2094" t="s">
        <v>519</v>
      </c>
      <c r="B2094" t="s">
        <v>163</v>
      </c>
      <c r="C2094" t="s">
        <v>3057</v>
      </c>
      <c r="D2094" s="14">
        <v>20</v>
      </c>
      <c r="E2094" s="14">
        <v>20</v>
      </c>
      <c r="F2094" s="13">
        <v>45793.822916666664</v>
      </c>
      <c r="G2094" t="s">
        <v>2</v>
      </c>
      <c r="H2094" t="s">
        <v>409</v>
      </c>
      <c r="I2094" t="str">
        <f>IF(A2094="","Pacote",IF(B2094=IFERROR(VLOOKUP(B2094,base!$L$1:$L$20,1,0),""),"Produtos",IF(B2094=IFERROR(VLOOKUP(B2094,base!$K$2:$K$20,1,0),""),"Serviços",IF(B2094="Gorjeta","Gorjeta","Combos"))))</f>
        <v>Serviços</v>
      </c>
      <c r="J2094">
        <f t="shared" si="123"/>
        <v>9</v>
      </c>
      <c r="K2094" s="1">
        <f t="shared" si="124"/>
        <v>45793.822916666664</v>
      </c>
      <c r="L2094" s="1">
        <f t="shared" si="125"/>
        <v>45793.822916666664</v>
      </c>
      <c r="M2094" s="1">
        <f t="shared" si="126"/>
        <v>45793.822916666664</v>
      </c>
      <c r="N2094" s="1"/>
      <c r="O2094" t="str">
        <f t="shared" si="127"/>
        <v>Dinheiro</v>
      </c>
      <c r="P2094" t="s">
        <v>149</v>
      </c>
      <c r="Q2094" t="str">
        <f t="shared" si="128"/>
        <v>Serviços</v>
      </c>
      <c r="R2094" t="str">
        <f t="shared" si="129"/>
        <v>Corte</v>
      </c>
      <c r="T2094" s="14">
        <f t="shared" si="130"/>
        <v>20</v>
      </c>
      <c r="U2094" s="14">
        <f t="shared" si="131"/>
        <v>20</v>
      </c>
      <c r="V2094" s="14"/>
      <c r="W2094" t="str">
        <f>IF(A2094=$A$1707,base!$I$3,IF(A2094=$A$1709,base!$I$2,IF(Receitas!A2094=Receitas!$A$1701,base!$I$4,"")))</f>
        <v>Gustavo de Castro</v>
      </c>
      <c r="X2094" t="str">
        <f t="shared" si="132"/>
        <v>Marcelo Xeren</v>
      </c>
    </row>
    <row r="2095" spans="1:24">
      <c r="A2095" t="s">
        <v>536</v>
      </c>
      <c r="B2095" t="s">
        <v>163</v>
      </c>
      <c r="C2095" t="s">
        <v>3058</v>
      </c>
      <c r="D2095" s="14">
        <v>35</v>
      </c>
      <c r="E2095" s="14">
        <v>120</v>
      </c>
      <c r="F2095" s="13">
        <v>45793.826388888891</v>
      </c>
      <c r="G2095" t="s">
        <v>310</v>
      </c>
      <c r="H2095" t="s">
        <v>201</v>
      </c>
      <c r="I2095" t="str">
        <f>IF(A2095="","Pacote",IF(B2095=IFERROR(VLOOKUP(B2095,base!$L$1:$L$20,1,0),""),"Produtos",IF(B2095=IFERROR(VLOOKUP(B2095,base!$K$2:$K$20,1,0),""),"Serviços",IF(B2095="Gorjeta","Gorjeta","Combos"))))</f>
        <v>Serviços</v>
      </c>
      <c r="J2095">
        <f t="shared" si="123"/>
        <v>15.75</v>
      </c>
      <c r="K2095" s="1">
        <f t="shared" si="124"/>
        <v>45793.826388888891</v>
      </c>
      <c r="L2095" s="1">
        <f t="shared" si="125"/>
        <v>45793.826388888891</v>
      </c>
      <c r="M2095" s="1">
        <f t="shared" si="126"/>
        <v>45793.826388888891</v>
      </c>
      <c r="N2095" s="1"/>
      <c r="O2095" t="str">
        <f t="shared" si="127"/>
        <v>Cartão de Débito</v>
      </c>
      <c r="P2095" t="s">
        <v>149</v>
      </c>
      <c r="Q2095" t="str">
        <f t="shared" si="128"/>
        <v>Serviços</v>
      </c>
      <c r="R2095" t="str">
        <f t="shared" si="129"/>
        <v>Corte</v>
      </c>
      <c r="T2095" s="14">
        <f t="shared" si="130"/>
        <v>35</v>
      </c>
      <c r="U2095" s="14">
        <f t="shared" si="131"/>
        <v>120</v>
      </c>
      <c r="V2095" s="14"/>
      <c r="W2095" t="str">
        <f>IF(A2095=$A$1707,base!$I$3,IF(A2095=$A$1709,base!$I$2,IF(Receitas!A2095=Receitas!$A$1701,base!$I$4,"")))</f>
        <v>PATRICK CARDOSO</v>
      </c>
      <c r="X2095" t="str">
        <f t="shared" si="132"/>
        <v>Tatiana Santos</v>
      </c>
    </row>
    <row r="2096" spans="1:24">
      <c r="A2096" t="s">
        <v>252</v>
      </c>
      <c r="B2096" t="s">
        <v>163</v>
      </c>
      <c r="C2096" t="s">
        <v>3058</v>
      </c>
      <c r="D2096" s="14">
        <v>35</v>
      </c>
      <c r="F2096" s="13">
        <v>45793.826388888891</v>
      </c>
      <c r="G2096" t="s">
        <v>310</v>
      </c>
      <c r="H2096" t="s">
        <v>201</v>
      </c>
      <c r="I2096" t="str">
        <f>IF(A2096="","Pacote",IF(B2096=IFERROR(VLOOKUP(B2096,base!$L$1:$L$20,1,0),""),"Produtos",IF(B2096=IFERROR(VLOOKUP(B2096,base!$K$2:$K$20,1,0),""),"Serviços",IF(B2096="Gorjeta","Gorjeta","Combos"))))</f>
        <v>Serviços</v>
      </c>
      <c r="J2096">
        <f t="shared" si="123"/>
        <v>15.75</v>
      </c>
      <c r="K2096" s="1">
        <f t="shared" si="124"/>
        <v>45793.826388888891</v>
      </c>
      <c r="L2096" s="1">
        <f t="shared" si="125"/>
        <v>45793.826388888891</v>
      </c>
      <c r="M2096" s="1">
        <f t="shared" si="126"/>
        <v>45793.826388888891</v>
      </c>
      <c r="N2096" s="1"/>
      <c r="O2096" t="str">
        <f t="shared" si="127"/>
        <v>Cartão de Débito</v>
      </c>
      <c r="P2096" t="s">
        <v>149</v>
      </c>
      <c r="Q2096" t="str">
        <f t="shared" si="128"/>
        <v>Serviços</v>
      </c>
      <c r="R2096" t="str">
        <f t="shared" si="129"/>
        <v>Corte</v>
      </c>
      <c r="T2096" s="14">
        <f t="shared" si="130"/>
        <v>35</v>
      </c>
      <c r="U2096" s="14">
        <f t="shared" si="131"/>
        <v>0</v>
      </c>
      <c r="V2096" s="14"/>
      <c r="W2096" t="str">
        <f>IF(A2096=$A$1707,base!$I$3,IF(A2096=$A$1709,base!$I$2,IF(Receitas!A2096=Receitas!$A$1701,base!$I$4,"")))</f>
        <v>Christian Magon</v>
      </c>
      <c r="X2096" t="str">
        <f t="shared" si="132"/>
        <v>Tatiana Santos</v>
      </c>
    </row>
    <row r="2097" spans="1:24">
      <c r="A2097" t="s">
        <v>536</v>
      </c>
      <c r="B2097" t="s">
        <v>2526</v>
      </c>
      <c r="C2097" t="s">
        <v>3058</v>
      </c>
      <c r="D2097" s="14">
        <v>25</v>
      </c>
      <c r="F2097" s="13">
        <v>45793.826388888891</v>
      </c>
      <c r="G2097" t="s">
        <v>310</v>
      </c>
      <c r="H2097" t="s">
        <v>201</v>
      </c>
      <c r="I2097" t="str">
        <f>IF(A2097="","Pacote",IF(B2097=IFERROR(VLOOKUP(B2097,base!$L$1:$L$20,1,0),""),"Produtos",IF(B2097=IFERROR(VLOOKUP(B2097,base!$K$2:$K$20,1,0),""),"Serviços",IF(B2097="Gorjeta","Gorjeta","Combos"))))</f>
        <v>Produtos</v>
      </c>
      <c r="J2097">
        <f t="shared" si="123"/>
        <v>10</v>
      </c>
      <c r="K2097" s="1">
        <f t="shared" si="124"/>
        <v>45793.826388888891</v>
      </c>
      <c r="L2097" s="1">
        <f t="shared" si="125"/>
        <v>45793.826388888891</v>
      </c>
      <c r="M2097" s="1">
        <f t="shared" si="126"/>
        <v>45793.826388888891</v>
      </c>
      <c r="N2097" s="1"/>
      <c r="O2097" t="str">
        <f t="shared" si="127"/>
        <v>Cartão de Débito</v>
      </c>
      <c r="P2097" t="s">
        <v>149</v>
      </c>
      <c r="Q2097" t="str">
        <f t="shared" si="128"/>
        <v>Produtos</v>
      </c>
      <c r="R2097" t="str">
        <f t="shared" si="129"/>
        <v>POMADA INCOLOR FOX</v>
      </c>
      <c r="T2097" s="14">
        <f t="shared" si="130"/>
        <v>25</v>
      </c>
      <c r="U2097" s="14">
        <f t="shared" si="131"/>
        <v>0</v>
      </c>
      <c r="V2097" s="14"/>
      <c r="W2097" t="str">
        <f>IF(A2097=$A$1707,base!$I$3,IF(A2097=$A$1709,base!$I$2,IF(Receitas!A2097=Receitas!$A$1701,base!$I$4,"")))</f>
        <v>PATRICK CARDOSO</v>
      </c>
      <c r="X2097" t="str">
        <f t="shared" si="132"/>
        <v>Tatiana Santos</v>
      </c>
    </row>
    <row r="2098" spans="1:24">
      <c r="A2098" t="s">
        <v>519</v>
      </c>
      <c r="B2098" t="s">
        <v>2931</v>
      </c>
      <c r="C2098" t="s">
        <v>3058</v>
      </c>
      <c r="D2098" s="14">
        <v>25</v>
      </c>
      <c r="F2098" s="13">
        <v>45793.826388888891</v>
      </c>
      <c r="G2098" t="s">
        <v>310</v>
      </c>
      <c r="H2098" t="s">
        <v>201</v>
      </c>
      <c r="I2098" t="str">
        <f>IF(A2098="","Pacote",IF(B2098=IFERROR(VLOOKUP(B2098,base!$L$1:$L$20,1,0),""),"Produtos",IF(B2098=IFERROR(VLOOKUP(B2098,base!$K$2:$K$20,1,0),""),"Serviços",IF(B2098="Gorjeta","Gorjeta","Combos"))))</f>
        <v>Produtos</v>
      </c>
      <c r="J2098">
        <f t="shared" si="123"/>
        <v>10</v>
      </c>
      <c r="K2098" s="1">
        <f t="shared" si="124"/>
        <v>45793.826388888891</v>
      </c>
      <c r="L2098" s="1">
        <f t="shared" si="125"/>
        <v>45793.826388888891</v>
      </c>
      <c r="M2098" s="1">
        <f t="shared" si="126"/>
        <v>45793.826388888891</v>
      </c>
      <c r="N2098" s="1"/>
      <c r="O2098" t="str">
        <f t="shared" si="127"/>
        <v>Cartão de Débito</v>
      </c>
      <c r="P2098" t="s">
        <v>149</v>
      </c>
      <c r="Q2098" t="str">
        <f t="shared" si="128"/>
        <v>Produtos</v>
      </c>
      <c r="R2098" t="str">
        <f t="shared" si="129"/>
        <v>Pomada matte 80g</v>
      </c>
      <c r="T2098" s="14">
        <f t="shared" si="130"/>
        <v>25</v>
      </c>
      <c r="U2098" s="14">
        <f t="shared" si="131"/>
        <v>0</v>
      </c>
      <c r="V2098" s="14"/>
      <c r="W2098" t="str">
        <f>IF(A2098=$A$1707,base!$I$3,IF(A2098=$A$1709,base!$I$2,IF(Receitas!A2098=Receitas!$A$1701,base!$I$4,"")))</f>
        <v>Gustavo de Castro</v>
      </c>
      <c r="X2098" t="str">
        <f t="shared" si="132"/>
        <v>Tatiana Santos</v>
      </c>
    </row>
    <row r="2099" spans="1:24">
      <c r="A2099" t="s">
        <v>536</v>
      </c>
      <c r="B2099" t="s">
        <v>163</v>
      </c>
      <c r="C2099" t="s">
        <v>3059</v>
      </c>
      <c r="D2099" s="14">
        <v>30</v>
      </c>
      <c r="E2099" s="14">
        <v>30</v>
      </c>
      <c r="F2099" s="13">
        <v>45793.829861111109</v>
      </c>
      <c r="G2099" t="s">
        <v>1</v>
      </c>
      <c r="H2099" t="s">
        <v>271</v>
      </c>
      <c r="I2099" t="str">
        <f>IF(A2099="","Pacote",IF(B2099=IFERROR(VLOOKUP(B2099,base!$L$1:$L$20,1,0),""),"Produtos",IF(B2099=IFERROR(VLOOKUP(B2099,base!$K$2:$K$20,1,0),""),"Serviços",IF(B2099="Gorjeta","Gorjeta","Combos"))))</f>
        <v>Serviços</v>
      </c>
      <c r="J2099">
        <f t="shared" si="123"/>
        <v>13.5</v>
      </c>
      <c r="K2099" s="1">
        <f t="shared" si="124"/>
        <v>45793.829861111109</v>
      </c>
      <c r="L2099" s="1">
        <f t="shared" si="125"/>
        <v>45793.829861111109</v>
      </c>
      <c r="M2099" s="1">
        <f t="shared" si="126"/>
        <v>45793.829861111109</v>
      </c>
      <c r="N2099" s="1"/>
      <c r="O2099" t="str">
        <f t="shared" si="127"/>
        <v>PIX</v>
      </c>
      <c r="P2099" t="s">
        <v>149</v>
      </c>
      <c r="Q2099" t="str">
        <f t="shared" si="128"/>
        <v>Serviços</v>
      </c>
      <c r="R2099" t="str">
        <f t="shared" si="129"/>
        <v>Corte</v>
      </c>
      <c r="T2099" s="14">
        <f t="shared" si="130"/>
        <v>30</v>
      </c>
      <c r="U2099" s="14">
        <f t="shared" si="131"/>
        <v>30</v>
      </c>
      <c r="V2099" s="14"/>
      <c r="W2099" t="str">
        <f>IF(A2099=$A$1707,base!$I$3,IF(A2099=$A$1709,base!$I$2,IF(Receitas!A2099=Receitas!$A$1701,base!$I$4,"")))</f>
        <v>PATRICK CARDOSO</v>
      </c>
      <c r="X2099" t="str">
        <f t="shared" si="132"/>
        <v>MARCIO ANDRE BARROSO</v>
      </c>
    </row>
    <row r="2100" spans="1:24">
      <c r="A2100" t="s">
        <v>519</v>
      </c>
      <c r="B2100" t="s">
        <v>163</v>
      </c>
      <c r="C2100" t="s">
        <v>3060</v>
      </c>
      <c r="D2100" s="14">
        <v>35</v>
      </c>
      <c r="E2100" s="14">
        <v>85</v>
      </c>
      <c r="F2100" s="13">
        <v>45793.833333333336</v>
      </c>
      <c r="G2100" t="s">
        <v>310</v>
      </c>
      <c r="H2100" t="s">
        <v>2611</v>
      </c>
      <c r="I2100" t="str">
        <f>IF(A2100="","Pacote",IF(B2100=IFERROR(VLOOKUP(B2100,base!$L$1:$L$20,1,0),""),"Produtos",IF(B2100=IFERROR(VLOOKUP(B2100,base!$K$2:$K$20,1,0),""),"Serviços",IF(B2100="Gorjeta","Gorjeta","Combos"))))</f>
        <v>Serviços</v>
      </c>
      <c r="J2100">
        <f t="shared" si="123"/>
        <v>15.75</v>
      </c>
      <c r="K2100" s="1">
        <f t="shared" si="124"/>
        <v>45793.833333333336</v>
      </c>
      <c r="L2100" s="1">
        <f t="shared" si="125"/>
        <v>45793.833333333336</v>
      </c>
      <c r="M2100" s="1">
        <f t="shared" si="126"/>
        <v>45793.833333333336</v>
      </c>
      <c r="N2100" s="1"/>
      <c r="O2100" t="str">
        <f t="shared" si="127"/>
        <v>Cartão de Débito</v>
      </c>
      <c r="P2100" t="s">
        <v>149</v>
      </c>
      <c r="Q2100" t="str">
        <f t="shared" si="128"/>
        <v>Serviços</v>
      </c>
      <c r="R2100" t="str">
        <f t="shared" si="129"/>
        <v>Corte</v>
      </c>
      <c r="T2100" s="14">
        <f t="shared" si="130"/>
        <v>35</v>
      </c>
      <c r="U2100" s="14">
        <f t="shared" si="131"/>
        <v>85</v>
      </c>
      <c r="V2100" s="14"/>
      <c r="W2100" t="str">
        <f>IF(A2100=$A$1707,base!$I$3,IF(A2100=$A$1709,base!$I$2,IF(Receitas!A2100=Receitas!$A$1701,base!$I$4,"")))</f>
        <v>Gustavo de Castro</v>
      </c>
      <c r="X2100" t="str">
        <f t="shared" si="132"/>
        <v>Anderson Pereira</v>
      </c>
    </row>
    <row r="2101" spans="1:24">
      <c r="A2101" t="s">
        <v>519</v>
      </c>
      <c r="B2101" t="s">
        <v>3061</v>
      </c>
      <c r="C2101" t="s">
        <v>3060</v>
      </c>
      <c r="D2101" s="14">
        <v>25</v>
      </c>
      <c r="F2101" s="13">
        <v>45793.833333333336</v>
      </c>
      <c r="G2101" t="s">
        <v>310</v>
      </c>
      <c r="H2101" t="s">
        <v>2611</v>
      </c>
      <c r="I2101" t="str">
        <f>IF(A2101="","Pacote",IF(B2101=IFERROR(VLOOKUP(B2101,base!$L$1:$L$20,1,0),""),"Produtos",IF(B2101=IFERROR(VLOOKUP(B2101,base!$K$2:$K$20,1,0),""),"Serviços",IF(B2101="Gorjeta","Gorjeta","Combos"))))</f>
        <v>Produtos</v>
      </c>
      <c r="J2101">
        <f t="shared" si="123"/>
        <v>10</v>
      </c>
      <c r="K2101" s="1">
        <f t="shared" si="124"/>
        <v>45793.833333333336</v>
      </c>
      <c r="L2101" s="1">
        <f t="shared" si="125"/>
        <v>45793.833333333336</v>
      </c>
      <c r="M2101" s="1">
        <f t="shared" si="126"/>
        <v>45793.833333333336</v>
      </c>
      <c r="N2101" s="1"/>
      <c r="O2101" t="str">
        <f t="shared" si="127"/>
        <v>Cartão de Débito</v>
      </c>
      <c r="P2101" t="s">
        <v>149</v>
      </c>
      <c r="Q2101" t="str">
        <f t="shared" si="128"/>
        <v>Produtos</v>
      </c>
      <c r="R2101" t="str">
        <f t="shared" si="129"/>
        <v>BALM FOX</v>
      </c>
      <c r="T2101" s="14">
        <f t="shared" si="130"/>
        <v>25</v>
      </c>
      <c r="U2101" s="14">
        <f t="shared" si="131"/>
        <v>0</v>
      </c>
      <c r="V2101" s="14"/>
      <c r="W2101" t="str">
        <f>IF(A2101=$A$1707,base!$I$3,IF(A2101=$A$1709,base!$I$2,IF(Receitas!A2101=Receitas!$A$1701,base!$I$4,"")))</f>
        <v>Gustavo de Castro</v>
      </c>
      <c r="X2101" t="str">
        <f t="shared" si="132"/>
        <v>Anderson Pereira</v>
      </c>
    </row>
    <row r="2102" spans="1:24">
      <c r="A2102" t="s">
        <v>519</v>
      </c>
      <c r="B2102" t="s">
        <v>513</v>
      </c>
      <c r="C2102" t="s">
        <v>3060</v>
      </c>
      <c r="D2102" s="14">
        <v>25</v>
      </c>
      <c r="F2102" s="13">
        <v>45793.833333333336</v>
      </c>
      <c r="G2102" t="s">
        <v>310</v>
      </c>
      <c r="H2102" t="s">
        <v>2611</v>
      </c>
      <c r="I2102" t="str">
        <f>IF(A2102="","Pacote",IF(B2102=IFERROR(VLOOKUP(B2102,base!$L$1:$L$20,1,0),""),"Produtos",IF(B2102=IFERROR(VLOOKUP(B2102,base!$K$2:$K$20,1,0),""),"Serviços",IF(B2102="Gorjeta","Gorjeta","Combos"))))</f>
        <v>Produtos</v>
      </c>
      <c r="J2102">
        <f t="shared" si="123"/>
        <v>10</v>
      </c>
      <c r="K2102" s="1">
        <f t="shared" si="124"/>
        <v>45793.833333333336</v>
      </c>
      <c r="L2102" s="1">
        <f t="shared" si="125"/>
        <v>45793.833333333336</v>
      </c>
      <c r="M2102" s="1">
        <f t="shared" si="126"/>
        <v>45793.833333333336</v>
      </c>
      <c r="N2102" s="1"/>
      <c r="O2102" t="str">
        <f t="shared" si="127"/>
        <v>Cartão de Débito</v>
      </c>
      <c r="P2102" t="s">
        <v>149</v>
      </c>
      <c r="Q2102" t="str">
        <f t="shared" si="128"/>
        <v>Produtos</v>
      </c>
      <c r="R2102" t="str">
        <f t="shared" si="129"/>
        <v>óleo de barba</v>
      </c>
      <c r="T2102" s="14">
        <f t="shared" si="130"/>
        <v>25</v>
      </c>
      <c r="U2102" s="14">
        <f t="shared" si="131"/>
        <v>0</v>
      </c>
      <c r="V2102" s="14"/>
      <c r="W2102" t="str">
        <f>IF(A2102=$A$1707,base!$I$3,IF(A2102=$A$1709,base!$I$2,IF(Receitas!A2102=Receitas!$A$1701,base!$I$4,"")))</f>
        <v>Gustavo de Castro</v>
      </c>
      <c r="X2102" t="str">
        <f t="shared" si="132"/>
        <v>Anderson Pereira</v>
      </c>
    </row>
    <row r="2103" spans="1:24">
      <c r="A2103" t="s">
        <v>252</v>
      </c>
      <c r="B2103" t="s">
        <v>163</v>
      </c>
      <c r="C2103" t="s">
        <v>3062</v>
      </c>
      <c r="D2103" s="14">
        <v>35</v>
      </c>
      <c r="E2103" s="14">
        <v>60</v>
      </c>
      <c r="F2103" s="13">
        <v>45793.836805555555</v>
      </c>
      <c r="G2103" t="s">
        <v>1</v>
      </c>
      <c r="H2103" t="s">
        <v>83</v>
      </c>
      <c r="I2103" t="str">
        <f>IF(A2103="","Pacote",IF(B2103=IFERROR(VLOOKUP(B2103,base!$L$1:$L$20,1,0),""),"Produtos",IF(B2103=IFERROR(VLOOKUP(B2103,base!$K$2:$K$20,1,0),""),"Serviços",IF(B2103="Gorjeta","Gorjeta","Combos"))))</f>
        <v>Serviços</v>
      </c>
      <c r="J2103">
        <f t="shared" si="123"/>
        <v>15.75</v>
      </c>
      <c r="K2103" s="1">
        <f t="shared" si="124"/>
        <v>45793.836805555555</v>
      </c>
      <c r="L2103" s="1">
        <f t="shared" si="125"/>
        <v>45793.836805555555</v>
      </c>
      <c r="M2103" s="1">
        <f t="shared" si="126"/>
        <v>45793.836805555555</v>
      </c>
      <c r="N2103" s="1"/>
      <c r="O2103" t="str">
        <f t="shared" si="127"/>
        <v>PIX</v>
      </c>
      <c r="P2103" t="s">
        <v>149</v>
      </c>
      <c r="Q2103" t="str">
        <f t="shared" si="128"/>
        <v>Serviços</v>
      </c>
      <c r="R2103" t="str">
        <f t="shared" si="129"/>
        <v>Corte</v>
      </c>
      <c r="T2103" s="14">
        <f t="shared" si="130"/>
        <v>35</v>
      </c>
      <c r="U2103" s="14">
        <f t="shared" si="131"/>
        <v>60</v>
      </c>
      <c r="V2103" s="14"/>
      <c r="W2103" t="str">
        <f>IF(A2103=$A$1707,base!$I$3,IF(A2103=$A$1709,base!$I$2,IF(Receitas!A2103=Receitas!$A$1701,base!$I$4,"")))</f>
        <v>Christian Magon</v>
      </c>
      <c r="X2103" t="str">
        <f t="shared" si="132"/>
        <v>Jayme henrique</v>
      </c>
    </row>
    <row r="2104" spans="1:24">
      <c r="A2104" t="s">
        <v>252</v>
      </c>
      <c r="B2104" t="s">
        <v>167</v>
      </c>
      <c r="C2104" t="s">
        <v>3062</v>
      </c>
      <c r="D2104" s="14">
        <v>10</v>
      </c>
      <c r="F2104" s="13">
        <v>45793.836805555555</v>
      </c>
      <c r="G2104" t="s">
        <v>1</v>
      </c>
      <c r="H2104" t="s">
        <v>83</v>
      </c>
      <c r="I2104" t="str">
        <f>IF(A2104="","Pacote",IF(B2104=IFERROR(VLOOKUP(B2104,base!$L$1:$L$20,1,0),""),"Produtos",IF(B2104=IFERROR(VLOOKUP(B2104,base!$K$2:$K$20,1,0),""),"Serviços",IF(B2104="Gorjeta","Gorjeta","Combos"))))</f>
        <v>Serviços</v>
      </c>
      <c r="J2104">
        <f t="shared" si="123"/>
        <v>4.5</v>
      </c>
      <c r="K2104" s="1">
        <f t="shared" si="124"/>
        <v>45793.836805555555</v>
      </c>
      <c r="L2104" s="1">
        <f t="shared" si="125"/>
        <v>45793.836805555555</v>
      </c>
      <c r="M2104" s="1">
        <f t="shared" si="126"/>
        <v>45793.836805555555</v>
      </c>
      <c r="N2104" s="1"/>
      <c r="O2104" t="str">
        <f t="shared" si="127"/>
        <v>PIX</v>
      </c>
      <c r="P2104" t="s">
        <v>149</v>
      </c>
      <c r="Q2104" t="str">
        <f t="shared" si="128"/>
        <v>Serviços</v>
      </c>
      <c r="R2104" t="str">
        <f t="shared" si="129"/>
        <v>Sobrancelha</v>
      </c>
      <c r="T2104" s="14">
        <f t="shared" si="130"/>
        <v>10</v>
      </c>
      <c r="U2104" s="14">
        <f t="shared" si="131"/>
        <v>0</v>
      </c>
      <c r="V2104" s="14"/>
      <c r="W2104" t="str">
        <f>IF(A2104=$A$1707,base!$I$3,IF(A2104=$A$1709,base!$I$2,IF(Receitas!A2104=Receitas!$A$1701,base!$I$4,"")))</f>
        <v>Christian Magon</v>
      </c>
      <c r="X2104" t="str">
        <f t="shared" si="132"/>
        <v>Jayme henrique</v>
      </c>
    </row>
    <row r="2105" spans="1:24">
      <c r="A2105" t="s">
        <v>252</v>
      </c>
      <c r="B2105" t="s">
        <v>1187</v>
      </c>
      <c r="C2105" t="s">
        <v>3062</v>
      </c>
      <c r="D2105" s="14">
        <v>15</v>
      </c>
      <c r="F2105" s="13">
        <v>45793.836805555555</v>
      </c>
      <c r="G2105" t="s">
        <v>1</v>
      </c>
      <c r="H2105" t="s">
        <v>83</v>
      </c>
      <c r="I2105" t="str">
        <f>IF(A2105="","Pacote",IF(B2105=IFERROR(VLOOKUP(B2105,base!$L$1:$L$20,1,0),""),"Produtos",IF(B2105=IFERROR(VLOOKUP(B2105,base!$K$2:$K$20,1,0),""),"Serviços",IF(B2105="Gorjeta","Gorjeta","Combos"))))</f>
        <v>Serviços</v>
      </c>
      <c r="J2105">
        <f t="shared" si="123"/>
        <v>6.75</v>
      </c>
      <c r="K2105" s="1">
        <f t="shared" si="124"/>
        <v>45793.836805555555</v>
      </c>
      <c r="L2105" s="1">
        <f t="shared" si="125"/>
        <v>45793.836805555555</v>
      </c>
      <c r="M2105" s="1">
        <f t="shared" si="126"/>
        <v>45793.836805555555</v>
      </c>
      <c r="N2105" s="1"/>
      <c r="O2105" t="str">
        <f t="shared" si="127"/>
        <v>PIX</v>
      </c>
      <c r="P2105" t="s">
        <v>149</v>
      </c>
      <c r="Q2105" t="str">
        <f t="shared" si="128"/>
        <v>Serviços</v>
      </c>
      <c r="R2105" t="str">
        <f t="shared" si="129"/>
        <v>depilação nariz</v>
      </c>
      <c r="T2105" s="14">
        <f t="shared" si="130"/>
        <v>15</v>
      </c>
      <c r="U2105" s="14">
        <f t="shared" si="131"/>
        <v>0</v>
      </c>
      <c r="V2105" s="14"/>
      <c r="W2105" t="str">
        <f>IF(A2105=$A$1707,base!$I$3,IF(A2105=$A$1709,base!$I$2,IF(Receitas!A2105=Receitas!$A$1701,base!$I$4,"")))</f>
        <v>Christian Magon</v>
      </c>
      <c r="X2105" t="str">
        <f t="shared" si="132"/>
        <v>Jayme henrique</v>
      </c>
    </row>
    <row r="2106" spans="1:24">
      <c r="A2106" t="s">
        <v>519</v>
      </c>
      <c r="B2106" t="s">
        <v>163</v>
      </c>
      <c r="C2106" t="s">
        <v>3063</v>
      </c>
      <c r="D2106" s="14">
        <v>35</v>
      </c>
      <c r="E2106" s="14">
        <v>45</v>
      </c>
      <c r="F2106" s="13">
        <v>45794.583333333336</v>
      </c>
      <c r="G2106" t="s">
        <v>354</v>
      </c>
      <c r="H2106" t="s">
        <v>466</v>
      </c>
      <c r="I2106" t="str">
        <f>IF(A2106="","Pacote",IF(B2106=IFERROR(VLOOKUP(B2106,base!$L$1:$L$20,1,0),""),"Produtos",IF(B2106=IFERROR(VLOOKUP(B2106,base!$K$2:$K$20,1,0),""),"Serviços",IF(B2106="Gorjeta","Gorjeta","Combos"))))</f>
        <v>Serviços</v>
      </c>
      <c r="J2106">
        <f t="shared" si="123"/>
        <v>15.75</v>
      </c>
      <c r="K2106" s="1">
        <f t="shared" si="124"/>
        <v>45794.583333333336</v>
      </c>
      <c r="L2106" s="1">
        <f t="shared" si="125"/>
        <v>45794.583333333336</v>
      </c>
      <c r="M2106" s="1">
        <f t="shared" si="126"/>
        <v>45794.583333333336</v>
      </c>
      <c r="N2106" s="1"/>
      <c r="O2106" t="str">
        <f t="shared" si="127"/>
        <v>Cartão de Crédito</v>
      </c>
      <c r="P2106" t="s">
        <v>149</v>
      </c>
      <c r="Q2106" t="str">
        <f t="shared" si="128"/>
        <v>Serviços</v>
      </c>
      <c r="R2106" t="str">
        <f t="shared" si="129"/>
        <v>Corte</v>
      </c>
      <c r="T2106" s="14">
        <f t="shared" si="130"/>
        <v>35</v>
      </c>
      <c r="U2106" s="14">
        <f t="shared" si="131"/>
        <v>45</v>
      </c>
      <c r="V2106" s="14"/>
      <c r="W2106" t="str">
        <f>IF(A2106=$A$1707,base!$I$3,IF(A2106=$A$1709,base!$I$2,IF(Receitas!A2106=Receitas!$A$1701,base!$I$4,"")))</f>
        <v>Gustavo de Castro</v>
      </c>
      <c r="X2106" t="str">
        <f t="shared" si="132"/>
        <v>GABRIEL DA COSTA COPPI</v>
      </c>
    </row>
    <row r="2107" spans="1:24">
      <c r="A2107" t="s">
        <v>519</v>
      </c>
      <c r="B2107" t="s">
        <v>167</v>
      </c>
      <c r="C2107" t="s">
        <v>3063</v>
      </c>
      <c r="D2107" s="14">
        <v>10</v>
      </c>
      <c r="F2107" s="13">
        <v>45794.583333333336</v>
      </c>
      <c r="G2107" t="s">
        <v>354</v>
      </c>
      <c r="H2107" t="s">
        <v>466</v>
      </c>
      <c r="I2107" t="str">
        <f>IF(A2107="","Pacote",IF(B2107=IFERROR(VLOOKUP(B2107,base!$L$1:$L$20,1,0),""),"Produtos",IF(B2107=IFERROR(VLOOKUP(B2107,base!$K$2:$K$20,1,0),""),"Serviços",IF(B2107="Gorjeta","Gorjeta","Combos"))))</f>
        <v>Serviços</v>
      </c>
      <c r="J2107">
        <f t="shared" si="123"/>
        <v>4.5</v>
      </c>
      <c r="K2107" s="1">
        <f t="shared" si="124"/>
        <v>45794.583333333336</v>
      </c>
      <c r="L2107" s="1">
        <f t="shared" si="125"/>
        <v>45794.583333333336</v>
      </c>
      <c r="M2107" s="1">
        <f t="shared" si="126"/>
        <v>45794.583333333336</v>
      </c>
      <c r="N2107" s="1"/>
      <c r="O2107" t="str">
        <f t="shared" si="127"/>
        <v>Cartão de Crédito</v>
      </c>
      <c r="P2107" t="s">
        <v>149</v>
      </c>
      <c r="Q2107" t="str">
        <f t="shared" si="128"/>
        <v>Serviços</v>
      </c>
      <c r="R2107" t="str">
        <f t="shared" si="129"/>
        <v>Sobrancelha</v>
      </c>
      <c r="T2107" s="14">
        <f t="shared" si="130"/>
        <v>10</v>
      </c>
      <c r="U2107" s="14">
        <f t="shared" si="131"/>
        <v>0</v>
      </c>
      <c r="V2107" s="14"/>
      <c r="W2107" t="str">
        <f>IF(A2107=$A$1707,base!$I$3,IF(A2107=$A$1709,base!$I$2,IF(Receitas!A2107=Receitas!$A$1701,base!$I$4,"")))</f>
        <v>Gustavo de Castro</v>
      </c>
      <c r="X2107" t="str">
        <f t="shared" si="132"/>
        <v>GABRIEL DA COSTA COPPI</v>
      </c>
    </row>
    <row r="2108" spans="1:24">
      <c r="A2108" t="s">
        <v>519</v>
      </c>
      <c r="B2108" t="s">
        <v>163</v>
      </c>
      <c r="C2108" t="s">
        <v>3064</v>
      </c>
      <c r="D2108" s="14">
        <v>35</v>
      </c>
      <c r="E2108" s="14">
        <v>55</v>
      </c>
      <c r="F2108" s="13">
        <v>45794.791666666664</v>
      </c>
      <c r="G2108" t="s">
        <v>1</v>
      </c>
      <c r="H2108" t="s">
        <v>379</v>
      </c>
      <c r="I2108" t="str">
        <f>IF(A2108="","Pacote",IF(B2108=IFERROR(VLOOKUP(B2108,base!$L$1:$L$20,1,0),""),"Produtos",IF(B2108=IFERROR(VLOOKUP(B2108,base!$K$2:$K$20,1,0),""),"Serviços",IF(B2108="Gorjeta","Gorjeta","Combos"))))</f>
        <v>Serviços</v>
      </c>
      <c r="J2108">
        <f t="shared" si="123"/>
        <v>15.75</v>
      </c>
      <c r="K2108" s="1">
        <f t="shared" si="124"/>
        <v>45794.791666666664</v>
      </c>
      <c r="L2108" s="1">
        <f t="shared" si="125"/>
        <v>45794.791666666664</v>
      </c>
      <c r="M2108" s="1">
        <f t="shared" si="126"/>
        <v>45794.791666666664</v>
      </c>
      <c r="N2108" s="1"/>
      <c r="O2108" t="str">
        <f t="shared" si="127"/>
        <v>PIX</v>
      </c>
      <c r="P2108" t="s">
        <v>149</v>
      </c>
      <c r="Q2108" t="str">
        <f t="shared" si="128"/>
        <v>Serviços</v>
      </c>
      <c r="R2108" t="str">
        <f t="shared" si="129"/>
        <v>Corte</v>
      </c>
      <c r="T2108" s="14">
        <f t="shared" si="130"/>
        <v>35</v>
      </c>
      <c r="U2108" s="14">
        <f t="shared" si="131"/>
        <v>55</v>
      </c>
      <c r="V2108" s="14"/>
      <c r="W2108" t="str">
        <f>IF(A2108=$A$1707,base!$I$3,IF(A2108=$A$1709,base!$I$2,IF(Receitas!A2108=Receitas!$A$1701,base!$I$4,"")))</f>
        <v>Gustavo de Castro</v>
      </c>
      <c r="X2108" t="str">
        <f t="shared" si="132"/>
        <v>DAVIDSON FELIPE ACYOLI DOS SANTOS</v>
      </c>
    </row>
    <row r="2109" spans="1:24">
      <c r="A2109" t="s">
        <v>519</v>
      </c>
      <c r="B2109" t="s">
        <v>166</v>
      </c>
      <c r="C2109" t="s">
        <v>3064</v>
      </c>
      <c r="D2109" s="14">
        <v>20</v>
      </c>
      <c r="F2109" s="13">
        <v>45794.791666666664</v>
      </c>
      <c r="G2109" t="s">
        <v>1</v>
      </c>
      <c r="H2109" t="s">
        <v>379</v>
      </c>
      <c r="I2109" t="str">
        <f>IF(A2109="","Pacote",IF(B2109=IFERROR(VLOOKUP(B2109,base!$L$1:$L$20,1,0),""),"Produtos",IF(B2109=IFERROR(VLOOKUP(B2109,base!$K$2:$K$20,1,0),""),"Serviços",IF(B2109="Gorjeta","Gorjeta","Combos"))))</f>
        <v>Serviços</v>
      </c>
      <c r="J2109">
        <f t="shared" si="123"/>
        <v>9</v>
      </c>
      <c r="K2109" s="1">
        <f t="shared" si="124"/>
        <v>45794.791666666664</v>
      </c>
      <c r="L2109" s="1">
        <f t="shared" si="125"/>
        <v>45794.791666666664</v>
      </c>
      <c r="M2109" s="1">
        <f t="shared" si="126"/>
        <v>45794.791666666664</v>
      </c>
      <c r="N2109" s="1"/>
      <c r="O2109" t="str">
        <f t="shared" si="127"/>
        <v>PIX</v>
      </c>
      <c r="P2109" t="s">
        <v>149</v>
      </c>
      <c r="Q2109" t="str">
        <f t="shared" si="128"/>
        <v>Serviços</v>
      </c>
      <c r="R2109" t="str">
        <f t="shared" si="129"/>
        <v>Pigmentação</v>
      </c>
      <c r="T2109" s="14">
        <f t="shared" si="130"/>
        <v>20</v>
      </c>
      <c r="U2109" s="14">
        <f t="shared" si="131"/>
        <v>0</v>
      </c>
      <c r="V2109" s="14"/>
      <c r="W2109" t="str">
        <f>IF(A2109=$A$1707,base!$I$3,IF(A2109=$A$1709,base!$I$2,IF(Receitas!A2109=Receitas!$A$1701,base!$I$4,"")))</f>
        <v>Gustavo de Castro</v>
      </c>
      <c r="X2109" t="str">
        <f t="shared" si="132"/>
        <v>DAVIDSON FELIPE ACYOLI DOS SANTOS</v>
      </c>
    </row>
    <row r="2110" spans="1:24">
      <c r="A2110" t="s">
        <v>536</v>
      </c>
      <c r="B2110" t="s">
        <v>163</v>
      </c>
      <c r="C2110" t="s">
        <v>3065</v>
      </c>
      <c r="D2110" s="14">
        <v>30</v>
      </c>
      <c r="E2110" s="14">
        <v>0</v>
      </c>
      <c r="F2110" s="13">
        <v>45793.982638888891</v>
      </c>
      <c r="G2110" t="s">
        <v>1</v>
      </c>
      <c r="H2110" t="s">
        <v>1348</v>
      </c>
      <c r="I2110" t="str">
        <f>IF(A2110="","Pacote",IF(B2110=IFERROR(VLOOKUP(B2110,base!$L$1:$L$20,1,0),""),"Produtos",IF(B2110=IFERROR(VLOOKUP(B2110,base!$K$2:$K$20,1,0),""),"Serviços",IF(B2110="Gorjeta","Gorjeta","Combos"))))</f>
        <v>Serviços</v>
      </c>
      <c r="J2110">
        <f t="shared" si="123"/>
        <v>13.5</v>
      </c>
      <c r="K2110" s="1">
        <f t="shared" si="124"/>
        <v>45793.982638888891</v>
      </c>
      <c r="L2110" s="1">
        <f t="shared" si="125"/>
        <v>45793.982638888891</v>
      </c>
      <c r="M2110" s="1">
        <f t="shared" si="126"/>
        <v>45793.982638888891</v>
      </c>
      <c r="N2110" s="1"/>
      <c r="O2110" t="str">
        <f t="shared" si="127"/>
        <v>PIX</v>
      </c>
      <c r="P2110" t="s">
        <v>149</v>
      </c>
      <c r="Q2110" t="str">
        <f t="shared" si="128"/>
        <v>Serviços</v>
      </c>
      <c r="R2110" t="str">
        <f t="shared" si="129"/>
        <v>Corte</v>
      </c>
      <c r="T2110" s="14">
        <f t="shared" si="130"/>
        <v>30</v>
      </c>
      <c r="U2110" s="14">
        <f t="shared" si="131"/>
        <v>0</v>
      </c>
      <c r="V2110" s="14"/>
      <c r="W2110" t="str">
        <f>IF(A2110=$A$1707,base!$I$3,IF(A2110=$A$1709,base!$I$2,IF(Receitas!A2110=Receitas!$A$1701,base!$I$4,"")))</f>
        <v>PATRICK CARDOSO</v>
      </c>
      <c r="X2110" t="str">
        <f t="shared" si="132"/>
        <v>Jeremias Bastos</v>
      </c>
    </row>
    <row r="2111" spans="1:24">
      <c r="A2111" t="s">
        <v>519</v>
      </c>
      <c r="B2111" t="s">
        <v>163</v>
      </c>
      <c r="C2111" t="s">
        <v>3066</v>
      </c>
      <c r="D2111" s="14">
        <v>35</v>
      </c>
      <c r="E2111" s="14">
        <v>45</v>
      </c>
      <c r="F2111" s="13">
        <v>45794.604166666664</v>
      </c>
      <c r="G2111" t="s">
        <v>1</v>
      </c>
      <c r="H2111" t="s">
        <v>1220</v>
      </c>
      <c r="I2111" t="str">
        <f>IF(A2111="","Pacote",IF(B2111=IFERROR(VLOOKUP(B2111,base!$L$1:$L$20,1,0),""),"Produtos",IF(B2111=IFERROR(VLOOKUP(B2111,base!$K$2:$K$20,1,0),""),"Serviços",IF(B2111="Gorjeta","Gorjeta","Combos"))))</f>
        <v>Serviços</v>
      </c>
      <c r="J2111">
        <f t="shared" si="123"/>
        <v>15.75</v>
      </c>
      <c r="K2111" s="1">
        <f t="shared" si="124"/>
        <v>45794.604166666664</v>
      </c>
      <c r="L2111" s="1">
        <f t="shared" si="125"/>
        <v>45794.604166666664</v>
      </c>
      <c r="M2111" s="1">
        <f t="shared" si="126"/>
        <v>45794.604166666664</v>
      </c>
      <c r="N2111" s="1"/>
      <c r="O2111" t="str">
        <f t="shared" si="127"/>
        <v>PIX</v>
      </c>
      <c r="P2111" t="s">
        <v>149</v>
      </c>
      <c r="Q2111" t="str">
        <f t="shared" si="128"/>
        <v>Serviços</v>
      </c>
      <c r="R2111" t="str">
        <f t="shared" si="129"/>
        <v>Corte</v>
      </c>
      <c r="T2111" s="14">
        <f t="shared" si="130"/>
        <v>35</v>
      </c>
      <c r="U2111" s="14">
        <f t="shared" si="131"/>
        <v>45</v>
      </c>
      <c r="V2111" s="14"/>
      <c r="W2111" t="str">
        <f>IF(A2111=$A$1707,base!$I$3,IF(A2111=$A$1709,base!$I$2,IF(Receitas!A2111=Receitas!$A$1701,base!$I$4,"")))</f>
        <v>Gustavo de Castro</v>
      </c>
      <c r="X2111" t="str">
        <f t="shared" si="132"/>
        <v>André Felipe Rodrigues</v>
      </c>
    </row>
    <row r="2112" spans="1:24">
      <c r="A2112" t="s">
        <v>519</v>
      </c>
      <c r="B2112" t="s">
        <v>167</v>
      </c>
      <c r="C2112" t="s">
        <v>3066</v>
      </c>
      <c r="D2112" s="14">
        <v>10</v>
      </c>
      <c r="F2112" s="13">
        <v>45794.604166666664</v>
      </c>
      <c r="G2112" t="s">
        <v>1</v>
      </c>
      <c r="H2112" t="s">
        <v>1220</v>
      </c>
      <c r="I2112" t="str">
        <f>IF(A2112="","Pacote",IF(B2112=IFERROR(VLOOKUP(B2112,base!$L$1:$L$20,1,0),""),"Produtos",IF(B2112=IFERROR(VLOOKUP(B2112,base!$K$2:$K$20,1,0),""),"Serviços",IF(B2112="Gorjeta","Gorjeta","Combos"))))</f>
        <v>Serviços</v>
      </c>
      <c r="J2112">
        <f t="shared" si="123"/>
        <v>4.5</v>
      </c>
      <c r="K2112" s="1">
        <f t="shared" si="124"/>
        <v>45794.604166666664</v>
      </c>
      <c r="L2112" s="1">
        <f t="shared" si="125"/>
        <v>45794.604166666664</v>
      </c>
      <c r="M2112" s="1">
        <f t="shared" si="126"/>
        <v>45794.604166666664</v>
      </c>
      <c r="N2112" s="1"/>
      <c r="O2112" t="str">
        <f t="shared" si="127"/>
        <v>PIX</v>
      </c>
      <c r="P2112" t="s">
        <v>149</v>
      </c>
      <c r="Q2112" t="str">
        <f t="shared" si="128"/>
        <v>Serviços</v>
      </c>
      <c r="R2112" t="str">
        <f t="shared" si="129"/>
        <v>Sobrancelha</v>
      </c>
      <c r="T2112" s="14">
        <f t="shared" si="130"/>
        <v>10</v>
      </c>
      <c r="U2112" s="14">
        <f t="shared" si="131"/>
        <v>0</v>
      </c>
      <c r="V2112" s="14"/>
      <c r="W2112" t="str">
        <f>IF(A2112=$A$1707,base!$I$3,IF(A2112=$A$1709,base!$I$2,IF(Receitas!A2112=Receitas!$A$1701,base!$I$4,"")))</f>
        <v>Gustavo de Castro</v>
      </c>
      <c r="X2112" t="str">
        <f t="shared" si="132"/>
        <v>André Felipe Rodrigues</v>
      </c>
    </row>
    <row r="2113" spans="1:24">
      <c r="A2113" t="s">
        <v>519</v>
      </c>
      <c r="B2113" t="s">
        <v>1046</v>
      </c>
      <c r="C2113" t="s">
        <v>3067</v>
      </c>
      <c r="D2113" s="14">
        <v>20</v>
      </c>
      <c r="E2113" s="14">
        <v>35</v>
      </c>
      <c r="F2113" s="13">
        <v>45794.378472222219</v>
      </c>
      <c r="G2113" t="s">
        <v>1</v>
      </c>
      <c r="H2113" t="s">
        <v>506</v>
      </c>
      <c r="I2113" t="str">
        <f>IF(A2113="","Pacote",IF(B2113=IFERROR(VLOOKUP(B2113,base!$L$1:$L$20,1,0),""),"Produtos",IF(B2113=IFERROR(VLOOKUP(B2113,base!$K$2:$K$20,1,0),""),"Serviços",IF(B2113="Gorjeta","Gorjeta","Combos"))))</f>
        <v>Serviços</v>
      </c>
      <c r="J2113">
        <f t="shared" si="123"/>
        <v>9</v>
      </c>
      <c r="K2113" s="1">
        <f t="shared" si="124"/>
        <v>45794.378472222219</v>
      </c>
      <c r="L2113" s="1">
        <f t="shared" si="125"/>
        <v>45794.378472222219</v>
      </c>
      <c r="M2113" s="1">
        <f t="shared" si="126"/>
        <v>45794.378472222219</v>
      </c>
      <c r="N2113" s="1"/>
      <c r="O2113" t="str">
        <f t="shared" si="127"/>
        <v>PIX</v>
      </c>
      <c r="P2113" t="s">
        <v>149</v>
      </c>
      <c r="Q2113" t="str">
        <f t="shared" si="128"/>
        <v>Serviços</v>
      </c>
      <c r="R2113" t="str">
        <f t="shared" si="129"/>
        <v>Barba</v>
      </c>
      <c r="T2113" s="14">
        <f t="shared" si="130"/>
        <v>20</v>
      </c>
      <c r="U2113" s="14">
        <f t="shared" si="131"/>
        <v>35</v>
      </c>
      <c r="V2113" s="14"/>
      <c r="W2113" t="str">
        <f>IF(A2113=$A$1707,base!$I$3,IF(A2113=$A$1709,base!$I$2,IF(Receitas!A2113=Receitas!$A$1701,base!$I$4,"")))</f>
        <v>Gustavo de Castro</v>
      </c>
      <c r="X2113" t="str">
        <f t="shared" si="132"/>
        <v>leonardo martins</v>
      </c>
    </row>
    <row r="2114" spans="1:24">
      <c r="A2114" t="s">
        <v>519</v>
      </c>
      <c r="B2114" t="s">
        <v>1187</v>
      </c>
      <c r="C2114" t="s">
        <v>3067</v>
      </c>
      <c r="D2114" s="14">
        <v>15</v>
      </c>
      <c r="F2114" s="13">
        <v>45794.378472222219</v>
      </c>
      <c r="G2114" t="s">
        <v>1</v>
      </c>
      <c r="H2114" t="s">
        <v>506</v>
      </c>
      <c r="I2114" t="str">
        <f>IF(A2114="","Pacote",IF(B2114=IFERROR(VLOOKUP(B2114,base!$L$1:$L$20,1,0),""),"Produtos",IF(B2114=IFERROR(VLOOKUP(B2114,base!$K$2:$K$20,1,0),""),"Serviços",IF(B2114="Gorjeta","Gorjeta","Combos"))))</f>
        <v>Serviços</v>
      </c>
      <c r="J2114">
        <f t="shared" si="123"/>
        <v>6.75</v>
      </c>
      <c r="K2114" s="1">
        <f t="shared" si="124"/>
        <v>45794.378472222219</v>
      </c>
      <c r="L2114" s="1">
        <f t="shared" si="125"/>
        <v>45794.378472222219</v>
      </c>
      <c r="M2114" s="1">
        <f t="shared" si="126"/>
        <v>45794.378472222219</v>
      </c>
      <c r="N2114" s="1"/>
      <c r="O2114" t="str">
        <f t="shared" si="127"/>
        <v>PIX</v>
      </c>
      <c r="P2114" t="s">
        <v>149</v>
      </c>
      <c r="Q2114" t="str">
        <f t="shared" si="128"/>
        <v>Serviços</v>
      </c>
      <c r="R2114" t="str">
        <f t="shared" si="129"/>
        <v>depilação nariz</v>
      </c>
      <c r="T2114" s="14">
        <f t="shared" si="130"/>
        <v>15</v>
      </c>
      <c r="U2114" s="14">
        <f t="shared" si="131"/>
        <v>0</v>
      </c>
      <c r="V2114" s="14"/>
      <c r="W2114" t="str">
        <f>IF(A2114=$A$1707,base!$I$3,IF(A2114=$A$1709,base!$I$2,IF(Receitas!A2114=Receitas!$A$1701,base!$I$4,"")))</f>
        <v>Gustavo de Castro</v>
      </c>
      <c r="X2114" t="str">
        <f t="shared" si="132"/>
        <v>leonardo martins</v>
      </c>
    </row>
    <row r="2115" spans="1:24">
      <c r="A2115" t="s">
        <v>252</v>
      </c>
      <c r="B2115" t="s">
        <v>163</v>
      </c>
      <c r="C2115" t="s">
        <v>3068</v>
      </c>
      <c r="D2115" s="14">
        <v>35</v>
      </c>
      <c r="E2115" s="14">
        <v>35</v>
      </c>
      <c r="F2115" s="13">
        <v>45794.729166666664</v>
      </c>
      <c r="G2115" t="s">
        <v>2</v>
      </c>
      <c r="H2115" t="s">
        <v>303</v>
      </c>
      <c r="I2115" t="str">
        <f>IF(A2115="","Pacote",IF(B2115=IFERROR(VLOOKUP(B2115,base!$L$1:$L$20,1,0),""),"Produtos",IF(B2115=IFERROR(VLOOKUP(B2115,base!$K$2:$K$20,1,0),""),"Serviços",IF(B2115="Gorjeta","Gorjeta","Combos"))))</f>
        <v>Serviços</v>
      </c>
      <c r="J2115">
        <f t="shared" si="123"/>
        <v>15.75</v>
      </c>
      <c r="K2115" s="1">
        <f t="shared" si="124"/>
        <v>45794.729166666664</v>
      </c>
      <c r="L2115" s="1">
        <f t="shared" si="125"/>
        <v>45794.729166666664</v>
      </c>
      <c r="M2115" s="1">
        <f t="shared" si="126"/>
        <v>45794.729166666664</v>
      </c>
      <c r="N2115" s="1"/>
      <c r="O2115" t="str">
        <f t="shared" si="127"/>
        <v>Dinheiro</v>
      </c>
      <c r="P2115" t="s">
        <v>149</v>
      </c>
      <c r="Q2115" t="str">
        <f t="shared" si="128"/>
        <v>Serviços</v>
      </c>
      <c r="R2115" t="str">
        <f t="shared" si="129"/>
        <v>Corte</v>
      </c>
      <c r="T2115" s="14">
        <f t="shared" si="130"/>
        <v>35</v>
      </c>
      <c r="U2115" s="14">
        <f t="shared" si="131"/>
        <v>35</v>
      </c>
      <c r="V2115" s="14"/>
      <c r="W2115" t="str">
        <f>IF(A2115=$A$1707,base!$I$3,IF(A2115=$A$1709,base!$I$2,IF(Receitas!A2115=Receitas!$A$1701,base!$I$4,"")))</f>
        <v>Christian Magon</v>
      </c>
      <c r="X2115" t="str">
        <f t="shared" si="132"/>
        <v>suiane alves silva</v>
      </c>
    </row>
    <row r="2116" spans="1:24">
      <c r="A2116" t="s">
        <v>252</v>
      </c>
      <c r="B2116" t="s">
        <v>163</v>
      </c>
      <c r="C2116" t="s">
        <v>3069</v>
      </c>
      <c r="D2116" s="14">
        <v>35</v>
      </c>
      <c r="E2116" s="14">
        <v>35</v>
      </c>
      <c r="F2116" s="13">
        <v>45794.395833333336</v>
      </c>
      <c r="G2116" t="s">
        <v>1</v>
      </c>
      <c r="H2116" t="s">
        <v>3070</v>
      </c>
      <c r="I2116" t="str">
        <f>IF(A2116="","Pacote",IF(B2116=IFERROR(VLOOKUP(B2116,base!$L$1:$L$20,1,0),""),"Produtos",IF(B2116=IFERROR(VLOOKUP(B2116,base!$K$2:$K$20,1,0),""),"Serviços",IF(B2116="Gorjeta","Gorjeta","Combos"))))</f>
        <v>Serviços</v>
      </c>
      <c r="J2116">
        <f t="shared" si="123"/>
        <v>15.75</v>
      </c>
      <c r="K2116" s="1">
        <f t="shared" si="124"/>
        <v>45794.395833333336</v>
      </c>
      <c r="L2116" s="1">
        <f t="shared" si="125"/>
        <v>45794.395833333336</v>
      </c>
      <c r="M2116" s="1">
        <f t="shared" si="126"/>
        <v>45794.395833333336</v>
      </c>
      <c r="N2116" s="1"/>
      <c r="O2116" t="str">
        <f t="shared" si="127"/>
        <v>PIX</v>
      </c>
      <c r="P2116" t="s">
        <v>149</v>
      </c>
      <c r="Q2116" t="str">
        <f t="shared" si="128"/>
        <v>Serviços</v>
      </c>
      <c r="R2116" t="str">
        <f t="shared" si="129"/>
        <v>Corte</v>
      </c>
      <c r="T2116" s="14">
        <f t="shared" si="130"/>
        <v>35</v>
      </c>
      <c r="U2116" s="14">
        <f t="shared" si="131"/>
        <v>35</v>
      </c>
      <c r="V2116" s="14"/>
      <c r="W2116" t="str">
        <f>IF(A2116=$A$1707,base!$I$3,IF(A2116=$A$1709,base!$I$2,IF(Receitas!A2116=Receitas!$A$1701,base!$I$4,"")))</f>
        <v>Christian Magon</v>
      </c>
      <c r="X2116" t="str">
        <f t="shared" si="132"/>
        <v>douglas santos matos</v>
      </c>
    </row>
    <row r="2117" spans="1:24">
      <c r="A2117" t="s">
        <v>252</v>
      </c>
      <c r="B2117" t="s">
        <v>163</v>
      </c>
      <c r="C2117" t="s">
        <v>3071</v>
      </c>
      <c r="D2117" s="14">
        <v>35</v>
      </c>
      <c r="E2117" s="14">
        <v>35</v>
      </c>
      <c r="F2117" s="13">
        <v>45794.479166666664</v>
      </c>
      <c r="G2117" t="s">
        <v>1</v>
      </c>
      <c r="H2117" t="s">
        <v>864</v>
      </c>
      <c r="I2117" t="str">
        <f>IF(A2117="","Pacote",IF(B2117=IFERROR(VLOOKUP(B2117,base!$L$1:$L$20,1,0),""),"Produtos",IF(B2117=IFERROR(VLOOKUP(B2117,base!$K$2:$K$20,1,0),""),"Serviços",IF(B2117="Gorjeta","Gorjeta","Combos"))))</f>
        <v>Serviços</v>
      </c>
      <c r="J2117">
        <f t="shared" si="123"/>
        <v>15.75</v>
      </c>
      <c r="K2117" s="1">
        <f t="shared" si="124"/>
        <v>45794.479166666664</v>
      </c>
      <c r="L2117" s="1">
        <f t="shared" si="125"/>
        <v>45794.479166666664</v>
      </c>
      <c r="M2117" s="1">
        <f t="shared" si="126"/>
        <v>45794.479166666664</v>
      </c>
      <c r="N2117" s="1"/>
      <c r="O2117" t="str">
        <f t="shared" si="127"/>
        <v>PIX</v>
      </c>
      <c r="P2117" t="s">
        <v>149</v>
      </c>
      <c r="Q2117" t="str">
        <f t="shared" si="128"/>
        <v>Serviços</v>
      </c>
      <c r="R2117" t="str">
        <f t="shared" si="129"/>
        <v>Corte</v>
      </c>
      <c r="T2117" s="14">
        <f t="shared" si="130"/>
        <v>35</v>
      </c>
      <c r="U2117" s="14">
        <f t="shared" si="131"/>
        <v>35</v>
      </c>
      <c r="V2117" s="14"/>
      <c r="W2117" t="str">
        <f>IF(A2117=$A$1707,base!$I$3,IF(A2117=$A$1709,base!$I$2,IF(Receitas!A2117=Receitas!$A$1701,base!$I$4,"")))</f>
        <v>Christian Magon</v>
      </c>
      <c r="X2117" t="str">
        <f t="shared" si="132"/>
        <v>alfierre dos santos</v>
      </c>
    </row>
    <row r="2118" spans="1:24">
      <c r="A2118" t="s">
        <v>252</v>
      </c>
      <c r="B2118" t="s">
        <v>163</v>
      </c>
      <c r="C2118" t="s">
        <v>3072</v>
      </c>
      <c r="D2118" s="14">
        <v>35</v>
      </c>
      <c r="E2118" s="14">
        <v>35</v>
      </c>
      <c r="F2118" s="13">
        <v>45794.625</v>
      </c>
      <c r="G2118" t="s">
        <v>354</v>
      </c>
      <c r="H2118" t="s">
        <v>296</v>
      </c>
      <c r="I2118" t="str">
        <f>IF(A2118="","Pacote",IF(B2118=IFERROR(VLOOKUP(B2118,base!$L$1:$L$20,1,0),""),"Produtos",IF(B2118=IFERROR(VLOOKUP(B2118,base!$K$2:$K$20,1,0),""),"Serviços",IF(B2118="Gorjeta","Gorjeta","Combos"))))</f>
        <v>Serviços</v>
      </c>
      <c r="J2118">
        <f t="shared" si="123"/>
        <v>15.75</v>
      </c>
      <c r="K2118" s="1">
        <f t="shared" si="124"/>
        <v>45794.625</v>
      </c>
      <c r="L2118" s="1">
        <f t="shared" si="125"/>
        <v>45794.625</v>
      </c>
      <c r="M2118" s="1">
        <f t="shared" si="126"/>
        <v>45794.625</v>
      </c>
      <c r="N2118" s="1"/>
      <c r="O2118" t="str">
        <f t="shared" si="127"/>
        <v>Cartão de Crédito</v>
      </c>
      <c r="P2118" t="s">
        <v>149</v>
      </c>
      <c r="Q2118" t="str">
        <f t="shared" si="128"/>
        <v>Serviços</v>
      </c>
      <c r="R2118" t="str">
        <f t="shared" si="129"/>
        <v>Corte</v>
      </c>
      <c r="T2118" s="14">
        <f t="shared" si="130"/>
        <v>35</v>
      </c>
      <c r="U2118" s="14">
        <f t="shared" si="131"/>
        <v>35</v>
      </c>
      <c r="V2118" s="14"/>
      <c r="W2118" t="str">
        <f>IF(A2118=$A$1707,base!$I$3,IF(A2118=$A$1709,base!$I$2,IF(Receitas!A2118=Receitas!$A$1701,base!$I$4,"")))</f>
        <v>Christian Magon</v>
      </c>
      <c r="X2118" t="str">
        <f t="shared" si="132"/>
        <v>Joao vitor</v>
      </c>
    </row>
    <row r="2119" spans="1:24">
      <c r="A2119" t="s">
        <v>519</v>
      </c>
      <c r="B2119" t="s">
        <v>160</v>
      </c>
      <c r="C2119" t="s">
        <v>3073</v>
      </c>
      <c r="D2119" s="14">
        <v>12</v>
      </c>
      <c r="E2119" s="14">
        <v>12</v>
      </c>
      <c r="F2119" s="13">
        <v>45794.4375</v>
      </c>
      <c r="G2119" t="s">
        <v>1</v>
      </c>
      <c r="H2119" t="s">
        <v>2060</v>
      </c>
      <c r="I2119" t="str">
        <f>IF(A2119="","Pacote",IF(B2119=IFERROR(VLOOKUP(B2119,base!$L$1:$L$20,1,0),""),"Produtos",IF(B2119=IFERROR(VLOOKUP(B2119,base!$K$2:$K$20,1,0),""),"Serviços",IF(B2119="Gorjeta","Gorjeta","Combos"))))</f>
        <v>Serviços</v>
      </c>
      <c r="J2119">
        <f t="shared" si="123"/>
        <v>5.4</v>
      </c>
      <c r="K2119" s="1">
        <f t="shared" si="124"/>
        <v>45794.4375</v>
      </c>
      <c r="L2119" s="1">
        <f t="shared" si="125"/>
        <v>45794.4375</v>
      </c>
      <c r="M2119" s="1">
        <f t="shared" si="126"/>
        <v>45794.4375</v>
      </c>
      <c r="N2119" s="1"/>
      <c r="O2119" t="str">
        <f t="shared" si="127"/>
        <v>PIX</v>
      </c>
      <c r="P2119" t="s">
        <v>149</v>
      </c>
      <c r="Q2119" t="str">
        <f t="shared" si="128"/>
        <v>Serviços</v>
      </c>
      <c r="R2119" t="str">
        <f t="shared" si="129"/>
        <v>Acabamento</v>
      </c>
      <c r="T2119" s="14">
        <f t="shared" si="130"/>
        <v>12</v>
      </c>
      <c r="U2119" s="14">
        <f t="shared" si="131"/>
        <v>12</v>
      </c>
      <c r="V2119" s="14"/>
      <c r="W2119" t="str">
        <f>IF(A2119=$A$1707,base!$I$3,IF(A2119=$A$1709,base!$I$2,IF(Receitas!A2119=Receitas!$A$1701,base!$I$4,"")))</f>
        <v>Gustavo de Castro</v>
      </c>
      <c r="X2119" t="str">
        <f t="shared" si="132"/>
        <v>Gabriel</v>
      </c>
    </row>
    <row r="2120" spans="1:24">
      <c r="A2120" t="s">
        <v>519</v>
      </c>
      <c r="B2120" t="s">
        <v>163</v>
      </c>
      <c r="C2120" t="s">
        <v>3074</v>
      </c>
      <c r="D2120" s="14">
        <v>35</v>
      </c>
      <c r="E2120" s="14">
        <v>55</v>
      </c>
      <c r="F2120" s="13">
        <v>45794.458333333336</v>
      </c>
      <c r="G2120" t="s">
        <v>355</v>
      </c>
      <c r="H2120" t="s">
        <v>377</v>
      </c>
      <c r="I2120" t="str">
        <f>IF(A2120="","Pacote",IF(B2120=IFERROR(VLOOKUP(B2120,base!$L$1:$L$20,1,0),""),"Produtos",IF(B2120=IFERROR(VLOOKUP(B2120,base!$K$2:$K$20,1,0),""),"Serviços",IF(B2120="Gorjeta","Gorjeta","Combos"))))</f>
        <v>Serviços</v>
      </c>
      <c r="J2120">
        <f t="shared" si="123"/>
        <v>15.75</v>
      </c>
      <c r="K2120" s="1">
        <f t="shared" si="124"/>
        <v>45794.458333333336</v>
      </c>
      <c r="L2120" s="1">
        <f t="shared" si="125"/>
        <v>45794.458333333336</v>
      </c>
      <c r="M2120" s="1">
        <f t="shared" si="126"/>
        <v>45794.458333333336</v>
      </c>
      <c r="N2120" s="1"/>
      <c r="O2120" t="str">
        <f t="shared" si="127"/>
        <v>PIX  / Cartão de Crédito</v>
      </c>
      <c r="P2120" t="s">
        <v>149</v>
      </c>
      <c r="Q2120" t="str">
        <f t="shared" si="128"/>
        <v>Serviços</v>
      </c>
      <c r="R2120" t="str">
        <f t="shared" si="129"/>
        <v>Corte</v>
      </c>
      <c r="T2120" s="14">
        <f t="shared" si="130"/>
        <v>35</v>
      </c>
      <c r="U2120" s="14">
        <f t="shared" si="131"/>
        <v>55</v>
      </c>
      <c r="V2120" s="14"/>
      <c r="W2120" t="str">
        <f>IF(A2120=$A$1707,base!$I$3,IF(A2120=$A$1709,base!$I$2,IF(Receitas!A2120=Receitas!$A$1701,base!$I$4,"")))</f>
        <v>Gustavo de Castro</v>
      </c>
      <c r="X2120" t="str">
        <f t="shared" si="132"/>
        <v>Jonatan</v>
      </c>
    </row>
    <row r="2121" spans="1:24">
      <c r="A2121" t="s">
        <v>519</v>
      </c>
      <c r="B2121" t="s">
        <v>2931</v>
      </c>
      <c r="C2121" t="s">
        <v>3074</v>
      </c>
      <c r="D2121" s="14">
        <v>20</v>
      </c>
      <c r="F2121" s="13">
        <v>45794.458333333336</v>
      </c>
      <c r="G2121" t="s">
        <v>355</v>
      </c>
      <c r="H2121" t="s">
        <v>377</v>
      </c>
      <c r="I2121" t="str">
        <f>IF(A2121="","Pacote",IF(B2121=IFERROR(VLOOKUP(B2121,base!$L$1:$L$20,1,0),""),"Produtos",IF(B2121=IFERROR(VLOOKUP(B2121,base!$K$2:$K$20,1,0),""),"Serviços",IF(B2121="Gorjeta","Gorjeta","Combos"))))</f>
        <v>Produtos</v>
      </c>
      <c r="J2121">
        <f t="shared" si="123"/>
        <v>8</v>
      </c>
      <c r="K2121" s="1">
        <f t="shared" si="124"/>
        <v>45794.458333333336</v>
      </c>
      <c r="L2121" s="1">
        <f t="shared" si="125"/>
        <v>45794.458333333336</v>
      </c>
      <c r="M2121" s="1">
        <f t="shared" si="126"/>
        <v>45794.458333333336</v>
      </c>
      <c r="N2121" s="1"/>
      <c r="O2121" t="str">
        <f t="shared" si="127"/>
        <v>PIX  / Cartão de Crédito</v>
      </c>
      <c r="P2121" t="s">
        <v>149</v>
      </c>
      <c r="Q2121" t="str">
        <f t="shared" si="128"/>
        <v>Produtos</v>
      </c>
      <c r="R2121" t="str">
        <f t="shared" si="129"/>
        <v>Pomada matte 80g</v>
      </c>
      <c r="T2121" s="14">
        <f t="shared" si="130"/>
        <v>20</v>
      </c>
      <c r="U2121" s="14">
        <f t="shared" si="131"/>
        <v>0</v>
      </c>
      <c r="V2121" s="14"/>
      <c r="W2121" t="str">
        <f>IF(A2121=$A$1707,base!$I$3,IF(A2121=$A$1709,base!$I$2,IF(Receitas!A2121=Receitas!$A$1701,base!$I$4,"")))</f>
        <v>Gustavo de Castro</v>
      </c>
      <c r="X2121" t="str">
        <f t="shared" si="132"/>
        <v>Jonatan</v>
      </c>
    </row>
    <row r="2122" spans="1:24">
      <c r="A2122" t="s">
        <v>519</v>
      </c>
      <c r="B2122" t="s">
        <v>1046</v>
      </c>
      <c r="C2122" t="s">
        <v>3075</v>
      </c>
      <c r="D2122" s="14">
        <v>15</v>
      </c>
      <c r="E2122" s="14">
        <v>50</v>
      </c>
      <c r="F2122" s="13">
        <v>45794.454861111109</v>
      </c>
      <c r="G2122" t="s">
        <v>1</v>
      </c>
      <c r="H2122" t="s">
        <v>414</v>
      </c>
      <c r="I2122" t="str">
        <f>IF(A2122="","Pacote",IF(B2122=IFERROR(VLOOKUP(B2122,base!$L$1:$L$20,1,0),""),"Produtos",IF(B2122=IFERROR(VLOOKUP(B2122,base!$K$2:$K$20,1,0),""),"Serviços",IF(B2122="Gorjeta","Gorjeta","Combos"))))</f>
        <v>Serviços</v>
      </c>
      <c r="J2122">
        <f t="shared" si="123"/>
        <v>6.75</v>
      </c>
      <c r="K2122" s="1">
        <f t="shared" si="124"/>
        <v>45794.454861111109</v>
      </c>
      <c r="L2122" s="1">
        <f t="shared" si="125"/>
        <v>45794.454861111109</v>
      </c>
      <c r="M2122" s="1">
        <f t="shared" si="126"/>
        <v>45794.454861111109</v>
      </c>
      <c r="N2122" s="1"/>
      <c r="O2122" t="str">
        <f t="shared" si="127"/>
        <v>PIX</v>
      </c>
      <c r="P2122" t="s">
        <v>149</v>
      </c>
      <c r="Q2122" t="str">
        <f t="shared" si="128"/>
        <v>Serviços</v>
      </c>
      <c r="R2122" t="str">
        <f t="shared" si="129"/>
        <v>Barba</v>
      </c>
      <c r="T2122" s="14">
        <f t="shared" si="130"/>
        <v>15</v>
      </c>
      <c r="U2122" s="14">
        <f t="shared" si="131"/>
        <v>50</v>
      </c>
      <c r="V2122" s="14"/>
      <c r="W2122" t="str">
        <f>IF(A2122=$A$1707,base!$I$3,IF(A2122=$A$1709,base!$I$2,IF(Receitas!A2122=Receitas!$A$1701,base!$I$4,"")))</f>
        <v>Gustavo de Castro</v>
      </c>
      <c r="X2122" t="str">
        <f t="shared" si="132"/>
        <v>Alexandre andrade</v>
      </c>
    </row>
    <row r="2123" spans="1:24">
      <c r="A2123" t="s">
        <v>519</v>
      </c>
      <c r="B2123" t="s">
        <v>163</v>
      </c>
      <c r="C2123" t="s">
        <v>3075</v>
      </c>
      <c r="D2123" s="14">
        <v>35</v>
      </c>
      <c r="F2123" s="13">
        <v>45794.454861111109</v>
      </c>
      <c r="G2123" t="s">
        <v>1</v>
      </c>
      <c r="H2123" t="s">
        <v>414</v>
      </c>
      <c r="I2123" t="str">
        <f>IF(A2123="","Pacote",IF(B2123=IFERROR(VLOOKUP(B2123,base!$L$1:$L$20,1,0),""),"Produtos",IF(B2123=IFERROR(VLOOKUP(B2123,base!$K$2:$K$20,1,0),""),"Serviços",IF(B2123="Gorjeta","Gorjeta","Combos"))))</f>
        <v>Serviços</v>
      </c>
      <c r="J2123">
        <f t="shared" si="123"/>
        <v>15.75</v>
      </c>
      <c r="K2123" s="1">
        <f t="shared" si="124"/>
        <v>45794.454861111109</v>
      </c>
      <c r="L2123" s="1">
        <f t="shared" si="125"/>
        <v>45794.454861111109</v>
      </c>
      <c r="M2123" s="1">
        <f t="shared" si="126"/>
        <v>45794.454861111109</v>
      </c>
      <c r="N2123" s="1"/>
      <c r="O2123" t="str">
        <f t="shared" si="127"/>
        <v>PIX</v>
      </c>
      <c r="P2123" t="s">
        <v>149</v>
      </c>
      <c r="Q2123" t="str">
        <f t="shared" si="128"/>
        <v>Serviços</v>
      </c>
      <c r="R2123" t="str">
        <f t="shared" si="129"/>
        <v>Corte</v>
      </c>
      <c r="T2123" s="14">
        <f t="shared" si="130"/>
        <v>35</v>
      </c>
      <c r="U2123" s="14">
        <f t="shared" si="131"/>
        <v>0</v>
      </c>
      <c r="V2123" s="14"/>
      <c r="W2123" t="str">
        <f>IF(A2123=$A$1707,base!$I$3,IF(A2123=$A$1709,base!$I$2,IF(Receitas!A2123=Receitas!$A$1701,base!$I$4,"")))</f>
        <v>Gustavo de Castro</v>
      </c>
      <c r="X2123" t="str">
        <f t="shared" si="132"/>
        <v>Alexandre andrade</v>
      </c>
    </row>
    <row r="2124" spans="1:24">
      <c r="A2124" t="s">
        <v>519</v>
      </c>
      <c r="B2124" t="s">
        <v>163</v>
      </c>
      <c r="C2124" t="s">
        <v>3076</v>
      </c>
      <c r="D2124" s="14">
        <v>35</v>
      </c>
      <c r="E2124" s="14">
        <v>75</v>
      </c>
      <c r="F2124" s="13">
        <v>45794.534722222219</v>
      </c>
      <c r="G2124" t="s">
        <v>882</v>
      </c>
      <c r="H2124" t="s">
        <v>207</v>
      </c>
      <c r="I2124" t="str">
        <f>IF(A2124="","Pacote",IF(B2124=IFERROR(VLOOKUP(B2124,base!$L$1:$L$20,1,0),""),"Produtos",IF(B2124=IFERROR(VLOOKUP(B2124,base!$K$2:$K$20,1,0),""),"Serviços",IF(B2124="Gorjeta","Gorjeta","Combos"))))</f>
        <v>Serviços</v>
      </c>
      <c r="J2124">
        <f t="shared" si="123"/>
        <v>15.75</v>
      </c>
      <c r="K2124" s="1">
        <f t="shared" si="124"/>
        <v>45794.534722222219</v>
      </c>
      <c r="L2124" s="1">
        <f t="shared" si="125"/>
        <v>45794.534722222219</v>
      </c>
      <c r="M2124" s="1">
        <f t="shared" si="126"/>
        <v>45794.534722222219</v>
      </c>
      <c r="N2124" s="1"/>
      <c r="O2124" t="str">
        <f t="shared" si="127"/>
        <v>Dinheiro  / PIX</v>
      </c>
      <c r="P2124" t="s">
        <v>149</v>
      </c>
      <c r="Q2124" t="str">
        <f t="shared" si="128"/>
        <v>Serviços</v>
      </c>
      <c r="R2124" t="str">
        <f t="shared" si="129"/>
        <v>Corte</v>
      </c>
      <c r="T2124" s="14">
        <f t="shared" si="130"/>
        <v>35</v>
      </c>
      <c r="U2124" s="14">
        <f t="shared" si="131"/>
        <v>75</v>
      </c>
      <c r="V2124" s="14"/>
      <c r="W2124" t="str">
        <f>IF(A2124=$A$1707,base!$I$3,IF(A2124=$A$1709,base!$I$2,IF(Receitas!A2124=Receitas!$A$1701,base!$I$4,"")))</f>
        <v>Gustavo de Castro</v>
      </c>
      <c r="X2124" t="str">
        <f t="shared" si="132"/>
        <v>Luís Eduardo</v>
      </c>
    </row>
    <row r="2125" spans="1:24">
      <c r="A2125" t="s">
        <v>519</v>
      </c>
      <c r="B2125" t="s">
        <v>472</v>
      </c>
      <c r="C2125" t="s">
        <v>3076</v>
      </c>
      <c r="D2125" s="14">
        <v>40</v>
      </c>
      <c r="F2125" s="13">
        <v>45794.534722222219</v>
      </c>
      <c r="G2125" t="s">
        <v>882</v>
      </c>
      <c r="H2125" t="s">
        <v>207</v>
      </c>
      <c r="I2125" t="str">
        <f>IF(A2125="","Pacote",IF(B2125=IFERROR(VLOOKUP(B2125,base!$L$1:$L$20,1,0),""),"Produtos",IF(B2125=IFERROR(VLOOKUP(B2125,base!$K$2:$K$20,1,0),""),"Serviços",IF(B2125="Gorjeta","Gorjeta","Combos"))))</f>
        <v>Produtos</v>
      </c>
      <c r="J2125">
        <f t="shared" si="123"/>
        <v>16</v>
      </c>
      <c r="K2125" s="1">
        <f t="shared" si="124"/>
        <v>45794.534722222219</v>
      </c>
      <c r="L2125" s="1">
        <f t="shared" si="125"/>
        <v>45794.534722222219</v>
      </c>
      <c r="M2125" s="1">
        <f t="shared" si="126"/>
        <v>45794.534722222219</v>
      </c>
      <c r="N2125" s="1"/>
      <c r="O2125" t="str">
        <f t="shared" si="127"/>
        <v>Dinheiro  / PIX</v>
      </c>
      <c r="P2125" t="s">
        <v>149</v>
      </c>
      <c r="Q2125" t="str">
        <f t="shared" si="128"/>
        <v>Produtos</v>
      </c>
      <c r="R2125" t="str">
        <f t="shared" si="129"/>
        <v>minox serum</v>
      </c>
      <c r="T2125" s="14">
        <f t="shared" si="130"/>
        <v>40</v>
      </c>
      <c r="U2125" s="14">
        <f t="shared" si="131"/>
        <v>0</v>
      </c>
      <c r="V2125" s="14"/>
      <c r="W2125" t="str">
        <f>IF(A2125=$A$1707,base!$I$3,IF(A2125=$A$1709,base!$I$2,IF(Receitas!A2125=Receitas!$A$1701,base!$I$4,"")))</f>
        <v>Gustavo de Castro</v>
      </c>
      <c r="X2125" t="str">
        <f t="shared" si="132"/>
        <v>Luís Eduardo</v>
      </c>
    </row>
    <row r="2126" spans="1:24">
      <c r="A2126" t="s">
        <v>252</v>
      </c>
      <c r="B2126" t="s">
        <v>163</v>
      </c>
      <c r="C2126" t="s">
        <v>3077</v>
      </c>
      <c r="D2126" s="14">
        <v>35</v>
      </c>
      <c r="E2126" s="14">
        <v>55</v>
      </c>
      <c r="F2126" s="13">
        <v>45794.621527777781</v>
      </c>
      <c r="G2126" t="s">
        <v>310</v>
      </c>
      <c r="H2126" t="s">
        <v>281</v>
      </c>
      <c r="I2126" t="str">
        <f>IF(A2126="","Pacote",IF(B2126=IFERROR(VLOOKUP(B2126,base!$L$1:$L$20,1,0),""),"Produtos",IF(B2126=IFERROR(VLOOKUP(B2126,base!$K$2:$K$20,1,0),""),"Serviços",IF(B2126="Gorjeta","Gorjeta","Combos"))))</f>
        <v>Serviços</v>
      </c>
      <c r="J2126">
        <f t="shared" si="123"/>
        <v>15.75</v>
      </c>
      <c r="K2126" s="1">
        <f t="shared" si="124"/>
        <v>45794.621527777781</v>
      </c>
      <c r="L2126" s="1">
        <f t="shared" si="125"/>
        <v>45794.621527777781</v>
      </c>
      <c r="M2126" s="1">
        <f t="shared" si="126"/>
        <v>45794.621527777781</v>
      </c>
      <c r="N2126" s="1"/>
      <c r="O2126" t="str">
        <f t="shared" si="127"/>
        <v>Cartão de Débito</v>
      </c>
      <c r="P2126" t="s">
        <v>149</v>
      </c>
      <c r="Q2126" t="str">
        <f t="shared" si="128"/>
        <v>Serviços</v>
      </c>
      <c r="R2126" t="str">
        <f t="shared" si="129"/>
        <v>Corte</v>
      </c>
      <c r="T2126" s="14">
        <f t="shared" si="130"/>
        <v>35</v>
      </c>
      <c r="U2126" s="14">
        <f t="shared" si="131"/>
        <v>55</v>
      </c>
      <c r="V2126" s="14"/>
      <c r="W2126" t="str">
        <f>IF(A2126=$A$1707,base!$I$3,IF(A2126=$A$1709,base!$I$2,IF(Receitas!A2126=Receitas!$A$1701,base!$I$4,"")))</f>
        <v>Christian Magon</v>
      </c>
      <c r="X2126" t="str">
        <f t="shared" si="132"/>
        <v>Jonas evangelista</v>
      </c>
    </row>
    <row r="2127" spans="1:24">
      <c r="A2127" t="s">
        <v>252</v>
      </c>
      <c r="B2127" t="s">
        <v>166</v>
      </c>
      <c r="C2127" t="s">
        <v>3077</v>
      </c>
      <c r="D2127" s="14">
        <v>20</v>
      </c>
      <c r="F2127" s="13">
        <v>45794.621527777781</v>
      </c>
      <c r="G2127" t="s">
        <v>310</v>
      </c>
      <c r="H2127" t="s">
        <v>281</v>
      </c>
      <c r="I2127" t="str">
        <f>IF(A2127="","Pacote",IF(B2127=IFERROR(VLOOKUP(B2127,base!$L$1:$L$20,1,0),""),"Produtos",IF(B2127=IFERROR(VLOOKUP(B2127,base!$K$2:$K$20,1,0),""),"Serviços",IF(B2127="Gorjeta","Gorjeta","Combos"))))</f>
        <v>Serviços</v>
      </c>
      <c r="J2127">
        <f t="shared" si="123"/>
        <v>9</v>
      </c>
      <c r="K2127" s="1">
        <f t="shared" si="124"/>
        <v>45794.621527777781</v>
      </c>
      <c r="L2127" s="1">
        <f t="shared" si="125"/>
        <v>45794.621527777781</v>
      </c>
      <c r="M2127" s="1">
        <f t="shared" si="126"/>
        <v>45794.621527777781</v>
      </c>
      <c r="N2127" s="1"/>
      <c r="O2127" t="str">
        <f t="shared" si="127"/>
        <v>Cartão de Débito</v>
      </c>
      <c r="P2127" t="s">
        <v>149</v>
      </c>
      <c r="Q2127" t="str">
        <f t="shared" si="128"/>
        <v>Serviços</v>
      </c>
      <c r="R2127" t="str">
        <f t="shared" si="129"/>
        <v>Pigmentação</v>
      </c>
      <c r="T2127" s="14">
        <f t="shared" si="130"/>
        <v>20</v>
      </c>
      <c r="U2127" s="14">
        <f t="shared" si="131"/>
        <v>0</v>
      </c>
      <c r="V2127" s="14"/>
      <c r="W2127" t="str">
        <f>IF(A2127=$A$1707,base!$I$3,IF(A2127=$A$1709,base!$I$2,IF(Receitas!A2127=Receitas!$A$1701,base!$I$4,"")))</f>
        <v>Christian Magon</v>
      </c>
      <c r="X2127" t="str">
        <f t="shared" si="132"/>
        <v>Jonas evangelista</v>
      </c>
    </row>
    <row r="2128" spans="1:24">
      <c r="A2128" t="s">
        <v>252</v>
      </c>
      <c r="B2128" t="s">
        <v>163</v>
      </c>
      <c r="C2128" t="s">
        <v>3078</v>
      </c>
      <c r="D2128" s="14">
        <v>35</v>
      </c>
      <c r="E2128" s="14">
        <v>35</v>
      </c>
      <c r="F2128" s="13">
        <v>45794.6875</v>
      </c>
      <c r="G2128" t="s">
        <v>310</v>
      </c>
      <c r="H2128" t="s">
        <v>44</v>
      </c>
      <c r="I2128" t="str">
        <f>IF(A2128="","Pacote",IF(B2128=IFERROR(VLOOKUP(B2128,base!$L$1:$L$20,1,0),""),"Produtos",IF(B2128=IFERROR(VLOOKUP(B2128,base!$K$2:$K$20,1,0),""),"Serviços",IF(B2128="Gorjeta","Gorjeta","Combos"))))</f>
        <v>Serviços</v>
      </c>
      <c r="J2128">
        <f t="shared" si="123"/>
        <v>15.75</v>
      </c>
      <c r="K2128" s="1">
        <f t="shared" si="124"/>
        <v>45794.6875</v>
      </c>
      <c r="L2128" s="1">
        <f t="shared" si="125"/>
        <v>45794.6875</v>
      </c>
      <c r="M2128" s="1">
        <f t="shared" si="126"/>
        <v>45794.6875</v>
      </c>
      <c r="N2128" s="1"/>
      <c r="O2128" t="str">
        <f t="shared" si="127"/>
        <v>Cartão de Débito</v>
      </c>
      <c r="P2128" t="s">
        <v>149</v>
      </c>
      <c r="Q2128" t="str">
        <f t="shared" si="128"/>
        <v>Serviços</v>
      </c>
      <c r="R2128" t="str">
        <f t="shared" si="129"/>
        <v>Corte</v>
      </c>
      <c r="T2128" s="14">
        <f t="shared" si="130"/>
        <v>35</v>
      </c>
      <c r="U2128" s="14">
        <f t="shared" si="131"/>
        <v>35</v>
      </c>
      <c r="V2128" s="14"/>
      <c r="W2128" t="str">
        <f>IF(A2128=$A$1707,base!$I$3,IF(A2128=$A$1709,base!$I$2,IF(Receitas!A2128=Receitas!$A$1701,base!$I$4,"")))</f>
        <v>Christian Magon</v>
      </c>
      <c r="X2128" t="str">
        <f t="shared" si="132"/>
        <v>Marcio Felipe</v>
      </c>
    </row>
    <row r="2129" spans="1:24">
      <c r="A2129" t="s">
        <v>252</v>
      </c>
      <c r="B2129" t="s">
        <v>163</v>
      </c>
      <c r="C2129" t="s">
        <v>3079</v>
      </c>
      <c r="D2129" s="14">
        <v>35</v>
      </c>
      <c r="E2129" s="14">
        <v>55</v>
      </c>
      <c r="F2129" s="13">
        <v>45794.659722222219</v>
      </c>
      <c r="G2129" t="s">
        <v>1</v>
      </c>
      <c r="H2129" t="s">
        <v>93</v>
      </c>
      <c r="I2129" t="str">
        <f>IF(A2129="","Pacote",IF(B2129=IFERROR(VLOOKUP(B2129,base!$L$1:$L$20,1,0),""),"Produtos",IF(B2129=IFERROR(VLOOKUP(B2129,base!$K$2:$K$20,1,0),""),"Serviços",IF(B2129="Gorjeta","Gorjeta","Combos"))))</f>
        <v>Serviços</v>
      </c>
      <c r="J2129">
        <f t="shared" si="123"/>
        <v>15.75</v>
      </c>
      <c r="K2129" s="1">
        <f t="shared" si="124"/>
        <v>45794.659722222219</v>
      </c>
      <c r="L2129" s="1">
        <f t="shared" si="125"/>
        <v>45794.659722222219</v>
      </c>
      <c r="M2129" s="1">
        <f t="shared" si="126"/>
        <v>45794.659722222219</v>
      </c>
      <c r="N2129" s="1"/>
      <c r="O2129" t="str">
        <f t="shared" si="127"/>
        <v>PIX</v>
      </c>
      <c r="P2129" t="s">
        <v>149</v>
      </c>
      <c r="Q2129" t="str">
        <f t="shared" si="128"/>
        <v>Serviços</v>
      </c>
      <c r="R2129" t="str">
        <f t="shared" si="129"/>
        <v>Corte</v>
      </c>
      <c r="T2129" s="14">
        <f t="shared" si="130"/>
        <v>35</v>
      </c>
      <c r="U2129" s="14">
        <f t="shared" si="131"/>
        <v>55</v>
      </c>
      <c r="V2129" s="14"/>
      <c r="W2129" t="str">
        <f>IF(A2129=$A$1707,base!$I$3,IF(A2129=$A$1709,base!$I$2,IF(Receitas!A2129=Receitas!$A$1701,base!$I$4,"")))</f>
        <v>Christian Magon</v>
      </c>
      <c r="X2129" t="str">
        <f t="shared" si="132"/>
        <v>Leonardo Santiago</v>
      </c>
    </row>
    <row r="2130" spans="1:24">
      <c r="A2130" t="s">
        <v>519</v>
      </c>
      <c r="B2130" t="s">
        <v>163</v>
      </c>
      <c r="C2130" t="s">
        <v>3079</v>
      </c>
      <c r="D2130" s="14">
        <v>20</v>
      </c>
      <c r="F2130" s="13">
        <v>45794.659722222219</v>
      </c>
      <c r="G2130" t="s">
        <v>1</v>
      </c>
      <c r="H2130" t="s">
        <v>93</v>
      </c>
      <c r="I2130" t="str">
        <f>IF(A2130="","Pacote",IF(B2130=IFERROR(VLOOKUP(B2130,base!$L$1:$L$20,1,0),""),"Produtos",IF(B2130=IFERROR(VLOOKUP(B2130,base!$K$2:$K$20,1,0),""),"Serviços",IF(B2130="Gorjeta","Gorjeta","Combos"))))</f>
        <v>Serviços</v>
      </c>
      <c r="J2130">
        <f t="shared" si="123"/>
        <v>9</v>
      </c>
      <c r="K2130" s="1">
        <f t="shared" si="124"/>
        <v>45794.659722222219</v>
      </c>
      <c r="L2130" s="1">
        <f t="shared" si="125"/>
        <v>45794.659722222219</v>
      </c>
      <c r="M2130" s="1">
        <f t="shared" si="126"/>
        <v>45794.659722222219</v>
      </c>
      <c r="N2130" s="1"/>
      <c r="O2130" t="str">
        <f t="shared" si="127"/>
        <v>PIX</v>
      </c>
      <c r="P2130" t="s">
        <v>149</v>
      </c>
      <c r="Q2130" t="str">
        <f t="shared" si="128"/>
        <v>Serviços</v>
      </c>
      <c r="R2130" t="str">
        <f t="shared" si="129"/>
        <v>Corte</v>
      </c>
      <c r="T2130" s="14">
        <f t="shared" si="130"/>
        <v>20</v>
      </c>
      <c r="U2130" s="14">
        <f t="shared" si="131"/>
        <v>0</v>
      </c>
      <c r="V2130" s="14"/>
      <c r="W2130" t="str">
        <f>IF(A2130=$A$1707,base!$I$3,IF(A2130=$A$1709,base!$I$2,IF(Receitas!A2130=Receitas!$A$1701,base!$I$4,"")))</f>
        <v>Gustavo de Castro</v>
      </c>
      <c r="X2130" t="str">
        <f t="shared" si="132"/>
        <v>Leonardo Santiago</v>
      </c>
    </row>
    <row r="2131" spans="1:24">
      <c r="A2131" t="s">
        <v>519</v>
      </c>
      <c r="B2131" t="s">
        <v>163</v>
      </c>
      <c r="C2131" t="s">
        <v>3080</v>
      </c>
      <c r="D2131" s="14">
        <v>35</v>
      </c>
      <c r="E2131" s="14">
        <v>35</v>
      </c>
      <c r="F2131" s="13">
        <v>45794.697916666664</v>
      </c>
      <c r="G2131" t="s">
        <v>2</v>
      </c>
      <c r="H2131" t="s">
        <v>485</v>
      </c>
      <c r="I2131" t="str">
        <f>IF(A2131="","Pacote",IF(B2131=IFERROR(VLOOKUP(B2131,base!$L$1:$L$20,1,0),""),"Produtos",IF(B2131=IFERROR(VLOOKUP(B2131,base!$K$2:$K$20,1,0),""),"Serviços",IF(B2131="Gorjeta","Gorjeta","Combos"))))</f>
        <v>Serviços</v>
      </c>
      <c r="J2131">
        <f t="shared" si="123"/>
        <v>15.75</v>
      </c>
      <c r="K2131" s="1">
        <f t="shared" si="124"/>
        <v>45794.697916666664</v>
      </c>
      <c r="L2131" s="1">
        <f t="shared" si="125"/>
        <v>45794.697916666664</v>
      </c>
      <c r="M2131" s="1">
        <f t="shared" si="126"/>
        <v>45794.697916666664</v>
      </c>
      <c r="N2131" s="1"/>
      <c r="O2131" t="str">
        <f t="shared" si="127"/>
        <v>Dinheiro</v>
      </c>
      <c r="P2131" t="s">
        <v>149</v>
      </c>
      <c r="Q2131" t="str">
        <f t="shared" si="128"/>
        <v>Serviços</v>
      </c>
      <c r="R2131" t="str">
        <f t="shared" si="129"/>
        <v>Corte</v>
      </c>
      <c r="T2131" s="14">
        <f t="shared" si="130"/>
        <v>35</v>
      </c>
      <c r="U2131" s="14">
        <f t="shared" si="131"/>
        <v>35</v>
      </c>
      <c r="V2131" s="14"/>
      <c r="W2131" t="str">
        <f>IF(A2131=$A$1707,base!$I$3,IF(A2131=$A$1709,base!$I$2,IF(Receitas!A2131=Receitas!$A$1701,base!$I$4,"")))</f>
        <v>Gustavo de Castro</v>
      </c>
      <c r="X2131" t="str">
        <f t="shared" si="132"/>
        <v>Eduardo Moura</v>
      </c>
    </row>
    <row r="2132" spans="1:24">
      <c r="A2132" t="s">
        <v>519</v>
      </c>
      <c r="B2132" t="s">
        <v>163</v>
      </c>
      <c r="C2132" t="s">
        <v>3081</v>
      </c>
      <c r="D2132" s="14">
        <v>35</v>
      </c>
      <c r="E2132" s="14">
        <v>35</v>
      </c>
      <c r="F2132" s="13">
        <v>45794.680555555555</v>
      </c>
      <c r="G2132" t="s">
        <v>310</v>
      </c>
      <c r="H2132" t="s">
        <v>382</v>
      </c>
      <c r="I2132" t="str">
        <f>IF(A2132="","Pacote",IF(B2132=IFERROR(VLOOKUP(B2132,base!$L$1:$L$20,1,0),""),"Produtos",IF(B2132=IFERROR(VLOOKUP(B2132,base!$K$2:$K$20,1,0),""),"Serviços",IF(B2132="Gorjeta","Gorjeta","Combos"))))</f>
        <v>Serviços</v>
      </c>
      <c r="J2132">
        <f t="shared" si="123"/>
        <v>15.75</v>
      </c>
      <c r="K2132" s="1">
        <f t="shared" si="124"/>
        <v>45794.680555555555</v>
      </c>
      <c r="L2132" s="1">
        <f t="shared" si="125"/>
        <v>45794.680555555555</v>
      </c>
      <c r="M2132" s="1">
        <f t="shared" si="126"/>
        <v>45794.680555555555</v>
      </c>
      <c r="N2132" s="1"/>
      <c r="O2132" t="str">
        <f t="shared" si="127"/>
        <v>Cartão de Débito</v>
      </c>
      <c r="P2132" t="s">
        <v>149</v>
      </c>
      <c r="Q2132" t="str">
        <f t="shared" si="128"/>
        <v>Serviços</v>
      </c>
      <c r="R2132" t="str">
        <f t="shared" si="129"/>
        <v>Corte</v>
      </c>
      <c r="T2132" s="14">
        <f t="shared" si="130"/>
        <v>35</v>
      </c>
      <c r="U2132" s="14">
        <f t="shared" si="131"/>
        <v>35</v>
      </c>
      <c r="V2132" s="14"/>
      <c r="W2132" t="str">
        <f>IF(A2132=$A$1707,base!$I$3,IF(A2132=$A$1709,base!$I$2,IF(Receitas!A2132=Receitas!$A$1701,base!$I$4,"")))</f>
        <v>Gustavo de Castro</v>
      </c>
      <c r="X2132" t="str">
        <f t="shared" si="132"/>
        <v>Sem Cadastro</v>
      </c>
    </row>
    <row r="2133" spans="1:24">
      <c r="A2133" t="s">
        <v>519</v>
      </c>
      <c r="B2133" t="s">
        <v>163</v>
      </c>
      <c r="C2133" t="s">
        <v>3082</v>
      </c>
      <c r="D2133" s="14">
        <v>35</v>
      </c>
      <c r="E2133" s="14">
        <v>50</v>
      </c>
      <c r="F2133" s="13">
        <v>45794.71875</v>
      </c>
      <c r="G2133" t="s">
        <v>1</v>
      </c>
      <c r="H2133" t="s">
        <v>28</v>
      </c>
      <c r="I2133" t="str">
        <f>IF(A2133="","Pacote",IF(B2133=IFERROR(VLOOKUP(B2133,base!$L$1:$L$20,1,0),""),"Produtos",IF(B2133=IFERROR(VLOOKUP(B2133,base!$K$2:$K$20,1,0),""),"Serviços",IF(B2133="Gorjeta","Gorjeta","Combos"))))</f>
        <v>Serviços</v>
      </c>
      <c r="J2133">
        <f t="shared" si="123"/>
        <v>15.75</v>
      </c>
      <c r="K2133" s="1">
        <f t="shared" si="124"/>
        <v>45794.71875</v>
      </c>
      <c r="L2133" s="1">
        <f t="shared" si="125"/>
        <v>45794.71875</v>
      </c>
      <c r="M2133" s="1">
        <f t="shared" si="126"/>
        <v>45794.71875</v>
      </c>
      <c r="N2133" s="1"/>
      <c r="O2133" t="str">
        <f t="shared" si="127"/>
        <v>PIX</v>
      </c>
      <c r="P2133" t="s">
        <v>149</v>
      </c>
      <c r="Q2133" t="str">
        <f t="shared" si="128"/>
        <v>Serviços</v>
      </c>
      <c r="R2133" t="str">
        <f t="shared" si="129"/>
        <v>Corte</v>
      </c>
      <c r="T2133" s="14">
        <f t="shared" si="130"/>
        <v>35</v>
      </c>
      <c r="U2133" s="14">
        <f t="shared" si="131"/>
        <v>50</v>
      </c>
      <c r="V2133" s="14"/>
      <c r="W2133" t="str">
        <f>IF(A2133=$A$1707,base!$I$3,IF(A2133=$A$1709,base!$I$2,IF(Receitas!A2133=Receitas!$A$1701,base!$I$4,"")))</f>
        <v>Gustavo de Castro</v>
      </c>
      <c r="X2133" t="str">
        <f t="shared" si="132"/>
        <v>Huan Fernandes</v>
      </c>
    </row>
    <row r="2134" spans="1:24">
      <c r="A2134" t="s">
        <v>519</v>
      </c>
      <c r="B2134" t="s">
        <v>1046</v>
      </c>
      <c r="C2134" t="s">
        <v>3082</v>
      </c>
      <c r="D2134" s="14">
        <v>15</v>
      </c>
      <c r="F2134" s="13">
        <v>45794.71875</v>
      </c>
      <c r="G2134" t="s">
        <v>1</v>
      </c>
      <c r="H2134" t="s">
        <v>28</v>
      </c>
      <c r="I2134" t="str">
        <f>IF(A2134="","Pacote",IF(B2134=IFERROR(VLOOKUP(B2134,base!$L$1:$L$20,1,0),""),"Produtos",IF(B2134=IFERROR(VLOOKUP(B2134,base!$K$2:$K$20,1,0),""),"Serviços",IF(B2134="Gorjeta","Gorjeta","Combos"))))</f>
        <v>Serviços</v>
      </c>
      <c r="J2134">
        <f t="shared" si="123"/>
        <v>6.75</v>
      </c>
      <c r="K2134" s="1">
        <f t="shared" si="124"/>
        <v>45794.71875</v>
      </c>
      <c r="L2134" s="1">
        <f t="shared" si="125"/>
        <v>45794.71875</v>
      </c>
      <c r="M2134" s="1">
        <f t="shared" si="126"/>
        <v>45794.71875</v>
      </c>
      <c r="N2134" s="1"/>
      <c r="O2134" t="str">
        <f t="shared" si="127"/>
        <v>PIX</v>
      </c>
      <c r="P2134" t="s">
        <v>149</v>
      </c>
      <c r="Q2134" t="str">
        <f t="shared" si="128"/>
        <v>Serviços</v>
      </c>
      <c r="R2134" t="str">
        <f t="shared" si="129"/>
        <v>Barba</v>
      </c>
      <c r="T2134" s="14">
        <f t="shared" si="130"/>
        <v>15</v>
      </c>
      <c r="U2134" s="14">
        <f t="shared" si="131"/>
        <v>0</v>
      </c>
      <c r="V2134" s="14"/>
      <c r="W2134" t="str">
        <f>IF(A2134=$A$1707,base!$I$3,IF(A2134=$A$1709,base!$I$2,IF(Receitas!A2134=Receitas!$A$1701,base!$I$4,"")))</f>
        <v>Gustavo de Castro</v>
      </c>
      <c r="X2134" t="str">
        <f t="shared" si="132"/>
        <v>Huan Fernandes</v>
      </c>
    </row>
    <row r="2135" spans="1:24">
      <c r="A2135" t="s">
        <v>519</v>
      </c>
      <c r="B2135" t="s">
        <v>163</v>
      </c>
      <c r="C2135" t="s">
        <v>3083</v>
      </c>
      <c r="D2135" s="14">
        <v>35</v>
      </c>
      <c r="E2135" s="14">
        <v>50</v>
      </c>
      <c r="F2135" s="13">
        <v>45794.701388888891</v>
      </c>
      <c r="G2135" t="s">
        <v>1</v>
      </c>
      <c r="H2135" t="s">
        <v>1499</v>
      </c>
      <c r="I2135" t="str">
        <f>IF(A2135="","Pacote",IF(B2135=IFERROR(VLOOKUP(B2135,base!$L$1:$L$20,1,0),""),"Produtos",IF(B2135=IFERROR(VLOOKUP(B2135,base!$K$2:$K$20,1,0),""),"Serviços",IF(B2135="Gorjeta","Gorjeta","Combos"))))</f>
        <v>Serviços</v>
      </c>
      <c r="J2135">
        <f t="shared" si="123"/>
        <v>15.75</v>
      </c>
      <c r="K2135" s="1">
        <f t="shared" si="124"/>
        <v>45794.701388888891</v>
      </c>
      <c r="L2135" s="1">
        <f t="shared" si="125"/>
        <v>45794.701388888891</v>
      </c>
      <c r="M2135" s="1">
        <f t="shared" si="126"/>
        <v>45794.701388888891</v>
      </c>
      <c r="N2135" s="1"/>
      <c r="O2135" t="str">
        <f t="shared" si="127"/>
        <v>PIX</v>
      </c>
      <c r="P2135" t="s">
        <v>149</v>
      </c>
      <c r="Q2135" t="str">
        <f t="shared" si="128"/>
        <v>Serviços</v>
      </c>
      <c r="R2135" t="str">
        <f t="shared" si="129"/>
        <v>Corte</v>
      </c>
      <c r="T2135" s="14">
        <f t="shared" si="130"/>
        <v>35</v>
      </c>
      <c r="U2135" s="14">
        <f t="shared" si="131"/>
        <v>50</v>
      </c>
      <c r="V2135" s="14"/>
      <c r="W2135" t="str">
        <f>IF(A2135=$A$1707,base!$I$3,IF(A2135=$A$1709,base!$I$2,IF(Receitas!A2135=Receitas!$A$1701,base!$I$4,"")))</f>
        <v>Gustavo de Castro</v>
      </c>
      <c r="X2135" t="str">
        <f t="shared" si="132"/>
        <v>Kelven Moraes</v>
      </c>
    </row>
    <row r="2136" spans="1:24">
      <c r="A2136" t="s">
        <v>519</v>
      </c>
      <c r="B2136" t="s">
        <v>1046</v>
      </c>
      <c r="C2136" t="s">
        <v>3083</v>
      </c>
      <c r="D2136" s="14">
        <v>15</v>
      </c>
      <c r="F2136" s="13">
        <v>45794.701388888891</v>
      </c>
      <c r="G2136" t="s">
        <v>1</v>
      </c>
      <c r="H2136" t="s">
        <v>1499</v>
      </c>
      <c r="I2136" t="str">
        <f>IF(A2136="","Pacote",IF(B2136=IFERROR(VLOOKUP(B2136,base!$L$1:$L$20,1,0),""),"Produtos",IF(B2136=IFERROR(VLOOKUP(B2136,base!$K$2:$K$20,1,0),""),"Serviços",IF(B2136="Gorjeta","Gorjeta","Combos"))))</f>
        <v>Serviços</v>
      </c>
      <c r="J2136">
        <f t="shared" si="123"/>
        <v>6.75</v>
      </c>
      <c r="K2136" s="1">
        <f t="shared" si="124"/>
        <v>45794.701388888891</v>
      </c>
      <c r="L2136" s="1">
        <f t="shared" si="125"/>
        <v>45794.701388888891</v>
      </c>
      <c r="M2136" s="1">
        <f t="shared" si="126"/>
        <v>45794.701388888891</v>
      </c>
      <c r="N2136" s="1"/>
      <c r="O2136" t="str">
        <f t="shared" si="127"/>
        <v>PIX</v>
      </c>
      <c r="P2136" t="s">
        <v>149</v>
      </c>
      <c r="Q2136" t="str">
        <f t="shared" si="128"/>
        <v>Serviços</v>
      </c>
      <c r="R2136" t="str">
        <f t="shared" si="129"/>
        <v>Barba</v>
      </c>
      <c r="T2136" s="14">
        <f t="shared" si="130"/>
        <v>15</v>
      </c>
      <c r="U2136" s="14">
        <f t="shared" si="131"/>
        <v>0</v>
      </c>
      <c r="V2136" s="14"/>
      <c r="W2136" t="str">
        <f>IF(A2136=$A$1707,base!$I$3,IF(A2136=$A$1709,base!$I$2,IF(Receitas!A2136=Receitas!$A$1701,base!$I$4,"")))</f>
        <v>Gustavo de Castro</v>
      </c>
      <c r="X2136" t="str">
        <f t="shared" si="132"/>
        <v>Kelven Moraes</v>
      </c>
    </row>
    <row r="2137" spans="1:24">
      <c r="A2137" t="s">
        <v>252</v>
      </c>
      <c r="B2137" t="s">
        <v>163</v>
      </c>
      <c r="C2137" t="s">
        <v>3084</v>
      </c>
      <c r="D2137" s="14">
        <v>35</v>
      </c>
      <c r="E2137" s="14">
        <v>35</v>
      </c>
      <c r="F2137" s="13">
        <v>45794.715277777781</v>
      </c>
      <c r="G2137" t="s">
        <v>1</v>
      </c>
      <c r="H2137" t="s">
        <v>206</v>
      </c>
      <c r="I2137" t="str">
        <f>IF(A2137="","Pacote",IF(B2137=IFERROR(VLOOKUP(B2137,base!$L$1:$L$20,1,0),""),"Produtos",IF(B2137=IFERROR(VLOOKUP(B2137,base!$K$2:$K$20,1,0),""),"Serviços",IF(B2137="Gorjeta","Gorjeta","Combos"))))</f>
        <v>Serviços</v>
      </c>
      <c r="J2137">
        <f t="shared" si="123"/>
        <v>15.75</v>
      </c>
      <c r="K2137" s="1">
        <f t="shared" si="124"/>
        <v>45794.715277777781</v>
      </c>
      <c r="L2137" s="1">
        <f t="shared" si="125"/>
        <v>45794.715277777781</v>
      </c>
      <c r="M2137" s="1">
        <f t="shared" si="126"/>
        <v>45794.715277777781</v>
      </c>
      <c r="N2137" s="1"/>
      <c r="O2137" t="str">
        <f t="shared" si="127"/>
        <v>PIX</v>
      </c>
      <c r="P2137" t="s">
        <v>149</v>
      </c>
      <c r="Q2137" t="str">
        <f t="shared" si="128"/>
        <v>Serviços</v>
      </c>
      <c r="R2137" t="str">
        <f t="shared" si="129"/>
        <v>Corte</v>
      </c>
      <c r="T2137" s="14">
        <f t="shared" si="130"/>
        <v>35</v>
      </c>
      <c r="U2137" s="14">
        <f t="shared" si="131"/>
        <v>35</v>
      </c>
      <c r="V2137" s="14"/>
      <c r="W2137" t="str">
        <f>IF(A2137=$A$1707,base!$I$3,IF(A2137=$A$1709,base!$I$2,IF(Receitas!A2137=Receitas!$A$1701,base!$I$4,"")))</f>
        <v>Christian Magon</v>
      </c>
      <c r="X2137" t="str">
        <f t="shared" si="132"/>
        <v>fabio dias</v>
      </c>
    </row>
    <row r="2138" spans="1:24">
      <c r="A2138" t="s">
        <v>252</v>
      </c>
      <c r="B2138" t="s">
        <v>163</v>
      </c>
      <c r="C2138" t="s">
        <v>3085</v>
      </c>
      <c r="D2138" s="14">
        <v>20</v>
      </c>
      <c r="E2138" s="14">
        <v>40</v>
      </c>
      <c r="F2138" s="13">
        <v>45794.791666666664</v>
      </c>
      <c r="G2138" t="s">
        <v>1</v>
      </c>
      <c r="H2138" t="s">
        <v>796</v>
      </c>
      <c r="I2138" t="str">
        <f>IF(A2138="","Pacote",IF(B2138=IFERROR(VLOOKUP(B2138,base!$L$1:$L$20,1,0),""),"Produtos",IF(B2138=IFERROR(VLOOKUP(B2138,base!$K$2:$K$20,1,0),""),"Serviços",IF(B2138="Gorjeta","Gorjeta","Combos"))))</f>
        <v>Serviços</v>
      </c>
      <c r="J2138">
        <f t="shared" ref="J2138:J2143" si="133">IF(AND(I2138="Serviços",E2138&gt;0),ROUND(D2138*45%,2),IF(I2138="Produtos",ROUND(D2138*40%,2),D2138*45%))</f>
        <v>9</v>
      </c>
      <c r="K2138" s="1">
        <f t="shared" ref="K2138:K2143" si="134">F2138</f>
        <v>45794.791666666664</v>
      </c>
      <c r="L2138" s="1">
        <f t="shared" ref="L2138:L2143" si="135">F2138</f>
        <v>45794.791666666664</v>
      </c>
      <c r="M2138" s="1">
        <f t="shared" ref="M2138:M2143" si="136">F2138</f>
        <v>45794.791666666664</v>
      </c>
      <c r="N2138" s="1"/>
      <c r="O2138" t="str">
        <f t="shared" ref="O2138:O2143" si="137">G2138</f>
        <v>PIX</v>
      </c>
      <c r="P2138" t="s">
        <v>149</v>
      </c>
      <c r="Q2138" t="str">
        <f t="shared" ref="Q2138:Q2143" si="138">I2138</f>
        <v>Serviços</v>
      </c>
      <c r="R2138" t="str">
        <f t="shared" ref="R2138:R2143" si="139">B2138</f>
        <v>Corte</v>
      </c>
      <c r="T2138" s="14">
        <f t="shared" ref="T2138:U2142" si="140">D2138</f>
        <v>20</v>
      </c>
      <c r="U2138" s="14">
        <f t="shared" si="140"/>
        <v>40</v>
      </c>
      <c r="V2138" s="14"/>
      <c r="W2138" t="str">
        <f>IF(A2138=$A$1707,base!$I$3,IF(A2138=$A$1709,base!$I$2,IF(Receitas!A2138=Receitas!$A$1701,base!$I$4,"")))</f>
        <v>Christian Magon</v>
      </c>
      <c r="X2138" t="str">
        <f t="shared" ref="X2138:X2143" si="141">H2138</f>
        <v>Carlos Gama</v>
      </c>
    </row>
    <row r="2139" spans="1:24">
      <c r="A2139" t="s">
        <v>252</v>
      </c>
      <c r="B2139" t="s">
        <v>910</v>
      </c>
      <c r="C2139" t="s">
        <v>3085</v>
      </c>
      <c r="D2139" s="14">
        <v>20</v>
      </c>
      <c r="F2139" s="13">
        <v>45794.791666666664</v>
      </c>
      <c r="G2139" t="s">
        <v>1</v>
      </c>
      <c r="H2139" t="s">
        <v>796</v>
      </c>
      <c r="I2139" t="str">
        <f>IF(A2139="","Pacote",IF(B2139=IFERROR(VLOOKUP(B2139,base!$L$1:$L$20,1,0),""),"Produtos",IF(B2139=IFERROR(VLOOKUP(B2139,base!$K$2:$K$20,1,0),""),"Serviços",IF(B2139="Gorjeta","Gorjeta","Combos"))))</f>
        <v>Gorjeta</v>
      </c>
      <c r="J2139">
        <f t="shared" si="133"/>
        <v>9</v>
      </c>
      <c r="K2139" s="1">
        <f t="shared" si="134"/>
        <v>45794.791666666664</v>
      </c>
      <c r="L2139" s="1">
        <f t="shared" si="135"/>
        <v>45794.791666666664</v>
      </c>
      <c r="M2139" s="1">
        <f t="shared" si="136"/>
        <v>45794.791666666664</v>
      </c>
      <c r="N2139" s="1"/>
      <c r="O2139" t="str">
        <f t="shared" si="137"/>
        <v>PIX</v>
      </c>
      <c r="P2139" t="s">
        <v>149</v>
      </c>
      <c r="Q2139" t="str">
        <f t="shared" si="138"/>
        <v>Gorjeta</v>
      </c>
      <c r="R2139" t="str">
        <f t="shared" si="139"/>
        <v>Gorjeta</v>
      </c>
      <c r="T2139" s="14">
        <f t="shared" si="140"/>
        <v>20</v>
      </c>
      <c r="U2139" s="14">
        <f t="shared" si="140"/>
        <v>0</v>
      </c>
      <c r="V2139" s="14"/>
      <c r="W2139" t="str">
        <f>IF(A2139=$A$1707,base!$I$3,IF(A2139=$A$1709,base!$I$2,IF(Receitas!A2139=Receitas!$A$1701,base!$I$4,"")))</f>
        <v>Christian Magon</v>
      </c>
      <c r="X2139" t="str">
        <f t="shared" si="141"/>
        <v>Carlos Gama</v>
      </c>
    </row>
    <row r="2140" spans="1:24">
      <c r="A2140" t="s">
        <v>519</v>
      </c>
      <c r="B2140" t="s">
        <v>353</v>
      </c>
      <c r="C2140" t="s">
        <v>3086</v>
      </c>
      <c r="D2140" s="14">
        <v>60</v>
      </c>
      <c r="E2140" s="14">
        <v>60</v>
      </c>
      <c r="F2140" s="13">
        <v>45794.885416666664</v>
      </c>
      <c r="G2140" t="s">
        <v>354</v>
      </c>
      <c r="H2140" t="s">
        <v>95</v>
      </c>
      <c r="I2140" t="str">
        <f>IF(A2140="","Pacote",IF(B2140=IFERROR(VLOOKUP(B2140,base!$L$1:$L$20,1,0),""),"Produtos",IF(B2140=IFERROR(VLOOKUP(B2140,base!$K$2:$K$20,1,0),""),"Serviços",IF(B2140="Gorjeta","Gorjeta","Combos"))))</f>
        <v>Combos</v>
      </c>
      <c r="J2140">
        <f t="shared" si="133"/>
        <v>27</v>
      </c>
      <c r="K2140" s="1">
        <f t="shared" si="134"/>
        <v>45794.885416666664</v>
      </c>
      <c r="L2140" s="1">
        <f t="shared" si="135"/>
        <v>45794.885416666664</v>
      </c>
      <c r="M2140" s="1">
        <f t="shared" si="136"/>
        <v>45794.885416666664</v>
      </c>
      <c r="N2140" s="1"/>
      <c r="O2140" t="str">
        <f t="shared" si="137"/>
        <v>Cartão de Crédito</v>
      </c>
      <c r="P2140" t="s">
        <v>149</v>
      </c>
      <c r="Q2140" t="str">
        <f t="shared" si="138"/>
        <v>Combos</v>
      </c>
      <c r="R2140" t="str">
        <f t="shared" si="139"/>
        <v>Combo ( Corte + Barba )</v>
      </c>
      <c r="T2140" s="14">
        <f t="shared" si="140"/>
        <v>60</v>
      </c>
      <c r="U2140" s="14">
        <f t="shared" si="140"/>
        <v>60</v>
      </c>
      <c r="V2140" s="14"/>
      <c r="W2140" t="str">
        <f>IF(A2140=$A$1707,base!$I$3,IF(A2140=$A$1709,base!$I$2,IF(Receitas!A2140=Receitas!$A$1701,base!$I$4,"")))</f>
        <v>Gustavo de Castro</v>
      </c>
      <c r="X2140" t="str">
        <f t="shared" si="141"/>
        <v>Jefferson Bruno</v>
      </c>
    </row>
    <row r="2141" spans="1:24">
      <c r="A2141" t="s">
        <v>519</v>
      </c>
      <c r="B2141" t="s">
        <v>163</v>
      </c>
      <c r="C2141" t="s">
        <v>3087</v>
      </c>
      <c r="D2141" s="14">
        <v>35</v>
      </c>
      <c r="E2141" s="14">
        <v>45</v>
      </c>
      <c r="F2141" s="13">
        <v>45794.885416666664</v>
      </c>
      <c r="G2141" t="s">
        <v>1</v>
      </c>
      <c r="H2141" t="s">
        <v>3088</v>
      </c>
      <c r="I2141" t="str">
        <f>IF(A2141="","Pacote",IF(B2141=IFERROR(VLOOKUP(B2141,base!$L$1:$L$20,1,0),""),"Produtos",IF(B2141=IFERROR(VLOOKUP(B2141,base!$K$2:$K$20,1,0),""),"Serviços",IF(B2141="Gorjeta","Gorjeta","Combos"))))</f>
        <v>Serviços</v>
      </c>
      <c r="J2141">
        <f t="shared" si="133"/>
        <v>15.75</v>
      </c>
      <c r="K2141" s="1">
        <f t="shared" si="134"/>
        <v>45794.885416666664</v>
      </c>
      <c r="L2141" s="1">
        <f t="shared" si="135"/>
        <v>45794.885416666664</v>
      </c>
      <c r="M2141" s="1">
        <f t="shared" si="136"/>
        <v>45794.885416666664</v>
      </c>
      <c r="N2141" s="1"/>
      <c r="O2141" t="str">
        <f t="shared" si="137"/>
        <v>PIX</v>
      </c>
      <c r="P2141" t="s">
        <v>149</v>
      </c>
      <c r="Q2141" t="str">
        <f t="shared" si="138"/>
        <v>Serviços</v>
      </c>
      <c r="R2141" t="str">
        <f t="shared" si="139"/>
        <v>Corte</v>
      </c>
      <c r="T2141" s="14">
        <f t="shared" si="140"/>
        <v>35</v>
      </c>
      <c r="U2141" s="14">
        <f t="shared" si="140"/>
        <v>45</v>
      </c>
      <c r="V2141" s="14"/>
      <c r="W2141" t="str">
        <f>IF(A2141=$A$1707,base!$I$3,IF(A2141=$A$1709,base!$I$2,IF(Receitas!A2141=Receitas!$A$1701,base!$I$4,"")))</f>
        <v>Gustavo de Castro</v>
      </c>
      <c r="X2141" t="str">
        <f t="shared" si="141"/>
        <v>paulo cesar</v>
      </c>
    </row>
    <row r="2142" spans="1:24" s="25" customFormat="1">
      <c r="A2142" s="25" t="s">
        <v>519</v>
      </c>
      <c r="B2142" s="25" t="s">
        <v>167</v>
      </c>
      <c r="C2142" s="25" t="s">
        <v>3087</v>
      </c>
      <c r="D2142" s="26">
        <v>10</v>
      </c>
      <c r="F2142" s="27">
        <v>45794.885416666664</v>
      </c>
      <c r="G2142" s="25" t="s">
        <v>1</v>
      </c>
      <c r="H2142" s="25" t="s">
        <v>3088</v>
      </c>
      <c r="I2142" s="25" t="str">
        <f>IF(A2142="","Pacote",IF(B2142=IFERROR(VLOOKUP(B2142,base!$L$1:$L$20,1,0),""),"Produtos",IF(B2142=IFERROR(VLOOKUP(B2142,base!$K$2:$K$20,1,0),""),"Serviços",IF(B2142="Gorjeta","Gorjeta","Combos"))))</f>
        <v>Serviços</v>
      </c>
      <c r="J2142" s="25">
        <f t="shared" si="133"/>
        <v>4.5</v>
      </c>
      <c r="K2142" s="50">
        <f t="shared" si="134"/>
        <v>45794.885416666664</v>
      </c>
      <c r="L2142" s="50">
        <f t="shared" si="135"/>
        <v>45794.885416666664</v>
      </c>
      <c r="M2142" s="50">
        <f t="shared" si="136"/>
        <v>45794.885416666664</v>
      </c>
      <c r="N2142" s="50"/>
      <c r="O2142" s="25" t="str">
        <f t="shared" si="137"/>
        <v>PIX</v>
      </c>
      <c r="P2142" s="25" t="s">
        <v>149</v>
      </c>
      <c r="Q2142" s="25" t="str">
        <f t="shared" si="138"/>
        <v>Serviços</v>
      </c>
      <c r="R2142" s="25" t="str">
        <f t="shared" si="139"/>
        <v>Sobrancelha</v>
      </c>
      <c r="T2142" s="26">
        <f t="shared" si="140"/>
        <v>10</v>
      </c>
      <c r="U2142" s="26">
        <f t="shared" si="140"/>
        <v>0</v>
      </c>
      <c r="V2142" s="26"/>
      <c r="W2142" s="25" t="str">
        <f>IF(A2142=$A$1707,base!$I$3,IF(A2142=$A$1709,base!$I$2,IF(Receitas!A2142=Receitas!$A$1701,base!$I$4,"")))</f>
        <v>Gustavo de Castro</v>
      </c>
      <c r="X2142" s="25" t="str">
        <f t="shared" si="141"/>
        <v>paulo cesar</v>
      </c>
    </row>
    <row r="2143" spans="1:24">
      <c r="A2143" t="s">
        <v>519</v>
      </c>
      <c r="B2143" t="s">
        <v>163</v>
      </c>
      <c r="C2143" t="s">
        <v>3091</v>
      </c>
      <c r="D2143" s="14">
        <v>35</v>
      </c>
      <c r="E2143" s="14">
        <v>70</v>
      </c>
      <c r="F2143" s="13">
        <v>45796.645833333336</v>
      </c>
      <c r="G2143" t="s">
        <v>1</v>
      </c>
      <c r="H2143" t="s">
        <v>781</v>
      </c>
      <c r="I2143" t="str">
        <f>IF(A2143="","Pacote",IF(B2143=IFERROR(VLOOKUP(B2143,base!$L$1:$L$20,1,0),""),"Produtos",IF(B2143=IFERROR(VLOOKUP(B2143,base!$K$2:$K$20,1,0),""),"Serviços",IF(B2143="Gorjeta","Gorjeta","Combos"))))</f>
        <v>Serviços</v>
      </c>
      <c r="J2143">
        <f t="shared" si="133"/>
        <v>15.75</v>
      </c>
      <c r="K2143" s="1">
        <f t="shared" si="134"/>
        <v>45796.645833333336</v>
      </c>
      <c r="L2143" s="1">
        <f t="shared" si="135"/>
        <v>45796.645833333336</v>
      </c>
      <c r="M2143" s="1">
        <f t="shared" si="136"/>
        <v>45796.645833333336</v>
      </c>
      <c r="N2143" s="1"/>
      <c r="O2143" t="str">
        <f t="shared" si="137"/>
        <v>PIX</v>
      </c>
      <c r="P2143" t="s">
        <v>149</v>
      </c>
      <c r="Q2143" t="str">
        <f t="shared" si="138"/>
        <v>Serviços</v>
      </c>
      <c r="R2143" t="str">
        <f t="shared" si="139"/>
        <v>Corte</v>
      </c>
      <c r="T2143" s="14">
        <f t="shared" ref="T2143" si="142">D2143</f>
        <v>35</v>
      </c>
      <c r="U2143" s="14">
        <f t="shared" ref="U2143" si="143">E2143</f>
        <v>70</v>
      </c>
      <c r="V2143" s="14"/>
      <c r="W2143" t="str">
        <f>IF(A2143=$A$1707,base!$I$3,IF(A2143=$A$1709,base!$I$2,IF(Receitas!A2143=Receitas!$A$1701,base!$I$4,"")))</f>
        <v>Gustavo de Castro</v>
      </c>
      <c r="X2143" t="str">
        <f t="shared" si="141"/>
        <v>renato rodrigues</v>
      </c>
    </row>
    <row r="2144" spans="1:24">
      <c r="A2144" t="s">
        <v>252</v>
      </c>
      <c r="B2144" t="s">
        <v>163</v>
      </c>
      <c r="C2144" t="s">
        <v>3091</v>
      </c>
      <c r="D2144" s="14">
        <v>35</v>
      </c>
      <c r="F2144" s="13">
        <v>45796.645833333336</v>
      </c>
      <c r="G2144" t="s">
        <v>1</v>
      </c>
      <c r="H2144" t="s">
        <v>781</v>
      </c>
      <c r="I2144" t="str">
        <f>IF(A2144="","Pacote",IF(B2144=IFERROR(VLOOKUP(B2144,base!$L$1:$L$20,1,0),""),"Produtos",IF(B2144=IFERROR(VLOOKUP(B2144,base!$K$2:$K$20,1,0),""),"Serviços",IF(B2144="Gorjeta","Gorjeta","Combos"))))</f>
        <v>Serviços</v>
      </c>
      <c r="J2144">
        <f t="shared" ref="J2144:J2164" si="144">IF(AND(I2144="Serviços",E2144&gt;0),ROUND(D2144*45%,2),IF(I2144="Produtos",ROUND(D2144*40%,2),D2144*45%))</f>
        <v>15.75</v>
      </c>
      <c r="K2144" s="1">
        <f t="shared" ref="K2144:K2164" si="145">F2144</f>
        <v>45796.645833333336</v>
      </c>
      <c r="L2144" s="1">
        <f t="shared" ref="L2144:L2164" si="146">F2144</f>
        <v>45796.645833333336</v>
      </c>
      <c r="M2144" s="1">
        <f t="shared" ref="M2144:M2164" si="147">F2144</f>
        <v>45796.645833333336</v>
      </c>
      <c r="N2144" s="1"/>
      <c r="O2144" t="str">
        <f t="shared" ref="O2144:O2164" si="148">G2144</f>
        <v>PIX</v>
      </c>
      <c r="P2144" t="s">
        <v>149</v>
      </c>
      <c r="Q2144" t="str">
        <f t="shared" ref="Q2144:Q2164" si="149">I2144</f>
        <v>Serviços</v>
      </c>
      <c r="R2144" t="str">
        <f t="shared" ref="R2144:R2164" si="150">B2144</f>
        <v>Corte</v>
      </c>
      <c r="T2144" s="14">
        <f t="shared" ref="T2144:T2164" si="151">D2144</f>
        <v>35</v>
      </c>
      <c r="U2144" s="14">
        <f t="shared" ref="U2144:U2164" si="152">E2144</f>
        <v>0</v>
      </c>
      <c r="V2144" s="14"/>
      <c r="W2144" t="str">
        <f>IF(A2144=$A$1707,base!$I$3,IF(A2144=$A$1709,base!$I$2,IF(Receitas!A2144=Receitas!$A$1701,base!$I$4,"")))</f>
        <v>Christian Magon</v>
      </c>
      <c r="X2144" t="str">
        <f t="shared" ref="X2144:X2164" si="153">H2144</f>
        <v>renato rodrigues</v>
      </c>
    </row>
    <row r="2145" spans="1:24">
      <c r="A2145" t="s">
        <v>252</v>
      </c>
      <c r="B2145" t="s">
        <v>163</v>
      </c>
      <c r="C2145" t="s">
        <v>3092</v>
      </c>
      <c r="D2145" s="14">
        <v>35</v>
      </c>
      <c r="E2145" s="14">
        <v>35</v>
      </c>
      <c r="F2145" s="13">
        <v>45796.416666666664</v>
      </c>
      <c r="G2145" t="s">
        <v>1</v>
      </c>
      <c r="H2145" t="s">
        <v>277</v>
      </c>
      <c r="I2145" t="str">
        <f>IF(A2145="","Pacote",IF(B2145=IFERROR(VLOOKUP(B2145,base!$L$1:$L$20,1,0),""),"Produtos",IF(B2145=IFERROR(VLOOKUP(B2145,base!$K$2:$K$20,1,0),""),"Serviços",IF(B2145="Gorjeta","Gorjeta","Combos"))))</f>
        <v>Serviços</v>
      </c>
      <c r="J2145">
        <f t="shared" si="144"/>
        <v>15.75</v>
      </c>
      <c r="K2145" s="1">
        <f t="shared" si="145"/>
        <v>45796.416666666664</v>
      </c>
      <c r="L2145" s="1">
        <f t="shared" si="146"/>
        <v>45796.416666666664</v>
      </c>
      <c r="M2145" s="1">
        <f t="shared" si="147"/>
        <v>45796.416666666664</v>
      </c>
      <c r="N2145" s="1"/>
      <c r="O2145" t="str">
        <f t="shared" si="148"/>
        <v>PIX</v>
      </c>
      <c r="P2145" t="s">
        <v>149</v>
      </c>
      <c r="Q2145" t="str">
        <f t="shared" si="149"/>
        <v>Serviços</v>
      </c>
      <c r="R2145" t="str">
        <f t="shared" si="150"/>
        <v>Corte</v>
      </c>
      <c r="T2145" s="14">
        <f t="shared" si="151"/>
        <v>35</v>
      </c>
      <c r="U2145" s="14">
        <f t="shared" si="152"/>
        <v>35</v>
      </c>
      <c r="V2145" s="14"/>
      <c r="W2145" t="str">
        <f>IF(A2145=$A$1707,base!$I$3,IF(A2145=$A$1709,base!$I$2,IF(Receitas!A2145=Receitas!$A$1701,base!$I$4,"")))</f>
        <v>Christian Magon</v>
      </c>
      <c r="X2145" t="str">
        <f t="shared" si="153"/>
        <v>Akilles Aguiar</v>
      </c>
    </row>
    <row r="2146" spans="1:24">
      <c r="A2146" t="s">
        <v>519</v>
      </c>
      <c r="B2146" t="s">
        <v>163</v>
      </c>
      <c r="C2146" t="s">
        <v>3093</v>
      </c>
      <c r="D2146" s="14">
        <v>35</v>
      </c>
      <c r="E2146" s="14">
        <v>35</v>
      </c>
      <c r="F2146" s="13">
        <v>45796.416666666664</v>
      </c>
      <c r="G2146" t="s">
        <v>1</v>
      </c>
      <c r="H2146" t="s">
        <v>1457</v>
      </c>
      <c r="I2146" t="str">
        <f>IF(A2146="","Pacote",IF(B2146=IFERROR(VLOOKUP(B2146,base!$L$1:$L$20,1,0),""),"Produtos",IF(B2146=IFERROR(VLOOKUP(B2146,base!$K$2:$K$20,1,0),""),"Serviços",IF(B2146="Gorjeta","Gorjeta","Combos"))))</f>
        <v>Serviços</v>
      </c>
      <c r="J2146">
        <f t="shared" si="144"/>
        <v>15.75</v>
      </c>
      <c r="K2146" s="1">
        <f t="shared" si="145"/>
        <v>45796.416666666664</v>
      </c>
      <c r="L2146" s="1">
        <f t="shared" si="146"/>
        <v>45796.416666666664</v>
      </c>
      <c r="M2146" s="1">
        <f t="shared" si="147"/>
        <v>45796.416666666664</v>
      </c>
      <c r="N2146" s="1"/>
      <c r="O2146" t="str">
        <f t="shared" si="148"/>
        <v>PIX</v>
      </c>
      <c r="P2146" t="s">
        <v>149</v>
      </c>
      <c r="Q2146" t="str">
        <f t="shared" si="149"/>
        <v>Serviços</v>
      </c>
      <c r="R2146" t="str">
        <f t="shared" si="150"/>
        <v>Corte</v>
      </c>
      <c r="T2146" s="14">
        <f t="shared" si="151"/>
        <v>35</v>
      </c>
      <c r="U2146" s="14">
        <f t="shared" si="152"/>
        <v>35</v>
      </c>
      <c r="V2146" s="14"/>
      <c r="W2146" t="str">
        <f>IF(A2146=$A$1707,base!$I$3,IF(A2146=$A$1709,base!$I$2,IF(Receitas!A2146=Receitas!$A$1701,base!$I$4,"")))</f>
        <v>Gustavo de Castro</v>
      </c>
      <c r="X2146" t="str">
        <f t="shared" si="153"/>
        <v>jonatas fernandes</v>
      </c>
    </row>
    <row r="2147" spans="1:24">
      <c r="A2147" t="s">
        <v>519</v>
      </c>
      <c r="B2147" t="s">
        <v>163</v>
      </c>
      <c r="C2147" t="s">
        <v>3094</v>
      </c>
      <c r="D2147" s="14">
        <v>35</v>
      </c>
      <c r="E2147" s="14">
        <v>70</v>
      </c>
      <c r="F2147" s="13">
        <v>45796.479166666664</v>
      </c>
      <c r="G2147" t="s">
        <v>2</v>
      </c>
      <c r="H2147" t="s">
        <v>71</v>
      </c>
      <c r="I2147" t="str">
        <f>IF(A2147="","Pacote",IF(B2147=IFERROR(VLOOKUP(B2147,base!$L$1:$L$20,1,0),""),"Produtos",IF(B2147=IFERROR(VLOOKUP(B2147,base!$K$2:$K$20,1,0),""),"Serviços",IF(B2147="Gorjeta","Gorjeta","Combos"))))</f>
        <v>Serviços</v>
      </c>
      <c r="J2147">
        <f t="shared" si="144"/>
        <v>15.75</v>
      </c>
      <c r="K2147" s="1">
        <f t="shared" si="145"/>
        <v>45796.479166666664</v>
      </c>
      <c r="L2147" s="1">
        <f t="shared" si="146"/>
        <v>45796.479166666664</v>
      </c>
      <c r="M2147" s="1">
        <f t="shared" si="147"/>
        <v>45796.479166666664</v>
      </c>
      <c r="N2147" s="1"/>
      <c r="O2147" t="str">
        <f t="shared" si="148"/>
        <v>Dinheiro</v>
      </c>
      <c r="P2147" t="s">
        <v>149</v>
      </c>
      <c r="Q2147" t="str">
        <f t="shared" si="149"/>
        <v>Serviços</v>
      </c>
      <c r="R2147" t="str">
        <f t="shared" si="150"/>
        <v>Corte</v>
      </c>
      <c r="T2147" s="14">
        <f t="shared" si="151"/>
        <v>35</v>
      </c>
      <c r="U2147" s="14">
        <f t="shared" si="152"/>
        <v>70</v>
      </c>
      <c r="V2147" s="14"/>
      <c r="W2147" t="str">
        <f>IF(A2147=$A$1707,base!$I$3,IF(A2147=$A$1709,base!$I$2,IF(Receitas!A2147=Receitas!$A$1701,base!$I$4,"")))</f>
        <v>Gustavo de Castro</v>
      </c>
      <c r="X2147" t="str">
        <f t="shared" si="153"/>
        <v>Fellipe Maia</v>
      </c>
    </row>
    <row r="2148" spans="1:24">
      <c r="A2148" t="s">
        <v>519</v>
      </c>
      <c r="B2148" t="s">
        <v>472</v>
      </c>
      <c r="C2148" t="s">
        <v>3094</v>
      </c>
      <c r="D2148" s="14">
        <v>40</v>
      </c>
      <c r="F2148" s="13">
        <v>45796.479166666664</v>
      </c>
      <c r="G2148" t="s">
        <v>2</v>
      </c>
      <c r="H2148" t="s">
        <v>71</v>
      </c>
      <c r="I2148" t="str">
        <f>IF(A2148="","Pacote",IF(B2148=IFERROR(VLOOKUP(B2148,base!$L$1:$L$20,1,0),""),"Produtos",IF(B2148=IFERROR(VLOOKUP(B2148,base!$K$2:$K$20,1,0),""),"Serviços",IF(B2148="Gorjeta","Gorjeta","Combos"))))</f>
        <v>Produtos</v>
      </c>
      <c r="J2148">
        <f t="shared" si="144"/>
        <v>16</v>
      </c>
      <c r="K2148" s="1">
        <f t="shared" si="145"/>
        <v>45796.479166666664</v>
      </c>
      <c r="L2148" s="1">
        <f t="shared" si="146"/>
        <v>45796.479166666664</v>
      </c>
      <c r="M2148" s="1">
        <f t="shared" si="147"/>
        <v>45796.479166666664</v>
      </c>
      <c r="N2148" s="1"/>
      <c r="O2148" t="str">
        <f t="shared" si="148"/>
        <v>Dinheiro</v>
      </c>
      <c r="P2148" t="s">
        <v>149</v>
      </c>
      <c r="Q2148" t="str">
        <f t="shared" si="149"/>
        <v>Produtos</v>
      </c>
      <c r="R2148" t="str">
        <f t="shared" si="150"/>
        <v>minox serum</v>
      </c>
      <c r="T2148" s="14">
        <f t="shared" si="151"/>
        <v>40</v>
      </c>
      <c r="U2148" s="14">
        <f t="shared" si="152"/>
        <v>0</v>
      </c>
      <c r="V2148" s="14"/>
      <c r="W2148" t="str">
        <f>IF(A2148=$A$1707,base!$I$3,IF(A2148=$A$1709,base!$I$2,IF(Receitas!A2148=Receitas!$A$1701,base!$I$4,"")))</f>
        <v>Gustavo de Castro</v>
      </c>
      <c r="X2148" t="str">
        <f t="shared" si="153"/>
        <v>Fellipe Maia</v>
      </c>
    </row>
    <row r="2149" spans="1:24">
      <c r="A2149" t="s">
        <v>519</v>
      </c>
      <c r="B2149" t="s">
        <v>163</v>
      </c>
      <c r="C2149" t="s">
        <v>3095</v>
      </c>
      <c r="D2149" s="14">
        <v>35</v>
      </c>
      <c r="E2149" s="14">
        <v>70</v>
      </c>
      <c r="F2149" s="13">
        <v>45796.447916666664</v>
      </c>
      <c r="G2149" t="s">
        <v>310</v>
      </c>
      <c r="H2149" t="s">
        <v>1216</v>
      </c>
      <c r="I2149" t="str">
        <f>IF(A2149="","Pacote",IF(B2149=IFERROR(VLOOKUP(B2149,base!$L$1:$L$20,1,0),""),"Produtos",IF(B2149=IFERROR(VLOOKUP(B2149,base!$K$2:$K$20,1,0),""),"Serviços",IF(B2149="Gorjeta","Gorjeta","Combos"))))</f>
        <v>Serviços</v>
      </c>
      <c r="J2149">
        <f t="shared" si="144"/>
        <v>15.75</v>
      </c>
      <c r="K2149" s="1">
        <f t="shared" si="145"/>
        <v>45796.447916666664</v>
      </c>
      <c r="L2149" s="1">
        <f t="shared" si="146"/>
        <v>45796.447916666664</v>
      </c>
      <c r="M2149" s="1">
        <f t="shared" si="147"/>
        <v>45796.447916666664</v>
      </c>
      <c r="N2149" s="1"/>
      <c r="O2149" t="str">
        <f t="shared" si="148"/>
        <v>Cartão de Débito</v>
      </c>
      <c r="P2149" t="s">
        <v>149</v>
      </c>
      <c r="Q2149" t="str">
        <f t="shared" si="149"/>
        <v>Serviços</v>
      </c>
      <c r="R2149" t="str">
        <f t="shared" si="150"/>
        <v>Corte</v>
      </c>
      <c r="T2149" s="14">
        <f t="shared" si="151"/>
        <v>35</v>
      </c>
      <c r="U2149" s="14">
        <f t="shared" si="152"/>
        <v>70</v>
      </c>
      <c r="V2149" s="14"/>
      <c r="W2149" t="str">
        <f>IF(A2149=$A$1707,base!$I$3,IF(A2149=$A$1709,base!$I$2,IF(Receitas!A2149=Receitas!$A$1701,base!$I$4,"")))</f>
        <v>Gustavo de Castro</v>
      </c>
      <c r="X2149" t="str">
        <f t="shared" si="153"/>
        <v>eder dos santos</v>
      </c>
    </row>
    <row r="2150" spans="1:24">
      <c r="A2150" t="s">
        <v>252</v>
      </c>
      <c r="B2150" t="s">
        <v>163</v>
      </c>
      <c r="C2150" t="s">
        <v>3095</v>
      </c>
      <c r="D2150" s="14">
        <v>35</v>
      </c>
      <c r="F2150" s="13">
        <v>45796.447916666664</v>
      </c>
      <c r="G2150" t="s">
        <v>310</v>
      </c>
      <c r="H2150" t="s">
        <v>1216</v>
      </c>
      <c r="I2150" t="str">
        <f>IF(A2150="","Pacote",IF(B2150=IFERROR(VLOOKUP(B2150,base!$L$1:$L$20,1,0),""),"Produtos",IF(B2150=IFERROR(VLOOKUP(B2150,base!$K$2:$K$20,1,0),""),"Serviços",IF(B2150="Gorjeta","Gorjeta","Combos"))))</f>
        <v>Serviços</v>
      </c>
      <c r="J2150">
        <f t="shared" si="144"/>
        <v>15.75</v>
      </c>
      <c r="K2150" s="1">
        <f t="shared" si="145"/>
        <v>45796.447916666664</v>
      </c>
      <c r="L2150" s="1">
        <f t="shared" si="146"/>
        <v>45796.447916666664</v>
      </c>
      <c r="M2150" s="1">
        <f t="shared" si="147"/>
        <v>45796.447916666664</v>
      </c>
      <c r="N2150" s="1"/>
      <c r="O2150" t="str">
        <f t="shared" si="148"/>
        <v>Cartão de Débito</v>
      </c>
      <c r="P2150" t="s">
        <v>149</v>
      </c>
      <c r="Q2150" t="str">
        <f t="shared" si="149"/>
        <v>Serviços</v>
      </c>
      <c r="R2150" t="str">
        <f t="shared" si="150"/>
        <v>Corte</v>
      </c>
      <c r="T2150" s="14">
        <f t="shared" si="151"/>
        <v>35</v>
      </c>
      <c r="U2150" s="14">
        <f t="shared" si="152"/>
        <v>0</v>
      </c>
      <c r="V2150" s="14"/>
      <c r="W2150" t="str">
        <f>IF(A2150=$A$1707,base!$I$3,IF(A2150=$A$1709,base!$I$2,IF(Receitas!A2150=Receitas!$A$1701,base!$I$4,"")))</f>
        <v>Christian Magon</v>
      </c>
      <c r="X2150" t="str">
        <f t="shared" si="153"/>
        <v>eder dos santos</v>
      </c>
    </row>
    <row r="2151" spans="1:24">
      <c r="A2151" t="s">
        <v>252</v>
      </c>
      <c r="B2151" t="s">
        <v>163</v>
      </c>
      <c r="C2151" t="s">
        <v>3096</v>
      </c>
      <c r="D2151" s="14">
        <v>35</v>
      </c>
      <c r="E2151" s="14">
        <v>45</v>
      </c>
      <c r="F2151" s="13">
        <v>45796.510416666664</v>
      </c>
      <c r="G2151" t="s">
        <v>1</v>
      </c>
      <c r="H2151" t="s">
        <v>2008</v>
      </c>
      <c r="I2151" t="str">
        <f>IF(A2151="","Pacote",IF(B2151=IFERROR(VLOOKUP(B2151,base!$L$1:$L$20,1,0),""),"Produtos",IF(B2151=IFERROR(VLOOKUP(B2151,base!$K$2:$K$20,1,0),""),"Serviços",IF(B2151="Gorjeta","Gorjeta","Combos"))))</f>
        <v>Serviços</v>
      </c>
      <c r="J2151">
        <f t="shared" si="144"/>
        <v>15.75</v>
      </c>
      <c r="K2151" s="1">
        <f t="shared" si="145"/>
        <v>45796.510416666664</v>
      </c>
      <c r="L2151" s="1">
        <f t="shared" si="146"/>
        <v>45796.510416666664</v>
      </c>
      <c r="M2151" s="1">
        <f t="shared" si="147"/>
        <v>45796.510416666664</v>
      </c>
      <c r="N2151" s="1"/>
      <c r="O2151" t="str">
        <f t="shared" si="148"/>
        <v>PIX</v>
      </c>
      <c r="P2151" t="s">
        <v>149</v>
      </c>
      <c r="Q2151" t="str">
        <f t="shared" si="149"/>
        <v>Serviços</v>
      </c>
      <c r="R2151" t="str">
        <f t="shared" si="150"/>
        <v>Corte</v>
      </c>
      <c r="T2151" s="14">
        <f t="shared" si="151"/>
        <v>35</v>
      </c>
      <c r="U2151" s="14">
        <f t="shared" si="152"/>
        <v>45</v>
      </c>
      <c r="V2151" s="14"/>
      <c r="W2151" t="str">
        <f>IF(A2151=$A$1707,base!$I$3,IF(A2151=$A$1709,base!$I$2,IF(Receitas!A2151=Receitas!$A$1701,base!$I$4,"")))</f>
        <v>Christian Magon</v>
      </c>
      <c r="X2151" t="str">
        <f t="shared" si="153"/>
        <v>gabriel luiz</v>
      </c>
    </row>
    <row r="2152" spans="1:24">
      <c r="A2152" t="s">
        <v>252</v>
      </c>
      <c r="B2152" t="s">
        <v>167</v>
      </c>
      <c r="C2152" t="s">
        <v>3096</v>
      </c>
      <c r="D2152" s="14">
        <v>10</v>
      </c>
      <c r="F2152" s="13">
        <v>45796.510416666664</v>
      </c>
      <c r="G2152" t="s">
        <v>1</v>
      </c>
      <c r="H2152" t="s">
        <v>2008</v>
      </c>
      <c r="I2152" t="str">
        <f>IF(A2152="","Pacote",IF(B2152=IFERROR(VLOOKUP(B2152,base!$L$1:$L$20,1,0),""),"Produtos",IF(B2152=IFERROR(VLOOKUP(B2152,base!$K$2:$K$20,1,0),""),"Serviços",IF(B2152="Gorjeta","Gorjeta","Combos"))))</f>
        <v>Serviços</v>
      </c>
      <c r="J2152">
        <f t="shared" si="144"/>
        <v>4.5</v>
      </c>
      <c r="K2152" s="1">
        <f t="shared" si="145"/>
        <v>45796.510416666664</v>
      </c>
      <c r="L2152" s="1">
        <f t="shared" si="146"/>
        <v>45796.510416666664</v>
      </c>
      <c r="M2152" s="1">
        <f t="shared" si="147"/>
        <v>45796.510416666664</v>
      </c>
      <c r="N2152" s="1"/>
      <c r="O2152" t="str">
        <f t="shared" si="148"/>
        <v>PIX</v>
      </c>
      <c r="P2152" t="s">
        <v>149</v>
      </c>
      <c r="Q2152" t="str">
        <f t="shared" si="149"/>
        <v>Serviços</v>
      </c>
      <c r="R2152" t="str">
        <f t="shared" si="150"/>
        <v>Sobrancelha</v>
      </c>
      <c r="T2152" s="14">
        <f t="shared" si="151"/>
        <v>10</v>
      </c>
      <c r="U2152" s="14">
        <f t="shared" si="152"/>
        <v>0</v>
      </c>
      <c r="V2152" s="14"/>
      <c r="W2152" t="str">
        <f>IF(A2152=$A$1707,base!$I$3,IF(A2152=$A$1709,base!$I$2,IF(Receitas!A2152=Receitas!$A$1701,base!$I$4,"")))</f>
        <v>Christian Magon</v>
      </c>
      <c r="X2152" t="str">
        <f t="shared" si="153"/>
        <v>gabriel luiz</v>
      </c>
    </row>
    <row r="2153" spans="1:24">
      <c r="A2153" t="s">
        <v>252</v>
      </c>
      <c r="B2153" t="s">
        <v>163</v>
      </c>
      <c r="C2153" t="s">
        <v>3097</v>
      </c>
      <c r="D2153" s="14">
        <v>35</v>
      </c>
      <c r="E2153" s="14">
        <v>35</v>
      </c>
      <c r="F2153" s="13">
        <v>45796.510416666664</v>
      </c>
      <c r="G2153" t="s">
        <v>1</v>
      </c>
      <c r="H2153" t="s">
        <v>1109</v>
      </c>
      <c r="I2153" t="str">
        <f>IF(A2153="","Pacote",IF(B2153=IFERROR(VLOOKUP(B2153,base!$L$1:$L$20,1,0),""),"Produtos",IF(B2153=IFERROR(VLOOKUP(B2153,base!$K$2:$K$20,1,0),""),"Serviços",IF(B2153="Gorjeta","Gorjeta","Combos"))))</f>
        <v>Serviços</v>
      </c>
      <c r="J2153">
        <f t="shared" si="144"/>
        <v>15.75</v>
      </c>
      <c r="K2153" s="1">
        <f t="shared" si="145"/>
        <v>45796.510416666664</v>
      </c>
      <c r="L2153" s="1">
        <f t="shared" si="146"/>
        <v>45796.510416666664</v>
      </c>
      <c r="M2153" s="1">
        <f t="shared" si="147"/>
        <v>45796.510416666664</v>
      </c>
      <c r="N2153" s="1"/>
      <c r="O2153" t="str">
        <f t="shared" si="148"/>
        <v>PIX</v>
      </c>
      <c r="P2153" t="s">
        <v>149</v>
      </c>
      <c r="Q2153" t="str">
        <f t="shared" si="149"/>
        <v>Serviços</v>
      </c>
      <c r="R2153" t="str">
        <f t="shared" si="150"/>
        <v>Corte</v>
      </c>
      <c r="T2153" s="14">
        <f t="shared" si="151"/>
        <v>35</v>
      </c>
      <c r="U2153" s="14">
        <f t="shared" si="152"/>
        <v>35</v>
      </c>
      <c r="V2153" s="14"/>
      <c r="W2153" t="str">
        <f>IF(A2153=$A$1707,base!$I$3,IF(A2153=$A$1709,base!$I$2,IF(Receitas!A2153=Receitas!$A$1701,base!$I$4,"")))</f>
        <v>Christian Magon</v>
      </c>
      <c r="X2153" t="str">
        <f t="shared" si="153"/>
        <v>Artur da Silva de Almeida</v>
      </c>
    </row>
    <row r="2154" spans="1:24">
      <c r="A2154" t="s">
        <v>252</v>
      </c>
      <c r="B2154" t="s">
        <v>163</v>
      </c>
      <c r="C2154" t="s">
        <v>3098</v>
      </c>
      <c r="D2154" s="14">
        <v>20</v>
      </c>
      <c r="E2154" s="14">
        <v>60</v>
      </c>
      <c r="F2154" s="13">
        <v>45796.65625</v>
      </c>
      <c r="G2154" t="s">
        <v>1</v>
      </c>
      <c r="H2154" t="s">
        <v>852</v>
      </c>
      <c r="I2154" t="str">
        <f>IF(A2154="","Pacote",IF(B2154=IFERROR(VLOOKUP(B2154,base!$L$1:$L$20,1,0),""),"Produtos",IF(B2154=IFERROR(VLOOKUP(B2154,base!$K$2:$K$20,1,0),""),"Serviços",IF(B2154="Gorjeta","Gorjeta","Combos"))))</f>
        <v>Serviços</v>
      </c>
      <c r="J2154">
        <f t="shared" si="144"/>
        <v>9</v>
      </c>
      <c r="K2154" s="1">
        <f t="shared" si="145"/>
        <v>45796.65625</v>
      </c>
      <c r="L2154" s="1">
        <f t="shared" si="146"/>
        <v>45796.65625</v>
      </c>
      <c r="M2154" s="1">
        <f t="shared" si="147"/>
        <v>45796.65625</v>
      </c>
      <c r="N2154" s="1"/>
      <c r="O2154" t="str">
        <f t="shared" si="148"/>
        <v>PIX</v>
      </c>
      <c r="P2154" t="s">
        <v>149</v>
      </c>
      <c r="Q2154" t="str">
        <f t="shared" si="149"/>
        <v>Serviços</v>
      </c>
      <c r="R2154" t="str">
        <f t="shared" si="150"/>
        <v>Corte</v>
      </c>
      <c r="T2154" s="14">
        <f t="shared" si="151"/>
        <v>20</v>
      </c>
      <c r="U2154" s="14">
        <f t="shared" si="152"/>
        <v>60</v>
      </c>
      <c r="V2154" s="14"/>
      <c r="W2154" t="str">
        <f>IF(A2154=$A$1707,base!$I$3,IF(A2154=$A$1709,base!$I$2,IF(Receitas!A2154=Receitas!$A$1701,base!$I$4,"")))</f>
        <v>Christian Magon</v>
      </c>
      <c r="X2154" t="str">
        <f t="shared" si="153"/>
        <v>Fabio Ribeiro</v>
      </c>
    </row>
    <row r="2155" spans="1:24">
      <c r="A2155" t="s">
        <v>252</v>
      </c>
      <c r="B2155" t="s">
        <v>2825</v>
      </c>
      <c r="C2155" t="s">
        <v>3098</v>
      </c>
      <c r="D2155" s="14">
        <v>20</v>
      </c>
      <c r="F2155" s="13">
        <v>45796.65625</v>
      </c>
      <c r="G2155" t="s">
        <v>1</v>
      </c>
      <c r="H2155" t="s">
        <v>852</v>
      </c>
      <c r="I2155" t="str">
        <f>IF(A2155="","Pacote",IF(B2155=IFERROR(VLOOKUP(B2155,base!$L$1:$L$20,1,0),""),"Produtos",IF(B2155=IFERROR(VLOOKUP(B2155,base!$K$2:$K$20,1,0),""),"Serviços",IF(B2155="Gorjeta","Gorjeta","Combos"))))</f>
        <v>Serviços</v>
      </c>
      <c r="J2155">
        <f t="shared" si="144"/>
        <v>9</v>
      </c>
      <c r="K2155" s="1">
        <f t="shared" si="145"/>
        <v>45796.65625</v>
      </c>
      <c r="L2155" s="1">
        <f t="shared" si="146"/>
        <v>45796.65625</v>
      </c>
      <c r="M2155" s="1">
        <f t="shared" si="147"/>
        <v>45796.65625</v>
      </c>
      <c r="N2155" s="1"/>
      <c r="O2155" t="str">
        <f t="shared" si="148"/>
        <v>PIX</v>
      </c>
      <c r="P2155" t="s">
        <v>149</v>
      </c>
      <c r="Q2155" t="str">
        <f t="shared" si="149"/>
        <v>Serviços</v>
      </c>
      <c r="R2155" t="str">
        <f t="shared" si="150"/>
        <v>barboterapia</v>
      </c>
      <c r="T2155" s="14">
        <f t="shared" si="151"/>
        <v>20</v>
      </c>
      <c r="U2155" s="14">
        <f t="shared" si="152"/>
        <v>0</v>
      </c>
      <c r="V2155" s="14"/>
      <c r="W2155" t="str">
        <f>IF(A2155=$A$1707,base!$I$3,IF(A2155=$A$1709,base!$I$2,IF(Receitas!A2155=Receitas!$A$1701,base!$I$4,"")))</f>
        <v>Christian Magon</v>
      </c>
      <c r="X2155" t="str">
        <f t="shared" si="153"/>
        <v>Fabio Ribeiro</v>
      </c>
    </row>
    <row r="2156" spans="1:24">
      <c r="A2156" t="s">
        <v>252</v>
      </c>
      <c r="B2156" t="s">
        <v>352</v>
      </c>
      <c r="C2156" t="s">
        <v>3098</v>
      </c>
      <c r="D2156" s="14">
        <v>20</v>
      </c>
      <c r="F2156" s="13">
        <v>45796.65625</v>
      </c>
      <c r="G2156" t="s">
        <v>1</v>
      </c>
      <c r="H2156" t="s">
        <v>852</v>
      </c>
      <c r="I2156" t="str">
        <f>IF(A2156="","Pacote",IF(B2156=IFERROR(VLOOKUP(B2156,base!$L$1:$L$20,1,0),""),"Produtos",IF(B2156=IFERROR(VLOOKUP(B2156,base!$K$2:$K$20,1,0),""),"Serviços",IF(B2156="Gorjeta","Gorjeta","Combos"))))</f>
        <v>Combos</v>
      </c>
      <c r="J2156">
        <f t="shared" si="144"/>
        <v>9</v>
      </c>
      <c r="K2156" s="1">
        <f t="shared" si="145"/>
        <v>45796.65625</v>
      </c>
      <c r="L2156" s="1">
        <f t="shared" si="146"/>
        <v>45796.65625</v>
      </c>
      <c r="M2156" s="1">
        <f t="shared" si="147"/>
        <v>45796.65625</v>
      </c>
      <c r="N2156" s="1"/>
      <c r="O2156" t="str">
        <f t="shared" si="148"/>
        <v>PIX</v>
      </c>
      <c r="P2156" t="s">
        <v>149</v>
      </c>
      <c r="Q2156" t="str">
        <f t="shared" si="149"/>
        <v>Combos</v>
      </c>
      <c r="R2156" t="str">
        <f t="shared" si="150"/>
        <v>Combo ( depilação nariz e orelha )</v>
      </c>
      <c r="T2156" s="14">
        <f t="shared" si="151"/>
        <v>20</v>
      </c>
      <c r="U2156" s="14">
        <f t="shared" si="152"/>
        <v>0</v>
      </c>
      <c r="V2156" s="14"/>
      <c r="W2156" t="str">
        <f>IF(A2156=$A$1707,base!$I$3,IF(A2156=$A$1709,base!$I$2,IF(Receitas!A2156=Receitas!$A$1701,base!$I$4,"")))</f>
        <v>Christian Magon</v>
      </c>
      <c r="X2156" t="str">
        <f t="shared" si="153"/>
        <v>Fabio Ribeiro</v>
      </c>
    </row>
    <row r="2157" spans="1:24">
      <c r="A2157" t="s">
        <v>519</v>
      </c>
      <c r="B2157" t="s">
        <v>163</v>
      </c>
      <c r="C2157" t="s">
        <v>3099</v>
      </c>
      <c r="D2157" s="14">
        <v>35</v>
      </c>
      <c r="E2157" s="14">
        <v>35</v>
      </c>
      <c r="F2157" s="13">
        <v>45796.677083333336</v>
      </c>
      <c r="G2157" t="s">
        <v>1</v>
      </c>
      <c r="H2157" t="s">
        <v>1381</v>
      </c>
      <c r="I2157" t="str">
        <f>IF(A2157="","Pacote",IF(B2157=IFERROR(VLOOKUP(B2157,base!$L$1:$L$20,1,0),""),"Produtos",IF(B2157=IFERROR(VLOOKUP(B2157,base!$K$2:$K$20,1,0),""),"Serviços",IF(B2157="Gorjeta","Gorjeta","Combos"))))</f>
        <v>Serviços</v>
      </c>
      <c r="J2157">
        <f t="shared" si="144"/>
        <v>15.75</v>
      </c>
      <c r="K2157" s="1">
        <f t="shared" si="145"/>
        <v>45796.677083333336</v>
      </c>
      <c r="L2157" s="1">
        <f t="shared" si="146"/>
        <v>45796.677083333336</v>
      </c>
      <c r="M2157" s="1">
        <f t="shared" si="147"/>
        <v>45796.677083333336</v>
      </c>
      <c r="N2157" s="1"/>
      <c r="O2157" t="str">
        <f t="shared" si="148"/>
        <v>PIX</v>
      </c>
      <c r="P2157" t="s">
        <v>149</v>
      </c>
      <c r="Q2157" t="str">
        <f t="shared" si="149"/>
        <v>Serviços</v>
      </c>
      <c r="R2157" t="str">
        <f t="shared" si="150"/>
        <v>Corte</v>
      </c>
      <c r="T2157" s="14">
        <f t="shared" si="151"/>
        <v>35</v>
      </c>
      <c r="U2157" s="14">
        <f t="shared" si="152"/>
        <v>35</v>
      </c>
      <c r="V2157" s="14"/>
      <c r="W2157" t="str">
        <f>IF(A2157=$A$1707,base!$I$3,IF(A2157=$A$1709,base!$I$2,IF(Receitas!A2157=Receitas!$A$1701,base!$I$4,"")))</f>
        <v>Gustavo de Castro</v>
      </c>
      <c r="X2157" t="str">
        <f t="shared" si="153"/>
        <v>Lucas Villela</v>
      </c>
    </row>
    <row r="2158" spans="1:24">
      <c r="A2158" t="s">
        <v>252</v>
      </c>
      <c r="B2158" t="s">
        <v>353</v>
      </c>
      <c r="C2158" t="s">
        <v>3100</v>
      </c>
      <c r="D2158" s="14">
        <v>60</v>
      </c>
      <c r="E2158" s="14">
        <v>60</v>
      </c>
      <c r="F2158" s="13">
        <v>45796.819444444445</v>
      </c>
      <c r="G2158" t="s">
        <v>1</v>
      </c>
      <c r="H2158" t="s">
        <v>190</v>
      </c>
      <c r="I2158" t="str">
        <f>IF(A2158="","Pacote",IF(B2158=IFERROR(VLOOKUP(B2158,base!$L$1:$L$20,1,0),""),"Produtos",IF(B2158=IFERROR(VLOOKUP(B2158,base!$K$2:$K$20,1,0),""),"Serviços",IF(B2158="Gorjeta","Gorjeta","Combos"))))</f>
        <v>Combos</v>
      </c>
      <c r="J2158">
        <f t="shared" si="144"/>
        <v>27</v>
      </c>
      <c r="K2158" s="1">
        <f t="shared" si="145"/>
        <v>45796.819444444445</v>
      </c>
      <c r="L2158" s="1">
        <f t="shared" si="146"/>
        <v>45796.819444444445</v>
      </c>
      <c r="M2158" s="1">
        <f t="shared" si="147"/>
        <v>45796.819444444445</v>
      </c>
      <c r="N2158" s="1"/>
      <c r="O2158" t="str">
        <f t="shared" si="148"/>
        <v>PIX</v>
      </c>
      <c r="P2158" t="s">
        <v>149</v>
      </c>
      <c r="Q2158" t="str">
        <f t="shared" si="149"/>
        <v>Combos</v>
      </c>
      <c r="R2158" t="str">
        <f t="shared" si="150"/>
        <v>Combo ( Corte + Barba )</v>
      </c>
      <c r="T2158" s="14">
        <f t="shared" si="151"/>
        <v>60</v>
      </c>
      <c r="U2158" s="14">
        <f t="shared" si="152"/>
        <v>60</v>
      </c>
      <c r="V2158" s="14"/>
      <c r="W2158" t="str">
        <f>IF(A2158=$A$1707,base!$I$3,IF(A2158=$A$1709,base!$I$2,IF(Receitas!A2158=Receitas!$A$1701,base!$I$4,"")))</f>
        <v>Christian Magon</v>
      </c>
      <c r="X2158" t="str">
        <f t="shared" si="153"/>
        <v>WAGNER FELIPE SANTA ROSA OLIVEIRA</v>
      </c>
    </row>
    <row r="2159" spans="1:24">
      <c r="A2159" t="s">
        <v>252</v>
      </c>
      <c r="B2159" t="s">
        <v>163</v>
      </c>
      <c r="C2159" t="s">
        <v>3101</v>
      </c>
      <c r="D2159" s="14">
        <v>35</v>
      </c>
      <c r="E2159" s="14">
        <v>35</v>
      </c>
      <c r="F2159" s="13">
        <v>45797.770833333336</v>
      </c>
      <c r="G2159" t="s">
        <v>354</v>
      </c>
      <c r="H2159" t="s">
        <v>85</v>
      </c>
      <c r="I2159" t="str">
        <f>IF(A2159="","Pacote",IF(B2159=IFERROR(VLOOKUP(B2159,base!$L$1:$L$20,1,0),""),"Produtos",IF(B2159=IFERROR(VLOOKUP(B2159,base!$K$2:$K$20,1,0),""),"Serviços",IF(B2159="Gorjeta","Gorjeta","Combos"))))</f>
        <v>Serviços</v>
      </c>
      <c r="J2159">
        <f t="shared" si="144"/>
        <v>15.75</v>
      </c>
      <c r="K2159" s="1">
        <f t="shared" si="145"/>
        <v>45797.770833333336</v>
      </c>
      <c r="L2159" s="1">
        <f t="shared" si="146"/>
        <v>45797.770833333336</v>
      </c>
      <c r="M2159" s="1">
        <f t="shared" si="147"/>
        <v>45797.770833333336</v>
      </c>
      <c r="N2159" s="1"/>
      <c r="O2159" t="str">
        <f t="shared" si="148"/>
        <v>Cartão de Crédito</v>
      </c>
      <c r="P2159" t="s">
        <v>149</v>
      </c>
      <c r="Q2159" t="str">
        <f t="shared" si="149"/>
        <v>Serviços</v>
      </c>
      <c r="R2159" t="str">
        <f t="shared" si="150"/>
        <v>Corte</v>
      </c>
      <c r="T2159" s="14">
        <f t="shared" si="151"/>
        <v>35</v>
      </c>
      <c r="U2159" s="14">
        <f t="shared" si="152"/>
        <v>35</v>
      </c>
      <c r="V2159" s="14"/>
      <c r="W2159" t="str">
        <f>IF(A2159=$A$1707,base!$I$3,IF(A2159=$A$1709,base!$I$2,IF(Receitas!A2159=Receitas!$A$1701,base!$I$4,"")))</f>
        <v>Christian Magon</v>
      </c>
      <c r="X2159" t="str">
        <f t="shared" si="153"/>
        <v>Jonathan Brandão</v>
      </c>
    </row>
    <row r="2160" spans="1:24">
      <c r="A2160" t="s">
        <v>252</v>
      </c>
      <c r="B2160" t="s">
        <v>163</v>
      </c>
      <c r="C2160" t="s">
        <v>3102</v>
      </c>
      <c r="D2160" s="14">
        <v>35</v>
      </c>
      <c r="E2160" s="14">
        <v>35</v>
      </c>
      <c r="F2160" s="13">
        <v>45797.53125</v>
      </c>
      <c r="G2160" t="s">
        <v>310</v>
      </c>
      <c r="H2160" t="s">
        <v>473</v>
      </c>
      <c r="I2160" t="str">
        <f>IF(A2160="","Pacote",IF(B2160=IFERROR(VLOOKUP(B2160,base!$L$1:$L$20,1,0),""),"Produtos",IF(B2160=IFERROR(VLOOKUP(B2160,base!$K$2:$K$20,1,0),""),"Serviços",IF(B2160="Gorjeta","Gorjeta","Combos"))))</f>
        <v>Serviços</v>
      </c>
      <c r="J2160">
        <f t="shared" si="144"/>
        <v>15.75</v>
      </c>
      <c r="K2160" s="1">
        <f t="shared" si="145"/>
        <v>45797.53125</v>
      </c>
      <c r="L2160" s="1">
        <f t="shared" si="146"/>
        <v>45797.53125</v>
      </c>
      <c r="M2160" s="1">
        <f t="shared" si="147"/>
        <v>45797.53125</v>
      </c>
      <c r="N2160" s="1"/>
      <c r="O2160" t="str">
        <f t="shared" si="148"/>
        <v>Cartão de Débito</v>
      </c>
      <c r="P2160" t="s">
        <v>149</v>
      </c>
      <c r="Q2160" t="str">
        <f t="shared" si="149"/>
        <v>Serviços</v>
      </c>
      <c r="R2160" t="str">
        <f t="shared" si="150"/>
        <v>Corte</v>
      </c>
      <c r="T2160" s="14">
        <f t="shared" si="151"/>
        <v>35</v>
      </c>
      <c r="U2160" s="14">
        <f t="shared" si="152"/>
        <v>35</v>
      </c>
      <c r="V2160" s="14"/>
      <c r="W2160" t="str">
        <f>IF(A2160=$A$1707,base!$I$3,IF(A2160=$A$1709,base!$I$2,IF(Receitas!A2160=Receitas!$A$1701,base!$I$4,"")))</f>
        <v>Christian Magon</v>
      </c>
      <c r="X2160" t="str">
        <f t="shared" si="153"/>
        <v>Ronaldo Oliveira</v>
      </c>
    </row>
    <row r="2161" spans="1:24">
      <c r="A2161" t="s">
        <v>536</v>
      </c>
      <c r="B2161" t="s">
        <v>353</v>
      </c>
      <c r="C2161" t="s">
        <v>3103</v>
      </c>
      <c r="D2161" s="14">
        <v>60</v>
      </c>
      <c r="E2161" s="14">
        <v>60</v>
      </c>
      <c r="F2161" s="13">
        <v>45797.625</v>
      </c>
      <c r="G2161" t="s">
        <v>1</v>
      </c>
      <c r="H2161" t="s">
        <v>2162</v>
      </c>
      <c r="I2161" t="str">
        <f>IF(A2161="","Pacote",IF(B2161=IFERROR(VLOOKUP(B2161,base!$L$1:$L$20,1,0),""),"Produtos",IF(B2161=IFERROR(VLOOKUP(B2161,base!$K$2:$K$20,1,0),""),"Serviços",IF(B2161="Gorjeta","Gorjeta","Combos"))))</f>
        <v>Combos</v>
      </c>
      <c r="J2161">
        <f t="shared" si="144"/>
        <v>27</v>
      </c>
      <c r="K2161" s="1">
        <f t="shared" si="145"/>
        <v>45797.625</v>
      </c>
      <c r="L2161" s="1">
        <f t="shared" si="146"/>
        <v>45797.625</v>
      </c>
      <c r="M2161" s="1">
        <f t="shared" si="147"/>
        <v>45797.625</v>
      </c>
      <c r="N2161" s="1"/>
      <c r="O2161" t="str">
        <f t="shared" si="148"/>
        <v>PIX</v>
      </c>
      <c r="P2161" t="s">
        <v>149</v>
      </c>
      <c r="Q2161" t="str">
        <f t="shared" si="149"/>
        <v>Combos</v>
      </c>
      <c r="R2161" t="str">
        <f t="shared" si="150"/>
        <v>Combo ( Corte + Barba )</v>
      </c>
      <c r="T2161" s="14">
        <f t="shared" si="151"/>
        <v>60</v>
      </c>
      <c r="U2161" s="14">
        <f t="shared" si="152"/>
        <v>60</v>
      </c>
      <c r="V2161" s="14"/>
      <c r="W2161" t="str">
        <f>IF(A2161=$A$1707,base!$I$3,IF(A2161=$A$1709,base!$I$2,IF(Receitas!A2161=Receitas!$A$1701,base!$I$4,"")))</f>
        <v>PATRICK CARDOSO</v>
      </c>
      <c r="X2161" t="str">
        <f t="shared" si="153"/>
        <v>Thiago Franco</v>
      </c>
    </row>
    <row r="2162" spans="1:24">
      <c r="A2162" t="s">
        <v>252</v>
      </c>
      <c r="B2162" t="s">
        <v>353</v>
      </c>
      <c r="C2162" t="s">
        <v>3104</v>
      </c>
      <c r="D2162" s="14">
        <v>60</v>
      </c>
      <c r="E2162" s="14">
        <v>60</v>
      </c>
      <c r="F2162" s="13">
        <v>45797.802083333336</v>
      </c>
      <c r="G2162" t="s">
        <v>1</v>
      </c>
      <c r="H2162" t="s">
        <v>48</v>
      </c>
      <c r="I2162" t="str">
        <f>IF(A2162="","Pacote",IF(B2162=IFERROR(VLOOKUP(B2162,base!$L$1:$L$20,1,0),""),"Produtos",IF(B2162=IFERROR(VLOOKUP(B2162,base!$K$2:$K$20,1,0),""),"Serviços",IF(B2162="Gorjeta","Gorjeta","Combos"))))</f>
        <v>Combos</v>
      </c>
      <c r="J2162">
        <f t="shared" si="144"/>
        <v>27</v>
      </c>
      <c r="K2162" s="1">
        <f t="shared" si="145"/>
        <v>45797.802083333336</v>
      </c>
      <c r="L2162" s="1">
        <f t="shared" si="146"/>
        <v>45797.802083333336</v>
      </c>
      <c r="M2162" s="1">
        <f t="shared" si="147"/>
        <v>45797.802083333336</v>
      </c>
      <c r="N2162" s="1"/>
      <c r="O2162" t="str">
        <f t="shared" si="148"/>
        <v>PIX</v>
      </c>
      <c r="P2162" t="s">
        <v>149</v>
      </c>
      <c r="Q2162" t="str">
        <f t="shared" si="149"/>
        <v>Combos</v>
      </c>
      <c r="R2162" t="str">
        <f t="shared" si="150"/>
        <v>Combo ( Corte + Barba )</v>
      </c>
      <c r="T2162" s="14">
        <f t="shared" si="151"/>
        <v>60</v>
      </c>
      <c r="U2162" s="14">
        <f t="shared" si="152"/>
        <v>60</v>
      </c>
      <c r="V2162" s="14"/>
      <c r="W2162" t="str">
        <f>IF(A2162=$A$1707,base!$I$3,IF(A2162=$A$1709,base!$I$2,IF(Receitas!A2162=Receitas!$A$1701,base!$I$4,"")))</f>
        <v>Christian Magon</v>
      </c>
      <c r="X2162" t="str">
        <f t="shared" si="153"/>
        <v>Matheus Magon Teixeira</v>
      </c>
    </row>
    <row r="2163" spans="1:24">
      <c r="A2163" t="s">
        <v>536</v>
      </c>
      <c r="B2163" t="s">
        <v>163</v>
      </c>
      <c r="C2163" t="s">
        <v>3105</v>
      </c>
      <c r="D2163" s="14">
        <v>35</v>
      </c>
      <c r="E2163" s="14">
        <v>35</v>
      </c>
      <c r="F2163" s="13">
        <v>45797.802083333336</v>
      </c>
      <c r="G2163" t="s">
        <v>1</v>
      </c>
      <c r="H2163" t="s">
        <v>1175</v>
      </c>
      <c r="I2163" t="str">
        <f>IF(A2163="","Pacote",IF(B2163=IFERROR(VLOOKUP(B2163,base!$L$1:$L$20,1,0),""),"Produtos",IF(B2163=IFERROR(VLOOKUP(B2163,base!$K$2:$K$20,1,0),""),"Serviços",IF(B2163="Gorjeta","Gorjeta","Combos"))))</f>
        <v>Serviços</v>
      </c>
      <c r="J2163">
        <f t="shared" si="144"/>
        <v>15.75</v>
      </c>
      <c r="K2163" s="1">
        <f t="shared" si="145"/>
        <v>45797.802083333336</v>
      </c>
      <c r="L2163" s="1">
        <f t="shared" si="146"/>
        <v>45797.802083333336</v>
      </c>
      <c r="M2163" s="1">
        <f t="shared" si="147"/>
        <v>45797.802083333336</v>
      </c>
      <c r="N2163" s="1"/>
      <c r="O2163" t="str">
        <f t="shared" si="148"/>
        <v>PIX</v>
      </c>
      <c r="P2163" t="s">
        <v>149</v>
      </c>
      <c r="Q2163" t="str">
        <f t="shared" si="149"/>
        <v>Serviços</v>
      </c>
      <c r="R2163" t="str">
        <f t="shared" si="150"/>
        <v>Corte</v>
      </c>
      <c r="T2163" s="14">
        <f t="shared" si="151"/>
        <v>35</v>
      </c>
      <c r="U2163" s="14">
        <f t="shared" si="152"/>
        <v>35</v>
      </c>
      <c r="V2163" s="14"/>
      <c r="W2163" t="str">
        <f>IF(A2163=$A$1707,base!$I$3,IF(A2163=$A$1709,base!$I$2,IF(Receitas!A2163=Receitas!$A$1701,base!$I$4,"")))</f>
        <v>PATRICK CARDOSO</v>
      </c>
      <c r="X2163" t="str">
        <f t="shared" si="153"/>
        <v>Phillyp ferreira</v>
      </c>
    </row>
    <row r="2164" spans="1:24">
      <c r="A2164" t="s">
        <v>536</v>
      </c>
      <c r="B2164" t="s">
        <v>163</v>
      </c>
      <c r="C2164" t="s">
        <v>3106</v>
      </c>
      <c r="D2164" s="14">
        <v>20</v>
      </c>
      <c r="E2164" s="14">
        <v>20</v>
      </c>
      <c r="F2164" s="13">
        <v>45797.829861111109</v>
      </c>
      <c r="G2164" t="s">
        <v>1</v>
      </c>
      <c r="H2164" t="s">
        <v>3107</v>
      </c>
      <c r="I2164" t="str">
        <f>IF(A2164="","Pacote",IF(B2164=IFERROR(VLOOKUP(B2164,base!$L$1:$L$20,1,0),""),"Produtos",IF(B2164=IFERROR(VLOOKUP(B2164,base!$K$2:$K$20,1,0),""),"Serviços",IF(B2164="Gorjeta","Gorjeta","Combos"))))</f>
        <v>Serviços</v>
      </c>
      <c r="J2164">
        <f t="shared" si="144"/>
        <v>9</v>
      </c>
      <c r="K2164" s="1">
        <f t="shared" si="145"/>
        <v>45797.829861111109</v>
      </c>
      <c r="L2164" s="1">
        <f t="shared" si="146"/>
        <v>45797.829861111109</v>
      </c>
      <c r="M2164" s="1">
        <f t="shared" si="147"/>
        <v>45797.829861111109</v>
      </c>
      <c r="N2164" s="1"/>
      <c r="O2164" t="str">
        <f t="shared" si="148"/>
        <v>PIX</v>
      </c>
      <c r="P2164" t="s">
        <v>149</v>
      </c>
      <c r="Q2164" t="str">
        <f t="shared" si="149"/>
        <v>Serviços</v>
      </c>
      <c r="R2164" t="str">
        <f t="shared" si="150"/>
        <v>Corte</v>
      </c>
      <c r="T2164" s="14">
        <f t="shared" si="151"/>
        <v>20</v>
      </c>
      <c r="U2164" s="14">
        <f t="shared" si="152"/>
        <v>20</v>
      </c>
      <c r="V2164" s="14"/>
      <c r="W2164" t="str">
        <f>IF(A2164=$A$1707,base!$I$3,IF(A2164=$A$1709,base!$I$2,IF(Receitas!A2164=Receitas!$A$1701,base!$I$4,"")))</f>
        <v>PATRICK CARDOSO</v>
      </c>
      <c r="X2164" t="str">
        <f t="shared" si="153"/>
        <v>Augusto Cesar</v>
      </c>
    </row>
    <row r="2165" spans="1:24">
      <c r="A2165" t="s">
        <v>252</v>
      </c>
      <c r="B2165" t="s">
        <v>163</v>
      </c>
      <c r="C2165" t="s">
        <v>3111</v>
      </c>
      <c r="D2165" s="14">
        <v>35</v>
      </c>
      <c r="E2165" s="14">
        <v>45</v>
      </c>
      <c r="F2165" t="s">
        <v>3112</v>
      </c>
      <c r="G2165" t="s">
        <v>310</v>
      </c>
      <c r="H2165" t="s">
        <v>2866</v>
      </c>
      <c r="I2165" t="str">
        <f>IF(A2165="","Pacote",IF(B2165=IFERROR(VLOOKUP(B2165,base!$L$1:$L$20,1,0),""),"Produtos",IF(B2165=IFERROR(VLOOKUP(B2165,base!$K$2:$K$20,1,0),""),"Serviços",IF(B2165="Gorjeta","Gorjeta","Combos"))))</f>
        <v>Serviços</v>
      </c>
      <c r="J2165">
        <f t="shared" ref="J2165:J2166" si="154">IF(AND(I2165="Serviços",E2165&gt;0),ROUND(D2165*45%,2),IF(I2165="Produtos",ROUND(D2165*40%,2),D2165*45%))</f>
        <v>15.75</v>
      </c>
      <c r="K2165" s="1" t="str">
        <f t="shared" ref="K2165:K2166" si="155">F2165</f>
        <v>17/05/2025 18:00</v>
      </c>
      <c r="L2165" s="1">
        <f>DATEVALUE(K2165)</f>
        <v>45794</v>
      </c>
      <c r="M2165" s="1">
        <f>DATEVALUE(K2165)</f>
        <v>45794</v>
      </c>
      <c r="N2165" s="1"/>
      <c r="O2165" t="str">
        <f t="shared" ref="O2165:O2166" si="156">G2165</f>
        <v>Cartão de Débito</v>
      </c>
      <c r="P2165" t="s">
        <v>149</v>
      </c>
      <c r="Q2165" t="str">
        <f t="shared" ref="Q2165:Q2166" si="157">I2165</f>
        <v>Serviços</v>
      </c>
      <c r="R2165" t="str">
        <f t="shared" ref="R2165:R2166" si="158">B2165</f>
        <v>Corte</v>
      </c>
      <c r="T2165" s="14">
        <f t="shared" ref="T2165:T2166" si="159">D2165</f>
        <v>35</v>
      </c>
      <c r="U2165" s="14">
        <f t="shared" ref="U2165:U2166" si="160">E2165</f>
        <v>45</v>
      </c>
      <c r="V2165" s="14"/>
      <c r="W2165" t="str">
        <f>IF(A2165=$A$1707,base!$I$3,IF(A2165=$A$1709,base!$I$2,IF(Receitas!A2165=Receitas!$A$1701,base!$I$4,"")))</f>
        <v>Christian Magon</v>
      </c>
      <c r="X2165" t="str">
        <f t="shared" ref="X2165:X2166" si="161">H2165</f>
        <v>Talys Theodoro</v>
      </c>
    </row>
    <row r="2166" spans="1:24" s="25" customFormat="1">
      <c r="A2166" s="25" t="s">
        <v>252</v>
      </c>
      <c r="B2166" s="25" t="s">
        <v>167</v>
      </c>
      <c r="C2166" s="25" t="s">
        <v>3111</v>
      </c>
      <c r="D2166" s="26">
        <v>10</v>
      </c>
      <c r="E2166" s="25" t="s">
        <v>1604</v>
      </c>
      <c r="F2166" s="25" t="s">
        <v>3112</v>
      </c>
      <c r="G2166" s="25" t="s">
        <v>310</v>
      </c>
      <c r="H2166" s="25" t="s">
        <v>2866</v>
      </c>
      <c r="I2166" s="25" t="str">
        <f>IF(A2166="","Pacote",IF(B2166=IFERROR(VLOOKUP(B2166,base!$L$1:$L$20,1,0),""),"Produtos",IF(B2166=IFERROR(VLOOKUP(B2166,base!$K$2:$K$20,1,0),""),"Serviços",IF(B2166="Gorjeta","Gorjeta","Combos"))))</f>
        <v>Serviços</v>
      </c>
      <c r="J2166" s="25">
        <f t="shared" si="154"/>
        <v>4.5</v>
      </c>
      <c r="K2166" s="50" t="str">
        <f t="shared" si="155"/>
        <v>17/05/2025 18:00</v>
      </c>
      <c r="L2166" s="50">
        <f>DATEVALUE(K2166)</f>
        <v>45794</v>
      </c>
      <c r="M2166" s="50">
        <f>DATEVALUE(K2166)</f>
        <v>45794</v>
      </c>
      <c r="N2166" s="50"/>
      <c r="O2166" s="25" t="str">
        <f t="shared" si="156"/>
        <v>Cartão de Débito</v>
      </c>
      <c r="P2166" s="25" t="s">
        <v>149</v>
      </c>
      <c r="Q2166" s="25" t="str">
        <f t="shared" si="157"/>
        <v>Serviços</v>
      </c>
      <c r="R2166" s="25" t="str">
        <f t="shared" si="158"/>
        <v>Sobrancelha</v>
      </c>
      <c r="T2166" s="26">
        <f t="shared" si="159"/>
        <v>10</v>
      </c>
      <c r="U2166" s="26" t="str">
        <f t="shared" si="160"/>
        <v/>
      </c>
      <c r="V2166" s="26"/>
      <c r="W2166" s="25" t="str">
        <f>IF(A2166=$A$1707,base!$I$3,IF(A2166=$A$1709,base!$I$2,IF(Receitas!A2166=Receitas!$A$1701,base!$I$4,"")))</f>
        <v>Christian Magon</v>
      </c>
      <c r="X2166" s="25" t="str">
        <f t="shared" si="161"/>
        <v>Talys Theodoro</v>
      </c>
    </row>
    <row r="2167" spans="1:24">
      <c r="A2167" s="68" t="s">
        <v>252</v>
      </c>
      <c r="B2167" s="68" t="s">
        <v>163</v>
      </c>
      <c r="C2167" s="68" t="s">
        <v>3113</v>
      </c>
      <c r="D2167" s="69">
        <v>35</v>
      </c>
      <c r="E2167" s="69">
        <v>35</v>
      </c>
      <c r="F2167" s="68" t="s">
        <v>3114</v>
      </c>
      <c r="G2167" s="68" t="s">
        <v>1</v>
      </c>
      <c r="H2167" s="68" t="s">
        <v>364</v>
      </c>
      <c r="I2167" t="str">
        <f>IF(A2167="","Pacote",IF(B2167=IFERROR(VLOOKUP(B2167,base!$L$1:$L$20,1,0),""),"Produtos",IF(B2167=IFERROR(VLOOKUP(B2167,base!$K$2:$K$20,1,0),""),"Serviços",IF(B2167="Gorjeta","Gorjeta","Combos"))))</f>
        <v>Serviços</v>
      </c>
      <c r="J2167">
        <f t="shared" ref="J2167" si="162">IF(AND(I2167="Serviços",E2167&gt;0),ROUND(D2167*45%,2),IF(I2167="Produtos",ROUND(D2167*40%,2),D2167*45%))</f>
        <v>15.75</v>
      </c>
      <c r="K2167" s="1" t="str">
        <f t="shared" ref="K2167" si="163">F2167</f>
        <v>22/05/2025 10:00</v>
      </c>
      <c r="L2167" s="1">
        <f>DATEVALUE(K2167)</f>
        <v>45799</v>
      </c>
      <c r="M2167" s="1">
        <f>DATEVALUE(K2167)</f>
        <v>45799</v>
      </c>
      <c r="N2167" s="1"/>
      <c r="O2167" t="str">
        <f t="shared" ref="O2167" si="164">G2167</f>
        <v>PIX</v>
      </c>
      <c r="P2167" t="s">
        <v>149</v>
      </c>
      <c r="Q2167" t="str">
        <f t="shared" ref="Q2167" si="165">I2167</f>
        <v>Serviços</v>
      </c>
      <c r="R2167" t="str">
        <f t="shared" ref="R2167" si="166">B2167</f>
        <v>Corte</v>
      </c>
      <c r="T2167" s="14">
        <f t="shared" ref="T2167" si="167">D2167</f>
        <v>35</v>
      </c>
      <c r="U2167" s="14">
        <f t="shared" ref="U2167" si="168">E2167</f>
        <v>35</v>
      </c>
      <c r="V2167" s="14"/>
      <c r="W2167" t="str">
        <f>IF(A2167=$A$1707,base!$I$3,IF(A2167=$A$1709,base!$I$2,IF(Receitas!A2167=Receitas!$A$1701,base!$I$4,"")))</f>
        <v>Christian Magon</v>
      </c>
      <c r="X2167" t="str">
        <f t="shared" ref="X2167" si="169">H2167</f>
        <v>Gabriel lucas</v>
      </c>
    </row>
    <row r="2168" spans="1:24">
      <c r="A2168" s="68" t="s">
        <v>252</v>
      </c>
      <c r="B2168" s="68" t="s">
        <v>163</v>
      </c>
      <c r="C2168" s="68" t="s">
        <v>3115</v>
      </c>
      <c r="D2168" s="69">
        <v>35</v>
      </c>
      <c r="E2168" s="69">
        <v>45</v>
      </c>
      <c r="F2168" s="68" t="s">
        <v>3116</v>
      </c>
      <c r="G2168" s="68" t="s">
        <v>1</v>
      </c>
      <c r="H2168" s="68" t="s">
        <v>31</v>
      </c>
      <c r="I2168" t="str">
        <f>IF(A2168="","Pacote",IF(B2168=IFERROR(VLOOKUP(B2168,base!$L$1:$L$20,1,0),""),"Produtos",IF(B2168=IFERROR(VLOOKUP(B2168,base!$K$2:$K$20,1,0),""),"Serviços",IF(B2168="Gorjeta","Gorjeta","Combos"))))</f>
        <v>Serviços</v>
      </c>
      <c r="J2168">
        <f t="shared" ref="J2168:J2231" si="170">IF(AND(I2168="Serviços",E2168&gt;0),ROUND(D2168*45%,2),IF(I2168="Produtos",ROUND(D2168*40%,2),D2168*45%))</f>
        <v>15.75</v>
      </c>
      <c r="K2168" s="1" t="str">
        <f t="shared" ref="K2168:K2231" si="171">F2168</f>
        <v>22/05/2025 14:30</v>
      </c>
      <c r="L2168" s="1">
        <f t="shared" ref="L2168:L2231" si="172">DATEVALUE(K2168)</f>
        <v>45799</v>
      </c>
      <c r="M2168" s="1">
        <f t="shared" ref="M2168:M2231" si="173">DATEVALUE(K2168)</f>
        <v>45799</v>
      </c>
      <c r="N2168" s="1"/>
      <c r="O2168" t="str">
        <f t="shared" ref="O2168:O2231" si="174">G2168</f>
        <v>PIX</v>
      </c>
      <c r="P2168" t="s">
        <v>149</v>
      </c>
      <c r="Q2168" t="str">
        <f t="shared" ref="Q2168:Q2231" si="175">I2168</f>
        <v>Serviços</v>
      </c>
      <c r="R2168" t="str">
        <f t="shared" ref="R2168:R2231" si="176">B2168</f>
        <v>Corte</v>
      </c>
      <c r="T2168" s="14">
        <f t="shared" ref="T2168:T2231" si="177">D2168</f>
        <v>35</v>
      </c>
      <c r="U2168" s="14">
        <f t="shared" ref="U2168:U2231" si="178">E2168</f>
        <v>45</v>
      </c>
      <c r="V2168" s="14"/>
      <c r="W2168" t="str">
        <f>IF(A2168=$A$1707,base!$I$3,IF(A2168=$A$1709,base!$I$2,IF(Receitas!A2168=Receitas!$A$1701,base!$I$4,"")))</f>
        <v>Christian Magon</v>
      </c>
      <c r="X2168" t="str">
        <f t="shared" ref="X2168:X2231" si="179">H2168</f>
        <v>Pedro Lucas</v>
      </c>
    </row>
    <row r="2169" spans="1:24">
      <c r="A2169" s="68" t="s">
        <v>252</v>
      </c>
      <c r="B2169" s="68" t="s">
        <v>167</v>
      </c>
      <c r="C2169" s="68" t="s">
        <v>3115</v>
      </c>
      <c r="D2169" s="69">
        <v>10</v>
      </c>
      <c r="E2169" s="68" t="s">
        <v>1604</v>
      </c>
      <c r="F2169" s="68" t="s">
        <v>3116</v>
      </c>
      <c r="G2169" s="68" t="s">
        <v>1</v>
      </c>
      <c r="H2169" s="68" t="s">
        <v>31</v>
      </c>
      <c r="I2169" t="str">
        <f>IF(A2169="","Pacote",IF(B2169=IFERROR(VLOOKUP(B2169,base!$L$1:$L$20,1,0),""),"Produtos",IF(B2169=IFERROR(VLOOKUP(B2169,base!$K$2:$K$20,1,0),""),"Serviços",IF(B2169="Gorjeta","Gorjeta","Combos"))))</f>
        <v>Serviços</v>
      </c>
      <c r="J2169">
        <f t="shared" si="170"/>
        <v>4.5</v>
      </c>
      <c r="K2169" s="1" t="str">
        <f t="shared" si="171"/>
        <v>22/05/2025 14:30</v>
      </c>
      <c r="L2169" s="1">
        <f t="shared" si="172"/>
        <v>45799</v>
      </c>
      <c r="M2169" s="1">
        <f t="shared" si="173"/>
        <v>45799</v>
      </c>
      <c r="N2169" s="1"/>
      <c r="O2169" t="str">
        <f t="shared" si="174"/>
        <v>PIX</v>
      </c>
      <c r="P2169" t="s">
        <v>149</v>
      </c>
      <c r="Q2169" t="str">
        <f t="shared" si="175"/>
        <v>Serviços</v>
      </c>
      <c r="R2169" t="str">
        <f t="shared" si="176"/>
        <v>Sobrancelha</v>
      </c>
      <c r="T2169" s="14">
        <f t="shared" si="177"/>
        <v>10</v>
      </c>
      <c r="U2169" s="14" t="str">
        <f t="shared" si="178"/>
        <v/>
      </c>
      <c r="V2169" s="14"/>
      <c r="W2169" t="str">
        <f>IF(A2169=$A$1707,base!$I$3,IF(A2169=$A$1709,base!$I$2,IF(Receitas!A2169=Receitas!$A$1701,base!$I$4,"")))</f>
        <v>Christian Magon</v>
      </c>
      <c r="X2169" t="str">
        <f t="shared" si="179"/>
        <v>Pedro Lucas</v>
      </c>
    </row>
    <row r="2170" spans="1:24">
      <c r="A2170" s="68" t="s">
        <v>252</v>
      </c>
      <c r="B2170" s="68" t="s">
        <v>163</v>
      </c>
      <c r="C2170" s="68" t="s">
        <v>3117</v>
      </c>
      <c r="D2170" s="69">
        <v>35</v>
      </c>
      <c r="E2170" s="69">
        <v>50</v>
      </c>
      <c r="F2170" s="68" t="s">
        <v>3118</v>
      </c>
      <c r="G2170" s="68" t="s">
        <v>1</v>
      </c>
      <c r="H2170" s="68" t="s">
        <v>475</v>
      </c>
      <c r="I2170" t="str">
        <f>IF(A2170="","Pacote",IF(B2170=IFERROR(VLOOKUP(B2170,base!$L$1:$L$20,1,0),""),"Produtos",IF(B2170=IFERROR(VLOOKUP(B2170,base!$K$2:$K$20,1,0),""),"Serviços",IF(B2170="Gorjeta","Gorjeta","Combos"))))</f>
        <v>Serviços</v>
      </c>
      <c r="J2170">
        <f t="shared" si="170"/>
        <v>15.75</v>
      </c>
      <c r="K2170" s="1" t="str">
        <f t="shared" si="171"/>
        <v>23/05/2025 19:30</v>
      </c>
      <c r="L2170" s="1">
        <f t="shared" si="172"/>
        <v>45800</v>
      </c>
      <c r="M2170" s="1">
        <f t="shared" si="173"/>
        <v>45800</v>
      </c>
      <c r="N2170" s="1"/>
      <c r="O2170" t="str">
        <f t="shared" si="174"/>
        <v>PIX</v>
      </c>
      <c r="P2170" t="s">
        <v>149</v>
      </c>
      <c r="Q2170" t="str">
        <f t="shared" si="175"/>
        <v>Serviços</v>
      </c>
      <c r="R2170" t="str">
        <f t="shared" si="176"/>
        <v>Corte</v>
      </c>
      <c r="T2170" s="14">
        <f t="shared" si="177"/>
        <v>35</v>
      </c>
      <c r="U2170" s="14">
        <f t="shared" si="178"/>
        <v>50</v>
      </c>
      <c r="V2170" s="14"/>
      <c r="W2170" t="str">
        <f>IF(A2170=$A$1707,base!$I$3,IF(A2170=$A$1709,base!$I$2,IF(Receitas!A2170=Receitas!$A$1701,base!$I$4,"")))</f>
        <v>Christian Magon</v>
      </c>
      <c r="X2170" t="str">
        <f t="shared" si="179"/>
        <v>Ryan Henrique</v>
      </c>
    </row>
    <row r="2171" spans="1:24">
      <c r="A2171" s="68" t="s">
        <v>252</v>
      </c>
      <c r="B2171" s="68" t="s">
        <v>160</v>
      </c>
      <c r="C2171" s="68" t="s">
        <v>3117</v>
      </c>
      <c r="D2171" s="69">
        <v>15</v>
      </c>
      <c r="E2171" s="68" t="s">
        <v>1604</v>
      </c>
      <c r="F2171" s="68" t="s">
        <v>3118</v>
      </c>
      <c r="G2171" s="68" t="s">
        <v>1</v>
      </c>
      <c r="H2171" s="68" t="s">
        <v>475</v>
      </c>
      <c r="I2171" t="str">
        <f>IF(A2171="","Pacote",IF(B2171=IFERROR(VLOOKUP(B2171,base!$L$1:$L$20,1,0),""),"Produtos",IF(B2171=IFERROR(VLOOKUP(B2171,base!$K$2:$K$20,1,0),""),"Serviços",IF(B2171="Gorjeta","Gorjeta","Combos"))))</f>
        <v>Serviços</v>
      </c>
      <c r="J2171">
        <f t="shared" si="170"/>
        <v>6.75</v>
      </c>
      <c r="K2171" s="1" t="str">
        <f t="shared" si="171"/>
        <v>23/05/2025 19:30</v>
      </c>
      <c r="L2171" s="1">
        <f t="shared" si="172"/>
        <v>45800</v>
      </c>
      <c r="M2171" s="1">
        <f t="shared" si="173"/>
        <v>45800</v>
      </c>
      <c r="N2171" s="1"/>
      <c r="O2171" t="str">
        <f t="shared" si="174"/>
        <v>PIX</v>
      </c>
      <c r="P2171" t="s">
        <v>149</v>
      </c>
      <c r="Q2171" t="str">
        <f t="shared" si="175"/>
        <v>Serviços</v>
      </c>
      <c r="R2171" t="str">
        <f t="shared" si="176"/>
        <v>Acabamento</v>
      </c>
      <c r="T2171" s="14">
        <f t="shared" si="177"/>
        <v>15</v>
      </c>
      <c r="U2171" s="14" t="str">
        <f t="shared" si="178"/>
        <v/>
      </c>
      <c r="V2171" s="14"/>
      <c r="W2171" t="str">
        <f>IF(A2171=$A$1707,base!$I$3,IF(A2171=$A$1709,base!$I$2,IF(Receitas!A2171=Receitas!$A$1701,base!$I$4,"")))</f>
        <v>Christian Magon</v>
      </c>
      <c r="X2171" t="str">
        <f t="shared" si="179"/>
        <v>Ryan Henrique</v>
      </c>
    </row>
    <row r="2172" spans="1:24">
      <c r="A2172" s="68" t="s">
        <v>519</v>
      </c>
      <c r="B2172" s="68" t="s">
        <v>163</v>
      </c>
      <c r="C2172" s="68" t="s">
        <v>3119</v>
      </c>
      <c r="D2172" s="69">
        <v>30</v>
      </c>
      <c r="E2172" s="69">
        <v>0</v>
      </c>
      <c r="F2172" s="68" t="s">
        <v>3120</v>
      </c>
      <c r="G2172" s="68" t="s">
        <v>1</v>
      </c>
      <c r="H2172" s="68" t="s">
        <v>122</v>
      </c>
      <c r="I2172" t="str">
        <f>IF(A2172="","Pacote",IF(B2172=IFERROR(VLOOKUP(B2172,base!$L$1:$L$20,1,0),""),"Produtos",IF(B2172=IFERROR(VLOOKUP(B2172,base!$K$2:$K$20,1,0),""),"Serviços",IF(B2172="Gorjeta","Gorjeta","Combos"))))</f>
        <v>Serviços</v>
      </c>
      <c r="J2172">
        <f t="shared" si="170"/>
        <v>13.5</v>
      </c>
      <c r="K2172" s="1" t="str">
        <f t="shared" si="171"/>
        <v>21/05/2025 10:00</v>
      </c>
      <c r="L2172" s="1">
        <f t="shared" si="172"/>
        <v>45798</v>
      </c>
      <c r="M2172" s="1">
        <f t="shared" si="173"/>
        <v>45798</v>
      </c>
      <c r="N2172" s="1"/>
      <c r="O2172" t="str">
        <f t="shared" si="174"/>
        <v>PIX</v>
      </c>
      <c r="P2172" t="s">
        <v>149</v>
      </c>
      <c r="Q2172" t="str">
        <f t="shared" si="175"/>
        <v>Serviços</v>
      </c>
      <c r="R2172" t="str">
        <f t="shared" si="176"/>
        <v>Corte</v>
      </c>
      <c r="T2172" s="14">
        <f t="shared" si="177"/>
        <v>30</v>
      </c>
      <c r="U2172" s="14">
        <f t="shared" si="178"/>
        <v>0</v>
      </c>
      <c r="V2172" s="14"/>
      <c r="W2172" t="str">
        <f>IF(A2172=$A$1707,base!$I$3,IF(A2172=$A$1709,base!$I$2,IF(Receitas!A2172=Receitas!$A$1701,base!$I$4,"")))</f>
        <v>Gustavo de Castro</v>
      </c>
      <c r="X2172" t="str">
        <f t="shared" si="179"/>
        <v>Paulo Roberto</v>
      </c>
    </row>
    <row r="2173" spans="1:24">
      <c r="A2173" s="68" t="s">
        <v>519</v>
      </c>
      <c r="B2173" s="68" t="s">
        <v>163</v>
      </c>
      <c r="C2173" s="68" t="s">
        <v>3121</v>
      </c>
      <c r="D2173" s="69">
        <v>35</v>
      </c>
      <c r="E2173" s="69">
        <v>45</v>
      </c>
      <c r="F2173" s="68" t="s">
        <v>3122</v>
      </c>
      <c r="G2173" s="68" t="s">
        <v>310</v>
      </c>
      <c r="H2173" s="68" t="s">
        <v>3123</v>
      </c>
      <c r="I2173" t="str">
        <f>IF(A2173="","Pacote",IF(B2173=IFERROR(VLOOKUP(B2173,base!$L$1:$L$20,1,0),""),"Produtos",IF(B2173=IFERROR(VLOOKUP(B2173,base!$K$2:$K$20,1,0),""),"Serviços",IF(B2173="Gorjeta","Gorjeta","Combos"))))</f>
        <v>Serviços</v>
      </c>
      <c r="J2173">
        <f t="shared" si="170"/>
        <v>15.75</v>
      </c>
      <c r="K2173" s="1" t="str">
        <f t="shared" si="171"/>
        <v>21/05/2025 12:15</v>
      </c>
      <c r="L2173" s="1">
        <f t="shared" si="172"/>
        <v>45798</v>
      </c>
      <c r="M2173" s="1">
        <f t="shared" si="173"/>
        <v>45798</v>
      </c>
      <c r="N2173" s="1"/>
      <c r="O2173" t="str">
        <f t="shared" si="174"/>
        <v>Cartão de Débito</v>
      </c>
      <c r="P2173" t="s">
        <v>149</v>
      </c>
      <c r="Q2173" t="str">
        <f t="shared" si="175"/>
        <v>Serviços</v>
      </c>
      <c r="R2173" t="str">
        <f t="shared" si="176"/>
        <v>Corte</v>
      </c>
      <c r="T2173" s="14">
        <f t="shared" si="177"/>
        <v>35</v>
      </c>
      <c r="U2173" s="14">
        <f t="shared" si="178"/>
        <v>45</v>
      </c>
      <c r="V2173" s="14"/>
      <c r="W2173" t="str">
        <f>IF(A2173=$A$1707,base!$I$3,IF(A2173=$A$1709,base!$I$2,IF(Receitas!A2173=Receitas!$A$1701,base!$I$4,"")))</f>
        <v>Gustavo de Castro</v>
      </c>
      <c r="X2173" t="str">
        <f t="shared" si="179"/>
        <v>felipe freitas</v>
      </c>
    </row>
    <row r="2174" spans="1:24">
      <c r="A2174" s="68" t="s">
        <v>519</v>
      </c>
      <c r="B2174" s="68" t="s">
        <v>167</v>
      </c>
      <c r="C2174" s="68" t="s">
        <v>3121</v>
      </c>
      <c r="D2174" s="69">
        <v>10</v>
      </c>
      <c r="E2174" s="68" t="s">
        <v>1604</v>
      </c>
      <c r="F2174" s="68" t="s">
        <v>3122</v>
      </c>
      <c r="G2174" s="68" t="s">
        <v>310</v>
      </c>
      <c r="H2174" s="68" t="s">
        <v>3123</v>
      </c>
      <c r="I2174" t="str">
        <f>IF(A2174="","Pacote",IF(B2174=IFERROR(VLOOKUP(B2174,base!$L$1:$L$20,1,0),""),"Produtos",IF(B2174=IFERROR(VLOOKUP(B2174,base!$K$2:$K$20,1,0),""),"Serviços",IF(B2174="Gorjeta","Gorjeta","Combos"))))</f>
        <v>Serviços</v>
      </c>
      <c r="J2174">
        <f t="shared" si="170"/>
        <v>4.5</v>
      </c>
      <c r="K2174" s="1" t="str">
        <f t="shared" si="171"/>
        <v>21/05/2025 12:15</v>
      </c>
      <c r="L2174" s="1">
        <f t="shared" si="172"/>
        <v>45798</v>
      </c>
      <c r="M2174" s="1">
        <f t="shared" si="173"/>
        <v>45798</v>
      </c>
      <c r="N2174" s="1"/>
      <c r="O2174" t="str">
        <f t="shared" si="174"/>
        <v>Cartão de Débito</v>
      </c>
      <c r="P2174" t="s">
        <v>149</v>
      </c>
      <c r="Q2174" t="str">
        <f t="shared" si="175"/>
        <v>Serviços</v>
      </c>
      <c r="R2174" t="str">
        <f t="shared" si="176"/>
        <v>Sobrancelha</v>
      </c>
      <c r="T2174" s="14">
        <f t="shared" si="177"/>
        <v>10</v>
      </c>
      <c r="U2174" s="14" t="str">
        <f t="shared" si="178"/>
        <v/>
      </c>
      <c r="V2174" s="14"/>
      <c r="W2174" t="str">
        <f>IF(A2174=$A$1707,base!$I$3,IF(A2174=$A$1709,base!$I$2,IF(Receitas!A2174=Receitas!$A$1701,base!$I$4,"")))</f>
        <v>Gustavo de Castro</v>
      </c>
      <c r="X2174" t="str">
        <f t="shared" si="179"/>
        <v>felipe freitas</v>
      </c>
    </row>
    <row r="2175" spans="1:24">
      <c r="A2175" s="68" t="s">
        <v>536</v>
      </c>
      <c r="B2175" s="68" t="s">
        <v>163</v>
      </c>
      <c r="C2175" s="68" t="s">
        <v>3124</v>
      </c>
      <c r="D2175" s="69">
        <v>35</v>
      </c>
      <c r="E2175" s="69">
        <v>35</v>
      </c>
      <c r="F2175" s="68" t="s">
        <v>3125</v>
      </c>
      <c r="G2175" s="68" t="s">
        <v>310</v>
      </c>
      <c r="H2175" s="68" t="s">
        <v>121</v>
      </c>
      <c r="I2175" t="str">
        <f>IF(A2175="","Pacote",IF(B2175=IFERROR(VLOOKUP(B2175,base!$L$1:$L$20,1,0),""),"Produtos",IF(B2175=IFERROR(VLOOKUP(B2175,base!$K$2:$K$20,1,0),""),"Serviços",IF(B2175="Gorjeta","Gorjeta","Combos"))))</f>
        <v>Serviços</v>
      </c>
      <c r="J2175">
        <f t="shared" si="170"/>
        <v>15.75</v>
      </c>
      <c r="K2175" s="1" t="str">
        <f t="shared" si="171"/>
        <v>21/05/2025 14:05</v>
      </c>
      <c r="L2175" s="1">
        <f t="shared" si="172"/>
        <v>45798</v>
      </c>
      <c r="M2175" s="1">
        <f t="shared" si="173"/>
        <v>45798</v>
      </c>
      <c r="N2175" s="1"/>
      <c r="O2175" t="str">
        <f t="shared" si="174"/>
        <v>Cartão de Débito</v>
      </c>
      <c r="P2175" t="s">
        <v>149</v>
      </c>
      <c r="Q2175" t="str">
        <f t="shared" si="175"/>
        <v>Serviços</v>
      </c>
      <c r="R2175" t="str">
        <f t="shared" si="176"/>
        <v>Corte</v>
      </c>
      <c r="T2175" s="14">
        <f t="shared" si="177"/>
        <v>35</v>
      </c>
      <c r="U2175" s="14">
        <f t="shared" si="178"/>
        <v>35</v>
      </c>
      <c r="V2175" s="14"/>
      <c r="W2175" t="str">
        <f>IF(A2175=$A$1707,base!$I$3,IF(A2175=$A$1709,base!$I$2,IF(Receitas!A2175=Receitas!$A$1701,base!$I$4,"")))</f>
        <v>PATRICK CARDOSO</v>
      </c>
      <c r="X2175" t="str">
        <f t="shared" si="179"/>
        <v>Allan Santos</v>
      </c>
    </row>
    <row r="2176" spans="1:24">
      <c r="A2176" s="68" t="s">
        <v>519</v>
      </c>
      <c r="B2176" s="68" t="s">
        <v>163</v>
      </c>
      <c r="C2176" s="68" t="s">
        <v>3126</v>
      </c>
      <c r="D2176" s="69">
        <v>35</v>
      </c>
      <c r="E2176" s="69">
        <v>70</v>
      </c>
      <c r="F2176" s="68" t="s">
        <v>3127</v>
      </c>
      <c r="G2176" s="68" t="s">
        <v>2</v>
      </c>
      <c r="H2176" s="68" t="s">
        <v>16</v>
      </c>
      <c r="I2176" t="str">
        <f>IF(A2176="","Pacote",IF(B2176=IFERROR(VLOOKUP(B2176,base!$L$1:$L$20,1,0),""),"Produtos",IF(B2176=IFERROR(VLOOKUP(B2176,base!$K$2:$K$20,1,0),""),"Serviços",IF(B2176="Gorjeta","Gorjeta","Combos"))))</f>
        <v>Serviços</v>
      </c>
      <c r="J2176">
        <f t="shared" si="170"/>
        <v>15.75</v>
      </c>
      <c r="K2176" s="1" t="str">
        <f t="shared" si="171"/>
        <v>21/05/2025 16:00</v>
      </c>
      <c r="L2176" s="1">
        <f t="shared" si="172"/>
        <v>45798</v>
      </c>
      <c r="M2176" s="1">
        <f t="shared" si="173"/>
        <v>45798</v>
      </c>
      <c r="N2176" s="1"/>
      <c r="O2176" t="str">
        <f t="shared" si="174"/>
        <v>Dinheiro</v>
      </c>
      <c r="P2176" t="s">
        <v>149</v>
      </c>
      <c r="Q2176" t="str">
        <f t="shared" si="175"/>
        <v>Serviços</v>
      </c>
      <c r="R2176" t="str">
        <f t="shared" si="176"/>
        <v>Corte</v>
      </c>
      <c r="T2176" s="14">
        <f t="shared" si="177"/>
        <v>35</v>
      </c>
      <c r="U2176" s="14">
        <f t="shared" si="178"/>
        <v>70</v>
      </c>
      <c r="V2176" s="14"/>
      <c r="W2176" t="str">
        <f>IF(A2176=$A$1707,base!$I$3,IF(A2176=$A$1709,base!$I$2,IF(Receitas!A2176=Receitas!$A$1701,base!$I$4,"")))</f>
        <v>Gustavo de Castro</v>
      </c>
      <c r="X2176" t="str">
        <f t="shared" si="179"/>
        <v>Luis Carlos paixão</v>
      </c>
    </row>
    <row r="2177" spans="1:24">
      <c r="A2177" s="68" t="s">
        <v>519</v>
      </c>
      <c r="B2177" s="68" t="s">
        <v>163</v>
      </c>
      <c r="C2177" s="68" t="s">
        <v>3126</v>
      </c>
      <c r="D2177" s="69">
        <v>35</v>
      </c>
      <c r="E2177" s="68" t="s">
        <v>1604</v>
      </c>
      <c r="F2177" s="68" t="s">
        <v>3127</v>
      </c>
      <c r="G2177" s="68" t="s">
        <v>2</v>
      </c>
      <c r="H2177" s="68" t="s">
        <v>16</v>
      </c>
      <c r="I2177" t="str">
        <f>IF(A2177="","Pacote",IF(B2177=IFERROR(VLOOKUP(B2177,base!$L$1:$L$20,1,0),""),"Produtos",IF(B2177=IFERROR(VLOOKUP(B2177,base!$K$2:$K$20,1,0),""),"Serviços",IF(B2177="Gorjeta","Gorjeta","Combos"))))</f>
        <v>Serviços</v>
      </c>
      <c r="J2177">
        <f t="shared" si="170"/>
        <v>15.75</v>
      </c>
      <c r="K2177" s="1" t="str">
        <f t="shared" si="171"/>
        <v>21/05/2025 16:00</v>
      </c>
      <c r="L2177" s="1">
        <f t="shared" si="172"/>
        <v>45798</v>
      </c>
      <c r="M2177" s="1">
        <f t="shared" si="173"/>
        <v>45798</v>
      </c>
      <c r="N2177" s="1"/>
      <c r="O2177" t="str">
        <f t="shared" si="174"/>
        <v>Dinheiro</v>
      </c>
      <c r="P2177" t="s">
        <v>149</v>
      </c>
      <c r="Q2177" t="str">
        <f t="shared" si="175"/>
        <v>Serviços</v>
      </c>
      <c r="R2177" t="str">
        <f t="shared" si="176"/>
        <v>Corte</v>
      </c>
      <c r="T2177" s="14">
        <f t="shared" si="177"/>
        <v>35</v>
      </c>
      <c r="U2177" s="14" t="str">
        <f t="shared" si="178"/>
        <v/>
      </c>
      <c r="V2177" s="14"/>
      <c r="W2177" t="str">
        <f>IF(A2177=$A$1707,base!$I$3,IF(A2177=$A$1709,base!$I$2,IF(Receitas!A2177=Receitas!$A$1701,base!$I$4,"")))</f>
        <v>Gustavo de Castro</v>
      </c>
      <c r="X2177" t="str">
        <f t="shared" si="179"/>
        <v>Luis Carlos paixão</v>
      </c>
    </row>
    <row r="2178" spans="1:24">
      <c r="A2178" s="68" t="s">
        <v>519</v>
      </c>
      <c r="B2178" s="68" t="s">
        <v>163</v>
      </c>
      <c r="C2178" s="68" t="s">
        <v>3128</v>
      </c>
      <c r="D2178" s="69">
        <v>35</v>
      </c>
      <c r="E2178" s="69">
        <v>45</v>
      </c>
      <c r="F2178" s="68" t="s">
        <v>3129</v>
      </c>
      <c r="G2178" s="68" t="s">
        <v>1</v>
      </c>
      <c r="H2178" s="68" t="s">
        <v>35</v>
      </c>
      <c r="I2178" t="str">
        <f>IF(A2178="","Pacote",IF(B2178=IFERROR(VLOOKUP(B2178,base!$L$1:$L$20,1,0),""),"Produtos",IF(B2178=IFERROR(VLOOKUP(B2178,base!$K$2:$K$20,1,0),""),"Serviços",IF(B2178="Gorjeta","Gorjeta","Combos"))))</f>
        <v>Serviços</v>
      </c>
      <c r="J2178">
        <f t="shared" si="170"/>
        <v>15.75</v>
      </c>
      <c r="K2178" s="1" t="str">
        <f t="shared" si="171"/>
        <v>21/05/2025 18:15</v>
      </c>
      <c r="L2178" s="1">
        <f t="shared" si="172"/>
        <v>45798</v>
      </c>
      <c r="M2178" s="1">
        <f t="shared" si="173"/>
        <v>45798</v>
      </c>
      <c r="N2178" s="1"/>
      <c r="O2178" t="str">
        <f t="shared" si="174"/>
        <v>PIX</v>
      </c>
      <c r="P2178" t="s">
        <v>149</v>
      </c>
      <c r="Q2178" t="str">
        <f t="shared" si="175"/>
        <v>Serviços</v>
      </c>
      <c r="R2178" t="str">
        <f t="shared" si="176"/>
        <v>Corte</v>
      </c>
      <c r="T2178" s="14">
        <f t="shared" si="177"/>
        <v>35</v>
      </c>
      <c r="U2178" s="14">
        <f t="shared" si="178"/>
        <v>45</v>
      </c>
      <c r="V2178" s="14"/>
      <c r="W2178" t="str">
        <f>IF(A2178=$A$1707,base!$I$3,IF(A2178=$A$1709,base!$I$2,IF(Receitas!A2178=Receitas!$A$1701,base!$I$4,"")))</f>
        <v>Gustavo de Castro</v>
      </c>
      <c r="X2178" t="str">
        <f t="shared" si="179"/>
        <v>Warley vitor</v>
      </c>
    </row>
    <row r="2179" spans="1:24">
      <c r="A2179" s="68" t="s">
        <v>519</v>
      </c>
      <c r="B2179" s="68" t="s">
        <v>167</v>
      </c>
      <c r="C2179" s="68" t="s">
        <v>3128</v>
      </c>
      <c r="D2179" s="69">
        <v>10</v>
      </c>
      <c r="E2179" s="68" t="s">
        <v>1604</v>
      </c>
      <c r="F2179" s="68" t="s">
        <v>3129</v>
      </c>
      <c r="G2179" s="68" t="s">
        <v>1</v>
      </c>
      <c r="H2179" s="68" t="s">
        <v>35</v>
      </c>
      <c r="I2179" t="str">
        <f>IF(A2179="","Pacote",IF(B2179=IFERROR(VLOOKUP(B2179,base!$L$1:$L$20,1,0),""),"Produtos",IF(B2179=IFERROR(VLOOKUP(B2179,base!$K$2:$K$20,1,0),""),"Serviços",IF(B2179="Gorjeta","Gorjeta","Combos"))))</f>
        <v>Serviços</v>
      </c>
      <c r="J2179">
        <f t="shared" si="170"/>
        <v>4.5</v>
      </c>
      <c r="K2179" s="1" t="str">
        <f t="shared" si="171"/>
        <v>21/05/2025 18:15</v>
      </c>
      <c r="L2179" s="1">
        <f t="shared" si="172"/>
        <v>45798</v>
      </c>
      <c r="M2179" s="1">
        <f t="shared" si="173"/>
        <v>45798</v>
      </c>
      <c r="N2179" s="1"/>
      <c r="O2179" t="str">
        <f t="shared" si="174"/>
        <v>PIX</v>
      </c>
      <c r="P2179" t="s">
        <v>149</v>
      </c>
      <c r="Q2179" t="str">
        <f t="shared" si="175"/>
        <v>Serviços</v>
      </c>
      <c r="R2179" t="str">
        <f t="shared" si="176"/>
        <v>Sobrancelha</v>
      </c>
      <c r="T2179" s="14">
        <f t="shared" si="177"/>
        <v>10</v>
      </c>
      <c r="U2179" s="14" t="str">
        <f t="shared" si="178"/>
        <v/>
      </c>
      <c r="V2179" s="14"/>
      <c r="W2179" t="str">
        <f>IF(A2179=$A$1707,base!$I$3,IF(A2179=$A$1709,base!$I$2,IF(Receitas!A2179=Receitas!$A$1701,base!$I$4,"")))</f>
        <v>Gustavo de Castro</v>
      </c>
      <c r="X2179" t="str">
        <f t="shared" si="179"/>
        <v>Warley vitor</v>
      </c>
    </row>
    <row r="2180" spans="1:24">
      <c r="A2180" s="68" t="s">
        <v>536</v>
      </c>
      <c r="B2180" s="68" t="s">
        <v>163</v>
      </c>
      <c r="C2180" s="68" t="s">
        <v>3130</v>
      </c>
      <c r="D2180" s="69">
        <v>40</v>
      </c>
      <c r="E2180" s="69">
        <v>40</v>
      </c>
      <c r="F2180" s="68" t="s">
        <v>3131</v>
      </c>
      <c r="G2180" s="68" t="s">
        <v>1</v>
      </c>
      <c r="H2180" s="68" t="s">
        <v>495</v>
      </c>
      <c r="I2180" t="str">
        <f>IF(A2180="","Pacote",IF(B2180=IFERROR(VLOOKUP(B2180,base!$L$1:$L$20,1,0),""),"Produtos",IF(B2180=IFERROR(VLOOKUP(B2180,base!$K$2:$K$20,1,0),""),"Serviços",IF(B2180="Gorjeta","Gorjeta","Combos"))))</f>
        <v>Serviços</v>
      </c>
      <c r="J2180">
        <f t="shared" si="170"/>
        <v>18</v>
      </c>
      <c r="K2180" s="1" t="str">
        <f t="shared" si="171"/>
        <v>21/05/2025 18:30</v>
      </c>
      <c r="L2180" s="1">
        <f t="shared" si="172"/>
        <v>45798</v>
      </c>
      <c r="M2180" s="1">
        <f t="shared" si="173"/>
        <v>45798</v>
      </c>
      <c r="N2180" s="1"/>
      <c r="O2180" t="str">
        <f t="shared" si="174"/>
        <v>PIX</v>
      </c>
      <c r="P2180" t="s">
        <v>149</v>
      </c>
      <c r="Q2180" t="str">
        <f t="shared" si="175"/>
        <v>Serviços</v>
      </c>
      <c r="R2180" t="str">
        <f t="shared" si="176"/>
        <v>Corte</v>
      </c>
      <c r="T2180" s="14">
        <f t="shared" si="177"/>
        <v>40</v>
      </c>
      <c r="U2180" s="14">
        <f t="shared" si="178"/>
        <v>40</v>
      </c>
      <c r="V2180" s="14"/>
      <c r="W2180" t="str">
        <f>IF(A2180=$A$1707,base!$I$3,IF(A2180=$A$1709,base!$I$2,IF(Receitas!A2180=Receitas!$A$1701,base!$I$4,"")))</f>
        <v>PATRICK CARDOSO</v>
      </c>
      <c r="X2180" t="str">
        <f t="shared" si="179"/>
        <v>Yuri Azevedo</v>
      </c>
    </row>
    <row r="2181" spans="1:24">
      <c r="A2181" s="68" t="s">
        <v>536</v>
      </c>
      <c r="B2181" s="68" t="s">
        <v>163</v>
      </c>
      <c r="C2181" s="68" t="s">
        <v>3132</v>
      </c>
      <c r="D2181" s="69">
        <v>35</v>
      </c>
      <c r="E2181" s="69">
        <v>35</v>
      </c>
      <c r="F2181" s="68" t="s">
        <v>3133</v>
      </c>
      <c r="G2181" s="68" t="s">
        <v>1</v>
      </c>
      <c r="H2181" s="68" t="s">
        <v>59</v>
      </c>
      <c r="I2181" t="str">
        <f>IF(A2181="","Pacote",IF(B2181=IFERROR(VLOOKUP(B2181,base!$L$1:$L$20,1,0),""),"Produtos",IF(B2181=IFERROR(VLOOKUP(B2181,base!$K$2:$K$20,1,0),""),"Serviços",IF(B2181="Gorjeta","Gorjeta","Combos"))))</f>
        <v>Serviços</v>
      </c>
      <c r="J2181">
        <f t="shared" si="170"/>
        <v>15.75</v>
      </c>
      <c r="K2181" s="1" t="str">
        <f t="shared" si="171"/>
        <v>21/05/2025 19:30</v>
      </c>
      <c r="L2181" s="1">
        <f t="shared" si="172"/>
        <v>45798</v>
      </c>
      <c r="M2181" s="1">
        <f t="shared" si="173"/>
        <v>45798</v>
      </c>
      <c r="N2181" s="1"/>
      <c r="O2181" t="str">
        <f t="shared" si="174"/>
        <v>PIX</v>
      </c>
      <c r="P2181" t="s">
        <v>149</v>
      </c>
      <c r="Q2181" t="str">
        <f t="shared" si="175"/>
        <v>Serviços</v>
      </c>
      <c r="R2181" t="str">
        <f t="shared" si="176"/>
        <v>Corte</v>
      </c>
      <c r="T2181" s="14">
        <f t="shared" si="177"/>
        <v>35</v>
      </c>
      <c r="U2181" s="14">
        <f t="shared" si="178"/>
        <v>35</v>
      </c>
      <c r="V2181" s="14"/>
      <c r="W2181" t="str">
        <f>IF(A2181=$A$1707,base!$I$3,IF(A2181=$A$1709,base!$I$2,IF(Receitas!A2181=Receitas!$A$1701,base!$I$4,"")))</f>
        <v>PATRICK CARDOSO</v>
      </c>
      <c r="X2181" t="str">
        <f t="shared" si="179"/>
        <v>Maria Eduarda Pereira Camargo</v>
      </c>
    </row>
    <row r="2182" spans="1:24">
      <c r="A2182" s="68" t="s">
        <v>536</v>
      </c>
      <c r="B2182" s="68" t="s">
        <v>163</v>
      </c>
      <c r="C2182" s="68" t="s">
        <v>3134</v>
      </c>
      <c r="D2182" s="69">
        <v>35</v>
      </c>
      <c r="E2182" s="69">
        <v>35</v>
      </c>
      <c r="F2182" s="68" t="s">
        <v>3114</v>
      </c>
      <c r="G2182" s="68" t="s">
        <v>1</v>
      </c>
      <c r="H2182" s="68" t="s">
        <v>2850</v>
      </c>
      <c r="I2182" t="str">
        <f>IF(A2182="","Pacote",IF(B2182=IFERROR(VLOOKUP(B2182,base!$L$1:$L$20,1,0),""),"Produtos",IF(B2182=IFERROR(VLOOKUP(B2182,base!$K$2:$K$20,1,0),""),"Serviços",IF(B2182="Gorjeta","Gorjeta","Combos"))))</f>
        <v>Serviços</v>
      </c>
      <c r="J2182">
        <f t="shared" si="170"/>
        <v>15.75</v>
      </c>
      <c r="K2182" s="1" t="str">
        <f t="shared" si="171"/>
        <v>22/05/2025 10:00</v>
      </c>
      <c r="L2182" s="1">
        <f t="shared" si="172"/>
        <v>45799</v>
      </c>
      <c r="M2182" s="1">
        <f t="shared" si="173"/>
        <v>45799</v>
      </c>
      <c r="N2182" s="1"/>
      <c r="O2182" t="str">
        <f t="shared" si="174"/>
        <v>PIX</v>
      </c>
      <c r="P2182" t="s">
        <v>149</v>
      </c>
      <c r="Q2182" t="str">
        <f t="shared" si="175"/>
        <v>Serviços</v>
      </c>
      <c r="R2182" t="str">
        <f t="shared" si="176"/>
        <v>Corte</v>
      </c>
      <c r="T2182" s="14">
        <f t="shared" si="177"/>
        <v>35</v>
      </c>
      <c r="U2182" s="14">
        <f t="shared" si="178"/>
        <v>35</v>
      </c>
      <c r="V2182" s="14"/>
      <c r="W2182" t="str">
        <f>IF(A2182=$A$1707,base!$I$3,IF(A2182=$A$1709,base!$I$2,IF(Receitas!A2182=Receitas!$A$1701,base!$I$4,"")))</f>
        <v>PATRICK CARDOSO</v>
      </c>
      <c r="X2182" t="str">
        <f t="shared" si="179"/>
        <v>wallace andrade</v>
      </c>
    </row>
    <row r="2183" spans="1:24">
      <c r="A2183" s="68" t="s">
        <v>519</v>
      </c>
      <c r="B2183" s="68" t="s">
        <v>353</v>
      </c>
      <c r="C2183" s="68" t="s">
        <v>3135</v>
      </c>
      <c r="D2183" s="69">
        <v>60</v>
      </c>
      <c r="E2183" s="69">
        <v>0</v>
      </c>
      <c r="F2183" s="68" t="s">
        <v>3136</v>
      </c>
      <c r="G2183" s="68" t="s">
        <v>1</v>
      </c>
      <c r="H2183" s="68" t="s">
        <v>126</v>
      </c>
      <c r="I2183" t="str">
        <f>IF(A2183="","Pacote",IF(B2183=IFERROR(VLOOKUP(B2183,base!$L$1:$L$20,1,0),""),"Produtos",IF(B2183=IFERROR(VLOOKUP(B2183,base!$K$2:$K$20,1,0),""),"Serviços",IF(B2183="Gorjeta","Gorjeta","Combos"))))</f>
        <v>Combos</v>
      </c>
      <c r="J2183">
        <f t="shared" si="170"/>
        <v>27</v>
      </c>
      <c r="K2183" s="1" t="str">
        <f t="shared" si="171"/>
        <v>21/05/2025 20:10</v>
      </c>
      <c r="L2183" s="1">
        <f t="shared" si="172"/>
        <v>45798</v>
      </c>
      <c r="M2183" s="1">
        <f t="shared" si="173"/>
        <v>45798</v>
      </c>
      <c r="N2183" s="1"/>
      <c r="O2183" t="str">
        <f t="shared" si="174"/>
        <v>PIX</v>
      </c>
      <c r="P2183" t="s">
        <v>149</v>
      </c>
      <c r="Q2183" t="str">
        <f t="shared" si="175"/>
        <v>Combos</v>
      </c>
      <c r="R2183" t="str">
        <f t="shared" si="176"/>
        <v>Combo ( Corte + Barba )</v>
      </c>
      <c r="T2183" s="14">
        <f t="shared" si="177"/>
        <v>60</v>
      </c>
      <c r="U2183" s="14">
        <f t="shared" si="178"/>
        <v>0</v>
      </c>
      <c r="V2183" s="14"/>
      <c r="W2183" t="str">
        <f>IF(A2183=$A$1707,base!$I$3,IF(A2183=$A$1709,base!$I$2,IF(Receitas!A2183=Receitas!$A$1701,base!$I$4,"")))</f>
        <v>Gustavo de Castro</v>
      </c>
      <c r="X2183" t="str">
        <f t="shared" si="179"/>
        <v>Marcos Nobre</v>
      </c>
    </row>
    <row r="2184" spans="1:24">
      <c r="A2184" s="68" t="s">
        <v>519</v>
      </c>
      <c r="B2184" s="68" t="s">
        <v>352</v>
      </c>
      <c r="C2184" s="68" t="s">
        <v>3135</v>
      </c>
      <c r="D2184" s="69">
        <v>20</v>
      </c>
      <c r="E2184" s="68" t="s">
        <v>1604</v>
      </c>
      <c r="F2184" s="68" t="s">
        <v>3136</v>
      </c>
      <c r="G2184" s="68" t="s">
        <v>1</v>
      </c>
      <c r="H2184" s="68" t="s">
        <v>126</v>
      </c>
      <c r="I2184" t="str">
        <f>IF(A2184="","Pacote",IF(B2184=IFERROR(VLOOKUP(B2184,base!$L$1:$L$20,1,0),""),"Produtos",IF(B2184=IFERROR(VLOOKUP(B2184,base!$K$2:$K$20,1,0),""),"Serviços",IF(B2184="Gorjeta","Gorjeta","Combos"))))</f>
        <v>Combos</v>
      </c>
      <c r="J2184">
        <f t="shared" si="170"/>
        <v>9</v>
      </c>
      <c r="K2184" s="1" t="str">
        <f t="shared" si="171"/>
        <v>21/05/2025 20:10</v>
      </c>
      <c r="L2184" s="1">
        <f t="shared" si="172"/>
        <v>45798</v>
      </c>
      <c r="M2184" s="1">
        <f t="shared" si="173"/>
        <v>45798</v>
      </c>
      <c r="N2184" s="1"/>
      <c r="O2184" t="str">
        <f t="shared" si="174"/>
        <v>PIX</v>
      </c>
      <c r="P2184" t="s">
        <v>149</v>
      </c>
      <c r="Q2184" t="str">
        <f t="shared" si="175"/>
        <v>Combos</v>
      </c>
      <c r="R2184" t="str">
        <f t="shared" si="176"/>
        <v>Combo ( depilação nariz e orelha )</v>
      </c>
      <c r="T2184" s="14">
        <f t="shared" si="177"/>
        <v>20</v>
      </c>
      <c r="U2184" s="14" t="str">
        <f t="shared" si="178"/>
        <v/>
      </c>
      <c r="V2184" s="14"/>
      <c r="W2184" t="str">
        <f>IF(A2184=$A$1707,base!$I$3,IF(A2184=$A$1709,base!$I$2,IF(Receitas!A2184=Receitas!$A$1701,base!$I$4,"")))</f>
        <v>Gustavo de Castro</v>
      </c>
      <c r="X2184" t="str">
        <f t="shared" si="179"/>
        <v>Marcos Nobre</v>
      </c>
    </row>
    <row r="2185" spans="1:24">
      <c r="A2185" s="68" t="s">
        <v>252</v>
      </c>
      <c r="B2185" s="68" t="s">
        <v>163</v>
      </c>
      <c r="C2185" s="68" t="s">
        <v>3137</v>
      </c>
      <c r="D2185" s="69">
        <v>35</v>
      </c>
      <c r="E2185" s="69">
        <v>60</v>
      </c>
      <c r="F2185" s="68" t="s">
        <v>3138</v>
      </c>
      <c r="G2185" s="68" t="s">
        <v>1</v>
      </c>
      <c r="H2185" s="68" t="s">
        <v>289</v>
      </c>
      <c r="I2185" t="str">
        <f>IF(A2185="","Pacote",IF(B2185=IFERROR(VLOOKUP(B2185,base!$L$1:$L$20,1,0),""),"Produtos",IF(B2185=IFERROR(VLOOKUP(B2185,base!$K$2:$K$20,1,0),""),"Serviços",IF(B2185="Gorjeta","Gorjeta","Combos"))))</f>
        <v>Serviços</v>
      </c>
      <c r="J2185">
        <f t="shared" si="170"/>
        <v>15.75</v>
      </c>
      <c r="K2185" s="1" t="str">
        <f t="shared" si="171"/>
        <v>22/05/2025 11:00</v>
      </c>
      <c r="L2185" s="1">
        <f t="shared" si="172"/>
        <v>45799</v>
      </c>
      <c r="M2185" s="1">
        <f t="shared" si="173"/>
        <v>45799</v>
      </c>
      <c r="N2185" s="1"/>
      <c r="O2185" t="str">
        <f t="shared" si="174"/>
        <v>PIX</v>
      </c>
      <c r="P2185" t="s">
        <v>149</v>
      </c>
      <c r="Q2185" t="str">
        <f t="shared" si="175"/>
        <v>Serviços</v>
      </c>
      <c r="R2185" t="str">
        <f t="shared" si="176"/>
        <v>Corte</v>
      </c>
      <c r="T2185" s="14">
        <f t="shared" si="177"/>
        <v>35</v>
      </c>
      <c r="U2185" s="14">
        <f t="shared" si="178"/>
        <v>60</v>
      </c>
      <c r="V2185" s="14"/>
      <c r="W2185" t="str">
        <f>IF(A2185=$A$1707,base!$I$3,IF(A2185=$A$1709,base!$I$2,IF(Receitas!A2185=Receitas!$A$1701,base!$I$4,"")))</f>
        <v>Christian Magon</v>
      </c>
      <c r="X2185" t="str">
        <f t="shared" si="179"/>
        <v>Gabriel Camargo</v>
      </c>
    </row>
    <row r="2186" spans="1:24">
      <c r="A2186" s="68" t="s">
        <v>252</v>
      </c>
      <c r="B2186" s="68" t="s">
        <v>1046</v>
      </c>
      <c r="C2186" s="68" t="s">
        <v>3137</v>
      </c>
      <c r="D2186" s="69">
        <v>35</v>
      </c>
      <c r="E2186" s="68" t="s">
        <v>1604</v>
      </c>
      <c r="F2186" s="68" t="s">
        <v>3138</v>
      </c>
      <c r="G2186" s="68" t="s">
        <v>1</v>
      </c>
      <c r="H2186" s="68" t="s">
        <v>289</v>
      </c>
      <c r="I2186" t="str">
        <f>IF(A2186="","Pacote",IF(B2186=IFERROR(VLOOKUP(B2186,base!$L$1:$L$20,1,0),""),"Produtos",IF(B2186=IFERROR(VLOOKUP(B2186,base!$K$2:$K$20,1,0),""),"Serviços",IF(B2186="Gorjeta","Gorjeta","Combos"))))</f>
        <v>Serviços</v>
      </c>
      <c r="J2186">
        <f t="shared" si="170"/>
        <v>15.75</v>
      </c>
      <c r="K2186" s="1" t="str">
        <f t="shared" si="171"/>
        <v>22/05/2025 11:00</v>
      </c>
      <c r="L2186" s="1">
        <f t="shared" si="172"/>
        <v>45799</v>
      </c>
      <c r="M2186" s="1">
        <f t="shared" si="173"/>
        <v>45799</v>
      </c>
      <c r="N2186" s="1"/>
      <c r="O2186" t="str">
        <f t="shared" si="174"/>
        <v>PIX</v>
      </c>
      <c r="P2186" t="s">
        <v>149</v>
      </c>
      <c r="Q2186" t="str">
        <f t="shared" si="175"/>
        <v>Serviços</v>
      </c>
      <c r="R2186" t="str">
        <f t="shared" si="176"/>
        <v>Barba</v>
      </c>
      <c r="T2186" s="14">
        <f t="shared" si="177"/>
        <v>35</v>
      </c>
      <c r="U2186" s="14" t="str">
        <f t="shared" si="178"/>
        <v/>
      </c>
      <c r="V2186" s="14"/>
      <c r="W2186" t="str">
        <f>IF(A2186=$A$1707,base!$I$3,IF(A2186=$A$1709,base!$I$2,IF(Receitas!A2186=Receitas!$A$1701,base!$I$4,"")))</f>
        <v>Christian Magon</v>
      </c>
      <c r="X2186" t="str">
        <f t="shared" si="179"/>
        <v>Gabriel Camargo</v>
      </c>
    </row>
    <row r="2187" spans="1:24">
      <c r="A2187" s="68" t="s">
        <v>519</v>
      </c>
      <c r="B2187" s="68" t="s">
        <v>163</v>
      </c>
      <c r="C2187" s="68" t="s">
        <v>3139</v>
      </c>
      <c r="D2187" s="69">
        <v>35</v>
      </c>
      <c r="E2187" s="69">
        <v>35</v>
      </c>
      <c r="F2187" s="68" t="s">
        <v>3140</v>
      </c>
      <c r="G2187" s="68" t="s">
        <v>1</v>
      </c>
      <c r="H2187" s="68" t="s">
        <v>3141</v>
      </c>
      <c r="I2187" t="str">
        <f>IF(A2187="","Pacote",IF(B2187=IFERROR(VLOOKUP(B2187,base!$L$1:$L$20,1,0),""),"Produtos",IF(B2187=IFERROR(VLOOKUP(B2187,base!$K$2:$K$20,1,0),""),"Serviços",IF(B2187="Gorjeta","Gorjeta","Combos"))))</f>
        <v>Serviços</v>
      </c>
      <c r="J2187">
        <f t="shared" si="170"/>
        <v>15.75</v>
      </c>
      <c r="K2187" s="1" t="str">
        <f t="shared" si="171"/>
        <v>22/05/2025 13:35</v>
      </c>
      <c r="L2187" s="1">
        <f t="shared" si="172"/>
        <v>45799</v>
      </c>
      <c r="M2187" s="1">
        <f t="shared" si="173"/>
        <v>45799</v>
      </c>
      <c r="N2187" s="1"/>
      <c r="O2187" t="str">
        <f t="shared" si="174"/>
        <v>PIX</v>
      </c>
      <c r="P2187" t="s">
        <v>149</v>
      </c>
      <c r="Q2187" t="str">
        <f t="shared" si="175"/>
        <v>Serviços</v>
      </c>
      <c r="R2187" t="str">
        <f t="shared" si="176"/>
        <v>Corte</v>
      </c>
      <c r="T2187" s="14">
        <f t="shared" si="177"/>
        <v>35</v>
      </c>
      <c r="U2187" s="14">
        <f t="shared" si="178"/>
        <v>35</v>
      </c>
      <c r="V2187" s="14"/>
      <c r="W2187" t="str">
        <f>IF(A2187=$A$1707,base!$I$3,IF(A2187=$A$1709,base!$I$2,IF(Receitas!A2187=Receitas!$A$1701,base!$I$4,"")))</f>
        <v>Gustavo de Castro</v>
      </c>
      <c r="X2187" t="str">
        <f t="shared" si="179"/>
        <v>mauricio alves</v>
      </c>
    </row>
    <row r="2188" spans="1:24">
      <c r="A2188" s="68" t="s">
        <v>519</v>
      </c>
      <c r="B2188" s="68" t="s">
        <v>163</v>
      </c>
      <c r="C2188" s="68" t="s">
        <v>3142</v>
      </c>
      <c r="D2188" s="69">
        <v>25</v>
      </c>
      <c r="E2188" s="69">
        <v>50</v>
      </c>
      <c r="F2188" s="68" t="s">
        <v>3143</v>
      </c>
      <c r="G2188" s="68" t="s">
        <v>2</v>
      </c>
      <c r="H2188" s="68" t="s">
        <v>3141</v>
      </c>
      <c r="I2188" t="str">
        <f>IF(A2188="","Pacote",IF(B2188=IFERROR(VLOOKUP(B2188,base!$L$1:$L$20,1,0),""),"Produtos",IF(B2188=IFERROR(VLOOKUP(B2188,base!$K$2:$K$20,1,0),""),"Serviços",IF(B2188="Gorjeta","Gorjeta","Combos"))))</f>
        <v>Serviços</v>
      </c>
      <c r="J2188">
        <f t="shared" si="170"/>
        <v>11.25</v>
      </c>
      <c r="K2188" s="1" t="str">
        <f t="shared" si="171"/>
        <v>24/05/2025 09:00</v>
      </c>
      <c r="L2188" s="1">
        <f t="shared" si="172"/>
        <v>45801</v>
      </c>
      <c r="M2188" s="1">
        <f t="shared" si="173"/>
        <v>45801</v>
      </c>
      <c r="N2188" s="1"/>
      <c r="O2188" t="str">
        <f t="shared" si="174"/>
        <v>Dinheiro</v>
      </c>
      <c r="P2188" t="s">
        <v>149</v>
      </c>
      <c r="Q2188" t="str">
        <f t="shared" si="175"/>
        <v>Serviços</v>
      </c>
      <c r="R2188" t="str">
        <f t="shared" si="176"/>
        <v>Corte</v>
      </c>
      <c r="T2188" s="14">
        <f t="shared" si="177"/>
        <v>25</v>
      </c>
      <c r="U2188" s="14">
        <f t="shared" si="178"/>
        <v>50</v>
      </c>
      <c r="V2188" s="14"/>
      <c r="W2188" t="str">
        <f>IF(A2188=$A$1707,base!$I$3,IF(A2188=$A$1709,base!$I$2,IF(Receitas!A2188=Receitas!$A$1701,base!$I$4,"")))</f>
        <v>Gustavo de Castro</v>
      </c>
      <c r="X2188" t="str">
        <f t="shared" si="179"/>
        <v>mauricio alves</v>
      </c>
    </row>
    <row r="2189" spans="1:24">
      <c r="A2189" s="68" t="s">
        <v>519</v>
      </c>
      <c r="B2189" s="68" t="s">
        <v>2931</v>
      </c>
      <c r="C2189" s="68" t="s">
        <v>3142</v>
      </c>
      <c r="D2189" s="69">
        <v>25</v>
      </c>
      <c r="E2189" s="68" t="s">
        <v>1604</v>
      </c>
      <c r="F2189" s="68" t="s">
        <v>3143</v>
      </c>
      <c r="G2189" s="68" t="s">
        <v>2</v>
      </c>
      <c r="H2189" s="68" t="s">
        <v>3141</v>
      </c>
      <c r="I2189" t="str">
        <f>IF(A2189="","Pacote",IF(B2189=IFERROR(VLOOKUP(B2189,base!$L$1:$L$20,1,0),""),"Produtos",IF(B2189=IFERROR(VLOOKUP(B2189,base!$K$2:$K$20,1,0),""),"Serviços",IF(B2189="Gorjeta","Gorjeta","Combos"))))</f>
        <v>Produtos</v>
      </c>
      <c r="J2189">
        <f t="shared" si="170"/>
        <v>10</v>
      </c>
      <c r="K2189" s="1" t="str">
        <f t="shared" si="171"/>
        <v>24/05/2025 09:00</v>
      </c>
      <c r="L2189" s="1">
        <f t="shared" si="172"/>
        <v>45801</v>
      </c>
      <c r="M2189" s="1">
        <f t="shared" si="173"/>
        <v>45801</v>
      </c>
      <c r="N2189" s="1"/>
      <c r="O2189" t="str">
        <f t="shared" si="174"/>
        <v>Dinheiro</v>
      </c>
      <c r="P2189" t="s">
        <v>149</v>
      </c>
      <c r="Q2189" t="str">
        <f t="shared" si="175"/>
        <v>Produtos</v>
      </c>
      <c r="R2189" t="str">
        <f t="shared" si="176"/>
        <v>Pomada matte 80g</v>
      </c>
      <c r="T2189" s="14">
        <f t="shared" si="177"/>
        <v>25</v>
      </c>
      <c r="U2189" s="14" t="str">
        <f t="shared" si="178"/>
        <v/>
      </c>
      <c r="V2189" s="14"/>
      <c r="W2189" t="str">
        <f>IF(A2189=$A$1707,base!$I$3,IF(A2189=$A$1709,base!$I$2,IF(Receitas!A2189=Receitas!$A$1701,base!$I$4,"")))</f>
        <v>Gustavo de Castro</v>
      </c>
      <c r="X2189" t="str">
        <f t="shared" si="179"/>
        <v>mauricio alves</v>
      </c>
    </row>
    <row r="2190" spans="1:24">
      <c r="A2190" s="68" t="s">
        <v>536</v>
      </c>
      <c r="B2190" s="68" t="s">
        <v>163</v>
      </c>
      <c r="C2190" s="68" t="s">
        <v>3144</v>
      </c>
      <c r="D2190" s="69">
        <v>35</v>
      </c>
      <c r="E2190" s="69">
        <v>35</v>
      </c>
      <c r="F2190" s="68" t="s">
        <v>3116</v>
      </c>
      <c r="G2190" s="68" t="s">
        <v>1</v>
      </c>
      <c r="H2190" s="68" t="s">
        <v>1325</v>
      </c>
      <c r="I2190" t="str">
        <f>IF(A2190="","Pacote",IF(B2190=IFERROR(VLOOKUP(B2190,base!$L$1:$L$20,1,0),""),"Produtos",IF(B2190=IFERROR(VLOOKUP(B2190,base!$K$2:$K$20,1,0),""),"Serviços",IF(B2190="Gorjeta","Gorjeta","Combos"))))</f>
        <v>Serviços</v>
      </c>
      <c r="J2190">
        <f t="shared" si="170"/>
        <v>15.75</v>
      </c>
      <c r="K2190" s="1" t="str">
        <f t="shared" si="171"/>
        <v>22/05/2025 14:30</v>
      </c>
      <c r="L2190" s="1">
        <f t="shared" si="172"/>
        <v>45799</v>
      </c>
      <c r="M2190" s="1">
        <f t="shared" si="173"/>
        <v>45799</v>
      </c>
      <c r="N2190" s="1"/>
      <c r="O2190" t="str">
        <f t="shared" si="174"/>
        <v>PIX</v>
      </c>
      <c r="P2190" t="s">
        <v>149</v>
      </c>
      <c r="Q2190" t="str">
        <f t="shared" si="175"/>
        <v>Serviços</v>
      </c>
      <c r="R2190" t="str">
        <f t="shared" si="176"/>
        <v>Corte</v>
      </c>
      <c r="T2190" s="14">
        <f t="shared" si="177"/>
        <v>35</v>
      </c>
      <c r="U2190" s="14">
        <f t="shared" si="178"/>
        <v>35</v>
      </c>
      <c r="V2190" s="14"/>
      <c r="W2190" t="str">
        <f>IF(A2190=$A$1707,base!$I$3,IF(A2190=$A$1709,base!$I$2,IF(Receitas!A2190=Receitas!$A$1701,base!$I$4,"")))</f>
        <v>PATRICK CARDOSO</v>
      </c>
      <c r="X2190" t="str">
        <f t="shared" si="179"/>
        <v>Bruno Oliveira</v>
      </c>
    </row>
    <row r="2191" spans="1:24">
      <c r="A2191" s="68" t="s">
        <v>519</v>
      </c>
      <c r="B2191" s="68" t="s">
        <v>163</v>
      </c>
      <c r="C2191" s="68" t="s">
        <v>3145</v>
      </c>
      <c r="D2191" s="69">
        <v>20</v>
      </c>
      <c r="E2191" s="69">
        <v>35</v>
      </c>
      <c r="F2191" s="68" t="s">
        <v>3146</v>
      </c>
      <c r="G2191" s="68" t="s">
        <v>310</v>
      </c>
      <c r="H2191" s="68" t="s">
        <v>3147</v>
      </c>
      <c r="I2191" t="str">
        <f>IF(A2191="","Pacote",IF(B2191=IFERROR(VLOOKUP(B2191,base!$L$1:$L$20,1,0),""),"Produtos",IF(B2191=IFERROR(VLOOKUP(B2191,base!$K$2:$K$20,1,0),""),"Serviços",IF(B2191="Gorjeta","Gorjeta","Combos"))))</f>
        <v>Serviços</v>
      </c>
      <c r="J2191">
        <f t="shared" si="170"/>
        <v>9</v>
      </c>
      <c r="K2191" s="1" t="str">
        <f t="shared" si="171"/>
        <v>22/05/2025 14:50</v>
      </c>
      <c r="L2191" s="1">
        <f t="shared" si="172"/>
        <v>45799</v>
      </c>
      <c r="M2191" s="1">
        <f t="shared" si="173"/>
        <v>45799</v>
      </c>
      <c r="N2191" s="1"/>
      <c r="O2191" t="str">
        <f t="shared" si="174"/>
        <v>Cartão de Débito</v>
      </c>
      <c r="P2191" t="s">
        <v>149</v>
      </c>
      <c r="Q2191" t="str">
        <f t="shared" si="175"/>
        <v>Serviços</v>
      </c>
      <c r="R2191" t="str">
        <f t="shared" si="176"/>
        <v>Corte</v>
      </c>
      <c r="T2191" s="14">
        <f t="shared" si="177"/>
        <v>20</v>
      </c>
      <c r="U2191" s="14">
        <f t="shared" si="178"/>
        <v>35</v>
      </c>
      <c r="V2191" s="14"/>
      <c r="W2191" t="str">
        <f>IF(A2191=$A$1707,base!$I$3,IF(A2191=$A$1709,base!$I$2,IF(Receitas!A2191=Receitas!$A$1701,base!$I$4,"")))</f>
        <v>Gustavo de Castro</v>
      </c>
      <c r="X2191" t="str">
        <f t="shared" si="179"/>
        <v>adrean silva</v>
      </c>
    </row>
    <row r="2192" spans="1:24">
      <c r="A2192" s="68" t="s">
        <v>519</v>
      </c>
      <c r="B2192" s="68" t="s">
        <v>1187</v>
      </c>
      <c r="C2192" s="68" t="s">
        <v>3145</v>
      </c>
      <c r="D2192" s="69">
        <v>15</v>
      </c>
      <c r="E2192" s="68" t="s">
        <v>1604</v>
      </c>
      <c r="F2192" s="68" t="s">
        <v>3146</v>
      </c>
      <c r="G2192" s="68" t="s">
        <v>310</v>
      </c>
      <c r="H2192" s="68" t="s">
        <v>3147</v>
      </c>
      <c r="I2192" t="str">
        <f>IF(A2192="","Pacote",IF(B2192=IFERROR(VLOOKUP(B2192,base!$L$1:$L$20,1,0),""),"Produtos",IF(B2192=IFERROR(VLOOKUP(B2192,base!$K$2:$K$20,1,0),""),"Serviços",IF(B2192="Gorjeta","Gorjeta","Combos"))))</f>
        <v>Serviços</v>
      </c>
      <c r="J2192">
        <f t="shared" si="170"/>
        <v>6.75</v>
      </c>
      <c r="K2192" s="1" t="str">
        <f t="shared" si="171"/>
        <v>22/05/2025 14:50</v>
      </c>
      <c r="L2192" s="1">
        <f t="shared" si="172"/>
        <v>45799</v>
      </c>
      <c r="M2192" s="1">
        <f t="shared" si="173"/>
        <v>45799</v>
      </c>
      <c r="N2192" s="1"/>
      <c r="O2192" t="str">
        <f t="shared" si="174"/>
        <v>Cartão de Débito</v>
      </c>
      <c r="P2192" t="s">
        <v>149</v>
      </c>
      <c r="Q2192" t="str">
        <f t="shared" si="175"/>
        <v>Serviços</v>
      </c>
      <c r="R2192" t="str">
        <f t="shared" si="176"/>
        <v>depilação nariz</v>
      </c>
      <c r="T2192" s="14">
        <f t="shared" si="177"/>
        <v>15</v>
      </c>
      <c r="U2192" s="14" t="str">
        <f t="shared" si="178"/>
        <v/>
      </c>
      <c r="V2192" s="14"/>
      <c r="W2192" t="str">
        <f>IF(A2192=$A$1707,base!$I$3,IF(A2192=$A$1709,base!$I$2,IF(Receitas!A2192=Receitas!$A$1701,base!$I$4,"")))</f>
        <v>Gustavo de Castro</v>
      </c>
      <c r="X2192" t="str">
        <f t="shared" si="179"/>
        <v>adrean silva</v>
      </c>
    </row>
    <row r="2193" spans="1:24">
      <c r="A2193" s="68" t="s">
        <v>519</v>
      </c>
      <c r="B2193" s="68" t="s">
        <v>163</v>
      </c>
      <c r="C2193" s="68" t="s">
        <v>3148</v>
      </c>
      <c r="D2193" s="69">
        <v>35</v>
      </c>
      <c r="E2193" s="69">
        <v>45</v>
      </c>
      <c r="F2193" s="68" t="s">
        <v>3149</v>
      </c>
      <c r="G2193" s="68" t="s">
        <v>310</v>
      </c>
      <c r="H2193" s="68" t="s">
        <v>3150</v>
      </c>
      <c r="I2193" t="str">
        <f>IF(A2193="","Pacote",IF(B2193=IFERROR(VLOOKUP(B2193,base!$L$1:$L$20,1,0),""),"Produtos",IF(B2193=IFERROR(VLOOKUP(B2193,base!$K$2:$K$20,1,0),""),"Serviços",IF(B2193="Gorjeta","Gorjeta","Combos"))))</f>
        <v>Serviços</v>
      </c>
      <c r="J2193">
        <f t="shared" si="170"/>
        <v>15.75</v>
      </c>
      <c r="K2193" s="1" t="str">
        <f t="shared" si="171"/>
        <v>22/05/2025 16:00</v>
      </c>
      <c r="L2193" s="1">
        <f t="shared" si="172"/>
        <v>45799</v>
      </c>
      <c r="M2193" s="1">
        <f t="shared" si="173"/>
        <v>45799</v>
      </c>
      <c r="N2193" s="1"/>
      <c r="O2193" t="str">
        <f t="shared" si="174"/>
        <v>Cartão de Débito</v>
      </c>
      <c r="P2193" t="s">
        <v>149</v>
      </c>
      <c r="Q2193" t="str">
        <f t="shared" si="175"/>
        <v>Serviços</v>
      </c>
      <c r="R2193" t="str">
        <f t="shared" si="176"/>
        <v>Corte</v>
      </c>
      <c r="T2193" s="14">
        <f t="shared" si="177"/>
        <v>35</v>
      </c>
      <c r="U2193" s="14">
        <f t="shared" si="178"/>
        <v>45</v>
      </c>
      <c r="V2193" s="14"/>
      <c r="W2193" t="str">
        <f>IF(A2193=$A$1707,base!$I$3,IF(A2193=$A$1709,base!$I$2,IF(Receitas!A2193=Receitas!$A$1701,base!$I$4,"")))</f>
        <v>Gustavo de Castro</v>
      </c>
      <c r="X2193" t="str">
        <f t="shared" si="179"/>
        <v>lucas teotonio</v>
      </c>
    </row>
    <row r="2194" spans="1:24">
      <c r="A2194" s="68" t="s">
        <v>519</v>
      </c>
      <c r="B2194" s="68" t="s">
        <v>167</v>
      </c>
      <c r="C2194" s="68" t="s">
        <v>3148</v>
      </c>
      <c r="D2194" s="69">
        <v>10</v>
      </c>
      <c r="E2194" s="68" t="s">
        <v>1604</v>
      </c>
      <c r="F2194" s="68" t="s">
        <v>3149</v>
      </c>
      <c r="G2194" s="68" t="s">
        <v>310</v>
      </c>
      <c r="H2194" s="68" t="s">
        <v>3150</v>
      </c>
      <c r="I2194" t="str">
        <f>IF(A2194="","Pacote",IF(B2194=IFERROR(VLOOKUP(B2194,base!$L$1:$L$20,1,0),""),"Produtos",IF(B2194=IFERROR(VLOOKUP(B2194,base!$K$2:$K$20,1,0),""),"Serviços",IF(B2194="Gorjeta","Gorjeta","Combos"))))</f>
        <v>Serviços</v>
      </c>
      <c r="J2194">
        <f t="shared" si="170"/>
        <v>4.5</v>
      </c>
      <c r="K2194" s="1" t="str">
        <f t="shared" si="171"/>
        <v>22/05/2025 16:00</v>
      </c>
      <c r="L2194" s="1">
        <f t="shared" si="172"/>
        <v>45799</v>
      </c>
      <c r="M2194" s="1">
        <f t="shared" si="173"/>
        <v>45799</v>
      </c>
      <c r="N2194" s="1"/>
      <c r="O2194" t="str">
        <f t="shared" si="174"/>
        <v>Cartão de Débito</v>
      </c>
      <c r="P2194" t="s">
        <v>149</v>
      </c>
      <c r="Q2194" t="str">
        <f t="shared" si="175"/>
        <v>Serviços</v>
      </c>
      <c r="R2194" t="str">
        <f t="shared" si="176"/>
        <v>Sobrancelha</v>
      </c>
      <c r="T2194" s="14">
        <f t="shared" si="177"/>
        <v>10</v>
      </c>
      <c r="U2194" s="14" t="str">
        <f t="shared" si="178"/>
        <v/>
      </c>
      <c r="V2194" s="14"/>
      <c r="W2194" t="str">
        <f>IF(A2194=$A$1707,base!$I$3,IF(A2194=$A$1709,base!$I$2,IF(Receitas!A2194=Receitas!$A$1701,base!$I$4,"")))</f>
        <v>Gustavo de Castro</v>
      </c>
      <c r="X2194" t="str">
        <f t="shared" si="179"/>
        <v>lucas teotonio</v>
      </c>
    </row>
    <row r="2195" spans="1:24">
      <c r="A2195" s="68" t="s">
        <v>252</v>
      </c>
      <c r="B2195" s="68" t="s">
        <v>163</v>
      </c>
      <c r="C2195" s="68" t="s">
        <v>3151</v>
      </c>
      <c r="D2195" s="69">
        <v>35</v>
      </c>
      <c r="E2195" s="69">
        <v>35</v>
      </c>
      <c r="F2195" s="68" t="s">
        <v>3152</v>
      </c>
      <c r="G2195" s="68" t="s">
        <v>2</v>
      </c>
      <c r="H2195" s="68" t="s">
        <v>1981</v>
      </c>
      <c r="I2195" t="str">
        <f>IF(A2195="","Pacote",IF(B2195=IFERROR(VLOOKUP(B2195,base!$L$1:$L$20,1,0),""),"Produtos",IF(B2195=IFERROR(VLOOKUP(B2195,base!$K$2:$K$20,1,0),""),"Serviços",IF(B2195="Gorjeta","Gorjeta","Combos"))))</f>
        <v>Serviços</v>
      </c>
      <c r="J2195">
        <f t="shared" si="170"/>
        <v>15.75</v>
      </c>
      <c r="K2195" s="1" t="str">
        <f t="shared" si="171"/>
        <v>22/05/2025 16:15</v>
      </c>
      <c r="L2195" s="1">
        <f t="shared" si="172"/>
        <v>45799</v>
      </c>
      <c r="M2195" s="1">
        <f t="shared" si="173"/>
        <v>45799</v>
      </c>
      <c r="N2195" s="1"/>
      <c r="O2195" t="str">
        <f t="shared" si="174"/>
        <v>Dinheiro</v>
      </c>
      <c r="P2195" t="s">
        <v>149</v>
      </c>
      <c r="Q2195" t="str">
        <f t="shared" si="175"/>
        <v>Serviços</v>
      </c>
      <c r="R2195" t="str">
        <f t="shared" si="176"/>
        <v>Corte</v>
      </c>
      <c r="T2195" s="14">
        <f t="shared" si="177"/>
        <v>35</v>
      </c>
      <c r="U2195" s="14">
        <f t="shared" si="178"/>
        <v>35</v>
      </c>
      <c r="V2195" s="14"/>
      <c r="W2195" t="str">
        <f>IF(A2195=$A$1707,base!$I$3,IF(A2195=$A$1709,base!$I$2,IF(Receitas!A2195=Receitas!$A$1701,base!$I$4,"")))</f>
        <v>Christian Magon</v>
      </c>
      <c r="X2195" t="str">
        <f t="shared" si="179"/>
        <v>anderson terto</v>
      </c>
    </row>
    <row r="2196" spans="1:24">
      <c r="A2196" s="68" t="s">
        <v>536</v>
      </c>
      <c r="B2196" s="68" t="s">
        <v>163</v>
      </c>
      <c r="C2196" s="68" t="s">
        <v>3153</v>
      </c>
      <c r="D2196" s="69">
        <v>35</v>
      </c>
      <c r="E2196" s="69">
        <v>35</v>
      </c>
      <c r="F2196" s="68" t="s">
        <v>3149</v>
      </c>
      <c r="G2196" s="68" t="s">
        <v>2</v>
      </c>
      <c r="H2196" s="68" t="s">
        <v>3154</v>
      </c>
      <c r="I2196" t="str">
        <f>IF(A2196="","Pacote",IF(B2196=IFERROR(VLOOKUP(B2196,base!$L$1:$L$20,1,0),""),"Produtos",IF(B2196=IFERROR(VLOOKUP(B2196,base!$K$2:$K$20,1,0),""),"Serviços",IF(B2196="Gorjeta","Gorjeta","Combos"))))</f>
        <v>Serviços</v>
      </c>
      <c r="J2196">
        <f t="shared" si="170"/>
        <v>15.75</v>
      </c>
      <c r="K2196" s="1" t="str">
        <f t="shared" si="171"/>
        <v>22/05/2025 16:00</v>
      </c>
      <c r="L2196" s="1">
        <f t="shared" si="172"/>
        <v>45799</v>
      </c>
      <c r="M2196" s="1">
        <f t="shared" si="173"/>
        <v>45799</v>
      </c>
      <c r="N2196" s="1"/>
      <c r="O2196" t="str">
        <f t="shared" si="174"/>
        <v>Dinheiro</v>
      </c>
      <c r="P2196" t="s">
        <v>149</v>
      </c>
      <c r="Q2196" t="str">
        <f t="shared" si="175"/>
        <v>Serviços</v>
      </c>
      <c r="R2196" t="str">
        <f t="shared" si="176"/>
        <v>Corte</v>
      </c>
      <c r="T2196" s="14">
        <f t="shared" si="177"/>
        <v>35</v>
      </c>
      <c r="U2196" s="14">
        <f t="shared" si="178"/>
        <v>35</v>
      </c>
      <c r="V2196" s="14"/>
      <c r="W2196" t="str">
        <f>IF(A2196=$A$1707,base!$I$3,IF(A2196=$A$1709,base!$I$2,IF(Receitas!A2196=Receitas!$A$1701,base!$I$4,"")))</f>
        <v>PATRICK CARDOSO</v>
      </c>
      <c r="X2196" t="str">
        <f t="shared" si="179"/>
        <v>Alexandre Pimenta</v>
      </c>
    </row>
    <row r="2197" spans="1:24">
      <c r="A2197" s="68" t="s">
        <v>536</v>
      </c>
      <c r="B2197" s="68" t="s">
        <v>163</v>
      </c>
      <c r="C2197" s="68" t="s">
        <v>3155</v>
      </c>
      <c r="D2197" s="69">
        <v>35</v>
      </c>
      <c r="E2197" s="69">
        <v>35</v>
      </c>
      <c r="F2197" s="68" t="s">
        <v>3156</v>
      </c>
      <c r="G2197" s="68" t="s">
        <v>1</v>
      </c>
      <c r="H2197" s="68" t="s">
        <v>2247</v>
      </c>
      <c r="I2197" t="str">
        <f>IF(A2197="","Pacote",IF(B2197=IFERROR(VLOOKUP(B2197,base!$L$1:$L$20,1,0),""),"Produtos",IF(B2197=IFERROR(VLOOKUP(B2197,base!$K$2:$K$20,1,0),""),"Serviços",IF(B2197="Gorjeta","Gorjeta","Combos"))))</f>
        <v>Serviços</v>
      </c>
      <c r="J2197">
        <f t="shared" si="170"/>
        <v>15.75</v>
      </c>
      <c r="K2197" s="1" t="str">
        <f t="shared" si="171"/>
        <v>22/05/2025 16:45</v>
      </c>
      <c r="L2197" s="1">
        <f t="shared" si="172"/>
        <v>45799</v>
      </c>
      <c r="M2197" s="1">
        <f t="shared" si="173"/>
        <v>45799</v>
      </c>
      <c r="N2197" s="1"/>
      <c r="O2197" t="str">
        <f t="shared" si="174"/>
        <v>PIX</v>
      </c>
      <c r="P2197" t="s">
        <v>149</v>
      </c>
      <c r="Q2197" t="str">
        <f t="shared" si="175"/>
        <v>Serviços</v>
      </c>
      <c r="R2197" t="str">
        <f t="shared" si="176"/>
        <v>Corte</v>
      </c>
      <c r="T2197" s="14">
        <f t="shared" si="177"/>
        <v>35</v>
      </c>
      <c r="U2197" s="14">
        <f t="shared" si="178"/>
        <v>35</v>
      </c>
      <c r="V2197" s="14"/>
      <c r="W2197" t="str">
        <f>IF(A2197=$A$1707,base!$I$3,IF(A2197=$A$1709,base!$I$2,IF(Receitas!A2197=Receitas!$A$1701,base!$I$4,"")))</f>
        <v>PATRICK CARDOSO</v>
      </c>
      <c r="X2197" t="str">
        <f t="shared" si="179"/>
        <v>Samuel Almeida</v>
      </c>
    </row>
    <row r="2198" spans="1:24">
      <c r="A2198" s="68" t="s">
        <v>252</v>
      </c>
      <c r="B2198" s="68" t="s">
        <v>163</v>
      </c>
      <c r="C2198" s="68" t="s">
        <v>3157</v>
      </c>
      <c r="D2198" s="69">
        <v>35</v>
      </c>
      <c r="E2198" s="69">
        <v>45</v>
      </c>
      <c r="F2198" s="68" t="s">
        <v>3158</v>
      </c>
      <c r="G2198" s="68" t="s">
        <v>354</v>
      </c>
      <c r="H2198" s="68" t="s">
        <v>372</v>
      </c>
      <c r="I2198" t="str">
        <f>IF(A2198="","Pacote",IF(B2198=IFERROR(VLOOKUP(B2198,base!$L$1:$L$20,1,0),""),"Produtos",IF(B2198=IFERROR(VLOOKUP(B2198,base!$K$2:$K$20,1,0),""),"Serviços",IF(B2198="Gorjeta","Gorjeta","Combos"))))</f>
        <v>Serviços</v>
      </c>
      <c r="J2198">
        <f t="shared" si="170"/>
        <v>15.75</v>
      </c>
      <c r="K2198" s="1" t="str">
        <f t="shared" si="171"/>
        <v>22/05/2025 19:30</v>
      </c>
      <c r="L2198" s="1">
        <f t="shared" si="172"/>
        <v>45799</v>
      </c>
      <c r="M2198" s="1">
        <f t="shared" si="173"/>
        <v>45799</v>
      </c>
      <c r="N2198" s="1"/>
      <c r="O2198" t="str">
        <f t="shared" si="174"/>
        <v>Cartão de Crédito</v>
      </c>
      <c r="P2198" t="s">
        <v>149</v>
      </c>
      <c r="Q2198" t="str">
        <f t="shared" si="175"/>
        <v>Serviços</v>
      </c>
      <c r="R2198" t="str">
        <f t="shared" si="176"/>
        <v>Corte</v>
      </c>
      <c r="T2198" s="14">
        <f t="shared" si="177"/>
        <v>35</v>
      </c>
      <c r="U2198" s="14">
        <f t="shared" si="178"/>
        <v>45</v>
      </c>
      <c r="V2198" s="14"/>
      <c r="W2198" t="str">
        <f>IF(A2198=$A$1707,base!$I$3,IF(A2198=$A$1709,base!$I$2,IF(Receitas!A2198=Receitas!$A$1701,base!$I$4,"")))</f>
        <v>Christian Magon</v>
      </c>
      <c r="X2198" t="str">
        <f t="shared" si="179"/>
        <v>Joao Paulo</v>
      </c>
    </row>
    <row r="2199" spans="1:24">
      <c r="A2199" s="68" t="s">
        <v>252</v>
      </c>
      <c r="B2199" s="68" t="s">
        <v>167</v>
      </c>
      <c r="C2199" s="68" t="s">
        <v>3157</v>
      </c>
      <c r="D2199" s="69">
        <v>10</v>
      </c>
      <c r="E2199" s="68" t="s">
        <v>1604</v>
      </c>
      <c r="F2199" s="68" t="s">
        <v>3158</v>
      </c>
      <c r="G2199" s="68" t="s">
        <v>354</v>
      </c>
      <c r="H2199" s="68" t="s">
        <v>372</v>
      </c>
      <c r="I2199" t="str">
        <f>IF(A2199="","Pacote",IF(B2199=IFERROR(VLOOKUP(B2199,base!$L$1:$L$20,1,0),""),"Produtos",IF(B2199=IFERROR(VLOOKUP(B2199,base!$K$2:$K$20,1,0),""),"Serviços",IF(B2199="Gorjeta","Gorjeta","Combos"))))</f>
        <v>Serviços</v>
      </c>
      <c r="J2199">
        <f t="shared" si="170"/>
        <v>4.5</v>
      </c>
      <c r="K2199" s="1" t="str">
        <f t="shared" si="171"/>
        <v>22/05/2025 19:30</v>
      </c>
      <c r="L2199" s="1">
        <f t="shared" si="172"/>
        <v>45799</v>
      </c>
      <c r="M2199" s="1">
        <f t="shared" si="173"/>
        <v>45799</v>
      </c>
      <c r="N2199" s="1"/>
      <c r="O2199" t="str">
        <f t="shared" si="174"/>
        <v>Cartão de Crédito</v>
      </c>
      <c r="P2199" t="s">
        <v>149</v>
      </c>
      <c r="Q2199" t="str">
        <f t="shared" si="175"/>
        <v>Serviços</v>
      </c>
      <c r="R2199" t="str">
        <f t="shared" si="176"/>
        <v>Sobrancelha</v>
      </c>
      <c r="T2199" s="14">
        <f t="shared" si="177"/>
        <v>10</v>
      </c>
      <c r="U2199" s="14" t="str">
        <f t="shared" si="178"/>
        <v/>
      </c>
      <c r="V2199" s="14"/>
      <c r="W2199" t="str">
        <f>IF(A2199=$A$1707,base!$I$3,IF(A2199=$A$1709,base!$I$2,IF(Receitas!A2199=Receitas!$A$1701,base!$I$4,"")))</f>
        <v>Christian Magon</v>
      </c>
      <c r="X2199" t="str">
        <f t="shared" si="179"/>
        <v>Joao Paulo</v>
      </c>
    </row>
    <row r="2200" spans="1:24">
      <c r="A2200" s="68" t="s">
        <v>252</v>
      </c>
      <c r="B2200" s="68" t="s">
        <v>163</v>
      </c>
      <c r="C2200" s="68" t="s">
        <v>3159</v>
      </c>
      <c r="D2200" s="69">
        <v>35</v>
      </c>
      <c r="E2200" s="69">
        <v>35</v>
      </c>
      <c r="F2200" s="68" t="s">
        <v>3160</v>
      </c>
      <c r="G2200" s="68" t="s">
        <v>1</v>
      </c>
      <c r="H2200" s="68" t="s">
        <v>68</v>
      </c>
      <c r="I2200" t="str">
        <f>IF(A2200="","Pacote",IF(B2200=IFERROR(VLOOKUP(B2200,base!$L$1:$L$20,1,0),""),"Produtos",IF(B2200=IFERROR(VLOOKUP(B2200,base!$K$2:$K$20,1,0),""),"Serviços",IF(B2200="Gorjeta","Gorjeta","Combos"))))</f>
        <v>Serviços</v>
      </c>
      <c r="J2200">
        <f t="shared" si="170"/>
        <v>15.75</v>
      </c>
      <c r="K2200" s="1" t="str">
        <f t="shared" si="171"/>
        <v>22/05/2025 16:40</v>
      </c>
      <c r="L2200" s="1">
        <f t="shared" si="172"/>
        <v>45799</v>
      </c>
      <c r="M2200" s="1">
        <f t="shared" si="173"/>
        <v>45799</v>
      </c>
      <c r="N2200" s="1"/>
      <c r="O2200" t="str">
        <f t="shared" si="174"/>
        <v>PIX</v>
      </c>
      <c r="P2200" t="s">
        <v>149</v>
      </c>
      <c r="Q2200" t="str">
        <f t="shared" si="175"/>
        <v>Serviços</v>
      </c>
      <c r="R2200" t="str">
        <f t="shared" si="176"/>
        <v>Corte</v>
      </c>
      <c r="T2200" s="14">
        <f t="shared" si="177"/>
        <v>35</v>
      </c>
      <c r="U2200" s="14">
        <f t="shared" si="178"/>
        <v>35</v>
      </c>
      <c r="V2200" s="14"/>
      <c r="W2200" t="str">
        <f>IF(A2200=$A$1707,base!$I$3,IF(A2200=$A$1709,base!$I$2,IF(Receitas!A2200=Receitas!$A$1701,base!$I$4,"")))</f>
        <v>Christian Magon</v>
      </c>
      <c r="X2200" t="str">
        <f t="shared" si="179"/>
        <v>Roger Claudio</v>
      </c>
    </row>
    <row r="2201" spans="1:24">
      <c r="A2201" s="68" t="s">
        <v>519</v>
      </c>
      <c r="B2201" s="68" t="s">
        <v>163</v>
      </c>
      <c r="C2201" s="68" t="s">
        <v>3161</v>
      </c>
      <c r="D2201" s="69">
        <v>35</v>
      </c>
      <c r="E2201" s="69">
        <v>35</v>
      </c>
      <c r="F2201" s="68" t="s">
        <v>3160</v>
      </c>
      <c r="G2201" s="68" t="s">
        <v>2</v>
      </c>
      <c r="H2201" s="68" t="s">
        <v>95</v>
      </c>
      <c r="I2201" t="str">
        <f>IF(A2201="","Pacote",IF(B2201=IFERROR(VLOOKUP(B2201,base!$L$1:$L$20,1,0),""),"Produtos",IF(B2201=IFERROR(VLOOKUP(B2201,base!$K$2:$K$20,1,0),""),"Serviços",IF(B2201="Gorjeta","Gorjeta","Combos"))))</f>
        <v>Serviços</v>
      </c>
      <c r="J2201">
        <f t="shared" si="170"/>
        <v>15.75</v>
      </c>
      <c r="K2201" s="1" t="str">
        <f t="shared" si="171"/>
        <v>22/05/2025 16:40</v>
      </c>
      <c r="L2201" s="1">
        <f t="shared" si="172"/>
        <v>45799</v>
      </c>
      <c r="M2201" s="1">
        <f t="shared" si="173"/>
        <v>45799</v>
      </c>
      <c r="N2201" s="1"/>
      <c r="O2201" t="str">
        <f t="shared" si="174"/>
        <v>Dinheiro</v>
      </c>
      <c r="P2201" t="s">
        <v>149</v>
      </c>
      <c r="Q2201" t="str">
        <f t="shared" si="175"/>
        <v>Serviços</v>
      </c>
      <c r="R2201" t="str">
        <f t="shared" si="176"/>
        <v>Corte</v>
      </c>
      <c r="T2201" s="14">
        <f t="shared" si="177"/>
        <v>35</v>
      </c>
      <c r="U2201" s="14">
        <f t="shared" si="178"/>
        <v>35</v>
      </c>
      <c r="V2201" s="14"/>
      <c r="W2201" t="str">
        <f>IF(A2201=$A$1707,base!$I$3,IF(A2201=$A$1709,base!$I$2,IF(Receitas!A2201=Receitas!$A$1701,base!$I$4,"")))</f>
        <v>Gustavo de Castro</v>
      </c>
      <c r="X2201" t="str">
        <f t="shared" si="179"/>
        <v>Jefferson Bruno</v>
      </c>
    </row>
    <row r="2202" spans="1:24">
      <c r="A2202" s="68" t="s">
        <v>536</v>
      </c>
      <c r="B2202" s="68" t="s">
        <v>353</v>
      </c>
      <c r="C2202" s="68" t="s">
        <v>3162</v>
      </c>
      <c r="D2202" s="69">
        <v>50</v>
      </c>
      <c r="E2202" s="69">
        <v>50</v>
      </c>
      <c r="F2202" s="68" t="s">
        <v>3163</v>
      </c>
      <c r="G2202" s="68" t="s">
        <v>354</v>
      </c>
      <c r="H2202" s="68" t="s">
        <v>1184</v>
      </c>
      <c r="I2202" t="str">
        <f>IF(A2202="","Pacote",IF(B2202=IFERROR(VLOOKUP(B2202,base!$L$1:$L$20,1,0),""),"Produtos",IF(B2202=IFERROR(VLOOKUP(B2202,base!$K$2:$K$20,1,0),""),"Serviços",IF(B2202="Gorjeta","Gorjeta","Combos"))))</f>
        <v>Combos</v>
      </c>
      <c r="J2202">
        <f t="shared" si="170"/>
        <v>22.5</v>
      </c>
      <c r="K2202" s="1" t="str">
        <f t="shared" si="171"/>
        <v>22/05/2025 17:30</v>
      </c>
      <c r="L2202" s="1">
        <f t="shared" si="172"/>
        <v>45799</v>
      </c>
      <c r="M2202" s="1">
        <f t="shared" si="173"/>
        <v>45799</v>
      </c>
      <c r="N2202" s="1"/>
      <c r="O2202" t="str">
        <f t="shared" si="174"/>
        <v>Cartão de Crédito</v>
      </c>
      <c r="P2202" t="s">
        <v>149</v>
      </c>
      <c r="Q2202" t="str">
        <f t="shared" si="175"/>
        <v>Combos</v>
      </c>
      <c r="R2202" t="str">
        <f t="shared" si="176"/>
        <v>Combo ( Corte + Barba )</v>
      </c>
      <c r="T2202" s="14">
        <f t="shared" si="177"/>
        <v>50</v>
      </c>
      <c r="U2202" s="14">
        <f t="shared" si="178"/>
        <v>50</v>
      </c>
      <c r="V2202" s="14"/>
      <c r="W2202" t="str">
        <f>IF(A2202=$A$1707,base!$I$3,IF(A2202=$A$1709,base!$I$2,IF(Receitas!A2202=Receitas!$A$1701,base!$I$4,"")))</f>
        <v>PATRICK CARDOSO</v>
      </c>
      <c r="X2202" t="str">
        <f t="shared" si="179"/>
        <v>Joacir Simplicio</v>
      </c>
    </row>
    <row r="2203" spans="1:24">
      <c r="A2203" s="68" t="s">
        <v>252</v>
      </c>
      <c r="B2203" s="68" t="s">
        <v>163</v>
      </c>
      <c r="C2203" s="68" t="s">
        <v>3164</v>
      </c>
      <c r="D2203" s="69">
        <v>35</v>
      </c>
      <c r="E2203" s="69">
        <v>35</v>
      </c>
      <c r="F2203" s="68" t="s">
        <v>3163</v>
      </c>
      <c r="G2203" s="68" t="s">
        <v>1</v>
      </c>
      <c r="H2203" s="68" t="s">
        <v>1127</v>
      </c>
      <c r="I2203" t="str">
        <f>IF(A2203="","Pacote",IF(B2203=IFERROR(VLOOKUP(B2203,base!$L$1:$L$20,1,0),""),"Produtos",IF(B2203=IFERROR(VLOOKUP(B2203,base!$K$2:$K$20,1,0),""),"Serviços",IF(B2203="Gorjeta","Gorjeta","Combos"))))</f>
        <v>Serviços</v>
      </c>
      <c r="J2203">
        <f t="shared" si="170"/>
        <v>15.75</v>
      </c>
      <c r="K2203" s="1" t="str">
        <f t="shared" si="171"/>
        <v>22/05/2025 17:30</v>
      </c>
      <c r="L2203" s="1">
        <f t="shared" si="172"/>
        <v>45799</v>
      </c>
      <c r="M2203" s="1">
        <f t="shared" si="173"/>
        <v>45799</v>
      </c>
      <c r="N2203" s="1"/>
      <c r="O2203" t="str">
        <f t="shared" si="174"/>
        <v>PIX</v>
      </c>
      <c r="P2203" t="s">
        <v>149</v>
      </c>
      <c r="Q2203" t="str">
        <f t="shared" si="175"/>
        <v>Serviços</v>
      </c>
      <c r="R2203" t="str">
        <f t="shared" si="176"/>
        <v>Corte</v>
      </c>
      <c r="T2203" s="14">
        <f t="shared" si="177"/>
        <v>35</v>
      </c>
      <c r="U2203" s="14">
        <f t="shared" si="178"/>
        <v>35</v>
      </c>
      <c r="V2203" s="14"/>
      <c r="W2203" t="str">
        <f>IF(A2203=$A$1707,base!$I$3,IF(A2203=$A$1709,base!$I$2,IF(Receitas!A2203=Receitas!$A$1701,base!$I$4,"")))</f>
        <v>Christian Magon</v>
      </c>
      <c r="X2203" t="str">
        <f t="shared" si="179"/>
        <v>Rubens Junior</v>
      </c>
    </row>
    <row r="2204" spans="1:24">
      <c r="A2204" s="68" t="s">
        <v>536</v>
      </c>
      <c r="B2204" s="68" t="s">
        <v>163</v>
      </c>
      <c r="C2204" s="68" t="s">
        <v>3165</v>
      </c>
      <c r="D2204" s="69">
        <v>30</v>
      </c>
      <c r="E2204" s="69">
        <v>10</v>
      </c>
      <c r="F2204" s="68" t="s">
        <v>3166</v>
      </c>
      <c r="G2204" s="68" t="s">
        <v>1</v>
      </c>
      <c r="H2204" s="68" t="s">
        <v>1348</v>
      </c>
      <c r="I2204" t="str">
        <f>IF(A2204="","Pacote",IF(B2204=IFERROR(VLOOKUP(B2204,base!$L$1:$L$20,1,0),""),"Produtos",IF(B2204=IFERROR(VLOOKUP(B2204,base!$K$2:$K$20,1,0),""),"Serviços",IF(B2204="Gorjeta","Gorjeta","Combos"))))</f>
        <v>Serviços</v>
      </c>
      <c r="J2204">
        <f t="shared" si="170"/>
        <v>13.5</v>
      </c>
      <c r="K2204" s="1" t="str">
        <f t="shared" si="171"/>
        <v>22/05/2025 18:45</v>
      </c>
      <c r="L2204" s="1">
        <f t="shared" si="172"/>
        <v>45799</v>
      </c>
      <c r="M2204" s="1">
        <f t="shared" si="173"/>
        <v>45799</v>
      </c>
      <c r="N2204" s="1"/>
      <c r="O2204" t="str">
        <f t="shared" si="174"/>
        <v>PIX</v>
      </c>
      <c r="P2204" t="s">
        <v>149</v>
      </c>
      <c r="Q2204" t="str">
        <f t="shared" si="175"/>
        <v>Serviços</v>
      </c>
      <c r="R2204" t="str">
        <f t="shared" si="176"/>
        <v>Corte</v>
      </c>
      <c r="T2204" s="14">
        <f t="shared" si="177"/>
        <v>30</v>
      </c>
      <c r="U2204" s="14">
        <f t="shared" si="178"/>
        <v>10</v>
      </c>
      <c r="V2204" s="14"/>
      <c r="W2204" t="str">
        <f>IF(A2204=$A$1707,base!$I$3,IF(A2204=$A$1709,base!$I$2,IF(Receitas!A2204=Receitas!$A$1701,base!$I$4,"")))</f>
        <v>PATRICK CARDOSO</v>
      </c>
      <c r="X2204" t="str">
        <f t="shared" si="179"/>
        <v>Jeremias Bastos</v>
      </c>
    </row>
    <row r="2205" spans="1:24">
      <c r="A2205" s="68" t="s">
        <v>536</v>
      </c>
      <c r="B2205" s="68" t="s">
        <v>167</v>
      </c>
      <c r="C2205" s="68" t="s">
        <v>3165</v>
      </c>
      <c r="D2205" s="69">
        <v>10</v>
      </c>
      <c r="E2205" s="68" t="s">
        <v>1604</v>
      </c>
      <c r="F2205" s="68" t="s">
        <v>3166</v>
      </c>
      <c r="G2205" s="68" t="s">
        <v>1</v>
      </c>
      <c r="H2205" s="68" t="s">
        <v>1348</v>
      </c>
      <c r="I2205" t="str">
        <f>IF(A2205="","Pacote",IF(B2205=IFERROR(VLOOKUP(B2205,base!$L$1:$L$20,1,0),""),"Produtos",IF(B2205=IFERROR(VLOOKUP(B2205,base!$K$2:$K$20,1,0),""),"Serviços",IF(B2205="Gorjeta","Gorjeta","Combos"))))</f>
        <v>Serviços</v>
      </c>
      <c r="J2205">
        <f t="shared" si="170"/>
        <v>4.5</v>
      </c>
      <c r="K2205" s="1" t="str">
        <f t="shared" si="171"/>
        <v>22/05/2025 18:45</v>
      </c>
      <c r="L2205" s="1">
        <f t="shared" si="172"/>
        <v>45799</v>
      </c>
      <c r="M2205" s="1">
        <f t="shared" si="173"/>
        <v>45799</v>
      </c>
      <c r="N2205" s="1"/>
      <c r="O2205" t="str">
        <f t="shared" si="174"/>
        <v>PIX</v>
      </c>
      <c r="P2205" t="s">
        <v>149</v>
      </c>
      <c r="Q2205" t="str">
        <f t="shared" si="175"/>
        <v>Serviços</v>
      </c>
      <c r="R2205" t="str">
        <f t="shared" si="176"/>
        <v>Sobrancelha</v>
      </c>
      <c r="T2205" s="14">
        <f t="shared" si="177"/>
        <v>10</v>
      </c>
      <c r="U2205" s="14" t="str">
        <f t="shared" si="178"/>
        <v/>
      </c>
      <c r="V2205" s="14"/>
      <c r="W2205" t="str">
        <f>IF(A2205=$A$1707,base!$I$3,IF(A2205=$A$1709,base!$I$2,IF(Receitas!A2205=Receitas!$A$1701,base!$I$4,"")))</f>
        <v>PATRICK CARDOSO</v>
      </c>
      <c r="X2205" t="str">
        <f t="shared" si="179"/>
        <v>Jeremias Bastos</v>
      </c>
    </row>
    <row r="2206" spans="1:24">
      <c r="A2206" s="68" t="s">
        <v>252</v>
      </c>
      <c r="B2206" s="68" t="s">
        <v>163</v>
      </c>
      <c r="C2206" s="68" t="s">
        <v>3167</v>
      </c>
      <c r="D2206" s="69">
        <v>35</v>
      </c>
      <c r="E2206" s="69">
        <v>35</v>
      </c>
      <c r="F2206" s="68" t="s">
        <v>3166</v>
      </c>
      <c r="G2206" s="68" t="s">
        <v>1</v>
      </c>
      <c r="H2206" s="68" t="s">
        <v>1089</v>
      </c>
      <c r="I2206" t="str">
        <f>IF(A2206="","Pacote",IF(B2206=IFERROR(VLOOKUP(B2206,base!$L$1:$L$20,1,0),""),"Produtos",IF(B2206=IFERROR(VLOOKUP(B2206,base!$K$2:$K$20,1,0),""),"Serviços",IF(B2206="Gorjeta","Gorjeta","Combos"))))</f>
        <v>Serviços</v>
      </c>
      <c r="J2206">
        <f t="shared" si="170"/>
        <v>15.75</v>
      </c>
      <c r="K2206" s="1" t="str">
        <f t="shared" si="171"/>
        <v>22/05/2025 18:45</v>
      </c>
      <c r="L2206" s="1">
        <f t="shared" si="172"/>
        <v>45799</v>
      </c>
      <c r="M2206" s="1">
        <f t="shared" si="173"/>
        <v>45799</v>
      </c>
      <c r="N2206" s="1"/>
      <c r="O2206" t="str">
        <f t="shared" si="174"/>
        <v>PIX</v>
      </c>
      <c r="P2206" t="s">
        <v>149</v>
      </c>
      <c r="Q2206" t="str">
        <f t="shared" si="175"/>
        <v>Serviços</v>
      </c>
      <c r="R2206" t="str">
        <f t="shared" si="176"/>
        <v>Corte</v>
      </c>
      <c r="T2206" s="14">
        <f t="shared" si="177"/>
        <v>35</v>
      </c>
      <c r="U2206" s="14">
        <f t="shared" si="178"/>
        <v>35</v>
      </c>
      <c r="V2206" s="14"/>
      <c r="W2206" t="str">
        <f>IF(A2206=$A$1707,base!$I$3,IF(A2206=$A$1709,base!$I$2,IF(Receitas!A2206=Receitas!$A$1701,base!$I$4,"")))</f>
        <v>Christian Magon</v>
      </c>
      <c r="X2206" t="str">
        <f t="shared" si="179"/>
        <v>matheus lopes veloso</v>
      </c>
    </row>
    <row r="2207" spans="1:24">
      <c r="A2207" s="68" t="s">
        <v>519</v>
      </c>
      <c r="B2207" s="68" t="s">
        <v>163</v>
      </c>
      <c r="C2207" s="68" t="s">
        <v>3168</v>
      </c>
      <c r="D2207" s="69">
        <v>35</v>
      </c>
      <c r="E2207" s="69">
        <v>45</v>
      </c>
      <c r="F2207" s="68" t="s">
        <v>3169</v>
      </c>
      <c r="G2207" s="68" t="s">
        <v>1</v>
      </c>
      <c r="H2207" s="68" t="s">
        <v>210</v>
      </c>
      <c r="I2207" t="str">
        <f>IF(A2207="","Pacote",IF(B2207=IFERROR(VLOOKUP(B2207,base!$L$1:$L$20,1,0),""),"Produtos",IF(B2207=IFERROR(VLOOKUP(B2207,base!$K$2:$K$20,1,0),""),"Serviços",IF(B2207="Gorjeta","Gorjeta","Combos"))))</f>
        <v>Serviços</v>
      </c>
      <c r="J2207">
        <f t="shared" si="170"/>
        <v>15.75</v>
      </c>
      <c r="K2207" s="1" t="str">
        <f t="shared" si="171"/>
        <v>23/05/2025 11:30</v>
      </c>
      <c r="L2207" s="1">
        <f t="shared" si="172"/>
        <v>45800</v>
      </c>
      <c r="M2207" s="1">
        <f t="shared" si="173"/>
        <v>45800</v>
      </c>
      <c r="N2207" s="1"/>
      <c r="O2207" t="str">
        <f t="shared" si="174"/>
        <v>PIX</v>
      </c>
      <c r="P2207" t="s">
        <v>149</v>
      </c>
      <c r="Q2207" t="str">
        <f t="shared" si="175"/>
        <v>Serviços</v>
      </c>
      <c r="R2207" t="str">
        <f t="shared" si="176"/>
        <v>Corte</v>
      </c>
      <c r="T2207" s="14">
        <f t="shared" si="177"/>
        <v>35</v>
      </c>
      <c r="U2207" s="14">
        <f t="shared" si="178"/>
        <v>45</v>
      </c>
      <c r="V2207" s="14"/>
      <c r="W2207" t="str">
        <f>IF(A2207=$A$1707,base!$I$3,IF(A2207=$A$1709,base!$I$2,IF(Receitas!A2207=Receitas!$A$1701,base!$I$4,"")))</f>
        <v>Gustavo de Castro</v>
      </c>
      <c r="X2207" t="str">
        <f t="shared" si="179"/>
        <v>vitor vinicius</v>
      </c>
    </row>
    <row r="2208" spans="1:24">
      <c r="A2208" s="68" t="s">
        <v>519</v>
      </c>
      <c r="B2208" s="68" t="s">
        <v>167</v>
      </c>
      <c r="C2208" s="68" t="s">
        <v>3168</v>
      </c>
      <c r="D2208" s="69">
        <v>10</v>
      </c>
      <c r="E2208" s="68" t="s">
        <v>1604</v>
      </c>
      <c r="F2208" s="68" t="s">
        <v>3169</v>
      </c>
      <c r="G2208" s="68" t="s">
        <v>1</v>
      </c>
      <c r="H2208" s="68" t="s">
        <v>210</v>
      </c>
      <c r="I2208" t="str">
        <f>IF(A2208="","Pacote",IF(B2208=IFERROR(VLOOKUP(B2208,base!$L$1:$L$20,1,0),""),"Produtos",IF(B2208=IFERROR(VLOOKUP(B2208,base!$K$2:$K$20,1,0),""),"Serviços",IF(B2208="Gorjeta","Gorjeta","Combos"))))</f>
        <v>Serviços</v>
      </c>
      <c r="J2208">
        <f t="shared" si="170"/>
        <v>4.5</v>
      </c>
      <c r="K2208" s="1" t="str">
        <f t="shared" si="171"/>
        <v>23/05/2025 11:30</v>
      </c>
      <c r="L2208" s="1">
        <f t="shared" si="172"/>
        <v>45800</v>
      </c>
      <c r="M2208" s="1">
        <f t="shared" si="173"/>
        <v>45800</v>
      </c>
      <c r="N2208" s="1"/>
      <c r="O2208" t="str">
        <f t="shared" si="174"/>
        <v>PIX</v>
      </c>
      <c r="P2208" t="s">
        <v>149</v>
      </c>
      <c r="Q2208" t="str">
        <f t="shared" si="175"/>
        <v>Serviços</v>
      </c>
      <c r="R2208" t="str">
        <f t="shared" si="176"/>
        <v>Sobrancelha</v>
      </c>
      <c r="T2208" s="14">
        <f t="shared" si="177"/>
        <v>10</v>
      </c>
      <c r="U2208" s="14" t="str">
        <f t="shared" si="178"/>
        <v/>
      </c>
      <c r="V2208" s="14"/>
      <c r="W2208" t="str">
        <f>IF(A2208=$A$1707,base!$I$3,IF(A2208=$A$1709,base!$I$2,IF(Receitas!A2208=Receitas!$A$1701,base!$I$4,"")))</f>
        <v>Gustavo de Castro</v>
      </c>
      <c r="X2208" t="str">
        <f t="shared" si="179"/>
        <v>vitor vinicius</v>
      </c>
    </row>
    <row r="2209" spans="1:24">
      <c r="A2209" s="68" t="s">
        <v>536</v>
      </c>
      <c r="B2209" s="68" t="s">
        <v>163</v>
      </c>
      <c r="C2209" s="68" t="s">
        <v>3170</v>
      </c>
      <c r="D2209" s="69">
        <v>35</v>
      </c>
      <c r="E2209" s="69">
        <v>115</v>
      </c>
      <c r="F2209" s="68" t="s">
        <v>3171</v>
      </c>
      <c r="G2209" s="68" t="s">
        <v>1</v>
      </c>
      <c r="H2209" s="68" t="s">
        <v>895</v>
      </c>
      <c r="I2209" t="str">
        <f>IF(A2209="","Pacote",IF(B2209=IFERROR(VLOOKUP(B2209,base!$L$1:$L$20,1,0),""),"Produtos",IF(B2209=IFERROR(VLOOKUP(B2209,base!$K$2:$K$20,1,0),""),"Serviços",IF(B2209="Gorjeta","Gorjeta","Combos"))))</f>
        <v>Serviços</v>
      </c>
      <c r="J2209">
        <f t="shared" si="170"/>
        <v>15.75</v>
      </c>
      <c r="K2209" s="1" t="str">
        <f t="shared" si="171"/>
        <v>23/05/2025 16:30</v>
      </c>
      <c r="L2209" s="1">
        <f t="shared" si="172"/>
        <v>45800</v>
      </c>
      <c r="M2209" s="1">
        <f t="shared" si="173"/>
        <v>45800</v>
      </c>
      <c r="N2209" s="1"/>
      <c r="O2209" t="str">
        <f t="shared" si="174"/>
        <v>PIX</v>
      </c>
      <c r="P2209" t="s">
        <v>149</v>
      </c>
      <c r="Q2209" t="str">
        <f t="shared" si="175"/>
        <v>Serviços</v>
      </c>
      <c r="R2209" t="str">
        <f t="shared" si="176"/>
        <v>Corte</v>
      </c>
      <c r="T2209" s="14">
        <f t="shared" si="177"/>
        <v>35</v>
      </c>
      <c r="U2209" s="14">
        <f t="shared" si="178"/>
        <v>115</v>
      </c>
      <c r="V2209" s="14"/>
      <c r="W2209" t="str">
        <f>IF(A2209=$A$1707,base!$I$3,IF(A2209=$A$1709,base!$I$2,IF(Receitas!A2209=Receitas!$A$1701,base!$I$4,"")))</f>
        <v>PATRICK CARDOSO</v>
      </c>
      <c r="X2209" t="str">
        <f t="shared" si="179"/>
        <v>Daniella</v>
      </c>
    </row>
    <row r="2210" spans="1:24">
      <c r="A2210" s="68" t="s">
        <v>519</v>
      </c>
      <c r="B2210" s="68" t="s">
        <v>163</v>
      </c>
      <c r="C2210" s="68" t="s">
        <v>3170</v>
      </c>
      <c r="D2210" s="69">
        <v>35</v>
      </c>
      <c r="E2210" s="68" t="s">
        <v>1604</v>
      </c>
      <c r="F2210" s="68" t="s">
        <v>3171</v>
      </c>
      <c r="G2210" s="68" t="s">
        <v>1</v>
      </c>
      <c r="H2210" s="68" t="s">
        <v>895</v>
      </c>
      <c r="I2210" t="str">
        <f>IF(A2210="","Pacote",IF(B2210=IFERROR(VLOOKUP(B2210,base!$L$1:$L$20,1,0),""),"Produtos",IF(B2210=IFERROR(VLOOKUP(B2210,base!$K$2:$K$20,1,0),""),"Serviços",IF(B2210="Gorjeta","Gorjeta","Combos"))))</f>
        <v>Serviços</v>
      </c>
      <c r="J2210">
        <f t="shared" si="170"/>
        <v>15.75</v>
      </c>
      <c r="K2210" s="1" t="str">
        <f t="shared" si="171"/>
        <v>23/05/2025 16:30</v>
      </c>
      <c r="L2210" s="1">
        <f t="shared" si="172"/>
        <v>45800</v>
      </c>
      <c r="M2210" s="1">
        <f t="shared" si="173"/>
        <v>45800</v>
      </c>
      <c r="N2210" s="1"/>
      <c r="O2210" t="str">
        <f t="shared" si="174"/>
        <v>PIX</v>
      </c>
      <c r="P2210" t="s">
        <v>149</v>
      </c>
      <c r="Q2210" t="str">
        <f t="shared" si="175"/>
        <v>Serviços</v>
      </c>
      <c r="R2210" t="str">
        <f t="shared" si="176"/>
        <v>Corte</v>
      </c>
      <c r="T2210" s="14">
        <f t="shared" si="177"/>
        <v>35</v>
      </c>
      <c r="U2210" s="14" t="str">
        <f t="shared" si="178"/>
        <v/>
      </c>
      <c r="V2210" s="14"/>
      <c r="W2210" t="str">
        <f>IF(A2210=$A$1707,base!$I$3,IF(A2210=$A$1709,base!$I$2,IF(Receitas!A2210=Receitas!$A$1701,base!$I$4,"")))</f>
        <v>Gustavo de Castro</v>
      </c>
      <c r="X2210" t="str">
        <f t="shared" si="179"/>
        <v>Daniella</v>
      </c>
    </row>
    <row r="2211" spans="1:24">
      <c r="A2211" s="68" t="s">
        <v>252</v>
      </c>
      <c r="B2211" s="68" t="s">
        <v>163</v>
      </c>
      <c r="C2211" s="68" t="s">
        <v>3170</v>
      </c>
      <c r="D2211" s="69">
        <v>35</v>
      </c>
      <c r="E2211" s="68" t="s">
        <v>1604</v>
      </c>
      <c r="F2211" s="68" t="s">
        <v>3171</v>
      </c>
      <c r="G2211" s="68" t="s">
        <v>1</v>
      </c>
      <c r="H2211" s="68" t="s">
        <v>895</v>
      </c>
      <c r="I2211" t="str">
        <f>IF(A2211="","Pacote",IF(B2211=IFERROR(VLOOKUP(B2211,base!$L$1:$L$20,1,0),""),"Produtos",IF(B2211=IFERROR(VLOOKUP(B2211,base!$K$2:$K$20,1,0),""),"Serviços",IF(B2211="Gorjeta","Gorjeta","Combos"))))</f>
        <v>Serviços</v>
      </c>
      <c r="J2211">
        <f t="shared" si="170"/>
        <v>15.75</v>
      </c>
      <c r="K2211" s="1" t="str">
        <f t="shared" si="171"/>
        <v>23/05/2025 16:30</v>
      </c>
      <c r="L2211" s="1">
        <f t="shared" si="172"/>
        <v>45800</v>
      </c>
      <c r="M2211" s="1">
        <f t="shared" si="173"/>
        <v>45800</v>
      </c>
      <c r="N2211" s="1"/>
      <c r="O2211" t="str">
        <f t="shared" si="174"/>
        <v>PIX</v>
      </c>
      <c r="P2211" t="s">
        <v>149</v>
      </c>
      <c r="Q2211" t="str">
        <f t="shared" si="175"/>
        <v>Serviços</v>
      </c>
      <c r="R2211" t="str">
        <f t="shared" si="176"/>
        <v>Corte</v>
      </c>
      <c r="T2211" s="14">
        <f t="shared" si="177"/>
        <v>35</v>
      </c>
      <c r="U2211" s="14" t="str">
        <f t="shared" si="178"/>
        <v/>
      </c>
      <c r="V2211" s="14"/>
      <c r="W2211" t="str">
        <f>IF(A2211=$A$1707,base!$I$3,IF(A2211=$A$1709,base!$I$2,IF(Receitas!A2211=Receitas!$A$1701,base!$I$4,"")))</f>
        <v>Christian Magon</v>
      </c>
      <c r="X2211" t="str">
        <f t="shared" si="179"/>
        <v>Daniella</v>
      </c>
    </row>
    <row r="2212" spans="1:24">
      <c r="A2212" s="68" t="s">
        <v>519</v>
      </c>
      <c r="B2212" s="68" t="s">
        <v>167</v>
      </c>
      <c r="C2212" s="68" t="s">
        <v>3170</v>
      </c>
      <c r="D2212" s="69">
        <v>10</v>
      </c>
      <c r="E2212" s="68" t="s">
        <v>1604</v>
      </c>
      <c r="F2212" s="68" t="s">
        <v>3171</v>
      </c>
      <c r="G2212" s="68" t="s">
        <v>1</v>
      </c>
      <c r="H2212" s="68" t="s">
        <v>895</v>
      </c>
      <c r="I2212" t="str">
        <f>IF(A2212="","Pacote",IF(B2212=IFERROR(VLOOKUP(B2212,base!$L$1:$L$20,1,0),""),"Produtos",IF(B2212=IFERROR(VLOOKUP(B2212,base!$K$2:$K$20,1,0),""),"Serviços",IF(B2212="Gorjeta","Gorjeta","Combos"))))</f>
        <v>Serviços</v>
      </c>
      <c r="J2212">
        <f t="shared" si="170"/>
        <v>4.5</v>
      </c>
      <c r="K2212" s="1" t="str">
        <f t="shared" si="171"/>
        <v>23/05/2025 16:30</v>
      </c>
      <c r="L2212" s="1">
        <f t="shared" si="172"/>
        <v>45800</v>
      </c>
      <c r="M2212" s="1">
        <f t="shared" si="173"/>
        <v>45800</v>
      </c>
      <c r="N2212" s="1"/>
      <c r="O2212" t="str">
        <f t="shared" si="174"/>
        <v>PIX</v>
      </c>
      <c r="P2212" t="s">
        <v>149</v>
      </c>
      <c r="Q2212" t="str">
        <f t="shared" si="175"/>
        <v>Serviços</v>
      </c>
      <c r="R2212" t="str">
        <f t="shared" si="176"/>
        <v>Sobrancelha</v>
      </c>
      <c r="T2212" s="14">
        <f t="shared" si="177"/>
        <v>10</v>
      </c>
      <c r="U2212" s="14" t="str">
        <f t="shared" si="178"/>
        <v/>
      </c>
      <c r="V2212" s="14"/>
      <c r="W2212" t="str">
        <f>IF(A2212=$A$1707,base!$I$3,IF(A2212=$A$1709,base!$I$2,IF(Receitas!A2212=Receitas!$A$1701,base!$I$4,"")))</f>
        <v>Gustavo de Castro</v>
      </c>
      <c r="X2212" t="str">
        <f t="shared" si="179"/>
        <v>Daniella</v>
      </c>
    </row>
    <row r="2213" spans="1:24">
      <c r="A2213" s="68" t="s">
        <v>252</v>
      </c>
      <c r="B2213" s="68" t="s">
        <v>2825</v>
      </c>
      <c r="C2213" s="68" t="s">
        <v>3172</v>
      </c>
      <c r="D2213" s="69">
        <v>20</v>
      </c>
      <c r="E2213" s="69">
        <v>65</v>
      </c>
      <c r="F2213" s="68" t="s">
        <v>3173</v>
      </c>
      <c r="G2213" s="68" t="s">
        <v>1</v>
      </c>
      <c r="H2213" s="68" t="s">
        <v>105</v>
      </c>
      <c r="I2213" t="str">
        <f>IF(A2213="","Pacote",IF(B2213=IFERROR(VLOOKUP(B2213,base!$L$1:$L$20,1,0),""),"Produtos",IF(B2213=IFERROR(VLOOKUP(B2213,base!$K$2:$K$20,1,0),""),"Serviços",IF(B2213="Gorjeta","Gorjeta","Combos"))))</f>
        <v>Serviços</v>
      </c>
      <c r="J2213">
        <f t="shared" si="170"/>
        <v>9</v>
      </c>
      <c r="K2213" s="1" t="str">
        <f t="shared" si="171"/>
        <v>22/05/2025 20:20</v>
      </c>
      <c r="L2213" s="1">
        <f t="shared" si="172"/>
        <v>45799</v>
      </c>
      <c r="M2213" s="1">
        <f t="shared" si="173"/>
        <v>45799</v>
      </c>
      <c r="N2213" s="1"/>
      <c r="O2213" t="str">
        <f t="shared" si="174"/>
        <v>PIX</v>
      </c>
      <c r="P2213" t="s">
        <v>149</v>
      </c>
      <c r="Q2213" t="str">
        <f t="shared" si="175"/>
        <v>Serviços</v>
      </c>
      <c r="R2213" t="str">
        <f t="shared" si="176"/>
        <v>barboterapia</v>
      </c>
      <c r="T2213" s="14">
        <f t="shared" si="177"/>
        <v>20</v>
      </c>
      <c r="U2213" s="14">
        <f t="shared" si="178"/>
        <v>65</v>
      </c>
      <c r="V2213" s="14"/>
      <c r="W2213" t="str">
        <f>IF(A2213=$A$1707,base!$I$3,IF(A2213=$A$1709,base!$I$2,IF(Receitas!A2213=Receitas!$A$1701,base!$I$4,"")))</f>
        <v>Christian Magon</v>
      </c>
      <c r="X2213" t="str">
        <f t="shared" si="179"/>
        <v>Rodrigo Alves Ribeiro</v>
      </c>
    </row>
    <row r="2214" spans="1:24">
      <c r="A2214" s="68" t="s">
        <v>252</v>
      </c>
      <c r="B2214" s="68" t="s">
        <v>163</v>
      </c>
      <c r="C2214" s="68" t="s">
        <v>3172</v>
      </c>
      <c r="D2214" s="69">
        <v>35</v>
      </c>
      <c r="E2214" s="68" t="s">
        <v>1604</v>
      </c>
      <c r="F2214" s="68" t="s">
        <v>3173</v>
      </c>
      <c r="G2214" s="68" t="s">
        <v>1</v>
      </c>
      <c r="H2214" s="68" t="s">
        <v>105</v>
      </c>
      <c r="I2214" t="str">
        <f>IF(A2214="","Pacote",IF(B2214=IFERROR(VLOOKUP(B2214,base!$L$1:$L$20,1,0),""),"Produtos",IF(B2214=IFERROR(VLOOKUP(B2214,base!$K$2:$K$20,1,0),""),"Serviços",IF(B2214="Gorjeta","Gorjeta","Combos"))))</f>
        <v>Serviços</v>
      </c>
      <c r="J2214">
        <f t="shared" si="170"/>
        <v>15.75</v>
      </c>
      <c r="K2214" s="1" t="str">
        <f t="shared" si="171"/>
        <v>22/05/2025 20:20</v>
      </c>
      <c r="L2214" s="1">
        <f t="shared" si="172"/>
        <v>45799</v>
      </c>
      <c r="M2214" s="1">
        <f t="shared" si="173"/>
        <v>45799</v>
      </c>
      <c r="N2214" s="1"/>
      <c r="O2214" t="str">
        <f t="shared" si="174"/>
        <v>PIX</v>
      </c>
      <c r="P2214" t="s">
        <v>149</v>
      </c>
      <c r="Q2214" t="str">
        <f t="shared" si="175"/>
        <v>Serviços</v>
      </c>
      <c r="R2214" t="str">
        <f t="shared" si="176"/>
        <v>Corte</v>
      </c>
      <c r="T2214" s="14">
        <f t="shared" si="177"/>
        <v>35</v>
      </c>
      <c r="U2214" s="14" t="str">
        <f t="shared" si="178"/>
        <v/>
      </c>
      <c r="V2214" s="14"/>
      <c r="W2214" t="str">
        <f>IF(A2214=$A$1707,base!$I$3,IF(A2214=$A$1709,base!$I$2,IF(Receitas!A2214=Receitas!$A$1701,base!$I$4,"")))</f>
        <v>Christian Magon</v>
      </c>
      <c r="X2214" t="str">
        <f t="shared" si="179"/>
        <v>Rodrigo Alves Ribeiro</v>
      </c>
    </row>
    <row r="2215" spans="1:24">
      <c r="A2215" s="68" t="s">
        <v>252</v>
      </c>
      <c r="B2215" s="68" t="s">
        <v>1046</v>
      </c>
      <c r="C2215" s="68" t="s">
        <v>3172</v>
      </c>
      <c r="D2215" s="69">
        <v>15</v>
      </c>
      <c r="E2215" s="68" t="s">
        <v>1604</v>
      </c>
      <c r="F2215" s="68" t="s">
        <v>3173</v>
      </c>
      <c r="G2215" s="68" t="s">
        <v>1</v>
      </c>
      <c r="H2215" s="68" t="s">
        <v>105</v>
      </c>
      <c r="I2215" t="str">
        <f>IF(A2215="","Pacote",IF(B2215=IFERROR(VLOOKUP(B2215,base!$L$1:$L$20,1,0),""),"Produtos",IF(B2215=IFERROR(VLOOKUP(B2215,base!$K$2:$K$20,1,0),""),"Serviços",IF(B2215="Gorjeta","Gorjeta","Combos"))))</f>
        <v>Serviços</v>
      </c>
      <c r="J2215">
        <f t="shared" si="170"/>
        <v>6.75</v>
      </c>
      <c r="K2215" s="1" t="str">
        <f t="shared" si="171"/>
        <v>22/05/2025 20:20</v>
      </c>
      <c r="L2215" s="1">
        <f t="shared" si="172"/>
        <v>45799</v>
      </c>
      <c r="M2215" s="1">
        <f t="shared" si="173"/>
        <v>45799</v>
      </c>
      <c r="N2215" s="1"/>
      <c r="O2215" t="str">
        <f t="shared" si="174"/>
        <v>PIX</v>
      </c>
      <c r="P2215" t="s">
        <v>149</v>
      </c>
      <c r="Q2215" t="str">
        <f t="shared" si="175"/>
        <v>Serviços</v>
      </c>
      <c r="R2215" t="str">
        <f t="shared" si="176"/>
        <v>Barba</v>
      </c>
      <c r="T2215" s="14">
        <f t="shared" si="177"/>
        <v>15</v>
      </c>
      <c r="U2215" s="14" t="str">
        <f t="shared" si="178"/>
        <v/>
      </c>
      <c r="V2215" s="14"/>
      <c r="W2215" t="str">
        <f>IF(A2215=$A$1707,base!$I$3,IF(A2215=$A$1709,base!$I$2,IF(Receitas!A2215=Receitas!$A$1701,base!$I$4,"")))</f>
        <v>Christian Magon</v>
      </c>
      <c r="X2215" t="str">
        <f t="shared" si="179"/>
        <v>Rodrigo Alves Ribeiro</v>
      </c>
    </row>
    <row r="2216" spans="1:24">
      <c r="A2216" s="68" t="s">
        <v>252</v>
      </c>
      <c r="B2216" s="68" t="s">
        <v>163</v>
      </c>
      <c r="C2216" s="68" t="s">
        <v>3174</v>
      </c>
      <c r="D2216" s="69">
        <v>35</v>
      </c>
      <c r="E2216" s="69">
        <v>35</v>
      </c>
      <c r="F2216" s="68" t="s">
        <v>3175</v>
      </c>
      <c r="G2216" s="68" t="s">
        <v>1</v>
      </c>
      <c r="H2216" s="68" t="s">
        <v>22</v>
      </c>
      <c r="I2216" t="str">
        <f>IF(A2216="","Pacote",IF(B2216=IFERROR(VLOOKUP(B2216,base!$L$1:$L$20,1,0),""),"Produtos",IF(B2216=IFERROR(VLOOKUP(B2216,base!$K$2:$K$20,1,0),""),"Serviços",IF(B2216="Gorjeta","Gorjeta","Combos"))))</f>
        <v>Serviços</v>
      </c>
      <c r="J2216">
        <f t="shared" si="170"/>
        <v>15.75</v>
      </c>
      <c r="K2216" s="1" t="str">
        <f t="shared" si="171"/>
        <v>23/05/2025 11:15</v>
      </c>
      <c r="L2216" s="1">
        <f t="shared" si="172"/>
        <v>45800</v>
      </c>
      <c r="M2216" s="1">
        <f t="shared" si="173"/>
        <v>45800</v>
      </c>
      <c r="N2216" s="1"/>
      <c r="O2216" t="str">
        <f t="shared" si="174"/>
        <v>PIX</v>
      </c>
      <c r="P2216" t="s">
        <v>149</v>
      </c>
      <c r="Q2216" t="str">
        <f t="shared" si="175"/>
        <v>Serviços</v>
      </c>
      <c r="R2216" t="str">
        <f t="shared" si="176"/>
        <v>Corte</v>
      </c>
      <c r="T2216" s="14">
        <f t="shared" si="177"/>
        <v>35</v>
      </c>
      <c r="U2216" s="14">
        <f t="shared" si="178"/>
        <v>35</v>
      </c>
      <c r="V2216" s="14"/>
      <c r="W2216" t="str">
        <f>IF(A2216=$A$1707,base!$I$3,IF(A2216=$A$1709,base!$I$2,IF(Receitas!A2216=Receitas!$A$1701,base!$I$4,"")))</f>
        <v>Christian Magon</v>
      </c>
      <c r="X2216" t="str">
        <f t="shared" si="179"/>
        <v>Kauan faleiro rosa</v>
      </c>
    </row>
    <row r="2217" spans="1:24">
      <c r="A2217" s="68" t="s">
        <v>519</v>
      </c>
      <c r="B2217" s="68" t="s">
        <v>163</v>
      </c>
      <c r="C2217" s="68" t="s">
        <v>3176</v>
      </c>
      <c r="D2217" s="69">
        <v>35</v>
      </c>
      <c r="E2217" s="69">
        <v>65</v>
      </c>
      <c r="F2217" s="68" t="s">
        <v>3177</v>
      </c>
      <c r="G2217" s="68" t="s">
        <v>1</v>
      </c>
      <c r="H2217" s="68" t="s">
        <v>28</v>
      </c>
      <c r="I2217" t="str">
        <f>IF(A2217="","Pacote",IF(B2217=IFERROR(VLOOKUP(B2217,base!$L$1:$L$20,1,0),""),"Produtos",IF(B2217=IFERROR(VLOOKUP(B2217,base!$K$2:$K$20,1,0),""),"Serviços",IF(B2217="Gorjeta","Gorjeta","Combos"))))</f>
        <v>Serviços</v>
      </c>
      <c r="J2217">
        <f t="shared" si="170"/>
        <v>15.75</v>
      </c>
      <c r="K2217" s="1" t="str">
        <f t="shared" si="171"/>
        <v>23/05/2025 19:00</v>
      </c>
      <c r="L2217" s="1">
        <f t="shared" si="172"/>
        <v>45800</v>
      </c>
      <c r="M2217" s="1">
        <f t="shared" si="173"/>
        <v>45800</v>
      </c>
      <c r="N2217" s="1"/>
      <c r="O2217" t="str">
        <f t="shared" si="174"/>
        <v>PIX</v>
      </c>
      <c r="P2217" t="s">
        <v>149</v>
      </c>
      <c r="Q2217" t="str">
        <f t="shared" si="175"/>
        <v>Serviços</v>
      </c>
      <c r="R2217" t="str">
        <f t="shared" si="176"/>
        <v>Corte</v>
      </c>
      <c r="T2217" s="14">
        <f t="shared" si="177"/>
        <v>35</v>
      </c>
      <c r="U2217" s="14">
        <f t="shared" si="178"/>
        <v>65</v>
      </c>
      <c r="V2217" s="14"/>
      <c r="W2217" t="str">
        <f>IF(A2217=$A$1707,base!$I$3,IF(A2217=$A$1709,base!$I$2,IF(Receitas!A2217=Receitas!$A$1701,base!$I$4,"")))</f>
        <v>Gustavo de Castro</v>
      </c>
      <c r="X2217" t="str">
        <f t="shared" si="179"/>
        <v>Huan Fernandes</v>
      </c>
    </row>
    <row r="2218" spans="1:24">
      <c r="A2218" s="68" t="s">
        <v>519</v>
      </c>
      <c r="B2218" s="68" t="s">
        <v>1046</v>
      </c>
      <c r="C2218" s="68" t="s">
        <v>3176</v>
      </c>
      <c r="D2218" s="69">
        <v>15</v>
      </c>
      <c r="E2218" s="68" t="s">
        <v>1604</v>
      </c>
      <c r="F2218" s="68" t="s">
        <v>3177</v>
      </c>
      <c r="G2218" s="68" t="s">
        <v>1</v>
      </c>
      <c r="H2218" s="68" t="s">
        <v>28</v>
      </c>
      <c r="I2218" t="str">
        <f>IF(A2218="","Pacote",IF(B2218=IFERROR(VLOOKUP(B2218,base!$L$1:$L$20,1,0),""),"Produtos",IF(B2218=IFERROR(VLOOKUP(B2218,base!$K$2:$K$20,1,0),""),"Serviços",IF(B2218="Gorjeta","Gorjeta","Combos"))))</f>
        <v>Serviços</v>
      </c>
      <c r="J2218">
        <f t="shared" si="170"/>
        <v>6.75</v>
      </c>
      <c r="K2218" s="1" t="str">
        <f t="shared" si="171"/>
        <v>23/05/2025 19:00</v>
      </c>
      <c r="L2218" s="1">
        <f t="shared" si="172"/>
        <v>45800</v>
      </c>
      <c r="M2218" s="1">
        <f t="shared" si="173"/>
        <v>45800</v>
      </c>
      <c r="N2218" s="1"/>
      <c r="O2218" t="str">
        <f t="shared" si="174"/>
        <v>PIX</v>
      </c>
      <c r="P2218" t="s">
        <v>149</v>
      </c>
      <c r="Q2218" t="str">
        <f t="shared" si="175"/>
        <v>Serviços</v>
      </c>
      <c r="R2218" t="str">
        <f t="shared" si="176"/>
        <v>Barba</v>
      </c>
      <c r="T2218" s="14">
        <f t="shared" si="177"/>
        <v>15</v>
      </c>
      <c r="U2218" s="14" t="str">
        <f t="shared" si="178"/>
        <v/>
      </c>
      <c r="V2218" s="14"/>
      <c r="W2218" t="str">
        <f>IF(A2218=$A$1707,base!$I$3,IF(A2218=$A$1709,base!$I$2,IF(Receitas!A2218=Receitas!$A$1701,base!$I$4,"")))</f>
        <v>Gustavo de Castro</v>
      </c>
      <c r="X2218" t="str">
        <f t="shared" si="179"/>
        <v>Huan Fernandes</v>
      </c>
    </row>
    <row r="2219" spans="1:24">
      <c r="A2219" s="68" t="s">
        <v>519</v>
      </c>
      <c r="B2219" s="68" t="s">
        <v>1187</v>
      </c>
      <c r="C2219" s="68" t="s">
        <v>3176</v>
      </c>
      <c r="D2219" s="69">
        <v>15</v>
      </c>
      <c r="E2219" s="68" t="s">
        <v>1604</v>
      </c>
      <c r="F2219" s="68" t="s">
        <v>3177</v>
      </c>
      <c r="G2219" s="68" t="s">
        <v>1</v>
      </c>
      <c r="H2219" s="68" t="s">
        <v>28</v>
      </c>
      <c r="I2219" t="str">
        <f>IF(A2219="","Pacote",IF(B2219=IFERROR(VLOOKUP(B2219,base!$L$1:$L$20,1,0),""),"Produtos",IF(B2219=IFERROR(VLOOKUP(B2219,base!$K$2:$K$20,1,0),""),"Serviços",IF(B2219="Gorjeta","Gorjeta","Combos"))))</f>
        <v>Serviços</v>
      </c>
      <c r="J2219">
        <f t="shared" si="170"/>
        <v>6.75</v>
      </c>
      <c r="K2219" s="1" t="str">
        <f t="shared" si="171"/>
        <v>23/05/2025 19:00</v>
      </c>
      <c r="L2219" s="1">
        <f t="shared" si="172"/>
        <v>45800</v>
      </c>
      <c r="M2219" s="1">
        <f t="shared" si="173"/>
        <v>45800</v>
      </c>
      <c r="N2219" s="1"/>
      <c r="O2219" t="str">
        <f t="shared" si="174"/>
        <v>PIX</v>
      </c>
      <c r="P2219" t="s">
        <v>149</v>
      </c>
      <c r="Q2219" t="str">
        <f t="shared" si="175"/>
        <v>Serviços</v>
      </c>
      <c r="R2219" t="str">
        <f t="shared" si="176"/>
        <v>depilação nariz</v>
      </c>
      <c r="T2219" s="14">
        <f t="shared" si="177"/>
        <v>15</v>
      </c>
      <c r="U2219" s="14" t="str">
        <f t="shared" si="178"/>
        <v/>
      </c>
      <c r="V2219" s="14"/>
      <c r="W2219" t="str">
        <f>IF(A2219=$A$1707,base!$I$3,IF(A2219=$A$1709,base!$I$2,IF(Receitas!A2219=Receitas!$A$1701,base!$I$4,"")))</f>
        <v>Gustavo de Castro</v>
      </c>
      <c r="X2219" t="str">
        <f t="shared" si="179"/>
        <v>Huan Fernandes</v>
      </c>
    </row>
    <row r="2220" spans="1:24">
      <c r="A2220" s="68" t="s">
        <v>519</v>
      </c>
      <c r="B2220" s="68" t="s">
        <v>163</v>
      </c>
      <c r="C2220" s="68" t="s">
        <v>3178</v>
      </c>
      <c r="D2220" s="69">
        <v>35</v>
      </c>
      <c r="E2220" s="69">
        <v>35</v>
      </c>
      <c r="F2220" s="68" t="s">
        <v>3175</v>
      </c>
      <c r="G2220" s="68" t="s">
        <v>1</v>
      </c>
      <c r="H2220" s="68" t="s">
        <v>193</v>
      </c>
      <c r="I2220" t="str">
        <f>IF(A2220="","Pacote",IF(B2220=IFERROR(VLOOKUP(B2220,base!$L$1:$L$20,1,0),""),"Produtos",IF(B2220=IFERROR(VLOOKUP(B2220,base!$K$2:$K$20,1,0),""),"Serviços",IF(B2220="Gorjeta","Gorjeta","Combos"))))</f>
        <v>Serviços</v>
      </c>
      <c r="J2220">
        <f t="shared" si="170"/>
        <v>15.75</v>
      </c>
      <c r="K2220" s="1" t="str">
        <f t="shared" si="171"/>
        <v>23/05/2025 11:15</v>
      </c>
      <c r="L2220" s="1">
        <f t="shared" si="172"/>
        <v>45800</v>
      </c>
      <c r="M2220" s="1">
        <f t="shared" si="173"/>
        <v>45800</v>
      </c>
      <c r="N2220" s="1"/>
      <c r="O2220" t="str">
        <f t="shared" si="174"/>
        <v>PIX</v>
      </c>
      <c r="P2220" t="s">
        <v>149</v>
      </c>
      <c r="Q2220" t="str">
        <f t="shared" si="175"/>
        <v>Serviços</v>
      </c>
      <c r="R2220" t="str">
        <f t="shared" si="176"/>
        <v>Corte</v>
      </c>
      <c r="T2220" s="14">
        <f t="shared" si="177"/>
        <v>35</v>
      </c>
      <c r="U2220" s="14">
        <f t="shared" si="178"/>
        <v>35</v>
      </c>
      <c r="V2220" s="14"/>
      <c r="W2220" t="str">
        <f>IF(A2220=$A$1707,base!$I$3,IF(A2220=$A$1709,base!$I$2,IF(Receitas!A2220=Receitas!$A$1701,base!$I$4,"")))</f>
        <v>Gustavo de Castro</v>
      </c>
      <c r="X2220" t="str">
        <f t="shared" si="179"/>
        <v>Raynia Almeida</v>
      </c>
    </row>
    <row r="2221" spans="1:24">
      <c r="A2221" s="68" t="s">
        <v>252</v>
      </c>
      <c r="B2221" s="68" t="s">
        <v>163</v>
      </c>
      <c r="C2221" s="68" t="s">
        <v>3179</v>
      </c>
      <c r="D2221" s="69">
        <v>35</v>
      </c>
      <c r="E2221" s="69">
        <v>35</v>
      </c>
      <c r="F2221" s="68" t="s">
        <v>3180</v>
      </c>
      <c r="G2221" s="68" t="s">
        <v>1</v>
      </c>
      <c r="H2221" s="68" t="s">
        <v>480</v>
      </c>
      <c r="I2221" t="str">
        <f>IF(A2221="","Pacote",IF(B2221=IFERROR(VLOOKUP(B2221,base!$L$1:$L$20,1,0),""),"Produtos",IF(B2221=IFERROR(VLOOKUP(B2221,base!$K$2:$K$20,1,0),""),"Serviços",IF(B2221="Gorjeta","Gorjeta","Combos"))))</f>
        <v>Serviços</v>
      </c>
      <c r="J2221">
        <f t="shared" si="170"/>
        <v>15.75</v>
      </c>
      <c r="K2221" s="1" t="str">
        <f t="shared" si="171"/>
        <v>23/05/2025 16:15</v>
      </c>
      <c r="L2221" s="1">
        <f t="shared" si="172"/>
        <v>45800</v>
      </c>
      <c r="M2221" s="1">
        <f t="shared" si="173"/>
        <v>45800</v>
      </c>
      <c r="N2221" s="1"/>
      <c r="O2221" t="str">
        <f t="shared" si="174"/>
        <v>PIX</v>
      </c>
      <c r="P2221" t="s">
        <v>149</v>
      </c>
      <c r="Q2221" t="str">
        <f t="shared" si="175"/>
        <v>Serviços</v>
      </c>
      <c r="R2221" t="str">
        <f t="shared" si="176"/>
        <v>Corte</v>
      </c>
      <c r="T2221" s="14">
        <f t="shared" si="177"/>
        <v>35</v>
      </c>
      <c r="U2221" s="14">
        <f t="shared" si="178"/>
        <v>35</v>
      </c>
      <c r="V2221" s="14"/>
      <c r="W2221" t="str">
        <f>IF(A2221=$A$1707,base!$I$3,IF(A2221=$A$1709,base!$I$2,IF(Receitas!A2221=Receitas!$A$1701,base!$I$4,"")))</f>
        <v>Christian Magon</v>
      </c>
      <c r="X2221" t="str">
        <f t="shared" si="179"/>
        <v>Helio Canejo Guimarães Da Silva</v>
      </c>
    </row>
    <row r="2222" spans="1:24">
      <c r="A2222" s="68" t="s">
        <v>536</v>
      </c>
      <c r="B2222" s="68" t="s">
        <v>163</v>
      </c>
      <c r="C2222" s="68" t="s">
        <v>3181</v>
      </c>
      <c r="D2222" s="69">
        <v>35</v>
      </c>
      <c r="E2222" s="69">
        <v>35</v>
      </c>
      <c r="F2222" s="68" t="s">
        <v>3182</v>
      </c>
      <c r="G2222" s="68" t="s">
        <v>1</v>
      </c>
      <c r="H2222" s="68" t="s">
        <v>87</v>
      </c>
      <c r="I2222" t="str">
        <f>IF(A2222="","Pacote",IF(B2222=IFERROR(VLOOKUP(B2222,base!$L$1:$L$20,1,0),""),"Produtos",IF(B2222=IFERROR(VLOOKUP(B2222,base!$K$2:$K$20,1,0),""),"Serviços",IF(B2222="Gorjeta","Gorjeta","Combos"))))</f>
        <v>Serviços</v>
      </c>
      <c r="J2222">
        <f t="shared" si="170"/>
        <v>15.75</v>
      </c>
      <c r="K2222" s="1" t="str">
        <f t="shared" si="171"/>
        <v>23/05/2025 16:00</v>
      </c>
      <c r="L2222" s="1">
        <f t="shared" si="172"/>
        <v>45800</v>
      </c>
      <c r="M2222" s="1">
        <f t="shared" si="173"/>
        <v>45800</v>
      </c>
      <c r="N2222" s="1"/>
      <c r="O2222" t="str">
        <f t="shared" si="174"/>
        <v>PIX</v>
      </c>
      <c r="P2222" t="s">
        <v>149</v>
      </c>
      <c r="Q2222" t="str">
        <f t="shared" si="175"/>
        <v>Serviços</v>
      </c>
      <c r="R2222" t="str">
        <f t="shared" si="176"/>
        <v>Corte</v>
      </c>
      <c r="T2222" s="14">
        <f t="shared" si="177"/>
        <v>35</v>
      </c>
      <c r="U2222" s="14">
        <f t="shared" si="178"/>
        <v>35</v>
      </c>
      <c r="V2222" s="14"/>
      <c r="W2222" t="str">
        <f>IF(A2222=$A$1707,base!$I$3,IF(A2222=$A$1709,base!$I$2,IF(Receitas!A2222=Receitas!$A$1701,base!$I$4,"")))</f>
        <v>PATRICK CARDOSO</v>
      </c>
      <c r="X2222" t="str">
        <f t="shared" si="179"/>
        <v>Yasmin do nascimento</v>
      </c>
    </row>
    <row r="2223" spans="1:24">
      <c r="A2223" s="68" t="s">
        <v>519</v>
      </c>
      <c r="B2223" s="68" t="s">
        <v>167</v>
      </c>
      <c r="C2223" s="68" t="s">
        <v>3183</v>
      </c>
      <c r="D2223" s="69">
        <v>15</v>
      </c>
      <c r="E2223" s="69">
        <v>15</v>
      </c>
      <c r="F2223" s="68" t="s">
        <v>3184</v>
      </c>
      <c r="G2223" s="68" t="s">
        <v>1</v>
      </c>
      <c r="H2223" s="68" t="s">
        <v>14</v>
      </c>
      <c r="I2223" t="str">
        <f>IF(A2223="","Pacote",IF(B2223=IFERROR(VLOOKUP(B2223,base!$L$1:$L$20,1,0),""),"Produtos",IF(B2223=IFERROR(VLOOKUP(B2223,base!$K$2:$K$20,1,0),""),"Serviços",IF(B2223="Gorjeta","Gorjeta","Combos"))))</f>
        <v>Serviços</v>
      </c>
      <c r="J2223">
        <f t="shared" si="170"/>
        <v>6.75</v>
      </c>
      <c r="K2223" s="1" t="str">
        <f t="shared" si="171"/>
        <v>23/05/2025 15:45</v>
      </c>
      <c r="L2223" s="1">
        <f t="shared" si="172"/>
        <v>45800</v>
      </c>
      <c r="M2223" s="1">
        <f t="shared" si="173"/>
        <v>45800</v>
      </c>
      <c r="N2223" s="1"/>
      <c r="O2223" t="str">
        <f t="shared" si="174"/>
        <v>PIX</v>
      </c>
      <c r="P2223" t="s">
        <v>149</v>
      </c>
      <c r="Q2223" t="str">
        <f t="shared" si="175"/>
        <v>Serviços</v>
      </c>
      <c r="R2223" t="str">
        <f t="shared" si="176"/>
        <v>Sobrancelha</v>
      </c>
      <c r="T2223" s="14">
        <f t="shared" si="177"/>
        <v>15</v>
      </c>
      <c r="U2223" s="14">
        <f t="shared" si="178"/>
        <v>15</v>
      </c>
      <c r="V2223" s="14"/>
      <c r="W2223" t="str">
        <f>IF(A2223=$A$1707,base!$I$3,IF(A2223=$A$1709,base!$I$2,IF(Receitas!A2223=Receitas!$A$1701,base!$I$4,"")))</f>
        <v>Gustavo de Castro</v>
      </c>
      <c r="X2223" t="str">
        <f t="shared" si="179"/>
        <v>Jackson carneiro Ramos</v>
      </c>
    </row>
    <row r="2224" spans="1:24">
      <c r="A2224" s="68" t="s">
        <v>519</v>
      </c>
      <c r="B2224" s="68" t="s">
        <v>163</v>
      </c>
      <c r="C2224" s="68" t="s">
        <v>3185</v>
      </c>
      <c r="D2224" s="69">
        <v>35</v>
      </c>
      <c r="E2224" s="69">
        <v>60</v>
      </c>
      <c r="F2224" s="68" t="s">
        <v>3186</v>
      </c>
      <c r="G2224" s="68" t="s">
        <v>1</v>
      </c>
      <c r="H2224" s="68" t="s">
        <v>37</v>
      </c>
      <c r="I2224" t="str">
        <f>IF(A2224="","Pacote",IF(B2224=IFERROR(VLOOKUP(B2224,base!$L$1:$L$20,1,0),""),"Produtos",IF(B2224=IFERROR(VLOOKUP(B2224,base!$K$2:$K$20,1,0),""),"Serviços",IF(B2224="Gorjeta","Gorjeta","Combos"))))</f>
        <v>Serviços</v>
      </c>
      <c r="J2224">
        <f t="shared" si="170"/>
        <v>15.75</v>
      </c>
      <c r="K2224" s="1" t="str">
        <f t="shared" si="171"/>
        <v>24/05/2025 09:30</v>
      </c>
      <c r="L2224" s="1">
        <f t="shared" si="172"/>
        <v>45801</v>
      </c>
      <c r="M2224" s="1">
        <f t="shared" si="173"/>
        <v>45801</v>
      </c>
      <c r="N2224" s="1"/>
      <c r="O2224" t="str">
        <f t="shared" si="174"/>
        <v>PIX</v>
      </c>
      <c r="P2224" t="s">
        <v>149</v>
      </c>
      <c r="Q2224" t="str">
        <f t="shared" si="175"/>
        <v>Serviços</v>
      </c>
      <c r="R2224" t="str">
        <f t="shared" si="176"/>
        <v>Corte</v>
      </c>
      <c r="T2224" s="14">
        <f t="shared" si="177"/>
        <v>35</v>
      </c>
      <c r="U2224" s="14">
        <f t="shared" si="178"/>
        <v>60</v>
      </c>
      <c r="V2224" s="14"/>
      <c r="W2224" t="str">
        <f>IF(A2224=$A$1707,base!$I$3,IF(A2224=$A$1709,base!$I$2,IF(Receitas!A2224=Receitas!$A$1701,base!$I$4,"")))</f>
        <v>Gustavo de Castro</v>
      </c>
      <c r="X2224" t="str">
        <f t="shared" si="179"/>
        <v>Weverson Rosa</v>
      </c>
    </row>
    <row r="2225" spans="1:24">
      <c r="A2225" s="68" t="s">
        <v>519</v>
      </c>
      <c r="B2225" s="68" t="s">
        <v>1046</v>
      </c>
      <c r="C2225" s="68" t="s">
        <v>3185</v>
      </c>
      <c r="D2225" s="69">
        <v>25</v>
      </c>
      <c r="E2225" s="68" t="s">
        <v>1604</v>
      </c>
      <c r="F2225" s="68" t="s">
        <v>3186</v>
      </c>
      <c r="G2225" s="68" t="s">
        <v>1</v>
      </c>
      <c r="H2225" s="68" t="s">
        <v>37</v>
      </c>
      <c r="I2225" t="str">
        <f>IF(A2225="","Pacote",IF(B2225=IFERROR(VLOOKUP(B2225,base!$L$1:$L$20,1,0),""),"Produtos",IF(B2225=IFERROR(VLOOKUP(B2225,base!$K$2:$K$20,1,0),""),"Serviços",IF(B2225="Gorjeta","Gorjeta","Combos"))))</f>
        <v>Serviços</v>
      </c>
      <c r="J2225">
        <f t="shared" si="170"/>
        <v>11.25</v>
      </c>
      <c r="K2225" s="1" t="str">
        <f t="shared" si="171"/>
        <v>24/05/2025 09:30</v>
      </c>
      <c r="L2225" s="1">
        <f t="shared" si="172"/>
        <v>45801</v>
      </c>
      <c r="M2225" s="1">
        <f t="shared" si="173"/>
        <v>45801</v>
      </c>
      <c r="N2225" s="1"/>
      <c r="O2225" t="str">
        <f t="shared" si="174"/>
        <v>PIX</v>
      </c>
      <c r="P2225" t="s">
        <v>149</v>
      </c>
      <c r="Q2225" t="str">
        <f t="shared" si="175"/>
        <v>Serviços</v>
      </c>
      <c r="R2225" t="str">
        <f t="shared" si="176"/>
        <v>Barba</v>
      </c>
      <c r="T2225" s="14">
        <f t="shared" si="177"/>
        <v>25</v>
      </c>
      <c r="U2225" s="14" t="str">
        <f t="shared" si="178"/>
        <v/>
      </c>
      <c r="V2225" s="14"/>
      <c r="W2225" t="str">
        <f>IF(A2225=$A$1707,base!$I$3,IF(A2225=$A$1709,base!$I$2,IF(Receitas!A2225=Receitas!$A$1701,base!$I$4,"")))</f>
        <v>Gustavo de Castro</v>
      </c>
      <c r="X2225" t="str">
        <f t="shared" si="179"/>
        <v>Weverson Rosa</v>
      </c>
    </row>
    <row r="2226" spans="1:24">
      <c r="A2226" s="68" t="s">
        <v>519</v>
      </c>
      <c r="B2226" s="68" t="s">
        <v>353</v>
      </c>
      <c r="C2226" s="68" t="s">
        <v>3187</v>
      </c>
      <c r="D2226" s="69">
        <v>60</v>
      </c>
      <c r="E2226" s="69">
        <v>70</v>
      </c>
      <c r="F2226" s="68" t="s">
        <v>3118</v>
      </c>
      <c r="G2226" s="68" t="s">
        <v>2</v>
      </c>
      <c r="H2226" s="68" t="s">
        <v>2088</v>
      </c>
      <c r="I2226" t="str">
        <f>IF(A2226="","Pacote",IF(B2226=IFERROR(VLOOKUP(B2226,base!$L$1:$L$20,1,0),""),"Produtos",IF(B2226=IFERROR(VLOOKUP(B2226,base!$K$2:$K$20,1,0),""),"Serviços",IF(B2226="Gorjeta","Gorjeta","Combos"))))</f>
        <v>Combos</v>
      </c>
      <c r="J2226">
        <f t="shared" si="170"/>
        <v>27</v>
      </c>
      <c r="K2226" s="1" t="str">
        <f t="shared" si="171"/>
        <v>23/05/2025 19:30</v>
      </c>
      <c r="L2226" s="1">
        <f t="shared" si="172"/>
        <v>45800</v>
      </c>
      <c r="M2226" s="1">
        <f t="shared" si="173"/>
        <v>45800</v>
      </c>
      <c r="N2226" s="1"/>
      <c r="O2226" t="str">
        <f t="shared" si="174"/>
        <v>Dinheiro</v>
      </c>
      <c r="P2226" t="s">
        <v>149</v>
      </c>
      <c r="Q2226" t="str">
        <f t="shared" si="175"/>
        <v>Combos</v>
      </c>
      <c r="R2226" t="str">
        <f t="shared" si="176"/>
        <v>Combo ( Corte + Barba )</v>
      </c>
      <c r="T2226" s="14">
        <f t="shared" si="177"/>
        <v>60</v>
      </c>
      <c r="U2226" s="14">
        <f t="shared" si="178"/>
        <v>70</v>
      </c>
      <c r="V2226" s="14"/>
      <c r="W2226" t="str">
        <f>IF(A2226=$A$1707,base!$I$3,IF(A2226=$A$1709,base!$I$2,IF(Receitas!A2226=Receitas!$A$1701,base!$I$4,"")))</f>
        <v>Gustavo de Castro</v>
      </c>
      <c r="X2226" t="str">
        <f t="shared" si="179"/>
        <v>valdecir oliveira</v>
      </c>
    </row>
    <row r="2227" spans="1:24">
      <c r="A2227" s="68" t="s">
        <v>519</v>
      </c>
      <c r="B2227" s="68" t="s">
        <v>166</v>
      </c>
      <c r="C2227" s="68" t="s">
        <v>3187</v>
      </c>
      <c r="D2227" s="69">
        <v>10</v>
      </c>
      <c r="E2227" s="68" t="s">
        <v>1604</v>
      </c>
      <c r="F2227" s="68" t="s">
        <v>3118</v>
      </c>
      <c r="G2227" s="68" t="s">
        <v>2</v>
      </c>
      <c r="H2227" s="68" t="s">
        <v>2088</v>
      </c>
      <c r="I2227" t="str">
        <f>IF(A2227="","Pacote",IF(B2227=IFERROR(VLOOKUP(B2227,base!$L$1:$L$20,1,0),""),"Produtos",IF(B2227=IFERROR(VLOOKUP(B2227,base!$K$2:$K$20,1,0),""),"Serviços",IF(B2227="Gorjeta","Gorjeta","Combos"))))</f>
        <v>Serviços</v>
      </c>
      <c r="J2227">
        <f t="shared" si="170"/>
        <v>4.5</v>
      </c>
      <c r="K2227" s="1" t="str">
        <f t="shared" si="171"/>
        <v>23/05/2025 19:30</v>
      </c>
      <c r="L2227" s="1">
        <f t="shared" si="172"/>
        <v>45800</v>
      </c>
      <c r="M2227" s="1">
        <f t="shared" si="173"/>
        <v>45800</v>
      </c>
      <c r="N2227" s="1"/>
      <c r="O2227" t="str">
        <f t="shared" si="174"/>
        <v>Dinheiro</v>
      </c>
      <c r="P2227" t="s">
        <v>149</v>
      </c>
      <c r="Q2227" t="str">
        <f t="shared" si="175"/>
        <v>Serviços</v>
      </c>
      <c r="R2227" t="str">
        <f t="shared" si="176"/>
        <v>Pigmentação</v>
      </c>
      <c r="T2227" s="14">
        <f t="shared" si="177"/>
        <v>10</v>
      </c>
      <c r="U2227" s="14" t="str">
        <f t="shared" si="178"/>
        <v/>
      </c>
      <c r="V2227" s="14"/>
      <c r="W2227" t="str">
        <f>IF(A2227=$A$1707,base!$I$3,IF(A2227=$A$1709,base!$I$2,IF(Receitas!A2227=Receitas!$A$1701,base!$I$4,"")))</f>
        <v>Gustavo de Castro</v>
      </c>
      <c r="X2227" t="str">
        <f t="shared" si="179"/>
        <v>valdecir oliveira</v>
      </c>
    </row>
    <row r="2228" spans="1:24">
      <c r="A2228" s="68" t="s">
        <v>519</v>
      </c>
      <c r="B2228" s="68" t="s">
        <v>163</v>
      </c>
      <c r="C2228" s="68" t="s">
        <v>3188</v>
      </c>
      <c r="D2228" s="69">
        <v>35</v>
      </c>
      <c r="E2228" s="69">
        <v>55</v>
      </c>
      <c r="F2228" s="68" t="s">
        <v>3189</v>
      </c>
      <c r="G2228" s="68" t="s">
        <v>354</v>
      </c>
      <c r="H2228" s="68" t="s">
        <v>8</v>
      </c>
      <c r="I2228" t="str">
        <f>IF(A2228="","Pacote",IF(B2228=IFERROR(VLOOKUP(B2228,base!$L$1:$L$20,1,0),""),"Produtos",IF(B2228=IFERROR(VLOOKUP(B2228,base!$K$2:$K$20,1,0),""),"Serviços",IF(B2228="Gorjeta","Gorjeta","Combos"))))</f>
        <v>Serviços</v>
      </c>
      <c r="J2228">
        <f t="shared" si="170"/>
        <v>15.75</v>
      </c>
      <c r="K2228" s="1" t="str">
        <f t="shared" si="171"/>
        <v>23/05/2025 14:00</v>
      </c>
      <c r="L2228" s="1">
        <f t="shared" si="172"/>
        <v>45800</v>
      </c>
      <c r="M2228" s="1">
        <f t="shared" si="173"/>
        <v>45800</v>
      </c>
      <c r="N2228" s="1"/>
      <c r="O2228" t="str">
        <f t="shared" si="174"/>
        <v>Cartão de Crédito</v>
      </c>
      <c r="P2228" t="s">
        <v>149</v>
      </c>
      <c r="Q2228" t="str">
        <f t="shared" si="175"/>
        <v>Serviços</v>
      </c>
      <c r="R2228" t="str">
        <f t="shared" si="176"/>
        <v>Corte</v>
      </c>
      <c r="T2228" s="14">
        <f t="shared" si="177"/>
        <v>35</v>
      </c>
      <c r="U2228" s="14">
        <f t="shared" si="178"/>
        <v>55</v>
      </c>
      <c r="V2228" s="14"/>
      <c r="W2228" t="str">
        <f>IF(A2228=$A$1707,base!$I$3,IF(A2228=$A$1709,base!$I$2,IF(Receitas!A2228=Receitas!$A$1701,base!$I$4,"")))</f>
        <v>Gustavo de Castro</v>
      </c>
      <c r="X2228" t="str">
        <f t="shared" si="179"/>
        <v>William marinho</v>
      </c>
    </row>
    <row r="2229" spans="1:24">
      <c r="A2229" s="68" t="s">
        <v>519</v>
      </c>
      <c r="B2229" s="68" t="s">
        <v>352</v>
      </c>
      <c r="C2229" s="68" t="s">
        <v>3188</v>
      </c>
      <c r="D2229" s="69">
        <v>20</v>
      </c>
      <c r="E2229" s="68" t="s">
        <v>1604</v>
      </c>
      <c r="F2229" s="68" t="s">
        <v>3189</v>
      </c>
      <c r="G2229" s="68" t="s">
        <v>354</v>
      </c>
      <c r="H2229" s="68" t="s">
        <v>8</v>
      </c>
      <c r="I2229" t="str">
        <f>IF(A2229="","Pacote",IF(B2229=IFERROR(VLOOKUP(B2229,base!$L$1:$L$20,1,0),""),"Produtos",IF(B2229=IFERROR(VLOOKUP(B2229,base!$K$2:$K$20,1,0),""),"Serviços",IF(B2229="Gorjeta","Gorjeta","Combos"))))</f>
        <v>Combos</v>
      </c>
      <c r="J2229">
        <f t="shared" si="170"/>
        <v>9</v>
      </c>
      <c r="K2229" s="1" t="str">
        <f t="shared" si="171"/>
        <v>23/05/2025 14:00</v>
      </c>
      <c r="L2229" s="1">
        <f t="shared" si="172"/>
        <v>45800</v>
      </c>
      <c r="M2229" s="1">
        <f t="shared" si="173"/>
        <v>45800</v>
      </c>
      <c r="N2229" s="1"/>
      <c r="O2229" t="str">
        <f t="shared" si="174"/>
        <v>Cartão de Crédito</v>
      </c>
      <c r="P2229" t="s">
        <v>149</v>
      </c>
      <c r="Q2229" t="str">
        <f t="shared" si="175"/>
        <v>Combos</v>
      </c>
      <c r="R2229" t="str">
        <f t="shared" si="176"/>
        <v>Combo ( depilação nariz e orelha )</v>
      </c>
      <c r="T2229" s="14">
        <f t="shared" si="177"/>
        <v>20</v>
      </c>
      <c r="U2229" s="14" t="str">
        <f t="shared" si="178"/>
        <v/>
      </c>
      <c r="V2229" s="14"/>
      <c r="W2229" t="str">
        <f>IF(A2229=$A$1707,base!$I$3,IF(A2229=$A$1709,base!$I$2,IF(Receitas!A2229=Receitas!$A$1701,base!$I$4,"")))</f>
        <v>Gustavo de Castro</v>
      </c>
      <c r="X2229" t="str">
        <f t="shared" si="179"/>
        <v>William marinho</v>
      </c>
    </row>
    <row r="2230" spans="1:24">
      <c r="A2230" s="68" t="s">
        <v>252</v>
      </c>
      <c r="B2230" s="68" t="s">
        <v>163</v>
      </c>
      <c r="C2230" s="68" t="s">
        <v>3190</v>
      </c>
      <c r="D2230" s="69">
        <v>35</v>
      </c>
      <c r="E2230" s="69">
        <v>35</v>
      </c>
      <c r="F2230" s="68" t="s">
        <v>3191</v>
      </c>
      <c r="G2230" s="68" t="s">
        <v>354</v>
      </c>
      <c r="H2230" s="68" t="s">
        <v>96</v>
      </c>
      <c r="I2230" t="str">
        <f>IF(A2230="","Pacote",IF(B2230=IFERROR(VLOOKUP(B2230,base!$L$1:$L$20,1,0),""),"Produtos",IF(B2230=IFERROR(VLOOKUP(B2230,base!$K$2:$K$20,1,0),""),"Serviços",IF(B2230="Gorjeta","Gorjeta","Combos"))))</f>
        <v>Serviços</v>
      </c>
      <c r="J2230">
        <f t="shared" si="170"/>
        <v>15.75</v>
      </c>
      <c r="K2230" s="1" t="str">
        <f t="shared" si="171"/>
        <v>23/05/2025 12:15</v>
      </c>
      <c r="L2230" s="1">
        <f t="shared" si="172"/>
        <v>45800</v>
      </c>
      <c r="M2230" s="1">
        <f t="shared" si="173"/>
        <v>45800</v>
      </c>
      <c r="N2230" s="1"/>
      <c r="O2230" t="str">
        <f t="shared" si="174"/>
        <v>Cartão de Crédito</v>
      </c>
      <c r="P2230" t="s">
        <v>149</v>
      </c>
      <c r="Q2230" t="str">
        <f t="shared" si="175"/>
        <v>Serviços</v>
      </c>
      <c r="R2230" t="str">
        <f t="shared" si="176"/>
        <v>Corte</v>
      </c>
      <c r="T2230" s="14">
        <f t="shared" si="177"/>
        <v>35</v>
      </c>
      <c r="U2230" s="14">
        <f t="shared" si="178"/>
        <v>35</v>
      </c>
      <c r="V2230" s="14"/>
      <c r="W2230" t="str">
        <f>IF(A2230=$A$1707,base!$I$3,IF(A2230=$A$1709,base!$I$2,IF(Receitas!A2230=Receitas!$A$1701,base!$I$4,"")))</f>
        <v>Christian Magon</v>
      </c>
      <c r="X2230" t="str">
        <f t="shared" si="179"/>
        <v>Jhonatha Ferreira</v>
      </c>
    </row>
    <row r="2231" spans="1:24">
      <c r="A2231" s="68" t="s">
        <v>519</v>
      </c>
      <c r="B2231" s="68" t="s">
        <v>163</v>
      </c>
      <c r="C2231" s="68" t="s">
        <v>3192</v>
      </c>
      <c r="D2231" s="69">
        <v>35</v>
      </c>
      <c r="E2231" s="69">
        <v>50</v>
      </c>
      <c r="F2231" s="68" t="s">
        <v>3193</v>
      </c>
      <c r="G2231" s="68" t="s">
        <v>1</v>
      </c>
      <c r="H2231" s="68" t="s">
        <v>12</v>
      </c>
      <c r="I2231" t="str">
        <f>IF(A2231="","Pacote",IF(B2231=IFERROR(VLOOKUP(B2231,base!$L$1:$L$20,1,0),""),"Produtos",IF(B2231=IFERROR(VLOOKUP(B2231,base!$K$2:$K$20,1,0),""),"Serviços",IF(B2231="Gorjeta","Gorjeta","Combos"))))</f>
        <v>Serviços</v>
      </c>
      <c r="J2231">
        <f t="shared" si="170"/>
        <v>15.75</v>
      </c>
      <c r="K2231" s="1" t="str">
        <f t="shared" si="171"/>
        <v>23/05/2025 17:30</v>
      </c>
      <c r="L2231" s="1">
        <f t="shared" si="172"/>
        <v>45800</v>
      </c>
      <c r="M2231" s="1">
        <f t="shared" si="173"/>
        <v>45800</v>
      </c>
      <c r="N2231" s="1"/>
      <c r="O2231" t="str">
        <f t="shared" si="174"/>
        <v>PIX</v>
      </c>
      <c r="P2231" t="s">
        <v>149</v>
      </c>
      <c r="Q2231" t="str">
        <f t="shared" si="175"/>
        <v>Serviços</v>
      </c>
      <c r="R2231" t="str">
        <f t="shared" si="176"/>
        <v>Corte</v>
      </c>
      <c r="T2231" s="14">
        <f t="shared" si="177"/>
        <v>35</v>
      </c>
      <c r="U2231" s="14">
        <f t="shared" si="178"/>
        <v>50</v>
      </c>
      <c r="V2231" s="14"/>
      <c r="W2231" t="str">
        <f>IF(A2231=$A$1707,base!$I$3,IF(A2231=$A$1709,base!$I$2,IF(Receitas!A2231=Receitas!$A$1701,base!$I$4,"")))</f>
        <v>Gustavo de Castro</v>
      </c>
      <c r="X2231" t="str">
        <f t="shared" si="179"/>
        <v>David Mendes</v>
      </c>
    </row>
    <row r="2232" spans="1:24">
      <c r="A2232" s="68" t="s">
        <v>519</v>
      </c>
      <c r="B2232" s="68" t="s">
        <v>167</v>
      </c>
      <c r="C2232" s="68" t="s">
        <v>3192</v>
      </c>
      <c r="D2232" s="69">
        <v>15</v>
      </c>
      <c r="E2232" s="68" t="s">
        <v>1604</v>
      </c>
      <c r="F2232" s="68" t="s">
        <v>3193</v>
      </c>
      <c r="G2232" s="68" t="s">
        <v>1</v>
      </c>
      <c r="H2232" s="68" t="s">
        <v>12</v>
      </c>
      <c r="I2232" t="str">
        <f>IF(A2232="","Pacote",IF(B2232=IFERROR(VLOOKUP(B2232,base!$L$1:$L$20,1,0),""),"Produtos",IF(B2232=IFERROR(VLOOKUP(B2232,base!$K$2:$K$20,1,0),""),"Serviços",IF(B2232="Gorjeta","Gorjeta","Combos"))))</f>
        <v>Serviços</v>
      </c>
      <c r="J2232">
        <f t="shared" ref="J2232:J2295" si="180">IF(AND(I2232="Serviços",E2232&gt;0),ROUND(D2232*45%,2),IF(I2232="Produtos",ROUND(D2232*40%,2),D2232*45%))</f>
        <v>6.75</v>
      </c>
      <c r="K2232" s="1" t="str">
        <f t="shared" ref="K2232:K2295" si="181">F2232</f>
        <v>23/05/2025 17:30</v>
      </c>
      <c r="L2232" s="1">
        <f t="shared" ref="L2232:L2295" si="182">DATEVALUE(K2232)</f>
        <v>45800</v>
      </c>
      <c r="M2232" s="1">
        <f t="shared" ref="M2232:M2295" si="183">DATEVALUE(K2232)</f>
        <v>45800</v>
      </c>
      <c r="N2232" s="1"/>
      <c r="O2232" t="str">
        <f t="shared" ref="O2232:O2295" si="184">G2232</f>
        <v>PIX</v>
      </c>
      <c r="P2232" t="s">
        <v>149</v>
      </c>
      <c r="Q2232" t="str">
        <f t="shared" ref="Q2232:Q2295" si="185">I2232</f>
        <v>Serviços</v>
      </c>
      <c r="R2232" t="str">
        <f t="shared" ref="R2232:R2295" si="186">B2232</f>
        <v>Sobrancelha</v>
      </c>
      <c r="T2232" s="14">
        <f t="shared" ref="T2232:T2295" si="187">D2232</f>
        <v>15</v>
      </c>
      <c r="U2232" s="14" t="str">
        <f t="shared" ref="U2232:U2295" si="188">E2232</f>
        <v/>
      </c>
      <c r="V2232" s="14"/>
      <c r="W2232" t="str">
        <f>IF(A2232=$A$1707,base!$I$3,IF(A2232=$A$1709,base!$I$2,IF(Receitas!A2232=Receitas!$A$1701,base!$I$4,"")))</f>
        <v>Gustavo de Castro</v>
      </c>
      <c r="X2232" t="str">
        <f t="shared" ref="X2232:X2295" si="189">H2232</f>
        <v>David Mendes</v>
      </c>
    </row>
    <row r="2233" spans="1:24">
      <c r="A2233" s="68" t="s">
        <v>536</v>
      </c>
      <c r="B2233" s="68" t="s">
        <v>163</v>
      </c>
      <c r="C2233" s="68" t="s">
        <v>3194</v>
      </c>
      <c r="D2233" s="69">
        <v>35</v>
      </c>
      <c r="E2233" s="69">
        <v>35</v>
      </c>
      <c r="F2233" s="68" t="s">
        <v>3195</v>
      </c>
      <c r="G2233" s="68" t="s">
        <v>1</v>
      </c>
      <c r="H2233" s="68" t="s">
        <v>67</v>
      </c>
      <c r="I2233" t="str">
        <f>IF(A2233="","Pacote",IF(B2233=IFERROR(VLOOKUP(B2233,base!$L$1:$L$20,1,0),""),"Produtos",IF(B2233=IFERROR(VLOOKUP(B2233,base!$K$2:$K$20,1,0),""),"Serviços",IF(B2233="Gorjeta","Gorjeta","Combos"))))</f>
        <v>Serviços</v>
      </c>
      <c r="J2233">
        <f t="shared" si="180"/>
        <v>15.75</v>
      </c>
      <c r="K2233" s="1" t="str">
        <f t="shared" si="181"/>
        <v>23/05/2025 11:45</v>
      </c>
      <c r="L2233" s="1">
        <f t="shared" si="182"/>
        <v>45800</v>
      </c>
      <c r="M2233" s="1">
        <f t="shared" si="183"/>
        <v>45800</v>
      </c>
      <c r="N2233" s="1"/>
      <c r="O2233" t="str">
        <f t="shared" si="184"/>
        <v>PIX</v>
      </c>
      <c r="P2233" t="s">
        <v>149</v>
      </c>
      <c r="Q2233" t="str">
        <f t="shared" si="185"/>
        <v>Serviços</v>
      </c>
      <c r="R2233" t="str">
        <f t="shared" si="186"/>
        <v>Corte</v>
      </c>
      <c r="T2233" s="14">
        <f t="shared" si="187"/>
        <v>35</v>
      </c>
      <c r="U2233" s="14">
        <f t="shared" si="188"/>
        <v>35</v>
      </c>
      <c r="V2233" s="14"/>
      <c r="W2233" t="str">
        <f>IF(A2233=$A$1707,base!$I$3,IF(A2233=$A$1709,base!$I$2,IF(Receitas!A2233=Receitas!$A$1701,base!$I$4,"")))</f>
        <v>PATRICK CARDOSO</v>
      </c>
      <c r="X2233" t="str">
        <f t="shared" si="189"/>
        <v>Felipe de Souza Macedo</v>
      </c>
    </row>
    <row r="2234" spans="1:24">
      <c r="A2234" s="68" t="s">
        <v>519</v>
      </c>
      <c r="B2234" s="68" t="s">
        <v>163</v>
      </c>
      <c r="C2234" s="68" t="s">
        <v>3196</v>
      </c>
      <c r="D2234" s="69">
        <v>35</v>
      </c>
      <c r="E2234" s="69">
        <v>35</v>
      </c>
      <c r="F2234" s="68" t="s">
        <v>3197</v>
      </c>
      <c r="G2234" s="68" t="s">
        <v>1</v>
      </c>
      <c r="H2234" s="68" t="s">
        <v>107</v>
      </c>
      <c r="I2234" t="str">
        <f>IF(A2234="","Pacote",IF(B2234=IFERROR(VLOOKUP(B2234,base!$L$1:$L$20,1,0),""),"Produtos",IF(B2234=IFERROR(VLOOKUP(B2234,base!$K$2:$K$20,1,0),""),"Serviços",IF(B2234="Gorjeta","Gorjeta","Combos"))))</f>
        <v>Serviços</v>
      </c>
      <c r="J2234">
        <f t="shared" si="180"/>
        <v>15.75</v>
      </c>
      <c r="K2234" s="1" t="str">
        <f t="shared" si="181"/>
        <v>23/05/2025 13:30</v>
      </c>
      <c r="L2234" s="1">
        <f t="shared" si="182"/>
        <v>45800</v>
      </c>
      <c r="M2234" s="1">
        <f t="shared" si="183"/>
        <v>45800</v>
      </c>
      <c r="N2234" s="1"/>
      <c r="O2234" t="str">
        <f t="shared" si="184"/>
        <v>PIX</v>
      </c>
      <c r="P2234" t="s">
        <v>149</v>
      </c>
      <c r="Q2234" t="str">
        <f t="shared" si="185"/>
        <v>Serviços</v>
      </c>
      <c r="R2234" t="str">
        <f t="shared" si="186"/>
        <v>Corte</v>
      </c>
      <c r="T2234" s="14">
        <f t="shared" si="187"/>
        <v>35</v>
      </c>
      <c r="U2234" s="14">
        <f t="shared" si="188"/>
        <v>35</v>
      </c>
      <c r="V2234" s="14"/>
      <c r="W2234" t="str">
        <f>IF(A2234=$A$1707,base!$I$3,IF(A2234=$A$1709,base!$I$2,IF(Receitas!A2234=Receitas!$A$1701,base!$I$4,"")))</f>
        <v>Gustavo de Castro</v>
      </c>
      <c r="X2234" t="str">
        <f t="shared" si="189"/>
        <v>Jhonatan Gabriel Martins Barboza</v>
      </c>
    </row>
    <row r="2235" spans="1:24">
      <c r="A2235" s="68" t="s">
        <v>519</v>
      </c>
      <c r="B2235" s="68" t="s">
        <v>163</v>
      </c>
      <c r="C2235" s="68" t="s">
        <v>3198</v>
      </c>
      <c r="D2235" s="69">
        <v>35</v>
      </c>
      <c r="E2235" s="69">
        <v>35</v>
      </c>
      <c r="F2235" s="68" t="s">
        <v>3199</v>
      </c>
      <c r="G2235" s="68" t="s">
        <v>1</v>
      </c>
      <c r="H2235" s="68" t="s">
        <v>482</v>
      </c>
      <c r="I2235" t="str">
        <f>IF(A2235="","Pacote",IF(B2235=IFERROR(VLOOKUP(B2235,base!$L$1:$L$20,1,0),""),"Produtos",IF(B2235=IFERROR(VLOOKUP(B2235,base!$K$2:$K$20,1,0),""),"Serviços",IF(B2235="Gorjeta","Gorjeta","Combos"))))</f>
        <v>Serviços</v>
      </c>
      <c r="J2235">
        <f t="shared" si="180"/>
        <v>15.75</v>
      </c>
      <c r="K2235" s="1" t="str">
        <f t="shared" si="181"/>
        <v>23/05/2025 10:00</v>
      </c>
      <c r="L2235" s="1">
        <f t="shared" si="182"/>
        <v>45800</v>
      </c>
      <c r="M2235" s="1">
        <f t="shared" si="183"/>
        <v>45800</v>
      </c>
      <c r="N2235" s="1"/>
      <c r="O2235" t="str">
        <f t="shared" si="184"/>
        <v>PIX</v>
      </c>
      <c r="P2235" t="s">
        <v>149</v>
      </c>
      <c r="Q2235" t="str">
        <f t="shared" si="185"/>
        <v>Serviços</v>
      </c>
      <c r="R2235" t="str">
        <f t="shared" si="186"/>
        <v>Corte</v>
      </c>
      <c r="T2235" s="14">
        <f t="shared" si="187"/>
        <v>35</v>
      </c>
      <c r="U2235" s="14">
        <f t="shared" si="188"/>
        <v>35</v>
      </c>
      <c r="V2235" s="14"/>
      <c r="W2235" t="str">
        <f>IF(A2235=$A$1707,base!$I$3,IF(A2235=$A$1709,base!$I$2,IF(Receitas!A2235=Receitas!$A$1701,base!$I$4,"")))</f>
        <v>Gustavo de Castro</v>
      </c>
      <c r="X2235" t="str">
        <f t="shared" si="189"/>
        <v>Rodrigo Cabral</v>
      </c>
    </row>
    <row r="2236" spans="1:24">
      <c r="A2236" s="68" t="s">
        <v>519</v>
      </c>
      <c r="B2236" s="68" t="s">
        <v>163</v>
      </c>
      <c r="C2236" s="68" t="s">
        <v>3200</v>
      </c>
      <c r="D2236" s="69">
        <v>35</v>
      </c>
      <c r="E2236" s="69">
        <v>35</v>
      </c>
      <c r="F2236" s="68" t="s">
        <v>3201</v>
      </c>
      <c r="G2236" s="68" t="s">
        <v>1</v>
      </c>
      <c r="H2236" s="68" t="s">
        <v>278</v>
      </c>
      <c r="I2236" t="str">
        <f>IF(A2236="","Pacote",IF(B2236=IFERROR(VLOOKUP(B2236,base!$L$1:$L$20,1,0),""),"Produtos",IF(B2236=IFERROR(VLOOKUP(B2236,base!$K$2:$K$20,1,0),""),"Serviços",IF(B2236="Gorjeta","Gorjeta","Combos"))))</f>
        <v>Serviços</v>
      </c>
      <c r="J2236">
        <f t="shared" si="180"/>
        <v>15.75</v>
      </c>
      <c r="K2236" s="1" t="str">
        <f t="shared" si="181"/>
        <v>23/05/2025 15:00</v>
      </c>
      <c r="L2236" s="1">
        <f t="shared" si="182"/>
        <v>45800</v>
      </c>
      <c r="M2236" s="1">
        <f t="shared" si="183"/>
        <v>45800</v>
      </c>
      <c r="N2236" s="1"/>
      <c r="O2236" t="str">
        <f t="shared" si="184"/>
        <v>PIX</v>
      </c>
      <c r="P2236" t="s">
        <v>149</v>
      </c>
      <c r="Q2236" t="str">
        <f t="shared" si="185"/>
        <v>Serviços</v>
      </c>
      <c r="R2236" t="str">
        <f t="shared" si="186"/>
        <v>Corte</v>
      </c>
      <c r="T2236" s="14">
        <f t="shared" si="187"/>
        <v>35</v>
      </c>
      <c r="U2236" s="14">
        <f t="shared" si="188"/>
        <v>35</v>
      </c>
      <c r="V2236" s="14"/>
      <c r="W2236" t="str">
        <f>IF(A2236=$A$1707,base!$I$3,IF(A2236=$A$1709,base!$I$2,IF(Receitas!A2236=Receitas!$A$1701,base!$I$4,"")))</f>
        <v>Gustavo de Castro</v>
      </c>
      <c r="X2236" t="str">
        <f t="shared" si="189"/>
        <v>Jorge Luiz pereira</v>
      </c>
    </row>
    <row r="2237" spans="1:24">
      <c r="A2237" s="68" t="s">
        <v>536</v>
      </c>
      <c r="B2237" s="68" t="s">
        <v>163</v>
      </c>
      <c r="C2237" s="68" t="s">
        <v>3202</v>
      </c>
      <c r="D2237" s="69">
        <v>35</v>
      </c>
      <c r="E2237" s="69">
        <v>45</v>
      </c>
      <c r="F2237" s="68" t="s">
        <v>3203</v>
      </c>
      <c r="G2237" s="68" t="s">
        <v>354</v>
      </c>
      <c r="H2237" s="68" t="s">
        <v>3204</v>
      </c>
      <c r="I2237" t="str">
        <f>IF(A2237="","Pacote",IF(B2237=IFERROR(VLOOKUP(B2237,base!$L$1:$L$20,1,0),""),"Produtos",IF(B2237=IFERROR(VLOOKUP(B2237,base!$K$2:$K$20,1,0),""),"Serviços",IF(B2237="Gorjeta","Gorjeta","Combos"))))</f>
        <v>Serviços</v>
      </c>
      <c r="J2237">
        <f t="shared" si="180"/>
        <v>15.75</v>
      </c>
      <c r="K2237" s="1" t="str">
        <f t="shared" si="181"/>
        <v>23/05/2025 14:40</v>
      </c>
      <c r="L2237" s="1">
        <f t="shared" si="182"/>
        <v>45800</v>
      </c>
      <c r="M2237" s="1">
        <f t="shared" si="183"/>
        <v>45800</v>
      </c>
      <c r="N2237" s="1"/>
      <c r="O2237" t="str">
        <f t="shared" si="184"/>
        <v>Cartão de Crédito</v>
      </c>
      <c r="P2237" t="s">
        <v>149</v>
      </c>
      <c r="Q2237" t="str">
        <f t="shared" si="185"/>
        <v>Serviços</v>
      </c>
      <c r="R2237" t="str">
        <f t="shared" si="186"/>
        <v>Corte</v>
      </c>
      <c r="T2237" s="14">
        <f t="shared" si="187"/>
        <v>35</v>
      </c>
      <c r="U2237" s="14">
        <f t="shared" si="188"/>
        <v>45</v>
      </c>
      <c r="V2237" s="14"/>
      <c r="W2237" t="str">
        <f>IF(A2237=$A$1707,base!$I$3,IF(A2237=$A$1709,base!$I$2,IF(Receitas!A2237=Receitas!$A$1701,base!$I$4,"")))</f>
        <v>PATRICK CARDOSO</v>
      </c>
      <c r="X2237" t="str">
        <f t="shared" si="189"/>
        <v>Thiago Ramos</v>
      </c>
    </row>
    <row r="2238" spans="1:24">
      <c r="A2238" s="68" t="s">
        <v>536</v>
      </c>
      <c r="B2238" s="68" t="s">
        <v>167</v>
      </c>
      <c r="C2238" s="68" t="s">
        <v>3202</v>
      </c>
      <c r="D2238" s="69">
        <v>10</v>
      </c>
      <c r="E2238" s="68" t="s">
        <v>1604</v>
      </c>
      <c r="F2238" s="68" t="s">
        <v>3203</v>
      </c>
      <c r="G2238" s="68" t="s">
        <v>354</v>
      </c>
      <c r="H2238" s="68" t="s">
        <v>3204</v>
      </c>
      <c r="I2238" t="str">
        <f>IF(A2238="","Pacote",IF(B2238=IFERROR(VLOOKUP(B2238,base!$L$1:$L$20,1,0),""),"Produtos",IF(B2238=IFERROR(VLOOKUP(B2238,base!$K$2:$K$20,1,0),""),"Serviços",IF(B2238="Gorjeta","Gorjeta","Combos"))))</f>
        <v>Serviços</v>
      </c>
      <c r="J2238">
        <f t="shared" si="180"/>
        <v>4.5</v>
      </c>
      <c r="K2238" s="1" t="str">
        <f t="shared" si="181"/>
        <v>23/05/2025 14:40</v>
      </c>
      <c r="L2238" s="1">
        <f t="shared" si="182"/>
        <v>45800</v>
      </c>
      <c r="M2238" s="1">
        <f t="shared" si="183"/>
        <v>45800</v>
      </c>
      <c r="N2238" s="1"/>
      <c r="O2238" t="str">
        <f t="shared" si="184"/>
        <v>Cartão de Crédito</v>
      </c>
      <c r="P2238" t="s">
        <v>149</v>
      </c>
      <c r="Q2238" t="str">
        <f t="shared" si="185"/>
        <v>Serviços</v>
      </c>
      <c r="R2238" t="str">
        <f t="shared" si="186"/>
        <v>Sobrancelha</v>
      </c>
      <c r="T2238" s="14">
        <f t="shared" si="187"/>
        <v>10</v>
      </c>
      <c r="U2238" s="14" t="str">
        <f t="shared" si="188"/>
        <v/>
      </c>
      <c r="V2238" s="14"/>
      <c r="W2238" t="str">
        <f>IF(A2238=$A$1707,base!$I$3,IF(A2238=$A$1709,base!$I$2,IF(Receitas!A2238=Receitas!$A$1701,base!$I$4,"")))</f>
        <v>PATRICK CARDOSO</v>
      </c>
      <c r="X2238" t="str">
        <f t="shared" si="189"/>
        <v>Thiago Ramos</v>
      </c>
    </row>
    <row r="2239" spans="1:24">
      <c r="A2239" s="68" t="s">
        <v>536</v>
      </c>
      <c r="B2239" s="68" t="s">
        <v>163</v>
      </c>
      <c r="C2239" s="68" t="s">
        <v>3205</v>
      </c>
      <c r="D2239" s="69">
        <v>35</v>
      </c>
      <c r="E2239" s="69">
        <v>70</v>
      </c>
      <c r="F2239" s="68" t="s">
        <v>3143</v>
      </c>
      <c r="G2239" s="68" t="s">
        <v>2</v>
      </c>
      <c r="H2239" s="68" t="s">
        <v>496</v>
      </c>
      <c r="I2239" t="str">
        <f>IF(A2239="","Pacote",IF(B2239=IFERROR(VLOOKUP(B2239,base!$L$1:$L$20,1,0),""),"Produtos",IF(B2239=IFERROR(VLOOKUP(B2239,base!$K$2:$K$20,1,0),""),"Serviços",IF(B2239="Gorjeta","Gorjeta","Combos"))))</f>
        <v>Serviços</v>
      </c>
      <c r="J2239">
        <f t="shared" si="180"/>
        <v>15.75</v>
      </c>
      <c r="K2239" s="1" t="str">
        <f t="shared" si="181"/>
        <v>24/05/2025 09:00</v>
      </c>
      <c r="L2239" s="1">
        <f t="shared" si="182"/>
        <v>45801</v>
      </c>
      <c r="M2239" s="1">
        <f t="shared" si="183"/>
        <v>45801</v>
      </c>
      <c r="N2239" s="1"/>
      <c r="O2239" t="str">
        <f t="shared" si="184"/>
        <v>Dinheiro</v>
      </c>
      <c r="P2239" t="s">
        <v>149</v>
      </c>
      <c r="Q2239" t="str">
        <f t="shared" si="185"/>
        <v>Serviços</v>
      </c>
      <c r="R2239" t="str">
        <f t="shared" si="186"/>
        <v>Corte</v>
      </c>
      <c r="T2239" s="14">
        <f t="shared" si="187"/>
        <v>35</v>
      </c>
      <c r="U2239" s="14">
        <f t="shared" si="188"/>
        <v>70</v>
      </c>
      <c r="V2239" s="14"/>
      <c r="W2239" t="str">
        <f>IF(A2239=$A$1707,base!$I$3,IF(A2239=$A$1709,base!$I$2,IF(Receitas!A2239=Receitas!$A$1701,base!$I$4,"")))</f>
        <v>PATRICK CARDOSO</v>
      </c>
      <c r="X2239" t="str">
        <f t="shared" si="189"/>
        <v>Ronan Lopes</v>
      </c>
    </row>
    <row r="2240" spans="1:24">
      <c r="A2240" s="68" t="s">
        <v>536</v>
      </c>
      <c r="B2240" s="68" t="s">
        <v>2536</v>
      </c>
      <c r="C2240" s="68" t="s">
        <v>3205</v>
      </c>
      <c r="D2240" s="69">
        <v>35</v>
      </c>
      <c r="E2240" s="68" t="s">
        <v>1604</v>
      </c>
      <c r="F2240" s="68" t="s">
        <v>3143</v>
      </c>
      <c r="G2240" s="68" t="s">
        <v>2</v>
      </c>
      <c r="H2240" s="68" t="s">
        <v>496</v>
      </c>
      <c r="I2240" t="str">
        <f>IF(A2240="","Pacote",IF(B2240=IFERROR(VLOOKUP(B2240,base!$L$1:$L$20,1,0),""),"Produtos",IF(B2240=IFERROR(VLOOKUP(B2240,base!$K$2:$K$20,1,0),""),"Serviços",IF(B2240="Gorjeta","Gorjeta","Combos"))))</f>
        <v>Produtos</v>
      </c>
      <c r="J2240">
        <f t="shared" si="180"/>
        <v>14</v>
      </c>
      <c r="K2240" s="1" t="str">
        <f t="shared" si="181"/>
        <v>24/05/2025 09:00</v>
      </c>
      <c r="L2240" s="1">
        <f t="shared" si="182"/>
        <v>45801</v>
      </c>
      <c r="M2240" s="1">
        <f t="shared" si="183"/>
        <v>45801</v>
      </c>
      <c r="N2240" s="1"/>
      <c r="O2240" t="str">
        <f t="shared" si="184"/>
        <v>Dinheiro</v>
      </c>
      <c r="P2240" t="s">
        <v>149</v>
      </c>
      <c r="Q2240" t="str">
        <f t="shared" si="185"/>
        <v>Produtos</v>
      </c>
      <c r="R2240" t="str">
        <f t="shared" si="186"/>
        <v>Oleo para barba fox</v>
      </c>
      <c r="T2240" s="14">
        <f t="shared" si="187"/>
        <v>35</v>
      </c>
      <c r="U2240" s="14" t="str">
        <f t="shared" si="188"/>
        <v/>
      </c>
      <c r="V2240" s="14"/>
      <c r="W2240" t="str">
        <f>IF(A2240=$A$1707,base!$I$3,IF(A2240=$A$1709,base!$I$2,IF(Receitas!A2240=Receitas!$A$1701,base!$I$4,"")))</f>
        <v>PATRICK CARDOSO</v>
      </c>
      <c r="X2240" t="str">
        <f t="shared" si="189"/>
        <v>Ronan Lopes</v>
      </c>
    </row>
    <row r="2241" spans="1:24">
      <c r="A2241" s="68" t="s">
        <v>519</v>
      </c>
      <c r="B2241" s="68" t="s">
        <v>353</v>
      </c>
      <c r="C2241" s="68" t="s">
        <v>3206</v>
      </c>
      <c r="D2241" s="69">
        <v>60</v>
      </c>
      <c r="E2241" s="69">
        <v>100</v>
      </c>
      <c r="F2241" s="68" t="s">
        <v>3207</v>
      </c>
      <c r="G2241" s="68" t="s">
        <v>354</v>
      </c>
      <c r="H2241" s="68" t="s">
        <v>1405</v>
      </c>
      <c r="I2241" t="str">
        <f>IF(A2241="","Pacote",IF(B2241=IFERROR(VLOOKUP(B2241,base!$L$1:$L$20,1,0),""),"Produtos",IF(B2241=IFERROR(VLOOKUP(B2241,base!$K$2:$K$20,1,0),""),"Serviços",IF(B2241="Gorjeta","Gorjeta","Combos"))))</f>
        <v>Combos</v>
      </c>
      <c r="J2241">
        <f t="shared" si="180"/>
        <v>27</v>
      </c>
      <c r="K2241" s="1" t="str">
        <f t="shared" si="181"/>
        <v>23/05/2025 18:00</v>
      </c>
      <c r="L2241" s="1">
        <f t="shared" si="182"/>
        <v>45800</v>
      </c>
      <c r="M2241" s="1">
        <f t="shared" si="183"/>
        <v>45800</v>
      </c>
      <c r="N2241" s="1"/>
      <c r="O2241" t="str">
        <f t="shared" si="184"/>
        <v>Cartão de Crédito</v>
      </c>
      <c r="P2241" t="s">
        <v>149</v>
      </c>
      <c r="Q2241" t="str">
        <f t="shared" si="185"/>
        <v>Combos</v>
      </c>
      <c r="R2241" t="str">
        <f t="shared" si="186"/>
        <v>Combo ( Corte + Barba )</v>
      </c>
      <c r="T2241" s="14">
        <f t="shared" si="187"/>
        <v>60</v>
      </c>
      <c r="U2241" s="14">
        <f t="shared" si="188"/>
        <v>100</v>
      </c>
      <c r="V2241" s="14"/>
      <c r="W2241" t="str">
        <f>IF(A2241=$A$1707,base!$I$3,IF(A2241=$A$1709,base!$I$2,IF(Receitas!A2241=Receitas!$A$1701,base!$I$4,"")))</f>
        <v>Gustavo de Castro</v>
      </c>
      <c r="X2241" t="str">
        <f t="shared" si="189"/>
        <v>Luiz Vitor da Silva Pedro</v>
      </c>
    </row>
    <row r="2242" spans="1:24">
      <c r="A2242" s="68" t="s">
        <v>519</v>
      </c>
      <c r="B2242" s="68" t="s">
        <v>472</v>
      </c>
      <c r="C2242" s="68" t="s">
        <v>3206</v>
      </c>
      <c r="D2242" s="69">
        <v>40</v>
      </c>
      <c r="E2242" s="68" t="s">
        <v>1604</v>
      </c>
      <c r="F2242" s="68" t="s">
        <v>3207</v>
      </c>
      <c r="G2242" s="68" t="s">
        <v>354</v>
      </c>
      <c r="H2242" s="68" t="s">
        <v>1405</v>
      </c>
      <c r="I2242" t="str">
        <f>IF(A2242="","Pacote",IF(B2242=IFERROR(VLOOKUP(B2242,base!$L$1:$L$20,1,0),""),"Produtos",IF(B2242=IFERROR(VLOOKUP(B2242,base!$K$2:$K$20,1,0),""),"Serviços",IF(B2242="Gorjeta","Gorjeta","Combos"))))</f>
        <v>Produtos</v>
      </c>
      <c r="J2242">
        <f t="shared" si="180"/>
        <v>16</v>
      </c>
      <c r="K2242" s="1" t="str">
        <f t="shared" si="181"/>
        <v>23/05/2025 18:00</v>
      </c>
      <c r="L2242" s="1">
        <f t="shared" si="182"/>
        <v>45800</v>
      </c>
      <c r="M2242" s="1">
        <f t="shared" si="183"/>
        <v>45800</v>
      </c>
      <c r="N2242" s="1"/>
      <c r="O2242" t="str">
        <f t="shared" si="184"/>
        <v>Cartão de Crédito</v>
      </c>
      <c r="P2242" t="s">
        <v>149</v>
      </c>
      <c r="Q2242" t="str">
        <f t="shared" si="185"/>
        <v>Produtos</v>
      </c>
      <c r="R2242" t="str">
        <f t="shared" si="186"/>
        <v>minox serum</v>
      </c>
      <c r="T2242" s="14">
        <f t="shared" si="187"/>
        <v>40</v>
      </c>
      <c r="U2242" s="14" t="str">
        <f t="shared" si="188"/>
        <v/>
      </c>
      <c r="V2242" s="14"/>
      <c r="W2242" t="str">
        <f>IF(A2242=$A$1707,base!$I$3,IF(A2242=$A$1709,base!$I$2,IF(Receitas!A2242=Receitas!$A$1701,base!$I$4,"")))</f>
        <v>Gustavo de Castro</v>
      </c>
      <c r="X2242" t="str">
        <f t="shared" si="189"/>
        <v>Luiz Vitor da Silva Pedro</v>
      </c>
    </row>
    <row r="2243" spans="1:24">
      <c r="A2243" s="68" t="s">
        <v>252</v>
      </c>
      <c r="B2243" s="68" t="s">
        <v>163</v>
      </c>
      <c r="C2243" s="68" t="s">
        <v>3208</v>
      </c>
      <c r="D2243" s="69">
        <v>35</v>
      </c>
      <c r="E2243" s="69">
        <v>35</v>
      </c>
      <c r="F2243" s="68" t="s">
        <v>3209</v>
      </c>
      <c r="G2243" s="68" t="s">
        <v>1</v>
      </c>
      <c r="H2243" s="68" t="s">
        <v>38</v>
      </c>
      <c r="I2243" t="str">
        <f>IF(A2243="","Pacote",IF(B2243=IFERROR(VLOOKUP(B2243,base!$L$1:$L$20,1,0),""),"Produtos",IF(B2243=IFERROR(VLOOKUP(B2243,base!$K$2:$K$20,1,0),""),"Serviços",IF(B2243="Gorjeta","Gorjeta","Combos"))))</f>
        <v>Serviços</v>
      </c>
      <c r="J2243">
        <f t="shared" si="180"/>
        <v>15.75</v>
      </c>
      <c r="K2243" s="1" t="str">
        <f t="shared" si="181"/>
        <v>24/05/2025 10:30</v>
      </c>
      <c r="L2243" s="1">
        <f t="shared" si="182"/>
        <v>45801</v>
      </c>
      <c r="M2243" s="1">
        <f t="shared" si="183"/>
        <v>45801</v>
      </c>
      <c r="N2243" s="1"/>
      <c r="O2243" t="str">
        <f t="shared" si="184"/>
        <v>PIX</v>
      </c>
      <c r="P2243" t="s">
        <v>149</v>
      </c>
      <c r="Q2243" t="str">
        <f t="shared" si="185"/>
        <v>Serviços</v>
      </c>
      <c r="R2243" t="str">
        <f t="shared" si="186"/>
        <v>Corte</v>
      </c>
      <c r="T2243" s="14">
        <f t="shared" si="187"/>
        <v>35</v>
      </c>
      <c r="U2243" s="14">
        <f t="shared" si="188"/>
        <v>35</v>
      </c>
      <c r="V2243" s="14"/>
      <c r="W2243" t="str">
        <f>IF(A2243=$A$1707,base!$I$3,IF(A2243=$A$1709,base!$I$2,IF(Receitas!A2243=Receitas!$A$1701,base!$I$4,"")))</f>
        <v>Christian Magon</v>
      </c>
      <c r="X2243" t="str">
        <f t="shared" si="189"/>
        <v>Roni silva</v>
      </c>
    </row>
    <row r="2244" spans="1:24">
      <c r="A2244" s="68" t="s">
        <v>252</v>
      </c>
      <c r="B2244" s="68" t="s">
        <v>353</v>
      </c>
      <c r="C2244" s="68" t="s">
        <v>3210</v>
      </c>
      <c r="D2244" s="69">
        <v>60</v>
      </c>
      <c r="E2244" s="69">
        <v>110</v>
      </c>
      <c r="F2244" s="68" t="s">
        <v>3211</v>
      </c>
      <c r="G2244" s="68" t="s">
        <v>310</v>
      </c>
      <c r="H2244" s="68" t="s">
        <v>11</v>
      </c>
      <c r="I2244" t="str">
        <f>IF(A2244="","Pacote",IF(B2244=IFERROR(VLOOKUP(B2244,base!$L$1:$L$20,1,0),""),"Produtos",IF(B2244=IFERROR(VLOOKUP(B2244,base!$K$2:$K$20,1,0),""),"Serviços",IF(B2244="Gorjeta","Gorjeta","Combos"))))</f>
        <v>Combos</v>
      </c>
      <c r="J2244">
        <f t="shared" si="180"/>
        <v>27</v>
      </c>
      <c r="K2244" s="1" t="str">
        <f t="shared" si="181"/>
        <v>24/05/2025 12:45</v>
      </c>
      <c r="L2244" s="1">
        <f t="shared" si="182"/>
        <v>45801</v>
      </c>
      <c r="M2244" s="1">
        <f t="shared" si="183"/>
        <v>45801</v>
      </c>
      <c r="N2244" s="1"/>
      <c r="O2244" t="str">
        <f t="shared" si="184"/>
        <v>Cartão de Débito</v>
      </c>
      <c r="P2244" t="s">
        <v>149</v>
      </c>
      <c r="Q2244" t="str">
        <f t="shared" si="185"/>
        <v>Combos</v>
      </c>
      <c r="R2244" t="str">
        <f t="shared" si="186"/>
        <v>Combo ( Corte + Barba )</v>
      </c>
      <c r="T2244" s="14">
        <f t="shared" si="187"/>
        <v>60</v>
      </c>
      <c r="U2244" s="14">
        <f t="shared" si="188"/>
        <v>110</v>
      </c>
      <c r="V2244" s="14"/>
      <c r="W2244" t="str">
        <f>IF(A2244=$A$1707,base!$I$3,IF(A2244=$A$1709,base!$I$2,IF(Receitas!A2244=Receitas!$A$1701,base!$I$4,"")))</f>
        <v>Christian Magon</v>
      </c>
      <c r="X2244" t="str">
        <f t="shared" si="189"/>
        <v>caio miranda</v>
      </c>
    </row>
    <row r="2245" spans="1:24">
      <c r="A2245" s="68" t="s">
        <v>519</v>
      </c>
      <c r="B2245" s="68" t="s">
        <v>163</v>
      </c>
      <c r="C2245" s="68" t="s">
        <v>3210</v>
      </c>
      <c r="D2245" s="69">
        <v>35</v>
      </c>
      <c r="E2245" s="68" t="s">
        <v>1604</v>
      </c>
      <c r="F2245" s="68" t="s">
        <v>3211</v>
      </c>
      <c r="G2245" s="68" t="s">
        <v>310</v>
      </c>
      <c r="H2245" s="68" t="s">
        <v>11</v>
      </c>
      <c r="I2245" t="str">
        <f>IF(A2245="","Pacote",IF(B2245=IFERROR(VLOOKUP(B2245,base!$L$1:$L$20,1,0),""),"Produtos",IF(B2245=IFERROR(VLOOKUP(B2245,base!$K$2:$K$20,1,0),""),"Serviços",IF(B2245="Gorjeta","Gorjeta","Combos"))))</f>
        <v>Serviços</v>
      </c>
      <c r="J2245">
        <f t="shared" si="180"/>
        <v>15.75</v>
      </c>
      <c r="K2245" s="1" t="str">
        <f t="shared" si="181"/>
        <v>24/05/2025 12:45</v>
      </c>
      <c r="L2245" s="1">
        <f t="shared" si="182"/>
        <v>45801</v>
      </c>
      <c r="M2245" s="1">
        <f t="shared" si="183"/>
        <v>45801</v>
      </c>
      <c r="N2245" s="1"/>
      <c r="O2245" t="str">
        <f t="shared" si="184"/>
        <v>Cartão de Débito</v>
      </c>
      <c r="P2245" t="s">
        <v>149</v>
      </c>
      <c r="Q2245" t="str">
        <f t="shared" si="185"/>
        <v>Serviços</v>
      </c>
      <c r="R2245" t="str">
        <f t="shared" si="186"/>
        <v>Corte</v>
      </c>
      <c r="T2245" s="14">
        <f t="shared" si="187"/>
        <v>35</v>
      </c>
      <c r="U2245" s="14" t="str">
        <f t="shared" si="188"/>
        <v/>
      </c>
      <c r="V2245" s="14"/>
      <c r="W2245" t="str">
        <f>IF(A2245=$A$1707,base!$I$3,IF(A2245=$A$1709,base!$I$2,IF(Receitas!A2245=Receitas!$A$1701,base!$I$4,"")))</f>
        <v>Gustavo de Castro</v>
      </c>
      <c r="X2245" t="str">
        <f t="shared" si="189"/>
        <v>caio miranda</v>
      </c>
    </row>
    <row r="2246" spans="1:24">
      <c r="A2246" s="68" t="s">
        <v>252</v>
      </c>
      <c r="B2246" s="68" t="s">
        <v>1446</v>
      </c>
      <c r="C2246" s="68" t="s">
        <v>3210</v>
      </c>
      <c r="D2246" s="69">
        <v>15</v>
      </c>
      <c r="E2246" s="68" t="s">
        <v>1604</v>
      </c>
      <c r="F2246" s="68" t="s">
        <v>3211</v>
      </c>
      <c r="G2246" s="68" t="s">
        <v>310</v>
      </c>
      <c r="H2246" s="68" t="s">
        <v>11</v>
      </c>
      <c r="I2246" t="str">
        <f>IF(A2246="","Pacote",IF(B2246=IFERROR(VLOOKUP(B2246,base!$L$1:$L$20,1,0),""),"Produtos",IF(B2246=IFERROR(VLOOKUP(B2246,base!$K$2:$K$20,1,0),""),"Serviços",IF(B2246="Gorjeta","Gorjeta","Combos"))))</f>
        <v>Serviços</v>
      </c>
      <c r="J2246">
        <f t="shared" si="180"/>
        <v>6.75</v>
      </c>
      <c r="K2246" s="1" t="str">
        <f t="shared" si="181"/>
        <v>24/05/2025 12:45</v>
      </c>
      <c r="L2246" s="1">
        <f t="shared" si="182"/>
        <v>45801</v>
      </c>
      <c r="M2246" s="1">
        <f t="shared" si="183"/>
        <v>45801</v>
      </c>
      <c r="N2246" s="1"/>
      <c r="O2246" t="str">
        <f t="shared" si="184"/>
        <v>Cartão de Débito</v>
      </c>
      <c r="P2246" t="s">
        <v>149</v>
      </c>
      <c r="Q2246" t="str">
        <f t="shared" si="185"/>
        <v>Serviços</v>
      </c>
      <c r="R2246" t="str">
        <f t="shared" si="186"/>
        <v>depilação orelha</v>
      </c>
      <c r="T2246" s="14">
        <f t="shared" si="187"/>
        <v>15</v>
      </c>
      <c r="U2246" s="14" t="str">
        <f t="shared" si="188"/>
        <v/>
      </c>
      <c r="V2246" s="14"/>
      <c r="W2246" t="str">
        <f>IF(A2246=$A$1707,base!$I$3,IF(A2246=$A$1709,base!$I$2,IF(Receitas!A2246=Receitas!$A$1701,base!$I$4,"")))</f>
        <v>Christian Magon</v>
      </c>
      <c r="X2246" t="str">
        <f t="shared" si="189"/>
        <v>caio miranda</v>
      </c>
    </row>
    <row r="2247" spans="1:24">
      <c r="A2247" s="68" t="s">
        <v>252</v>
      </c>
      <c r="B2247" s="68" t="s">
        <v>163</v>
      </c>
      <c r="C2247" s="68" t="s">
        <v>3212</v>
      </c>
      <c r="D2247" s="69">
        <v>35</v>
      </c>
      <c r="E2247" s="69">
        <v>35</v>
      </c>
      <c r="F2247" s="68" t="s">
        <v>3213</v>
      </c>
      <c r="G2247" s="68" t="s">
        <v>2</v>
      </c>
      <c r="H2247" s="68" t="s">
        <v>200</v>
      </c>
      <c r="I2247" t="str">
        <f>IF(A2247="","Pacote",IF(B2247=IFERROR(VLOOKUP(B2247,base!$L$1:$L$20,1,0),""),"Produtos",IF(B2247=IFERROR(VLOOKUP(B2247,base!$K$2:$K$20,1,0),""),"Serviços",IF(B2247="Gorjeta","Gorjeta","Combos"))))</f>
        <v>Serviços</v>
      </c>
      <c r="J2247">
        <f t="shared" si="180"/>
        <v>15.75</v>
      </c>
      <c r="K2247" s="1" t="str">
        <f t="shared" si="181"/>
        <v>23/05/2025 17:35</v>
      </c>
      <c r="L2247" s="1">
        <f t="shared" si="182"/>
        <v>45800</v>
      </c>
      <c r="M2247" s="1">
        <f t="shared" si="183"/>
        <v>45800</v>
      </c>
      <c r="N2247" s="1"/>
      <c r="O2247" t="str">
        <f t="shared" si="184"/>
        <v>Dinheiro</v>
      </c>
      <c r="P2247" t="s">
        <v>149</v>
      </c>
      <c r="Q2247" t="str">
        <f t="shared" si="185"/>
        <v>Serviços</v>
      </c>
      <c r="R2247" t="str">
        <f t="shared" si="186"/>
        <v>Corte</v>
      </c>
      <c r="T2247" s="14">
        <f t="shared" si="187"/>
        <v>35</v>
      </c>
      <c r="U2247" s="14">
        <f t="shared" si="188"/>
        <v>35</v>
      </c>
      <c r="V2247" s="14"/>
      <c r="W2247" t="str">
        <f>IF(A2247=$A$1707,base!$I$3,IF(A2247=$A$1709,base!$I$2,IF(Receitas!A2247=Receitas!$A$1701,base!$I$4,"")))</f>
        <v>Christian Magon</v>
      </c>
      <c r="X2247" t="str">
        <f t="shared" si="189"/>
        <v>ruan ouverney</v>
      </c>
    </row>
    <row r="2248" spans="1:24">
      <c r="A2248" s="68" t="s">
        <v>252</v>
      </c>
      <c r="B2248" s="68" t="s">
        <v>163</v>
      </c>
      <c r="C2248" s="68" t="s">
        <v>3214</v>
      </c>
      <c r="D2248" s="69">
        <v>35</v>
      </c>
      <c r="E2248" s="69">
        <v>35</v>
      </c>
      <c r="F2248" s="68" t="s">
        <v>3177</v>
      </c>
      <c r="G2248" s="68" t="s">
        <v>2</v>
      </c>
      <c r="H2248" s="68" t="s">
        <v>2585</v>
      </c>
      <c r="I2248" t="str">
        <f>IF(A2248="","Pacote",IF(B2248=IFERROR(VLOOKUP(B2248,base!$L$1:$L$20,1,0),""),"Produtos",IF(B2248=IFERROR(VLOOKUP(B2248,base!$K$2:$K$20,1,0),""),"Serviços",IF(B2248="Gorjeta","Gorjeta","Combos"))))</f>
        <v>Serviços</v>
      </c>
      <c r="J2248">
        <f t="shared" si="180"/>
        <v>15.75</v>
      </c>
      <c r="K2248" s="1" t="str">
        <f t="shared" si="181"/>
        <v>23/05/2025 19:00</v>
      </c>
      <c r="L2248" s="1">
        <f t="shared" si="182"/>
        <v>45800</v>
      </c>
      <c r="M2248" s="1">
        <f t="shared" si="183"/>
        <v>45800</v>
      </c>
      <c r="N2248" s="1"/>
      <c r="O2248" t="str">
        <f t="shared" si="184"/>
        <v>Dinheiro</v>
      </c>
      <c r="P2248" t="s">
        <v>149</v>
      </c>
      <c r="Q2248" t="str">
        <f t="shared" si="185"/>
        <v>Serviços</v>
      </c>
      <c r="R2248" t="str">
        <f t="shared" si="186"/>
        <v>Corte</v>
      </c>
      <c r="T2248" s="14">
        <f t="shared" si="187"/>
        <v>35</v>
      </c>
      <c r="U2248" s="14">
        <f t="shared" si="188"/>
        <v>35</v>
      </c>
      <c r="V2248" s="14"/>
      <c r="W2248" t="str">
        <f>IF(A2248=$A$1707,base!$I$3,IF(A2248=$A$1709,base!$I$2,IF(Receitas!A2248=Receitas!$A$1701,base!$I$4,"")))</f>
        <v>Christian Magon</v>
      </c>
      <c r="X2248" t="str">
        <f t="shared" si="189"/>
        <v>ruan soares</v>
      </c>
    </row>
    <row r="2249" spans="1:24">
      <c r="A2249" s="68" t="s">
        <v>536</v>
      </c>
      <c r="B2249" s="68" t="s">
        <v>163</v>
      </c>
      <c r="C2249" s="68" t="s">
        <v>3215</v>
      </c>
      <c r="D2249" s="69">
        <v>35</v>
      </c>
      <c r="E2249" s="69">
        <v>35</v>
      </c>
      <c r="F2249" s="68" t="s">
        <v>3216</v>
      </c>
      <c r="G2249" s="68" t="s">
        <v>1</v>
      </c>
      <c r="H2249" s="68" t="s">
        <v>2403</v>
      </c>
      <c r="I2249" t="str">
        <f>IF(A2249="","Pacote",IF(B2249=IFERROR(VLOOKUP(B2249,base!$L$1:$L$20,1,0),""),"Produtos",IF(B2249=IFERROR(VLOOKUP(B2249,base!$K$2:$K$20,1,0),""),"Serviços",IF(B2249="Gorjeta","Gorjeta","Combos"))))</f>
        <v>Serviços</v>
      </c>
      <c r="J2249">
        <f t="shared" si="180"/>
        <v>15.75</v>
      </c>
      <c r="K2249" s="1" t="str">
        <f t="shared" si="181"/>
        <v>23/05/2025 18:30</v>
      </c>
      <c r="L2249" s="1">
        <f t="shared" si="182"/>
        <v>45800</v>
      </c>
      <c r="M2249" s="1">
        <f t="shared" si="183"/>
        <v>45800</v>
      </c>
      <c r="N2249" s="1"/>
      <c r="O2249" t="str">
        <f t="shared" si="184"/>
        <v>PIX</v>
      </c>
      <c r="P2249" t="s">
        <v>149</v>
      </c>
      <c r="Q2249" t="str">
        <f t="shared" si="185"/>
        <v>Serviços</v>
      </c>
      <c r="R2249" t="str">
        <f t="shared" si="186"/>
        <v>Corte</v>
      </c>
      <c r="T2249" s="14">
        <f t="shared" si="187"/>
        <v>35</v>
      </c>
      <c r="U2249" s="14">
        <f t="shared" si="188"/>
        <v>35</v>
      </c>
      <c r="V2249" s="14"/>
      <c r="W2249" t="str">
        <f>IF(A2249=$A$1707,base!$I$3,IF(A2249=$A$1709,base!$I$2,IF(Receitas!A2249=Receitas!$A$1701,base!$I$4,"")))</f>
        <v>PATRICK CARDOSO</v>
      </c>
      <c r="X2249" t="str">
        <f t="shared" si="189"/>
        <v>Leonnan</v>
      </c>
    </row>
    <row r="2250" spans="1:24">
      <c r="A2250" s="68" t="s">
        <v>252</v>
      </c>
      <c r="B2250" s="68" t="s">
        <v>353</v>
      </c>
      <c r="C2250" s="68" t="s">
        <v>3217</v>
      </c>
      <c r="D2250" s="69">
        <v>60</v>
      </c>
      <c r="E2250" s="69">
        <v>75</v>
      </c>
      <c r="F2250" s="68" t="s">
        <v>3218</v>
      </c>
      <c r="G2250" s="68" t="s">
        <v>354</v>
      </c>
      <c r="H2250" s="68" t="s">
        <v>398</v>
      </c>
      <c r="I2250" t="str">
        <f>IF(A2250="","Pacote",IF(B2250=IFERROR(VLOOKUP(B2250,base!$L$1:$L$20,1,0),""),"Produtos",IF(B2250=IFERROR(VLOOKUP(B2250,base!$K$2:$K$20,1,0),""),"Serviços",IF(B2250="Gorjeta","Gorjeta","Combos"))))</f>
        <v>Combos</v>
      </c>
      <c r="J2250">
        <f t="shared" si="180"/>
        <v>27</v>
      </c>
      <c r="K2250" s="1" t="str">
        <f t="shared" si="181"/>
        <v>23/05/2025 18:15</v>
      </c>
      <c r="L2250" s="1">
        <f t="shared" si="182"/>
        <v>45800</v>
      </c>
      <c r="M2250" s="1">
        <f t="shared" si="183"/>
        <v>45800</v>
      </c>
      <c r="N2250" s="1"/>
      <c r="O2250" t="str">
        <f t="shared" si="184"/>
        <v>Cartão de Crédito</v>
      </c>
      <c r="P2250" t="s">
        <v>149</v>
      </c>
      <c r="Q2250" t="str">
        <f t="shared" si="185"/>
        <v>Combos</v>
      </c>
      <c r="R2250" t="str">
        <f t="shared" si="186"/>
        <v>Combo ( Corte + Barba )</v>
      </c>
      <c r="T2250" s="14">
        <f t="shared" si="187"/>
        <v>60</v>
      </c>
      <c r="U2250" s="14">
        <f t="shared" si="188"/>
        <v>75</v>
      </c>
      <c r="V2250" s="14"/>
      <c r="W2250" t="str">
        <f>IF(A2250=$A$1707,base!$I$3,IF(A2250=$A$1709,base!$I$2,IF(Receitas!A2250=Receitas!$A$1701,base!$I$4,"")))</f>
        <v>Christian Magon</v>
      </c>
      <c r="X2250" t="str">
        <f t="shared" si="189"/>
        <v>Leonardo de Oliveira Vieira Dias</v>
      </c>
    </row>
    <row r="2251" spans="1:24">
      <c r="A2251" s="68" t="s">
        <v>252</v>
      </c>
      <c r="B2251" s="68" t="s">
        <v>1187</v>
      </c>
      <c r="C2251" s="68" t="s">
        <v>3217</v>
      </c>
      <c r="D2251" s="69">
        <v>15</v>
      </c>
      <c r="E2251" s="68" t="s">
        <v>1604</v>
      </c>
      <c r="F2251" s="68" t="s">
        <v>3218</v>
      </c>
      <c r="G2251" s="68" t="s">
        <v>354</v>
      </c>
      <c r="H2251" s="68" t="s">
        <v>398</v>
      </c>
      <c r="I2251" t="str">
        <f>IF(A2251="","Pacote",IF(B2251=IFERROR(VLOOKUP(B2251,base!$L$1:$L$20,1,0),""),"Produtos",IF(B2251=IFERROR(VLOOKUP(B2251,base!$K$2:$K$20,1,0),""),"Serviços",IF(B2251="Gorjeta","Gorjeta","Combos"))))</f>
        <v>Serviços</v>
      </c>
      <c r="J2251">
        <f t="shared" si="180"/>
        <v>6.75</v>
      </c>
      <c r="K2251" s="1" t="str">
        <f t="shared" si="181"/>
        <v>23/05/2025 18:15</v>
      </c>
      <c r="L2251" s="1">
        <f t="shared" si="182"/>
        <v>45800</v>
      </c>
      <c r="M2251" s="1">
        <f t="shared" si="183"/>
        <v>45800</v>
      </c>
      <c r="N2251" s="1"/>
      <c r="O2251" t="str">
        <f t="shared" si="184"/>
        <v>Cartão de Crédito</v>
      </c>
      <c r="P2251" t="s">
        <v>149</v>
      </c>
      <c r="Q2251" t="str">
        <f t="shared" si="185"/>
        <v>Serviços</v>
      </c>
      <c r="R2251" t="str">
        <f t="shared" si="186"/>
        <v>depilação nariz</v>
      </c>
      <c r="T2251" s="14">
        <f t="shared" si="187"/>
        <v>15</v>
      </c>
      <c r="U2251" s="14" t="str">
        <f t="shared" si="188"/>
        <v/>
      </c>
      <c r="V2251" s="14"/>
      <c r="W2251" t="str">
        <f>IF(A2251=$A$1707,base!$I$3,IF(A2251=$A$1709,base!$I$2,IF(Receitas!A2251=Receitas!$A$1701,base!$I$4,"")))</f>
        <v>Christian Magon</v>
      </c>
      <c r="X2251" t="str">
        <f t="shared" si="189"/>
        <v>Leonardo de Oliveira Vieira Dias</v>
      </c>
    </row>
    <row r="2252" spans="1:24">
      <c r="A2252" s="68" t="s">
        <v>252</v>
      </c>
      <c r="B2252" s="68" t="s">
        <v>163</v>
      </c>
      <c r="C2252" s="68" t="s">
        <v>3219</v>
      </c>
      <c r="D2252" s="69">
        <v>35</v>
      </c>
      <c r="E2252" s="69">
        <v>85</v>
      </c>
      <c r="F2252" s="68" t="s">
        <v>3220</v>
      </c>
      <c r="G2252" s="68" t="s">
        <v>1</v>
      </c>
      <c r="H2252" s="68" t="s">
        <v>286</v>
      </c>
      <c r="I2252" t="str">
        <f>IF(A2252="","Pacote",IF(B2252=IFERROR(VLOOKUP(B2252,base!$L$1:$L$20,1,0),""),"Produtos",IF(B2252=IFERROR(VLOOKUP(B2252,base!$K$2:$K$20,1,0),""),"Serviços",IF(B2252="Gorjeta","Gorjeta","Combos"))))</f>
        <v>Serviços</v>
      </c>
      <c r="J2252">
        <f t="shared" si="180"/>
        <v>15.75</v>
      </c>
      <c r="K2252" s="1" t="str">
        <f t="shared" si="181"/>
        <v>24/05/2025 10:00</v>
      </c>
      <c r="L2252" s="1">
        <f t="shared" si="182"/>
        <v>45801</v>
      </c>
      <c r="M2252" s="1">
        <f t="shared" si="183"/>
        <v>45801</v>
      </c>
      <c r="N2252" s="1"/>
      <c r="O2252" t="str">
        <f t="shared" si="184"/>
        <v>PIX</v>
      </c>
      <c r="P2252" t="s">
        <v>149</v>
      </c>
      <c r="Q2252" t="str">
        <f t="shared" si="185"/>
        <v>Serviços</v>
      </c>
      <c r="R2252" t="str">
        <f t="shared" si="186"/>
        <v>Corte</v>
      </c>
      <c r="T2252" s="14">
        <f t="shared" si="187"/>
        <v>35</v>
      </c>
      <c r="U2252" s="14">
        <f t="shared" si="188"/>
        <v>85</v>
      </c>
      <c r="V2252" s="14"/>
      <c r="W2252" t="str">
        <f>IF(A2252=$A$1707,base!$I$3,IF(A2252=$A$1709,base!$I$2,IF(Receitas!A2252=Receitas!$A$1701,base!$I$4,"")))</f>
        <v>Christian Magon</v>
      </c>
      <c r="X2252" t="str">
        <f t="shared" si="189"/>
        <v>isaias berçort</v>
      </c>
    </row>
    <row r="2253" spans="1:24">
      <c r="A2253" s="68" t="s">
        <v>252</v>
      </c>
      <c r="B2253" s="68" t="s">
        <v>167</v>
      </c>
      <c r="C2253" s="68" t="s">
        <v>3219</v>
      </c>
      <c r="D2253" s="69">
        <v>10</v>
      </c>
      <c r="E2253" s="68" t="s">
        <v>1604</v>
      </c>
      <c r="F2253" s="68" t="s">
        <v>3220</v>
      </c>
      <c r="G2253" s="68" t="s">
        <v>1</v>
      </c>
      <c r="H2253" s="68" t="s">
        <v>286</v>
      </c>
      <c r="I2253" t="str">
        <f>IF(A2253="","Pacote",IF(B2253=IFERROR(VLOOKUP(B2253,base!$L$1:$L$20,1,0),""),"Produtos",IF(B2253=IFERROR(VLOOKUP(B2253,base!$K$2:$K$20,1,0),""),"Serviços",IF(B2253="Gorjeta","Gorjeta","Combos"))))</f>
        <v>Serviços</v>
      </c>
      <c r="J2253">
        <f t="shared" si="180"/>
        <v>4.5</v>
      </c>
      <c r="K2253" s="1" t="str">
        <f t="shared" si="181"/>
        <v>24/05/2025 10:00</v>
      </c>
      <c r="L2253" s="1">
        <f t="shared" si="182"/>
        <v>45801</v>
      </c>
      <c r="M2253" s="1">
        <f t="shared" si="183"/>
        <v>45801</v>
      </c>
      <c r="N2253" s="1"/>
      <c r="O2253" t="str">
        <f t="shared" si="184"/>
        <v>PIX</v>
      </c>
      <c r="P2253" t="s">
        <v>149</v>
      </c>
      <c r="Q2253" t="str">
        <f t="shared" si="185"/>
        <v>Serviços</v>
      </c>
      <c r="R2253" t="str">
        <f t="shared" si="186"/>
        <v>Sobrancelha</v>
      </c>
      <c r="T2253" s="14">
        <f t="shared" si="187"/>
        <v>10</v>
      </c>
      <c r="U2253" s="14" t="str">
        <f t="shared" si="188"/>
        <v/>
      </c>
      <c r="V2253" s="14"/>
      <c r="W2253" t="str">
        <f>IF(A2253=$A$1707,base!$I$3,IF(A2253=$A$1709,base!$I$2,IF(Receitas!A2253=Receitas!$A$1701,base!$I$4,"")))</f>
        <v>Christian Magon</v>
      </c>
      <c r="X2253" t="str">
        <f t="shared" si="189"/>
        <v>isaias berçort</v>
      </c>
    </row>
    <row r="2254" spans="1:24">
      <c r="A2254" s="68" t="s">
        <v>252</v>
      </c>
      <c r="B2254" s="68" t="s">
        <v>1187</v>
      </c>
      <c r="C2254" s="68" t="s">
        <v>3219</v>
      </c>
      <c r="D2254" s="69">
        <v>15</v>
      </c>
      <c r="E2254" s="68" t="s">
        <v>1604</v>
      </c>
      <c r="F2254" s="68" t="s">
        <v>3220</v>
      </c>
      <c r="G2254" s="68" t="s">
        <v>1</v>
      </c>
      <c r="H2254" s="68" t="s">
        <v>286</v>
      </c>
      <c r="I2254" t="str">
        <f>IF(A2254="","Pacote",IF(B2254=IFERROR(VLOOKUP(B2254,base!$L$1:$L$20,1,0),""),"Produtos",IF(B2254=IFERROR(VLOOKUP(B2254,base!$K$2:$K$20,1,0),""),"Serviços",IF(B2254="Gorjeta","Gorjeta","Combos"))))</f>
        <v>Serviços</v>
      </c>
      <c r="J2254">
        <f t="shared" si="180"/>
        <v>6.75</v>
      </c>
      <c r="K2254" s="1" t="str">
        <f t="shared" si="181"/>
        <v>24/05/2025 10:00</v>
      </c>
      <c r="L2254" s="1">
        <f t="shared" si="182"/>
        <v>45801</v>
      </c>
      <c r="M2254" s="1">
        <f t="shared" si="183"/>
        <v>45801</v>
      </c>
      <c r="N2254" s="1"/>
      <c r="O2254" t="str">
        <f t="shared" si="184"/>
        <v>PIX</v>
      </c>
      <c r="P2254" t="s">
        <v>149</v>
      </c>
      <c r="Q2254" t="str">
        <f t="shared" si="185"/>
        <v>Serviços</v>
      </c>
      <c r="R2254" t="str">
        <f t="shared" si="186"/>
        <v>depilação nariz</v>
      </c>
      <c r="T2254" s="14">
        <f t="shared" si="187"/>
        <v>15</v>
      </c>
      <c r="U2254" s="14" t="str">
        <f t="shared" si="188"/>
        <v/>
      </c>
      <c r="V2254" s="14"/>
      <c r="W2254" t="str">
        <f>IF(A2254=$A$1707,base!$I$3,IF(A2254=$A$1709,base!$I$2,IF(Receitas!A2254=Receitas!$A$1701,base!$I$4,"")))</f>
        <v>Christian Magon</v>
      </c>
      <c r="X2254" t="str">
        <f t="shared" si="189"/>
        <v>isaias berçort</v>
      </c>
    </row>
    <row r="2255" spans="1:24">
      <c r="A2255" s="68" t="s">
        <v>252</v>
      </c>
      <c r="B2255" s="68" t="s">
        <v>2830</v>
      </c>
      <c r="C2255" s="68" t="s">
        <v>3219</v>
      </c>
      <c r="D2255" s="69">
        <v>25</v>
      </c>
      <c r="E2255" s="68" t="s">
        <v>1604</v>
      </c>
      <c r="F2255" s="68" t="s">
        <v>3220</v>
      </c>
      <c r="G2255" s="68" t="s">
        <v>1</v>
      </c>
      <c r="H2255" s="68" t="s">
        <v>286</v>
      </c>
      <c r="I2255" t="str">
        <f>IF(A2255="","Pacote",IF(B2255=IFERROR(VLOOKUP(B2255,base!$L$1:$L$20,1,0),""),"Produtos",IF(B2255=IFERROR(VLOOKUP(B2255,base!$K$2:$K$20,1,0),""),"Serviços",IF(B2255="Gorjeta","Gorjeta","Combos"))))</f>
        <v>Serviços</v>
      </c>
      <c r="J2255">
        <f t="shared" si="180"/>
        <v>11.25</v>
      </c>
      <c r="K2255" s="1" t="str">
        <f t="shared" si="181"/>
        <v>24/05/2025 10:00</v>
      </c>
      <c r="L2255" s="1">
        <f t="shared" si="182"/>
        <v>45801</v>
      </c>
      <c r="M2255" s="1">
        <f t="shared" si="183"/>
        <v>45801</v>
      </c>
      <c r="N2255" s="1"/>
      <c r="O2255" t="str">
        <f t="shared" si="184"/>
        <v>PIX</v>
      </c>
      <c r="P2255" t="s">
        <v>149</v>
      </c>
      <c r="Q2255" t="str">
        <f t="shared" si="185"/>
        <v>Serviços</v>
      </c>
      <c r="R2255" t="str">
        <f t="shared" si="186"/>
        <v>limpeza de pele</v>
      </c>
      <c r="T2255" s="14">
        <f t="shared" si="187"/>
        <v>25</v>
      </c>
      <c r="U2255" s="14" t="str">
        <f t="shared" si="188"/>
        <v/>
      </c>
      <c r="V2255" s="14"/>
      <c r="W2255" t="str">
        <f>IF(A2255=$A$1707,base!$I$3,IF(A2255=$A$1709,base!$I$2,IF(Receitas!A2255=Receitas!$A$1701,base!$I$4,"")))</f>
        <v>Christian Magon</v>
      </c>
      <c r="X2255" t="str">
        <f t="shared" si="189"/>
        <v>isaias berçort</v>
      </c>
    </row>
    <row r="2256" spans="1:24">
      <c r="A2256" s="68" t="s">
        <v>519</v>
      </c>
      <c r="B2256" s="68" t="s">
        <v>163</v>
      </c>
      <c r="C2256" s="68" t="s">
        <v>3221</v>
      </c>
      <c r="D2256" s="69">
        <v>35</v>
      </c>
      <c r="E2256" s="69">
        <v>35</v>
      </c>
      <c r="F2256" s="68" t="s">
        <v>3220</v>
      </c>
      <c r="G2256" s="68" t="s">
        <v>1</v>
      </c>
      <c r="H2256" s="68" t="s">
        <v>1130</v>
      </c>
      <c r="I2256" t="str">
        <f>IF(A2256="","Pacote",IF(B2256=IFERROR(VLOOKUP(B2256,base!$L$1:$L$20,1,0),""),"Produtos",IF(B2256=IFERROR(VLOOKUP(B2256,base!$K$2:$K$20,1,0),""),"Serviços",IF(B2256="Gorjeta","Gorjeta","Combos"))))</f>
        <v>Serviços</v>
      </c>
      <c r="J2256">
        <f t="shared" si="180"/>
        <v>15.75</v>
      </c>
      <c r="K2256" s="1" t="str">
        <f t="shared" si="181"/>
        <v>24/05/2025 10:00</v>
      </c>
      <c r="L2256" s="1">
        <f t="shared" si="182"/>
        <v>45801</v>
      </c>
      <c r="M2256" s="1">
        <f t="shared" si="183"/>
        <v>45801</v>
      </c>
      <c r="N2256" s="1"/>
      <c r="O2256" t="str">
        <f t="shared" si="184"/>
        <v>PIX</v>
      </c>
      <c r="P2256" t="s">
        <v>149</v>
      </c>
      <c r="Q2256" t="str">
        <f t="shared" si="185"/>
        <v>Serviços</v>
      </c>
      <c r="R2256" t="str">
        <f t="shared" si="186"/>
        <v>Corte</v>
      </c>
      <c r="T2256" s="14">
        <f t="shared" si="187"/>
        <v>35</v>
      </c>
      <c r="U2256" s="14">
        <f t="shared" si="188"/>
        <v>35</v>
      </c>
      <c r="V2256" s="14"/>
      <c r="W2256" t="str">
        <f>IF(A2256=$A$1707,base!$I$3,IF(A2256=$A$1709,base!$I$2,IF(Receitas!A2256=Receitas!$A$1701,base!$I$4,"")))</f>
        <v>Gustavo de Castro</v>
      </c>
      <c r="X2256" t="str">
        <f t="shared" si="189"/>
        <v>Alex miranda</v>
      </c>
    </row>
    <row r="2257" spans="1:24">
      <c r="A2257" s="68" t="s">
        <v>536</v>
      </c>
      <c r="B2257" s="68" t="s">
        <v>163</v>
      </c>
      <c r="C2257" s="68" t="s">
        <v>3222</v>
      </c>
      <c r="D2257" s="69">
        <v>35</v>
      </c>
      <c r="E2257" s="69">
        <v>55</v>
      </c>
      <c r="F2257" s="68" t="s">
        <v>3223</v>
      </c>
      <c r="G2257" s="68" t="s">
        <v>1</v>
      </c>
      <c r="H2257" s="68" t="s">
        <v>202</v>
      </c>
      <c r="I2257" t="str">
        <f>IF(A2257="","Pacote",IF(B2257=IFERROR(VLOOKUP(B2257,base!$L$1:$L$20,1,0),""),"Produtos",IF(B2257=IFERROR(VLOOKUP(B2257,base!$K$2:$K$20,1,0),""),"Serviços",IF(B2257="Gorjeta","Gorjeta","Combos"))))</f>
        <v>Serviços</v>
      </c>
      <c r="J2257">
        <f t="shared" si="180"/>
        <v>15.75</v>
      </c>
      <c r="K2257" s="1" t="str">
        <f t="shared" si="181"/>
        <v>23/05/2025 19:05</v>
      </c>
      <c r="L2257" s="1">
        <f t="shared" si="182"/>
        <v>45800</v>
      </c>
      <c r="M2257" s="1">
        <f t="shared" si="183"/>
        <v>45800</v>
      </c>
      <c r="N2257" s="1"/>
      <c r="O2257" t="str">
        <f t="shared" si="184"/>
        <v>PIX</v>
      </c>
      <c r="P2257" t="s">
        <v>149</v>
      </c>
      <c r="Q2257" t="str">
        <f t="shared" si="185"/>
        <v>Serviços</v>
      </c>
      <c r="R2257" t="str">
        <f t="shared" si="186"/>
        <v>Corte</v>
      </c>
      <c r="T2257" s="14">
        <f t="shared" si="187"/>
        <v>35</v>
      </c>
      <c r="U2257" s="14">
        <f t="shared" si="188"/>
        <v>55</v>
      </c>
      <c r="V2257" s="14"/>
      <c r="W2257" t="str">
        <f>IF(A2257=$A$1707,base!$I$3,IF(A2257=$A$1709,base!$I$2,IF(Receitas!A2257=Receitas!$A$1701,base!$I$4,"")))</f>
        <v>PATRICK CARDOSO</v>
      </c>
      <c r="X2257" t="str">
        <f t="shared" si="189"/>
        <v>Iuri almeida</v>
      </c>
    </row>
    <row r="2258" spans="1:24">
      <c r="A2258" s="68" t="s">
        <v>536</v>
      </c>
      <c r="B2258" s="68" t="s">
        <v>166</v>
      </c>
      <c r="C2258" s="68" t="s">
        <v>3222</v>
      </c>
      <c r="D2258" s="69">
        <v>20</v>
      </c>
      <c r="E2258" s="68" t="s">
        <v>1604</v>
      </c>
      <c r="F2258" s="68" t="s">
        <v>3223</v>
      </c>
      <c r="G2258" s="68" t="s">
        <v>1</v>
      </c>
      <c r="H2258" s="68" t="s">
        <v>202</v>
      </c>
      <c r="I2258" t="str">
        <f>IF(A2258="","Pacote",IF(B2258=IFERROR(VLOOKUP(B2258,base!$L$1:$L$20,1,0),""),"Produtos",IF(B2258=IFERROR(VLOOKUP(B2258,base!$K$2:$K$20,1,0),""),"Serviços",IF(B2258="Gorjeta","Gorjeta","Combos"))))</f>
        <v>Serviços</v>
      </c>
      <c r="J2258">
        <f t="shared" si="180"/>
        <v>9</v>
      </c>
      <c r="K2258" s="1" t="str">
        <f t="shared" si="181"/>
        <v>23/05/2025 19:05</v>
      </c>
      <c r="L2258" s="1">
        <f t="shared" si="182"/>
        <v>45800</v>
      </c>
      <c r="M2258" s="1">
        <f t="shared" si="183"/>
        <v>45800</v>
      </c>
      <c r="N2258" s="1"/>
      <c r="O2258" t="str">
        <f t="shared" si="184"/>
        <v>PIX</v>
      </c>
      <c r="P2258" t="s">
        <v>149</v>
      </c>
      <c r="Q2258" t="str">
        <f t="shared" si="185"/>
        <v>Serviços</v>
      </c>
      <c r="R2258" t="str">
        <f t="shared" si="186"/>
        <v>Pigmentação</v>
      </c>
      <c r="T2258" s="14">
        <f t="shared" si="187"/>
        <v>20</v>
      </c>
      <c r="U2258" s="14" t="str">
        <f t="shared" si="188"/>
        <v/>
      </c>
      <c r="V2258" s="14"/>
      <c r="W2258" t="str">
        <f>IF(A2258=$A$1707,base!$I$3,IF(A2258=$A$1709,base!$I$2,IF(Receitas!A2258=Receitas!$A$1701,base!$I$4,"")))</f>
        <v>PATRICK CARDOSO</v>
      </c>
      <c r="X2258" t="str">
        <f t="shared" si="189"/>
        <v>Iuri almeida</v>
      </c>
    </row>
    <row r="2259" spans="1:24">
      <c r="A2259" s="68" t="s">
        <v>519</v>
      </c>
      <c r="B2259" s="68" t="s">
        <v>163</v>
      </c>
      <c r="C2259" s="68" t="s">
        <v>3224</v>
      </c>
      <c r="D2259" s="69">
        <v>35</v>
      </c>
      <c r="E2259" s="69">
        <v>45</v>
      </c>
      <c r="F2259" s="68" t="s">
        <v>3209</v>
      </c>
      <c r="G2259" s="68" t="s">
        <v>1</v>
      </c>
      <c r="H2259" s="68" t="s">
        <v>476</v>
      </c>
      <c r="I2259" t="str">
        <f>IF(A2259="","Pacote",IF(B2259=IFERROR(VLOOKUP(B2259,base!$L$1:$L$20,1,0),""),"Produtos",IF(B2259=IFERROR(VLOOKUP(B2259,base!$K$2:$K$20,1,0),""),"Serviços",IF(B2259="Gorjeta","Gorjeta","Combos"))))</f>
        <v>Serviços</v>
      </c>
      <c r="J2259">
        <f t="shared" si="180"/>
        <v>15.75</v>
      </c>
      <c r="K2259" s="1" t="str">
        <f t="shared" si="181"/>
        <v>24/05/2025 10:30</v>
      </c>
      <c r="L2259" s="1">
        <f t="shared" si="182"/>
        <v>45801</v>
      </c>
      <c r="M2259" s="1">
        <f t="shared" si="183"/>
        <v>45801</v>
      </c>
      <c r="N2259" s="1"/>
      <c r="O2259" t="str">
        <f t="shared" si="184"/>
        <v>PIX</v>
      </c>
      <c r="P2259" t="s">
        <v>149</v>
      </c>
      <c r="Q2259" t="str">
        <f t="shared" si="185"/>
        <v>Serviços</v>
      </c>
      <c r="R2259" t="str">
        <f t="shared" si="186"/>
        <v>Corte</v>
      </c>
      <c r="T2259" s="14">
        <f t="shared" si="187"/>
        <v>35</v>
      </c>
      <c r="U2259" s="14">
        <f t="shared" si="188"/>
        <v>45</v>
      </c>
      <c r="V2259" s="14"/>
      <c r="W2259" t="str">
        <f>IF(A2259=$A$1707,base!$I$3,IF(A2259=$A$1709,base!$I$2,IF(Receitas!A2259=Receitas!$A$1701,base!$I$4,"")))</f>
        <v>Gustavo de Castro</v>
      </c>
      <c r="X2259" t="str">
        <f t="shared" si="189"/>
        <v>Gabriel de miranda galvão</v>
      </c>
    </row>
    <row r="2260" spans="1:24">
      <c r="A2260" s="68" t="s">
        <v>519</v>
      </c>
      <c r="B2260" s="68" t="s">
        <v>167</v>
      </c>
      <c r="C2260" s="68" t="s">
        <v>3224</v>
      </c>
      <c r="D2260" s="69">
        <v>10</v>
      </c>
      <c r="E2260" s="68" t="s">
        <v>1604</v>
      </c>
      <c r="F2260" s="68" t="s">
        <v>3209</v>
      </c>
      <c r="G2260" s="68" t="s">
        <v>1</v>
      </c>
      <c r="H2260" s="68" t="s">
        <v>476</v>
      </c>
      <c r="I2260" t="str">
        <f>IF(A2260="","Pacote",IF(B2260=IFERROR(VLOOKUP(B2260,base!$L$1:$L$20,1,0),""),"Produtos",IF(B2260=IFERROR(VLOOKUP(B2260,base!$K$2:$K$20,1,0),""),"Serviços",IF(B2260="Gorjeta","Gorjeta","Combos"))))</f>
        <v>Serviços</v>
      </c>
      <c r="J2260">
        <f t="shared" si="180"/>
        <v>4.5</v>
      </c>
      <c r="K2260" s="1" t="str">
        <f t="shared" si="181"/>
        <v>24/05/2025 10:30</v>
      </c>
      <c r="L2260" s="1">
        <f t="shared" si="182"/>
        <v>45801</v>
      </c>
      <c r="M2260" s="1">
        <f t="shared" si="183"/>
        <v>45801</v>
      </c>
      <c r="N2260" s="1"/>
      <c r="O2260" t="str">
        <f t="shared" si="184"/>
        <v>PIX</v>
      </c>
      <c r="P2260" t="s">
        <v>149</v>
      </c>
      <c r="Q2260" t="str">
        <f t="shared" si="185"/>
        <v>Serviços</v>
      </c>
      <c r="R2260" t="str">
        <f t="shared" si="186"/>
        <v>Sobrancelha</v>
      </c>
      <c r="T2260" s="14">
        <f t="shared" si="187"/>
        <v>10</v>
      </c>
      <c r="U2260" s="14" t="str">
        <f t="shared" si="188"/>
        <v/>
      </c>
      <c r="V2260" s="14"/>
      <c r="W2260" t="str">
        <f>IF(A2260=$A$1707,base!$I$3,IF(A2260=$A$1709,base!$I$2,IF(Receitas!A2260=Receitas!$A$1701,base!$I$4,"")))</f>
        <v>Gustavo de Castro</v>
      </c>
      <c r="X2260" t="str">
        <f t="shared" si="189"/>
        <v>Gabriel de miranda galvão</v>
      </c>
    </row>
    <row r="2261" spans="1:24">
      <c r="A2261" s="68" t="s">
        <v>519</v>
      </c>
      <c r="B2261" s="68" t="s">
        <v>163</v>
      </c>
      <c r="C2261" s="68" t="s">
        <v>3225</v>
      </c>
      <c r="D2261" s="69">
        <v>35</v>
      </c>
      <c r="E2261" s="69">
        <v>45</v>
      </c>
      <c r="F2261" s="68" t="s">
        <v>3226</v>
      </c>
      <c r="G2261" s="68" t="s">
        <v>1</v>
      </c>
      <c r="H2261" s="68" t="s">
        <v>2488</v>
      </c>
      <c r="I2261" t="str">
        <f>IF(A2261="","Pacote",IF(B2261=IFERROR(VLOOKUP(B2261,base!$L$1:$L$20,1,0),""),"Produtos",IF(B2261=IFERROR(VLOOKUP(B2261,base!$K$2:$K$20,1,0),""),"Serviços",IF(B2261="Gorjeta","Gorjeta","Combos"))))</f>
        <v>Serviços</v>
      </c>
      <c r="J2261">
        <f t="shared" si="180"/>
        <v>15.75</v>
      </c>
      <c r="K2261" s="1" t="str">
        <f t="shared" si="181"/>
        <v>23/05/2025 19:35</v>
      </c>
      <c r="L2261" s="1">
        <f t="shared" si="182"/>
        <v>45800</v>
      </c>
      <c r="M2261" s="1">
        <f t="shared" si="183"/>
        <v>45800</v>
      </c>
      <c r="N2261" s="1"/>
      <c r="O2261" t="str">
        <f t="shared" si="184"/>
        <v>PIX</v>
      </c>
      <c r="P2261" t="s">
        <v>149</v>
      </c>
      <c r="Q2261" t="str">
        <f t="shared" si="185"/>
        <v>Serviços</v>
      </c>
      <c r="R2261" t="str">
        <f t="shared" si="186"/>
        <v>Corte</v>
      </c>
      <c r="T2261" s="14">
        <f t="shared" si="187"/>
        <v>35</v>
      </c>
      <c r="U2261" s="14">
        <f t="shared" si="188"/>
        <v>45</v>
      </c>
      <c r="V2261" s="14"/>
      <c r="W2261" t="str">
        <f>IF(A2261=$A$1707,base!$I$3,IF(A2261=$A$1709,base!$I$2,IF(Receitas!A2261=Receitas!$A$1701,base!$I$4,"")))</f>
        <v>Gustavo de Castro</v>
      </c>
      <c r="X2261" t="str">
        <f t="shared" si="189"/>
        <v>GUILHERME RODRIGUES</v>
      </c>
    </row>
    <row r="2262" spans="1:24">
      <c r="A2262" s="68" t="s">
        <v>519</v>
      </c>
      <c r="B2262" s="68" t="s">
        <v>167</v>
      </c>
      <c r="C2262" s="68" t="s">
        <v>3225</v>
      </c>
      <c r="D2262" s="69">
        <v>10</v>
      </c>
      <c r="E2262" s="68" t="s">
        <v>1604</v>
      </c>
      <c r="F2262" s="68" t="s">
        <v>3226</v>
      </c>
      <c r="G2262" s="68" t="s">
        <v>1</v>
      </c>
      <c r="H2262" s="68" t="s">
        <v>2488</v>
      </c>
      <c r="I2262" t="str">
        <f>IF(A2262="","Pacote",IF(B2262=IFERROR(VLOOKUP(B2262,base!$L$1:$L$20,1,0),""),"Produtos",IF(B2262=IFERROR(VLOOKUP(B2262,base!$K$2:$K$20,1,0),""),"Serviços",IF(B2262="Gorjeta","Gorjeta","Combos"))))</f>
        <v>Serviços</v>
      </c>
      <c r="J2262">
        <f t="shared" si="180"/>
        <v>4.5</v>
      </c>
      <c r="K2262" s="1" t="str">
        <f t="shared" si="181"/>
        <v>23/05/2025 19:35</v>
      </c>
      <c r="L2262" s="1">
        <f t="shared" si="182"/>
        <v>45800</v>
      </c>
      <c r="M2262" s="1">
        <f t="shared" si="183"/>
        <v>45800</v>
      </c>
      <c r="N2262" s="1"/>
      <c r="O2262" t="str">
        <f t="shared" si="184"/>
        <v>PIX</v>
      </c>
      <c r="P2262" t="s">
        <v>149</v>
      </c>
      <c r="Q2262" t="str">
        <f t="shared" si="185"/>
        <v>Serviços</v>
      </c>
      <c r="R2262" t="str">
        <f t="shared" si="186"/>
        <v>Sobrancelha</v>
      </c>
      <c r="T2262" s="14">
        <f t="shared" si="187"/>
        <v>10</v>
      </c>
      <c r="U2262" s="14" t="str">
        <f t="shared" si="188"/>
        <v/>
      </c>
      <c r="V2262" s="14"/>
      <c r="W2262" t="str">
        <f>IF(A2262=$A$1707,base!$I$3,IF(A2262=$A$1709,base!$I$2,IF(Receitas!A2262=Receitas!$A$1701,base!$I$4,"")))</f>
        <v>Gustavo de Castro</v>
      </c>
      <c r="X2262" t="str">
        <f t="shared" si="189"/>
        <v>GUILHERME RODRIGUES</v>
      </c>
    </row>
    <row r="2263" spans="1:24">
      <c r="A2263" s="68" t="s">
        <v>536</v>
      </c>
      <c r="B2263" s="68" t="s">
        <v>2825</v>
      </c>
      <c r="C2263" s="68" t="s">
        <v>3227</v>
      </c>
      <c r="D2263" s="69">
        <v>20</v>
      </c>
      <c r="E2263" s="69">
        <v>100</v>
      </c>
      <c r="F2263" s="68" t="s">
        <v>3228</v>
      </c>
      <c r="G2263" s="68" t="s">
        <v>310</v>
      </c>
      <c r="H2263" s="68" t="s">
        <v>1533</v>
      </c>
      <c r="I2263" t="str">
        <f>IF(A2263="","Pacote",IF(B2263=IFERROR(VLOOKUP(B2263,base!$L$1:$L$20,1,0),""),"Produtos",IF(B2263=IFERROR(VLOOKUP(B2263,base!$K$2:$K$20,1,0),""),"Serviços",IF(B2263="Gorjeta","Gorjeta","Combos"))))</f>
        <v>Serviços</v>
      </c>
      <c r="J2263">
        <f t="shared" si="180"/>
        <v>9</v>
      </c>
      <c r="K2263" s="1" t="str">
        <f t="shared" si="181"/>
        <v>23/05/2025 22:20</v>
      </c>
      <c r="L2263" s="1">
        <f t="shared" si="182"/>
        <v>45800</v>
      </c>
      <c r="M2263" s="1">
        <f t="shared" si="183"/>
        <v>45800</v>
      </c>
      <c r="N2263" s="1"/>
      <c r="O2263" t="str">
        <f t="shared" si="184"/>
        <v>Cartão de Débito</v>
      </c>
      <c r="P2263" t="s">
        <v>149</v>
      </c>
      <c r="Q2263" t="str">
        <f t="shared" si="185"/>
        <v>Serviços</v>
      </c>
      <c r="R2263" t="str">
        <f t="shared" si="186"/>
        <v>barboterapia</v>
      </c>
      <c r="T2263" s="14">
        <f t="shared" si="187"/>
        <v>20</v>
      </c>
      <c r="U2263" s="14">
        <f t="shared" si="188"/>
        <v>100</v>
      </c>
      <c r="V2263" s="14"/>
      <c r="W2263" t="str">
        <f>IF(A2263=$A$1707,base!$I$3,IF(A2263=$A$1709,base!$I$2,IF(Receitas!A2263=Receitas!$A$1701,base!$I$4,"")))</f>
        <v>PATRICK CARDOSO</v>
      </c>
      <c r="X2263" t="str">
        <f t="shared" si="189"/>
        <v>Ewerton Diniz</v>
      </c>
    </row>
    <row r="2264" spans="1:24">
      <c r="A2264" s="68" t="s">
        <v>536</v>
      </c>
      <c r="B2264" s="68" t="s">
        <v>163</v>
      </c>
      <c r="C2264" s="68" t="s">
        <v>3227</v>
      </c>
      <c r="D2264" s="69">
        <v>35</v>
      </c>
      <c r="E2264" s="68" t="s">
        <v>1604</v>
      </c>
      <c r="F2264" s="68" t="s">
        <v>3228</v>
      </c>
      <c r="G2264" s="68" t="s">
        <v>310</v>
      </c>
      <c r="H2264" s="68" t="s">
        <v>1533</v>
      </c>
      <c r="I2264" t="str">
        <f>IF(A2264="","Pacote",IF(B2264=IFERROR(VLOOKUP(B2264,base!$L$1:$L$20,1,0),""),"Produtos",IF(B2264=IFERROR(VLOOKUP(B2264,base!$K$2:$K$20,1,0),""),"Serviços",IF(B2264="Gorjeta","Gorjeta","Combos"))))</f>
        <v>Serviços</v>
      </c>
      <c r="J2264">
        <f t="shared" si="180"/>
        <v>15.75</v>
      </c>
      <c r="K2264" s="1" t="str">
        <f t="shared" si="181"/>
        <v>23/05/2025 22:20</v>
      </c>
      <c r="L2264" s="1">
        <f t="shared" si="182"/>
        <v>45800</v>
      </c>
      <c r="M2264" s="1">
        <f t="shared" si="183"/>
        <v>45800</v>
      </c>
      <c r="N2264" s="1"/>
      <c r="O2264" t="str">
        <f t="shared" si="184"/>
        <v>Cartão de Débito</v>
      </c>
      <c r="P2264" t="s">
        <v>149</v>
      </c>
      <c r="Q2264" t="str">
        <f t="shared" si="185"/>
        <v>Serviços</v>
      </c>
      <c r="R2264" t="str">
        <f t="shared" si="186"/>
        <v>Corte</v>
      </c>
      <c r="T2264" s="14">
        <f t="shared" si="187"/>
        <v>35</v>
      </c>
      <c r="U2264" s="14" t="str">
        <f t="shared" si="188"/>
        <v/>
      </c>
      <c r="V2264" s="14"/>
      <c r="W2264" t="str">
        <f>IF(A2264=$A$1707,base!$I$3,IF(A2264=$A$1709,base!$I$2,IF(Receitas!A2264=Receitas!$A$1701,base!$I$4,"")))</f>
        <v>PATRICK CARDOSO</v>
      </c>
      <c r="X2264" t="str">
        <f t="shared" si="189"/>
        <v>Ewerton Diniz</v>
      </c>
    </row>
    <row r="2265" spans="1:24">
      <c r="A2265" s="68" t="s">
        <v>536</v>
      </c>
      <c r="B2265" s="68" t="s">
        <v>1046</v>
      </c>
      <c r="C2265" s="68" t="s">
        <v>3227</v>
      </c>
      <c r="D2265" s="69">
        <v>15</v>
      </c>
      <c r="E2265" s="68" t="s">
        <v>1604</v>
      </c>
      <c r="F2265" s="68" t="s">
        <v>3228</v>
      </c>
      <c r="G2265" s="68" t="s">
        <v>310</v>
      </c>
      <c r="H2265" s="68" t="s">
        <v>1533</v>
      </c>
      <c r="I2265" t="str">
        <f>IF(A2265="","Pacote",IF(B2265=IFERROR(VLOOKUP(B2265,base!$L$1:$L$20,1,0),""),"Produtos",IF(B2265=IFERROR(VLOOKUP(B2265,base!$K$2:$K$20,1,0),""),"Serviços",IF(B2265="Gorjeta","Gorjeta","Combos"))))</f>
        <v>Serviços</v>
      </c>
      <c r="J2265">
        <f t="shared" si="180"/>
        <v>6.75</v>
      </c>
      <c r="K2265" s="1" t="str">
        <f t="shared" si="181"/>
        <v>23/05/2025 22:20</v>
      </c>
      <c r="L2265" s="1">
        <f t="shared" si="182"/>
        <v>45800</v>
      </c>
      <c r="M2265" s="1">
        <f t="shared" si="183"/>
        <v>45800</v>
      </c>
      <c r="N2265" s="1"/>
      <c r="O2265" t="str">
        <f t="shared" si="184"/>
        <v>Cartão de Débito</v>
      </c>
      <c r="P2265" t="s">
        <v>149</v>
      </c>
      <c r="Q2265" t="str">
        <f t="shared" si="185"/>
        <v>Serviços</v>
      </c>
      <c r="R2265" t="str">
        <f t="shared" si="186"/>
        <v>Barba</v>
      </c>
      <c r="T2265" s="14">
        <f t="shared" si="187"/>
        <v>15</v>
      </c>
      <c r="U2265" s="14" t="str">
        <f t="shared" si="188"/>
        <v/>
      </c>
      <c r="V2265" s="14"/>
      <c r="W2265" t="str">
        <f>IF(A2265=$A$1707,base!$I$3,IF(A2265=$A$1709,base!$I$2,IF(Receitas!A2265=Receitas!$A$1701,base!$I$4,"")))</f>
        <v>PATRICK CARDOSO</v>
      </c>
      <c r="X2265" t="str">
        <f t="shared" si="189"/>
        <v>Ewerton Diniz</v>
      </c>
    </row>
    <row r="2266" spans="1:24">
      <c r="A2266" s="68" t="s">
        <v>536</v>
      </c>
      <c r="B2266" s="68" t="s">
        <v>352</v>
      </c>
      <c r="C2266" s="68" t="s">
        <v>3227</v>
      </c>
      <c r="D2266" s="69">
        <v>20</v>
      </c>
      <c r="E2266" s="68" t="s">
        <v>1604</v>
      </c>
      <c r="F2266" s="68" t="s">
        <v>3228</v>
      </c>
      <c r="G2266" s="68" t="s">
        <v>310</v>
      </c>
      <c r="H2266" s="68" t="s">
        <v>1533</v>
      </c>
      <c r="I2266" t="str">
        <f>IF(A2266="","Pacote",IF(B2266=IFERROR(VLOOKUP(B2266,base!$L$1:$L$20,1,0),""),"Produtos",IF(B2266=IFERROR(VLOOKUP(B2266,base!$K$2:$K$20,1,0),""),"Serviços",IF(B2266="Gorjeta","Gorjeta","Combos"))))</f>
        <v>Combos</v>
      </c>
      <c r="J2266">
        <f t="shared" si="180"/>
        <v>9</v>
      </c>
      <c r="K2266" s="1" t="str">
        <f t="shared" si="181"/>
        <v>23/05/2025 22:20</v>
      </c>
      <c r="L2266" s="1">
        <f t="shared" si="182"/>
        <v>45800</v>
      </c>
      <c r="M2266" s="1">
        <f t="shared" si="183"/>
        <v>45800</v>
      </c>
      <c r="N2266" s="1"/>
      <c r="O2266" t="str">
        <f t="shared" si="184"/>
        <v>Cartão de Débito</v>
      </c>
      <c r="P2266" t="s">
        <v>149</v>
      </c>
      <c r="Q2266" t="str">
        <f t="shared" si="185"/>
        <v>Combos</v>
      </c>
      <c r="R2266" t="str">
        <f t="shared" si="186"/>
        <v>Combo ( depilação nariz e orelha )</v>
      </c>
      <c r="T2266" s="14">
        <f t="shared" si="187"/>
        <v>20</v>
      </c>
      <c r="U2266" s="14" t="str">
        <f t="shared" si="188"/>
        <v/>
      </c>
      <c r="V2266" s="14"/>
      <c r="W2266" t="str">
        <f>IF(A2266=$A$1707,base!$I$3,IF(A2266=$A$1709,base!$I$2,IF(Receitas!A2266=Receitas!$A$1701,base!$I$4,"")))</f>
        <v>PATRICK CARDOSO</v>
      </c>
      <c r="X2266" t="str">
        <f t="shared" si="189"/>
        <v>Ewerton Diniz</v>
      </c>
    </row>
    <row r="2267" spans="1:24">
      <c r="A2267" s="68" t="s">
        <v>536</v>
      </c>
      <c r="B2267" s="68" t="s">
        <v>910</v>
      </c>
      <c r="C2267" s="68" t="s">
        <v>3227</v>
      </c>
      <c r="D2267" s="69">
        <v>10</v>
      </c>
      <c r="E2267" s="68" t="s">
        <v>1604</v>
      </c>
      <c r="F2267" s="68" t="s">
        <v>3228</v>
      </c>
      <c r="G2267" s="68" t="s">
        <v>310</v>
      </c>
      <c r="H2267" s="68" t="s">
        <v>1533</v>
      </c>
      <c r="I2267" t="str">
        <f>IF(A2267="","Pacote",IF(B2267=IFERROR(VLOOKUP(B2267,base!$L$1:$L$20,1,0),""),"Produtos",IF(B2267=IFERROR(VLOOKUP(B2267,base!$K$2:$K$20,1,0),""),"Serviços",IF(B2267="Gorjeta","Gorjeta","Combos"))))</f>
        <v>Gorjeta</v>
      </c>
      <c r="J2267">
        <f t="shared" si="180"/>
        <v>4.5</v>
      </c>
      <c r="K2267" s="1" t="str">
        <f t="shared" si="181"/>
        <v>23/05/2025 22:20</v>
      </c>
      <c r="L2267" s="1">
        <f t="shared" si="182"/>
        <v>45800</v>
      </c>
      <c r="M2267" s="1">
        <f t="shared" si="183"/>
        <v>45800</v>
      </c>
      <c r="N2267" s="1"/>
      <c r="O2267" t="str">
        <f t="shared" si="184"/>
        <v>Cartão de Débito</v>
      </c>
      <c r="P2267" t="s">
        <v>149</v>
      </c>
      <c r="Q2267" t="str">
        <f t="shared" si="185"/>
        <v>Gorjeta</v>
      </c>
      <c r="R2267" t="str">
        <f t="shared" si="186"/>
        <v>Gorjeta</v>
      </c>
      <c r="T2267" s="14">
        <f t="shared" si="187"/>
        <v>10</v>
      </c>
      <c r="U2267" s="14" t="str">
        <f t="shared" si="188"/>
        <v/>
      </c>
      <c r="V2267" s="14"/>
      <c r="W2267" t="str">
        <f>IF(A2267=$A$1707,base!$I$3,IF(A2267=$A$1709,base!$I$2,IF(Receitas!A2267=Receitas!$A$1701,base!$I$4,"")))</f>
        <v>PATRICK CARDOSO</v>
      </c>
      <c r="X2267" t="str">
        <f t="shared" si="189"/>
        <v>Ewerton Diniz</v>
      </c>
    </row>
    <row r="2268" spans="1:24">
      <c r="A2268" s="68" t="s">
        <v>519</v>
      </c>
      <c r="B2268" s="68" t="s">
        <v>353</v>
      </c>
      <c r="C2268" s="68" t="s">
        <v>3229</v>
      </c>
      <c r="D2268" s="69">
        <v>60</v>
      </c>
      <c r="E2268" s="69">
        <v>100</v>
      </c>
      <c r="F2268" s="68" t="s">
        <v>3230</v>
      </c>
      <c r="G2268" s="68" t="s">
        <v>1</v>
      </c>
      <c r="H2268" s="68" t="s">
        <v>1167</v>
      </c>
      <c r="I2268" t="str">
        <f>IF(A2268="","Pacote",IF(B2268=IFERROR(VLOOKUP(B2268,base!$L$1:$L$20,1,0),""),"Produtos",IF(B2268=IFERROR(VLOOKUP(B2268,base!$K$2:$K$20,1,0),""),"Serviços",IF(B2268="Gorjeta","Gorjeta","Combos"))))</f>
        <v>Combos</v>
      </c>
      <c r="J2268">
        <f t="shared" si="180"/>
        <v>27</v>
      </c>
      <c r="K2268" s="1" t="str">
        <f t="shared" si="181"/>
        <v>24/05/2025 16:30</v>
      </c>
      <c r="L2268" s="1">
        <f t="shared" si="182"/>
        <v>45801</v>
      </c>
      <c r="M2268" s="1">
        <f t="shared" si="183"/>
        <v>45801</v>
      </c>
      <c r="N2268" s="1"/>
      <c r="O2268" t="str">
        <f t="shared" si="184"/>
        <v>PIX</v>
      </c>
      <c r="P2268" t="s">
        <v>149</v>
      </c>
      <c r="Q2268" t="str">
        <f t="shared" si="185"/>
        <v>Combos</v>
      </c>
      <c r="R2268" t="str">
        <f t="shared" si="186"/>
        <v>Combo ( Corte + Barba )</v>
      </c>
      <c r="T2268" s="14">
        <f t="shared" si="187"/>
        <v>60</v>
      </c>
      <c r="U2268" s="14">
        <f t="shared" si="188"/>
        <v>100</v>
      </c>
      <c r="V2268" s="14"/>
      <c r="W2268" t="str">
        <f>IF(A2268=$A$1707,base!$I$3,IF(A2268=$A$1709,base!$I$2,IF(Receitas!A2268=Receitas!$A$1701,base!$I$4,"")))</f>
        <v>Gustavo de Castro</v>
      </c>
      <c r="X2268" t="str">
        <f t="shared" si="189"/>
        <v>AROLDO ROCHA</v>
      </c>
    </row>
    <row r="2269" spans="1:24">
      <c r="A2269" s="68" t="s">
        <v>519</v>
      </c>
      <c r="B2269" s="68" t="s">
        <v>2536</v>
      </c>
      <c r="C2269" s="68" t="s">
        <v>3229</v>
      </c>
      <c r="D2269" s="69">
        <v>40</v>
      </c>
      <c r="E2269" s="68" t="s">
        <v>1604</v>
      </c>
      <c r="F2269" s="68" t="s">
        <v>3230</v>
      </c>
      <c r="G2269" s="68" t="s">
        <v>1</v>
      </c>
      <c r="H2269" s="68" t="s">
        <v>1167</v>
      </c>
      <c r="I2269" t="str">
        <f>IF(A2269="","Pacote",IF(B2269=IFERROR(VLOOKUP(B2269,base!$L$1:$L$20,1,0),""),"Produtos",IF(B2269=IFERROR(VLOOKUP(B2269,base!$K$2:$K$20,1,0),""),"Serviços",IF(B2269="Gorjeta","Gorjeta","Combos"))))</f>
        <v>Produtos</v>
      </c>
      <c r="J2269">
        <f t="shared" si="180"/>
        <v>16</v>
      </c>
      <c r="K2269" s="1" t="str">
        <f t="shared" si="181"/>
        <v>24/05/2025 16:30</v>
      </c>
      <c r="L2269" s="1">
        <f t="shared" si="182"/>
        <v>45801</v>
      </c>
      <c r="M2269" s="1">
        <f t="shared" si="183"/>
        <v>45801</v>
      </c>
      <c r="N2269" s="1"/>
      <c r="O2269" t="str">
        <f t="shared" si="184"/>
        <v>PIX</v>
      </c>
      <c r="P2269" t="s">
        <v>149</v>
      </c>
      <c r="Q2269" t="str">
        <f t="shared" si="185"/>
        <v>Produtos</v>
      </c>
      <c r="R2269" t="str">
        <f t="shared" si="186"/>
        <v>Oleo para barba fox</v>
      </c>
      <c r="T2269" s="14">
        <f t="shared" si="187"/>
        <v>40</v>
      </c>
      <c r="U2269" s="14" t="str">
        <f t="shared" si="188"/>
        <v/>
      </c>
      <c r="V2269" s="14"/>
      <c r="W2269" t="str">
        <f>IF(A2269=$A$1707,base!$I$3,IF(A2269=$A$1709,base!$I$2,IF(Receitas!A2269=Receitas!$A$1701,base!$I$4,"")))</f>
        <v>Gustavo de Castro</v>
      </c>
      <c r="X2269" t="str">
        <f t="shared" si="189"/>
        <v>AROLDO ROCHA</v>
      </c>
    </row>
    <row r="2270" spans="1:24">
      <c r="A2270" s="68" t="s">
        <v>536</v>
      </c>
      <c r="B2270" s="68" t="s">
        <v>163</v>
      </c>
      <c r="C2270" s="68" t="s">
        <v>3231</v>
      </c>
      <c r="D2270" s="69">
        <v>35</v>
      </c>
      <c r="E2270" s="69">
        <v>35</v>
      </c>
      <c r="F2270" s="68" t="s">
        <v>3232</v>
      </c>
      <c r="G2270" s="68" t="s">
        <v>1</v>
      </c>
      <c r="H2270" s="68" t="s">
        <v>487</v>
      </c>
      <c r="I2270" t="str">
        <f>IF(A2270="","Pacote",IF(B2270=IFERROR(VLOOKUP(B2270,base!$L$1:$L$20,1,0),""),"Produtos",IF(B2270=IFERROR(VLOOKUP(B2270,base!$K$2:$K$20,1,0),""),"Serviços",IF(B2270="Gorjeta","Gorjeta","Combos"))))</f>
        <v>Serviços</v>
      </c>
      <c r="J2270">
        <f t="shared" si="180"/>
        <v>15.75</v>
      </c>
      <c r="K2270" s="1" t="str">
        <f t="shared" si="181"/>
        <v>24/05/2025 11:15</v>
      </c>
      <c r="L2270" s="1">
        <f t="shared" si="182"/>
        <v>45801</v>
      </c>
      <c r="M2270" s="1">
        <f t="shared" si="183"/>
        <v>45801</v>
      </c>
      <c r="N2270" s="1"/>
      <c r="O2270" t="str">
        <f t="shared" si="184"/>
        <v>PIX</v>
      </c>
      <c r="P2270" t="s">
        <v>149</v>
      </c>
      <c r="Q2270" t="str">
        <f t="shared" si="185"/>
        <v>Serviços</v>
      </c>
      <c r="R2270" t="str">
        <f t="shared" si="186"/>
        <v>Corte</v>
      </c>
      <c r="T2270" s="14">
        <f t="shared" si="187"/>
        <v>35</v>
      </c>
      <c r="U2270" s="14">
        <f t="shared" si="188"/>
        <v>35</v>
      </c>
      <c r="V2270" s="14"/>
      <c r="W2270" t="str">
        <f>IF(A2270=$A$1707,base!$I$3,IF(A2270=$A$1709,base!$I$2,IF(Receitas!A2270=Receitas!$A$1701,base!$I$4,"")))</f>
        <v>PATRICK CARDOSO</v>
      </c>
      <c r="X2270" t="str">
        <f t="shared" si="189"/>
        <v>Leonan Roberto Aniceto Pereira</v>
      </c>
    </row>
    <row r="2271" spans="1:24">
      <c r="A2271" s="68" t="s">
        <v>519</v>
      </c>
      <c r="B2271" s="68" t="s">
        <v>353</v>
      </c>
      <c r="C2271" s="68" t="s">
        <v>3233</v>
      </c>
      <c r="D2271" s="69">
        <v>60</v>
      </c>
      <c r="E2271" s="69">
        <v>60</v>
      </c>
      <c r="F2271" s="68" t="s">
        <v>3234</v>
      </c>
      <c r="G2271" s="68" t="s">
        <v>1</v>
      </c>
      <c r="H2271" s="68" t="s">
        <v>183</v>
      </c>
      <c r="I2271" t="str">
        <f>IF(A2271="","Pacote",IF(B2271=IFERROR(VLOOKUP(B2271,base!$L$1:$L$20,1,0),""),"Produtos",IF(B2271=IFERROR(VLOOKUP(B2271,base!$K$2:$K$20,1,0),""),"Serviços",IF(B2271="Gorjeta","Gorjeta","Combos"))))</f>
        <v>Combos</v>
      </c>
      <c r="J2271">
        <f t="shared" si="180"/>
        <v>27</v>
      </c>
      <c r="K2271" s="1" t="str">
        <f t="shared" si="181"/>
        <v>24/05/2025 11:00</v>
      </c>
      <c r="L2271" s="1">
        <f t="shared" si="182"/>
        <v>45801</v>
      </c>
      <c r="M2271" s="1">
        <f t="shared" si="183"/>
        <v>45801</v>
      </c>
      <c r="N2271" s="1"/>
      <c r="O2271" t="str">
        <f t="shared" si="184"/>
        <v>PIX</v>
      </c>
      <c r="P2271" t="s">
        <v>149</v>
      </c>
      <c r="Q2271" t="str">
        <f t="shared" si="185"/>
        <v>Combos</v>
      </c>
      <c r="R2271" t="str">
        <f t="shared" si="186"/>
        <v>Combo ( Corte + Barba )</v>
      </c>
      <c r="T2271" s="14">
        <f t="shared" si="187"/>
        <v>60</v>
      </c>
      <c r="U2271" s="14">
        <f t="shared" si="188"/>
        <v>60</v>
      </c>
      <c r="V2271" s="14"/>
      <c r="W2271" t="str">
        <f>IF(A2271=$A$1707,base!$I$3,IF(A2271=$A$1709,base!$I$2,IF(Receitas!A2271=Receitas!$A$1701,base!$I$4,"")))</f>
        <v>Gustavo de Castro</v>
      </c>
      <c r="X2271" t="str">
        <f t="shared" si="189"/>
        <v>Gabriel Nunes</v>
      </c>
    </row>
    <row r="2272" spans="1:24">
      <c r="A2272" s="68" t="s">
        <v>519</v>
      </c>
      <c r="B2272" s="68" t="s">
        <v>163</v>
      </c>
      <c r="C2272" s="68" t="s">
        <v>3235</v>
      </c>
      <c r="D2272" s="69">
        <v>35</v>
      </c>
      <c r="E2272" s="69">
        <v>55</v>
      </c>
      <c r="F2272" s="68" t="s">
        <v>3143</v>
      </c>
      <c r="G2272" s="68" t="s">
        <v>2</v>
      </c>
      <c r="H2272" s="68" t="s">
        <v>185</v>
      </c>
      <c r="I2272" t="str">
        <f>IF(A2272="","Pacote",IF(B2272=IFERROR(VLOOKUP(B2272,base!$L$1:$L$20,1,0),""),"Produtos",IF(B2272=IFERROR(VLOOKUP(B2272,base!$K$2:$K$20,1,0),""),"Serviços",IF(B2272="Gorjeta","Gorjeta","Combos"))))</f>
        <v>Serviços</v>
      </c>
      <c r="J2272">
        <f t="shared" si="180"/>
        <v>15.75</v>
      </c>
      <c r="K2272" s="1" t="str">
        <f t="shared" si="181"/>
        <v>24/05/2025 09:00</v>
      </c>
      <c r="L2272" s="1">
        <f t="shared" si="182"/>
        <v>45801</v>
      </c>
      <c r="M2272" s="1">
        <f t="shared" si="183"/>
        <v>45801</v>
      </c>
      <c r="N2272" s="1"/>
      <c r="O2272" t="str">
        <f t="shared" si="184"/>
        <v>Dinheiro</v>
      </c>
      <c r="P2272" t="s">
        <v>149</v>
      </c>
      <c r="Q2272" t="str">
        <f t="shared" si="185"/>
        <v>Serviços</v>
      </c>
      <c r="R2272" t="str">
        <f t="shared" si="186"/>
        <v>Corte</v>
      </c>
      <c r="T2272" s="14">
        <f t="shared" si="187"/>
        <v>35</v>
      </c>
      <c r="U2272" s="14">
        <f t="shared" si="188"/>
        <v>55</v>
      </c>
      <c r="V2272" s="14"/>
      <c r="W2272" t="str">
        <f>IF(A2272=$A$1707,base!$I$3,IF(A2272=$A$1709,base!$I$2,IF(Receitas!A2272=Receitas!$A$1701,base!$I$4,"")))</f>
        <v>Gustavo de Castro</v>
      </c>
      <c r="X2272" t="str">
        <f t="shared" si="189"/>
        <v>Leonardo Lima</v>
      </c>
    </row>
    <row r="2273" spans="1:24">
      <c r="A2273" s="68" t="s">
        <v>519</v>
      </c>
      <c r="B2273" s="68" t="s">
        <v>166</v>
      </c>
      <c r="C2273" s="68" t="s">
        <v>3235</v>
      </c>
      <c r="D2273" s="69">
        <v>20</v>
      </c>
      <c r="E2273" s="68" t="s">
        <v>1604</v>
      </c>
      <c r="F2273" s="68" t="s">
        <v>3143</v>
      </c>
      <c r="G2273" s="68" t="s">
        <v>2</v>
      </c>
      <c r="H2273" s="68" t="s">
        <v>185</v>
      </c>
      <c r="I2273" t="str">
        <f>IF(A2273="","Pacote",IF(B2273=IFERROR(VLOOKUP(B2273,base!$L$1:$L$20,1,0),""),"Produtos",IF(B2273=IFERROR(VLOOKUP(B2273,base!$K$2:$K$20,1,0),""),"Serviços",IF(B2273="Gorjeta","Gorjeta","Combos"))))</f>
        <v>Serviços</v>
      </c>
      <c r="J2273">
        <f t="shared" si="180"/>
        <v>9</v>
      </c>
      <c r="K2273" s="1" t="str">
        <f t="shared" si="181"/>
        <v>24/05/2025 09:00</v>
      </c>
      <c r="L2273" s="1">
        <f t="shared" si="182"/>
        <v>45801</v>
      </c>
      <c r="M2273" s="1">
        <f t="shared" si="183"/>
        <v>45801</v>
      </c>
      <c r="N2273" s="1"/>
      <c r="O2273" t="str">
        <f t="shared" si="184"/>
        <v>Dinheiro</v>
      </c>
      <c r="P2273" t="s">
        <v>149</v>
      </c>
      <c r="Q2273" t="str">
        <f t="shared" si="185"/>
        <v>Serviços</v>
      </c>
      <c r="R2273" t="str">
        <f t="shared" si="186"/>
        <v>Pigmentação</v>
      </c>
      <c r="T2273" s="14">
        <f t="shared" si="187"/>
        <v>20</v>
      </c>
      <c r="U2273" s="14" t="str">
        <f t="shared" si="188"/>
        <v/>
      </c>
      <c r="V2273" s="14"/>
      <c r="W2273" t="str">
        <f>IF(A2273=$A$1707,base!$I$3,IF(A2273=$A$1709,base!$I$2,IF(Receitas!A2273=Receitas!$A$1701,base!$I$4,"")))</f>
        <v>Gustavo de Castro</v>
      </c>
      <c r="X2273" t="str">
        <f t="shared" si="189"/>
        <v>Leonardo Lima</v>
      </c>
    </row>
    <row r="2274" spans="1:24">
      <c r="A2274" s="68" t="s">
        <v>252</v>
      </c>
      <c r="B2274" s="68" t="s">
        <v>163</v>
      </c>
      <c r="C2274" s="68" t="s">
        <v>3236</v>
      </c>
      <c r="D2274" s="69">
        <v>35</v>
      </c>
      <c r="E2274" s="69">
        <v>35</v>
      </c>
      <c r="F2274" s="68" t="s">
        <v>3237</v>
      </c>
      <c r="G2274" s="68" t="s">
        <v>354</v>
      </c>
      <c r="H2274" s="68" t="s">
        <v>296</v>
      </c>
      <c r="I2274" t="str">
        <f>IF(A2274="","Pacote",IF(B2274=IFERROR(VLOOKUP(B2274,base!$L$1:$L$20,1,0),""),"Produtos",IF(B2274=IFERROR(VLOOKUP(B2274,base!$K$2:$K$20,1,0),""),"Serviços",IF(B2274="Gorjeta","Gorjeta","Combos"))))</f>
        <v>Serviços</v>
      </c>
      <c r="J2274">
        <f t="shared" si="180"/>
        <v>15.75</v>
      </c>
      <c r="K2274" s="1" t="str">
        <f t="shared" si="181"/>
        <v>24/05/2025 15:00</v>
      </c>
      <c r="L2274" s="1">
        <f t="shared" si="182"/>
        <v>45801</v>
      </c>
      <c r="M2274" s="1">
        <f t="shared" si="183"/>
        <v>45801</v>
      </c>
      <c r="N2274" s="1"/>
      <c r="O2274" t="str">
        <f t="shared" si="184"/>
        <v>Cartão de Crédito</v>
      </c>
      <c r="P2274" t="s">
        <v>149</v>
      </c>
      <c r="Q2274" t="str">
        <f t="shared" si="185"/>
        <v>Serviços</v>
      </c>
      <c r="R2274" t="str">
        <f t="shared" si="186"/>
        <v>Corte</v>
      </c>
      <c r="T2274" s="14">
        <f t="shared" si="187"/>
        <v>35</v>
      </c>
      <c r="U2274" s="14">
        <f t="shared" si="188"/>
        <v>35</v>
      </c>
      <c r="V2274" s="14"/>
      <c r="W2274" t="str">
        <f>IF(A2274=$A$1707,base!$I$3,IF(A2274=$A$1709,base!$I$2,IF(Receitas!A2274=Receitas!$A$1701,base!$I$4,"")))</f>
        <v>Christian Magon</v>
      </c>
      <c r="X2274" t="str">
        <f t="shared" si="189"/>
        <v>Joao vitor</v>
      </c>
    </row>
    <row r="2275" spans="1:24">
      <c r="A2275" s="68" t="s">
        <v>519</v>
      </c>
      <c r="B2275" s="68" t="s">
        <v>163</v>
      </c>
      <c r="C2275" s="68" t="s">
        <v>3238</v>
      </c>
      <c r="D2275" s="69">
        <v>35</v>
      </c>
      <c r="E2275" s="69">
        <v>50</v>
      </c>
      <c r="F2275" s="68" t="s">
        <v>3239</v>
      </c>
      <c r="G2275" s="68" t="s">
        <v>2</v>
      </c>
      <c r="H2275" s="68" t="s">
        <v>3240</v>
      </c>
      <c r="I2275" t="str">
        <f>IF(A2275="","Pacote",IF(B2275=IFERROR(VLOOKUP(B2275,base!$L$1:$L$20,1,0),""),"Produtos",IF(B2275=IFERROR(VLOOKUP(B2275,base!$K$2:$K$20,1,0),""),"Serviços",IF(B2275="Gorjeta","Gorjeta","Combos"))))</f>
        <v>Serviços</v>
      </c>
      <c r="J2275">
        <f t="shared" si="180"/>
        <v>15.75</v>
      </c>
      <c r="K2275" s="1" t="str">
        <f t="shared" si="181"/>
        <v>24/05/2025 17:15</v>
      </c>
      <c r="L2275" s="1">
        <f t="shared" si="182"/>
        <v>45801</v>
      </c>
      <c r="M2275" s="1">
        <f t="shared" si="183"/>
        <v>45801</v>
      </c>
      <c r="N2275" s="1"/>
      <c r="O2275" t="str">
        <f t="shared" si="184"/>
        <v>Dinheiro</v>
      </c>
      <c r="P2275" t="s">
        <v>149</v>
      </c>
      <c r="Q2275" t="str">
        <f t="shared" si="185"/>
        <v>Serviços</v>
      </c>
      <c r="R2275" t="str">
        <f t="shared" si="186"/>
        <v>Corte</v>
      </c>
      <c r="T2275" s="14">
        <f t="shared" si="187"/>
        <v>35</v>
      </c>
      <c r="U2275" s="14">
        <f t="shared" si="188"/>
        <v>50</v>
      </c>
      <c r="V2275" s="14"/>
      <c r="W2275" t="str">
        <f>IF(A2275=$A$1707,base!$I$3,IF(A2275=$A$1709,base!$I$2,IF(Receitas!A2275=Receitas!$A$1701,base!$I$4,"")))</f>
        <v>Gustavo de Castro</v>
      </c>
      <c r="X2275" t="str">
        <f t="shared" si="189"/>
        <v>Renan Mendes</v>
      </c>
    </row>
    <row r="2276" spans="1:24">
      <c r="A2276" s="68" t="s">
        <v>519</v>
      </c>
      <c r="B2276" s="68" t="s">
        <v>1046</v>
      </c>
      <c r="C2276" s="68" t="s">
        <v>3238</v>
      </c>
      <c r="D2276" s="69">
        <v>15</v>
      </c>
      <c r="E2276" s="68" t="s">
        <v>1604</v>
      </c>
      <c r="F2276" s="68" t="s">
        <v>3239</v>
      </c>
      <c r="G2276" s="68" t="s">
        <v>2</v>
      </c>
      <c r="H2276" s="68" t="s">
        <v>3240</v>
      </c>
      <c r="I2276" t="str">
        <f>IF(A2276="","Pacote",IF(B2276=IFERROR(VLOOKUP(B2276,base!$L$1:$L$20,1,0),""),"Produtos",IF(B2276=IFERROR(VLOOKUP(B2276,base!$K$2:$K$20,1,0),""),"Serviços",IF(B2276="Gorjeta","Gorjeta","Combos"))))</f>
        <v>Serviços</v>
      </c>
      <c r="J2276">
        <f t="shared" si="180"/>
        <v>6.75</v>
      </c>
      <c r="K2276" s="1" t="str">
        <f t="shared" si="181"/>
        <v>24/05/2025 17:15</v>
      </c>
      <c r="L2276" s="1">
        <f t="shared" si="182"/>
        <v>45801</v>
      </c>
      <c r="M2276" s="1">
        <f t="shared" si="183"/>
        <v>45801</v>
      </c>
      <c r="N2276" s="1"/>
      <c r="O2276" t="str">
        <f t="shared" si="184"/>
        <v>Dinheiro</v>
      </c>
      <c r="P2276" t="s">
        <v>149</v>
      </c>
      <c r="Q2276" t="str">
        <f t="shared" si="185"/>
        <v>Serviços</v>
      </c>
      <c r="R2276" t="str">
        <f t="shared" si="186"/>
        <v>Barba</v>
      </c>
      <c r="T2276" s="14">
        <f t="shared" si="187"/>
        <v>15</v>
      </c>
      <c r="U2276" s="14" t="str">
        <f t="shared" si="188"/>
        <v/>
      </c>
      <c r="V2276" s="14"/>
      <c r="W2276" t="str">
        <f>IF(A2276=$A$1707,base!$I$3,IF(A2276=$A$1709,base!$I$2,IF(Receitas!A2276=Receitas!$A$1701,base!$I$4,"")))</f>
        <v>Gustavo de Castro</v>
      </c>
      <c r="X2276" t="str">
        <f t="shared" si="189"/>
        <v>Renan Mendes</v>
      </c>
    </row>
    <row r="2277" spans="1:24">
      <c r="A2277" s="68" t="s">
        <v>519</v>
      </c>
      <c r="B2277" s="68" t="s">
        <v>163</v>
      </c>
      <c r="C2277" s="68" t="s">
        <v>3241</v>
      </c>
      <c r="D2277" s="69">
        <v>35</v>
      </c>
      <c r="E2277" s="69">
        <v>35</v>
      </c>
      <c r="F2277" s="68" t="s">
        <v>3237</v>
      </c>
      <c r="G2277" s="68" t="s">
        <v>1</v>
      </c>
      <c r="H2277" s="68" t="s">
        <v>1988</v>
      </c>
      <c r="I2277" t="str">
        <f>IF(A2277="","Pacote",IF(B2277=IFERROR(VLOOKUP(B2277,base!$L$1:$L$20,1,0),""),"Produtos",IF(B2277=IFERROR(VLOOKUP(B2277,base!$K$2:$K$20,1,0),""),"Serviços",IF(B2277="Gorjeta","Gorjeta","Combos"))))</f>
        <v>Serviços</v>
      </c>
      <c r="J2277">
        <f t="shared" si="180"/>
        <v>15.75</v>
      </c>
      <c r="K2277" s="1" t="str">
        <f t="shared" si="181"/>
        <v>24/05/2025 15:00</v>
      </c>
      <c r="L2277" s="1">
        <f t="shared" si="182"/>
        <v>45801</v>
      </c>
      <c r="M2277" s="1">
        <f t="shared" si="183"/>
        <v>45801</v>
      </c>
      <c r="N2277" s="1"/>
      <c r="O2277" t="str">
        <f t="shared" si="184"/>
        <v>PIX</v>
      </c>
      <c r="P2277" t="s">
        <v>149</v>
      </c>
      <c r="Q2277" t="str">
        <f t="shared" si="185"/>
        <v>Serviços</v>
      </c>
      <c r="R2277" t="str">
        <f t="shared" si="186"/>
        <v>Corte</v>
      </c>
      <c r="T2277" s="14">
        <f t="shared" si="187"/>
        <v>35</v>
      </c>
      <c r="U2277" s="14">
        <f t="shared" si="188"/>
        <v>35</v>
      </c>
      <c r="V2277" s="14"/>
      <c r="W2277" t="str">
        <f>IF(A2277=$A$1707,base!$I$3,IF(A2277=$A$1709,base!$I$2,IF(Receitas!A2277=Receitas!$A$1701,base!$I$4,"")))</f>
        <v>Gustavo de Castro</v>
      </c>
      <c r="X2277" t="str">
        <f t="shared" si="189"/>
        <v>Rodrigo Jose Telles</v>
      </c>
    </row>
    <row r="2278" spans="1:24">
      <c r="A2278" s="68" t="s">
        <v>536</v>
      </c>
      <c r="B2278" s="68" t="s">
        <v>163</v>
      </c>
      <c r="C2278" s="68" t="s">
        <v>3242</v>
      </c>
      <c r="D2278" s="69">
        <v>35</v>
      </c>
      <c r="E2278" s="69">
        <v>35</v>
      </c>
      <c r="F2278" s="68" t="s">
        <v>3243</v>
      </c>
      <c r="G2278" s="68" t="s">
        <v>1</v>
      </c>
      <c r="H2278" s="68" t="s">
        <v>403</v>
      </c>
      <c r="I2278" t="str">
        <f>IF(A2278="","Pacote",IF(B2278=IFERROR(VLOOKUP(B2278,base!$L$1:$L$20,1,0),""),"Produtos",IF(B2278=IFERROR(VLOOKUP(B2278,base!$K$2:$K$20,1,0),""),"Serviços",IF(B2278="Gorjeta","Gorjeta","Combos"))))</f>
        <v>Serviços</v>
      </c>
      <c r="J2278">
        <f t="shared" si="180"/>
        <v>15.75</v>
      </c>
      <c r="K2278" s="1" t="str">
        <f t="shared" si="181"/>
        <v>24/05/2025 10:45</v>
      </c>
      <c r="L2278" s="1">
        <f t="shared" si="182"/>
        <v>45801</v>
      </c>
      <c r="M2278" s="1">
        <f t="shared" si="183"/>
        <v>45801</v>
      </c>
      <c r="N2278" s="1"/>
      <c r="O2278" t="str">
        <f t="shared" si="184"/>
        <v>PIX</v>
      </c>
      <c r="P2278" t="s">
        <v>149</v>
      </c>
      <c r="Q2278" t="str">
        <f t="shared" si="185"/>
        <v>Serviços</v>
      </c>
      <c r="R2278" t="str">
        <f t="shared" si="186"/>
        <v>Corte</v>
      </c>
      <c r="T2278" s="14">
        <f t="shared" si="187"/>
        <v>35</v>
      </c>
      <c r="U2278" s="14">
        <f t="shared" si="188"/>
        <v>35</v>
      </c>
      <c r="V2278" s="14"/>
      <c r="W2278" t="str">
        <f>IF(A2278=$A$1707,base!$I$3,IF(A2278=$A$1709,base!$I$2,IF(Receitas!A2278=Receitas!$A$1701,base!$I$4,"")))</f>
        <v>PATRICK CARDOSO</v>
      </c>
      <c r="X2278" t="str">
        <f t="shared" si="189"/>
        <v>robson dos santos moura</v>
      </c>
    </row>
    <row r="2279" spans="1:24">
      <c r="A2279" s="68" t="s">
        <v>519</v>
      </c>
      <c r="B2279" s="68" t="s">
        <v>163</v>
      </c>
      <c r="C2279" s="68" t="s">
        <v>3244</v>
      </c>
      <c r="D2279" s="69">
        <v>35</v>
      </c>
      <c r="E2279" s="69">
        <v>35</v>
      </c>
      <c r="F2279" s="68" t="s">
        <v>3245</v>
      </c>
      <c r="G2279" s="68" t="s">
        <v>1</v>
      </c>
      <c r="H2279" s="68" t="s">
        <v>282</v>
      </c>
      <c r="I2279" t="str">
        <f>IF(A2279="","Pacote",IF(B2279=IFERROR(VLOOKUP(B2279,base!$L$1:$L$20,1,0),""),"Produtos",IF(B2279=IFERROR(VLOOKUP(B2279,base!$K$2:$K$20,1,0),""),"Serviços",IF(B2279="Gorjeta","Gorjeta","Combos"))))</f>
        <v>Serviços</v>
      </c>
      <c r="J2279">
        <f t="shared" si="180"/>
        <v>15.75</v>
      </c>
      <c r="K2279" s="1" t="str">
        <f t="shared" si="181"/>
        <v>24/05/2025 18:00</v>
      </c>
      <c r="L2279" s="1">
        <f t="shared" si="182"/>
        <v>45801</v>
      </c>
      <c r="M2279" s="1">
        <f t="shared" si="183"/>
        <v>45801</v>
      </c>
      <c r="N2279" s="1"/>
      <c r="O2279" t="str">
        <f t="shared" si="184"/>
        <v>PIX</v>
      </c>
      <c r="P2279" t="s">
        <v>149</v>
      </c>
      <c r="Q2279" t="str">
        <f t="shared" si="185"/>
        <v>Serviços</v>
      </c>
      <c r="R2279" t="str">
        <f t="shared" si="186"/>
        <v>Corte</v>
      </c>
      <c r="T2279" s="14">
        <f t="shared" si="187"/>
        <v>35</v>
      </c>
      <c r="U2279" s="14">
        <f t="shared" si="188"/>
        <v>35</v>
      </c>
      <c r="V2279" s="14"/>
      <c r="W2279" t="str">
        <f>IF(A2279=$A$1707,base!$I$3,IF(A2279=$A$1709,base!$I$2,IF(Receitas!A2279=Receitas!$A$1701,base!$I$4,"")))</f>
        <v>Gustavo de Castro</v>
      </c>
      <c r="X2279" t="str">
        <f t="shared" si="189"/>
        <v>Eduardo Menndes</v>
      </c>
    </row>
    <row r="2280" spans="1:24">
      <c r="A2280" s="68" t="s">
        <v>536</v>
      </c>
      <c r="B2280" s="68" t="s">
        <v>163</v>
      </c>
      <c r="C2280" s="68" t="s">
        <v>3246</v>
      </c>
      <c r="D2280" s="69">
        <v>40</v>
      </c>
      <c r="E2280" s="69">
        <v>40</v>
      </c>
      <c r="F2280" s="68" t="s">
        <v>3247</v>
      </c>
      <c r="G2280" s="68" t="s">
        <v>1</v>
      </c>
      <c r="H2280" s="68" t="s">
        <v>3248</v>
      </c>
      <c r="I2280" t="str">
        <f>IF(A2280="","Pacote",IF(B2280=IFERROR(VLOOKUP(B2280,base!$L$1:$L$20,1,0),""),"Produtos",IF(B2280=IFERROR(VLOOKUP(B2280,base!$K$2:$K$20,1,0),""),"Serviços",IF(B2280="Gorjeta","Gorjeta","Combos"))))</f>
        <v>Serviços</v>
      </c>
      <c r="J2280">
        <f t="shared" si="180"/>
        <v>18</v>
      </c>
      <c r="K2280" s="1" t="str">
        <f t="shared" si="181"/>
        <v>24/05/2025 12:30</v>
      </c>
      <c r="L2280" s="1">
        <f t="shared" si="182"/>
        <v>45801</v>
      </c>
      <c r="M2280" s="1">
        <f t="shared" si="183"/>
        <v>45801</v>
      </c>
      <c r="N2280" s="1"/>
      <c r="O2280" t="str">
        <f t="shared" si="184"/>
        <v>PIX</v>
      </c>
      <c r="P2280" t="s">
        <v>149</v>
      </c>
      <c r="Q2280" t="str">
        <f t="shared" si="185"/>
        <v>Serviços</v>
      </c>
      <c r="R2280" t="str">
        <f t="shared" si="186"/>
        <v>Corte</v>
      </c>
      <c r="T2280" s="14">
        <f t="shared" si="187"/>
        <v>40</v>
      </c>
      <c r="U2280" s="14">
        <f t="shared" si="188"/>
        <v>40</v>
      </c>
      <c r="V2280" s="14"/>
      <c r="W2280" t="str">
        <f>IF(A2280=$A$1707,base!$I$3,IF(A2280=$A$1709,base!$I$2,IF(Receitas!A2280=Receitas!$A$1701,base!$I$4,"")))</f>
        <v>PATRICK CARDOSO</v>
      </c>
      <c r="X2280" t="str">
        <f t="shared" si="189"/>
        <v>Erick Ramos</v>
      </c>
    </row>
    <row r="2281" spans="1:24">
      <c r="A2281" s="68" t="s">
        <v>536</v>
      </c>
      <c r="B2281" s="68" t="s">
        <v>163</v>
      </c>
      <c r="C2281" s="68" t="s">
        <v>3249</v>
      </c>
      <c r="D2281" s="69">
        <v>20</v>
      </c>
      <c r="E2281" s="69">
        <v>25</v>
      </c>
      <c r="F2281" s="68" t="s">
        <v>3250</v>
      </c>
      <c r="G2281" s="68" t="s">
        <v>310</v>
      </c>
      <c r="H2281" s="68" t="s">
        <v>111</v>
      </c>
      <c r="I2281" t="str">
        <f>IF(A2281="","Pacote",IF(B2281=IFERROR(VLOOKUP(B2281,base!$L$1:$L$20,1,0),""),"Produtos",IF(B2281=IFERROR(VLOOKUP(B2281,base!$K$2:$K$20,1,0),""),"Serviços",IF(B2281="Gorjeta","Gorjeta","Combos"))))</f>
        <v>Serviços</v>
      </c>
      <c r="J2281">
        <f t="shared" si="180"/>
        <v>9</v>
      </c>
      <c r="K2281" s="1" t="str">
        <f t="shared" si="181"/>
        <v>24/05/2025 13:15</v>
      </c>
      <c r="L2281" s="1">
        <f t="shared" si="182"/>
        <v>45801</v>
      </c>
      <c r="M2281" s="1">
        <f t="shared" si="183"/>
        <v>45801</v>
      </c>
      <c r="N2281" s="1"/>
      <c r="O2281" t="str">
        <f t="shared" si="184"/>
        <v>Cartão de Débito</v>
      </c>
      <c r="P2281" t="s">
        <v>149</v>
      </c>
      <c r="Q2281" t="str">
        <f t="shared" si="185"/>
        <v>Serviços</v>
      </c>
      <c r="R2281" t="str">
        <f t="shared" si="186"/>
        <v>Corte</v>
      </c>
      <c r="T2281" s="14">
        <f t="shared" si="187"/>
        <v>20</v>
      </c>
      <c r="U2281" s="14">
        <f t="shared" si="188"/>
        <v>25</v>
      </c>
      <c r="V2281" s="14"/>
      <c r="W2281" t="str">
        <f>IF(A2281=$A$1707,base!$I$3,IF(A2281=$A$1709,base!$I$2,IF(Receitas!A2281=Receitas!$A$1701,base!$I$4,"")))</f>
        <v>PATRICK CARDOSO</v>
      </c>
      <c r="X2281" t="str">
        <f t="shared" si="189"/>
        <v>Reginaldo Rodrigues pires</v>
      </c>
    </row>
    <row r="2282" spans="1:24">
      <c r="A2282" s="68" t="s">
        <v>536</v>
      </c>
      <c r="B2282" s="68" t="s">
        <v>910</v>
      </c>
      <c r="C2282" s="68" t="s">
        <v>3249</v>
      </c>
      <c r="D2282" s="69">
        <v>5</v>
      </c>
      <c r="E2282" s="68" t="s">
        <v>1604</v>
      </c>
      <c r="F2282" s="68" t="s">
        <v>3250</v>
      </c>
      <c r="G2282" s="68" t="s">
        <v>310</v>
      </c>
      <c r="H2282" s="68" t="s">
        <v>111</v>
      </c>
      <c r="I2282" t="str">
        <f>IF(A2282="","Pacote",IF(B2282=IFERROR(VLOOKUP(B2282,base!$L$1:$L$20,1,0),""),"Produtos",IF(B2282=IFERROR(VLOOKUP(B2282,base!$K$2:$K$20,1,0),""),"Serviços",IF(B2282="Gorjeta","Gorjeta","Combos"))))</f>
        <v>Gorjeta</v>
      </c>
      <c r="J2282">
        <f t="shared" si="180"/>
        <v>2.25</v>
      </c>
      <c r="K2282" s="1" t="str">
        <f t="shared" si="181"/>
        <v>24/05/2025 13:15</v>
      </c>
      <c r="L2282" s="1">
        <f t="shared" si="182"/>
        <v>45801</v>
      </c>
      <c r="M2282" s="1">
        <f t="shared" si="183"/>
        <v>45801</v>
      </c>
      <c r="N2282" s="1"/>
      <c r="O2282" t="str">
        <f t="shared" si="184"/>
        <v>Cartão de Débito</v>
      </c>
      <c r="P2282" t="s">
        <v>149</v>
      </c>
      <c r="Q2282" t="str">
        <f t="shared" si="185"/>
        <v>Gorjeta</v>
      </c>
      <c r="R2282" t="str">
        <f t="shared" si="186"/>
        <v>Gorjeta</v>
      </c>
      <c r="T2282" s="14">
        <f t="shared" si="187"/>
        <v>5</v>
      </c>
      <c r="U2282" s="14" t="str">
        <f t="shared" si="188"/>
        <v/>
      </c>
      <c r="V2282" s="14"/>
      <c r="W2282" t="str">
        <f>IF(A2282=$A$1707,base!$I$3,IF(A2282=$A$1709,base!$I$2,IF(Receitas!A2282=Receitas!$A$1701,base!$I$4,"")))</f>
        <v>PATRICK CARDOSO</v>
      </c>
      <c r="X2282" t="str">
        <f t="shared" si="189"/>
        <v>Reginaldo Rodrigues pires</v>
      </c>
    </row>
    <row r="2283" spans="1:24">
      <c r="A2283" s="68" t="s">
        <v>519</v>
      </c>
      <c r="B2283" s="68" t="s">
        <v>163</v>
      </c>
      <c r="C2283" s="68" t="s">
        <v>3251</v>
      </c>
      <c r="D2283" s="69">
        <v>35</v>
      </c>
      <c r="E2283" s="69">
        <v>35</v>
      </c>
      <c r="F2283" s="68" t="s">
        <v>3252</v>
      </c>
      <c r="G2283" s="68" t="s">
        <v>310</v>
      </c>
      <c r="H2283" s="68" t="s">
        <v>2615</v>
      </c>
      <c r="I2283" t="str">
        <f>IF(A2283="","Pacote",IF(B2283=IFERROR(VLOOKUP(B2283,base!$L$1:$L$20,1,0),""),"Produtos",IF(B2283=IFERROR(VLOOKUP(B2283,base!$K$2:$K$20,1,0),""),"Serviços",IF(B2283="Gorjeta","Gorjeta","Combos"))))</f>
        <v>Serviços</v>
      </c>
      <c r="J2283">
        <f t="shared" si="180"/>
        <v>15.75</v>
      </c>
      <c r="K2283" s="1" t="str">
        <f t="shared" si="181"/>
        <v>24/05/2025 15:30</v>
      </c>
      <c r="L2283" s="1">
        <f t="shared" si="182"/>
        <v>45801</v>
      </c>
      <c r="M2283" s="1">
        <f t="shared" si="183"/>
        <v>45801</v>
      </c>
      <c r="N2283" s="1"/>
      <c r="O2283" t="str">
        <f t="shared" si="184"/>
        <v>Cartão de Débito</v>
      </c>
      <c r="P2283" t="s">
        <v>149</v>
      </c>
      <c r="Q2283" t="str">
        <f t="shared" si="185"/>
        <v>Serviços</v>
      </c>
      <c r="R2283" t="str">
        <f t="shared" si="186"/>
        <v>Corte</v>
      </c>
      <c r="T2283" s="14">
        <f t="shared" si="187"/>
        <v>35</v>
      </c>
      <c r="U2283" s="14">
        <f t="shared" si="188"/>
        <v>35</v>
      </c>
      <c r="V2283" s="14"/>
      <c r="W2283" t="str">
        <f>IF(A2283=$A$1707,base!$I$3,IF(A2283=$A$1709,base!$I$2,IF(Receitas!A2283=Receitas!$A$1701,base!$I$4,"")))</f>
        <v>Gustavo de Castro</v>
      </c>
      <c r="X2283" t="str">
        <f t="shared" si="189"/>
        <v>gabriel grativol</v>
      </c>
    </row>
    <row r="2284" spans="1:24">
      <c r="A2284" s="68" t="s">
        <v>536</v>
      </c>
      <c r="B2284" s="68" t="s">
        <v>353</v>
      </c>
      <c r="C2284" s="68" t="s">
        <v>3253</v>
      </c>
      <c r="D2284" s="69">
        <v>55</v>
      </c>
      <c r="E2284" s="69">
        <v>55</v>
      </c>
      <c r="F2284" s="68" t="s">
        <v>3254</v>
      </c>
      <c r="G2284" s="68" t="s">
        <v>354</v>
      </c>
      <c r="H2284" s="68" t="s">
        <v>1857</v>
      </c>
      <c r="I2284" t="str">
        <f>IF(A2284="","Pacote",IF(B2284=IFERROR(VLOOKUP(B2284,base!$L$1:$L$20,1,0),""),"Produtos",IF(B2284=IFERROR(VLOOKUP(B2284,base!$K$2:$K$20,1,0),""),"Serviços",IF(B2284="Gorjeta","Gorjeta","Combos"))))</f>
        <v>Combos</v>
      </c>
      <c r="J2284">
        <f t="shared" si="180"/>
        <v>24.75</v>
      </c>
      <c r="K2284" s="1" t="str">
        <f t="shared" si="181"/>
        <v>24/05/2025 16:15</v>
      </c>
      <c r="L2284" s="1">
        <f t="shared" si="182"/>
        <v>45801</v>
      </c>
      <c r="M2284" s="1">
        <f t="shared" si="183"/>
        <v>45801</v>
      </c>
      <c r="N2284" s="1"/>
      <c r="O2284" t="str">
        <f t="shared" si="184"/>
        <v>Cartão de Crédito</v>
      </c>
      <c r="P2284" t="s">
        <v>149</v>
      </c>
      <c r="Q2284" t="str">
        <f t="shared" si="185"/>
        <v>Combos</v>
      </c>
      <c r="R2284" t="str">
        <f t="shared" si="186"/>
        <v>Combo ( Corte + Barba )</v>
      </c>
      <c r="T2284" s="14">
        <f t="shared" si="187"/>
        <v>55</v>
      </c>
      <c r="U2284" s="14">
        <f t="shared" si="188"/>
        <v>55</v>
      </c>
      <c r="V2284" s="14"/>
      <c r="W2284" t="str">
        <f>IF(A2284=$A$1707,base!$I$3,IF(A2284=$A$1709,base!$I$2,IF(Receitas!A2284=Receitas!$A$1701,base!$I$4,"")))</f>
        <v>PATRICK CARDOSO</v>
      </c>
      <c r="X2284" t="str">
        <f t="shared" si="189"/>
        <v>Caio Ferreira</v>
      </c>
    </row>
    <row r="2285" spans="1:24">
      <c r="A2285" s="68" t="s">
        <v>252</v>
      </c>
      <c r="B2285" s="68" t="s">
        <v>353</v>
      </c>
      <c r="C2285" s="68" t="s">
        <v>3255</v>
      </c>
      <c r="D2285" s="69">
        <v>70</v>
      </c>
      <c r="E2285" s="69">
        <v>85</v>
      </c>
      <c r="F2285" s="68" t="s">
        <v>3252</v>
      </c>
      <c r="G2285" s="68" t="s">
        <v>1</v>
      </c>
      <c r="H2285" s="68" t="s">
        <v>3256</v>
      </c>
      <c r="I2285" t="str">
        <f>IF(A2285="","Pacote",IF(B2285=IFERROR(VLOOKUP(B2285,base!$L$1:$L$20,1,0),""),"Produtos",IF(B2285=IFERROR(VLOOKUP(B2285,base!$K$2:$K$20,1,0),""),"Serviços",IF(B2285="Gorjeta","Gorjeta","Combos"))))</f>
        <v>Combos</v>
      </c>
      <c r="J2285">
        <f t="shared" si="180"/>
        <v>31.5</v>
      </c>
      <c r="K2285" s="1" t="str">
        <f t="shared" si="181"/>
        <v>24/05/2025 15:30</v>
      </c>
      <c r="L2285" s="1">
        <f t="shared" si="182"/>
        <v>45801</v>
      </c>
      <c r="M2285" s="1">
        <f t="shared" si="183"/>
        <v>45801</v>
      </c>
      <c r="N2285" s="1"/>
      <c r="O2285" t="str">
        <f t="shared" si="184"/>
        <v>PIX</v>
      </c>
      <c r="P2285" t="s">
        <v>149</v>
      </c>
      <c r="Q2285" t="str">
        <f t="shared" si="185"/>
        <v>Combos</v>
      </c>
      <c r="R2285" t="str">
        <f t="shared" si="186"/>
        <v>Combo ( Corte + Barba )</v>
      </c>
      <c r="T2285" s="14">
        <f t="shared" si="187"/>
        <v>70</v>
      </c>
      <c r="U2285" s="14">
        <f t="shared" si="188"/>
        <v>85</v>
      </c>
      <c r="V2285" s="14"/>
      <c r="W2285" t="str">
        <f>IF(A2285=$A$1707,base!$I$3,IF(A2285=$A$1709,base!$I$2,IF(Receitas!A2285=Receitas!$A$1701,base!$I$4,"")))</f>
        <v>Christian Magon</v>
      </c>
      <c r="X2285" t="str">
        <f t="shared" si="189"/>
        <v>Marlon marlonback</v>
      </c>
    </row>
    <row r="2286" spans="1:24">
      <c r="A2286" s="68" t="s">
        <v>252</v>
      </c>
      <c r="B2286" s="68" t="s">
        <v>1446</v>
      </c>
      <c r="C2286" s="68" t="s">
        <v>3255</v>
      </c>
      <c r="D2286" s="69">
        <v>15</v>
      </c>
      <c r="E2286" s="68" t="s">
        <v>1604</v>
      </c>
      <c r="F2286" s="68" t="s">
        <v>3252</v>
      </c>
      <c r="G2286" s="68" t="s">
        <v>1</v>
      </c>
      <c r="H2286" s="68" t="s">
        <v>3256</v>
      </c>
      <c r="I2286" t="str">
        <f>IF(A2286="","Pacote",IF(B2286=IFERROR(VLOOKUP(B2286,base!$L$1:$L$20,1,0),""),"Produtos",IF(B2286=IFERROR(VLOOKUP(B2286,base!$K$2:$K$20,1,0),""),"Serviços",IF(B2286="Gorjeta","Gorjeta","Combos"))))</f>
        <v>Serviços</v>
      </c>
      <c r="J2286">
        <f t="shared" si="180"/>
        <v>6.75</v>
      </c>
      <c r="K2286" s="1" t="str">
        <f t="shared" si="181"/>
        <v>24/05/2025 15:30</v>
      </c>
      <c r="L2286" s="1">
        <f t="shared" si="182"/>
        <v>45801</v>
      </c>
      <c r="M2286" s="1">
        <f t="shared" si="183"/>
        <v>45801</v>
      </c>
      <c r="N2286" s="1"/>
      <c r="O2286" t="str">
        <f t="shared" si="184"/>
        <v>PIX</v>
      </c>
      <c r="P2286" t="s">
        <v>149</v>
      </c>
      <c r="Q2286" t="str">
        <f t="shared" si="185"/>
        <v>Serviços</v>
      </c>
      <c r="R2286" t="str">
        <f t="shared" si="186"/>
        <v>depilação orelha</v>
      </c>
      <c r="T2286" s="14">
        <f t="shared" si="187"/>
        <v>15</v>
      </c>
      <c r="U2286" s="14" t="str">
        <f t="shared" si="188"/>
        <v/>
      </c>
      <c r="V2286" s="14"/>
      <c r="W2286" t="str">
        <f>IF(A2286=$A$1707,base!$I$3,IF(A2286=$A$1709,base!$I$2,IF(Receitas!A2286=Receitas!$A$1701,base!$I$4,"")))</f>
        <v>Christian Magon</v>
      </c>
      <c r="X2286" t="str">
        <f t="shared" si="189"/>
        <v>Marlon marlonback</v>
      </c>
    </row>
    <row r="2287" spans="1:24">
      <c r="A2287" s="68" t="s">
        <v>252</v>
      </c>
      <c r="B2287" s="68" t="s">
        <v>163</v>
      </c>
      <c r="C2287" s="68" t="s">
        <v>3257</v>
      </c>
      <c r="D2287" s="69">
        <v>35</v>
      </c>
      <c r="E2287" s="69">
        <v>35</v>
      </c>
      <c r="F2287" s="68" t="s">
        <v>3254</v>
      </c>
      <c r="G2287" s="68" t="s">
        <v>1</v>
      </c>
      <c r="H2287" s="68" t="s">
        <v>73</v>
      </c>
      <c r="I2287" t="str">
        <f>IF(A2287="","Pacote",IF(B2287=IFERROR(VLOOKUP(B2287,base!$L$1:$L$20,1,0),""),"Produtos",IF(B2287=IFERROR(VLOOKUP(B2287,base!$K$2:$K$20,1,0),""),"Serviços",IF(B2287="Gorjeta","Gorjeta","Combos"))))</f>
        <v>Serviços</v>
      </c>
      <c r="J2287">
        <f t="shared" si="180"/>
        <v>15.75</v>
      </c>
      <c r="K2287" s="1" t="str">
        <f t="shared" si="181"/>
        <v>24/05/2025 16:15</v>
      </c>
      <c r="L2287" s="1">
        <f t="shared" si="182"/>
        <v>45801</v>
      </c>
      <c r="M2287" s="1">
        <f t="shared" si="183"/>
        <v>45801</v>
      </c>
      <c r="N2287" s="1"/>
      <c r="O2287" t="str">
        <f t="shared" si="184"/>
        <v>PIX</v>
      </c>
      <c r="P2287" t="s">
        <v>149</v>
      </c>
      <c r="Q2287" t="str">
        <f t="shared" si="185"/>
        <v>Serviços</v>
      </c>
      <c r="R2287" t="str">
        <f t="shared" si="186"/>
        <v>Corte</v>
      </c>
      <c r="T2287" s="14">
        <f t="shared" si="187"/>
        <v>35</v>
      </c>
      <c r="U2287" s="14">
        <f t="shared" si="188"/>
        <v>35</v>
      </c>
      <c r="V2287" s="14"/>
      <c r="W2287" t="str">
        <f>IF(A2287=$A$1707,base!$I$3,IF(A2287=$A$1709,base!$I$2,IF(Receitas!A2287=Receitas!$A$1701,base!$I$4,"")))</f>
        <v>Christian Magon</v>
      </c>
      <c r="X2287" t="str">
        <f t="shared" si="189"/>
        <v>Lucas Aniceto</v>
      </c>
    </row>
    <row r="2288" spans="1:24">
      <c r="A2288" s="68" t="s">
        <v>519</v>
      </c>
      <c r="B2288" s="68" t="s">
        <v>353</v>
      </c>
      <c r="C2288" s="68" t="s">
        <v>3258</v>
      </c>
      <c r="D2288" s="69">
        <v>60</v>
      </c>
      <c r="E2288" s="69">
        <v>75</v>
      </c>
      <c r="F2288" s="68" t="s">
        <v>3259</v>
      </c>
      <c r="G2288" s="68" t="s">
        <v>1</v>
      </c>
      <c r="H2288" s="68" t="s">
        <v>500</v>
      </c>
      <c r="I2288" t="str">
        <f>IF(A2288="","Pacote",IF(B2288=IFERROR(VLOOKUP(B2288,base!$L$1:$L$20,1,0),""),"Produtos",IF(B2288=IFERROR(VLOOKUP(B2288,base!$K$2:$K$20,1,0),""),"Serviços",IF(B2288="Gorjeta","Gorjeta","Combos"))))</f>
        <v>Combos</v>
      </c>
      <c r="J2288">
        <f t="shared" si="180"/>
        <v>27</v>
      </c>
      <c r="K2288" s="1" t="str">
        <f t="shared" si="181"/>
        <v>24/05/2025 15:20</v>
      </c>
      <c r="L2288" s="1">
        <f t="shared" si="182"/>
        <v>45801</v>
      </c>
      <c r="M2288" s="1">
        <f t="shared" si="183"/>
        <v>45801</v>
      </c>
      <c r="N2288" s="1"/>
      <c r="O2288" t="str">
        <f t="shared" si="184"/>
        <v>PIX</v>
      </c>
      <c r="P2288" t="s">
        <v>149</v>
      </c>
      <c r="Q2288" t="str">
        <f t="shared" si="185"/>
        <v>Combos</v>
      </c>
      <c r="R2288" t="str">
        <f t="shared" si="186"/>
        <v>Combo ( Corte + Barba )</v>
      </c>
      <c r="T2288" s="14">
        <f t="shared" si="187"/>
        <v>60</v>
      </c>
      <c r="U2288" s="14">
        <f t="shared" si="188"/>
        <v>75</v>
      </c>
      <c r="V2288" s="14"/>
      <c r="W2288" t="str">
        <f>IF(A2288=$A$1707,base!$I$3,IF(A2288=$A$1709,base!$I$2,IF(Receitas!A2288=Receitas!$A$1701,base!$I$4,"")))</f>
        <v>Gustavo de Castro</v>
      </c>
      <c r="X2288" t="str">
        <f t="shared" si="189"/>
        <v>Thomas Baptista dos Santos Oliveira</v>
      </c>
    </row>
    <row r="2289" spans="1:24">
      <c r="A2289" s="68" t="s">
        <v>519</v>
      </c>
      <c r="B2289" s="68" t="s">
        <v>1187</v>
      </c>
      <c r="C2289" s="68" t="s">
        <v>3258</v>
      </c>
      <c r="D2289" s="69">
        <v>15</v>
      </c>
      <c r="E2289" s="68" t="s">
        <v>1604</v>
      </c>
      <c r="F2289" s="68" t="s">
        <v>3259</v>
      </c>
      <c r="G2289" s="68" t="s">
        <v>1</v>
      </c>
      <c r="H2289" s="68" t="s">
        <v>500</v>
      </c>
      <c r="I2289" t="str">
        <f>IF(A2289="","Pacote",IF(B2289=IFERROR(VLOOKUP(B2289,base!$L$1:$L$20,1,0),""),"Produtos",IF(B2289=IFERROR(VLOOKUP(B2289,base!$K$2:$K$20,1,0),""),"Serviços",IF(B2289="Gorjeta","Gorjeta","Combos"))))</f>
        <v>Serviços</v>
      </c>
      <c r="J2289">
        <f t="shared" si="180"/>
        <v>6.75</v>
      </c>
      <c r="K2289" s="1" t="str">
        <f t="shared" si="181"/>
        <v>24/05/2025 15:20</v>
      </c>
      <c r="L2289" s="1">
        <f t="shared" si="182"/>
        <v>45801</v>
      </c>
      <c r="M2289" s="1">
        <f t="shared" si="183"/>
        <v>45801</v>
      </c>
      <c r="N2289" s="1"/>
      <c r="O2289" t="str">
        <f t="shared" si="184"/>
        <v>PIX</v>
      </c>
      <c r="P2289" t="s">
        <v>149</v>
      </c>
      <c r="Q2289" t="str">
        <f t="shared" si="185"/>
        <v>Serviços</v>
      </c>
      <c r="R2289" t="str">
        <f t="shared" si="186"/>
        <v>depilação nariz</v>
      </c>
      <c r="T2289" s="14">
        <f t="shared" si="187"/>
        <v>15</v>
      </c>
      <c r="U2289" s="14" t="str">
        <f t="shared" si="188"/>
        <v/>
      </c>
      <c r="V2289" s="14"/>
      <c r="W2289" t="str">
        <f>IF(A2289=$A$1707,base!$I$3,IF(A2289=$A$1709,base!$I$2,IF(Receitas!A2289=Receitas!$A$1701,base!$I$4,"")))</f>
        <v>Gustavo de Castro</v>
      </c>
      <c r="X2289" t="str">
        <f t="shared" si="189"/>
        <v>Thomas Baptista dos Santos Oliveira</v>
      </c>
    </row>
    <row r="2290" spans="1:24">
      <c r="A2290" s="68" t="s">
        <v>536</v>
      </c>
      <c r="B2290" s="68" t="s">
        <v>1046</v>
      </c>
      <c r="C2290" s="68" t="s">
        <v>3260</v>
      </c>
      <c r="D2290" s="69">
        <v>35</v>
      </c>
      <c r="E2290" s="69">
        <v>35</v>
      </c>
      <c r="F2290" s="68" t="s">
        <v>3261</v>
      </c>
      <c r="G2290" s="68" t="s">
        <v>310</v>
      </c>
      <c r="H2290" s="68" t="s">
        <v>376</v>
      </c>
      <c r="I2290" t="str">
        <f>IF(A2290="","Pacote",IF(B2290=IFERROR(VLOOKUP(B2290,base!$L$1:$L$20,1,0),""),"Produtos",IF(B2290=IFERROR(VLOOKUP(B2290,base!$K$2:$K$20,1,0),""),"Serviços",IF(B2290="Gorjeta","Gorjeta","Combos"))))</f>
        <v>Serviços</v>
      </c>
      <c r="J2290">
        <f t="shared" si="180"/>
        <v>15.75</v>
      </c>
      <c r="K2290" s="1" t="str">
        <f t="shared" si="181"/>
        <v>24/05/2025 15:15</v>
      </c>
      <c r="L2290" s="1">
        <f t="shared" si="182"/>
        <v>45801</v>
      </c>
      <c r="M2290" s="1">
        <f t="shared" si="183"/>
        <v>45801</v>
      </c>
      <c r="N2290" s="1"/>
      <c r="O2290" t="str">
        <f t="shared" si="184"/>
        <v>Cartão de Débito</v>
      </c>
      <c r="P2290" t="s">
        <v>149</v>
      </c>
      <c r="Q2290" t="str">
        <f t="shared" si="185"/>
        <v>Serviços</v>
      </c>
      <c r="R2290" t="str">
        <f t="shared" si="186"/>
        <v>Barba</v>
      </c>
      <c r="T2290" s="14">
        <f t="shared" si="187"/>
        <v>35</v>
      </c>
      <c r="U2290" s="14">
        <f t="shared" si="188"/>
        <v>35</v>
      </c>
      <c r="V2290" s="14"/>
      <c r="W2290" t="str">
        <f>IF(A2290=$A$1707,base!$I$3,IF(A2290=$A$1709,base!$I$2,IF(Receitas!A2290=Receitas!$A$1701,base!$I$4,"")))</f>
        <v>PATRICK CARDOSO</v>
      </c>
      <c r="X2290" t="str">
        <f t="shared" si="189"/>
        <v>Alex Pimenta</v>
      </c>
    </row>
    <row r="2291" spans="1:24">
      <c r="A2291" s="68" t="s">
        <v>252</v>
      </c>
      <c r="B2291" s="68" t="s">
        <v>163</v>
      </c>
      <c r="C2291" s="68" t="s">
        <v>3262</v>
      </c>
      <c r="D2291" s="69">
        <v>35</v>
      </c>
      <c r="E2291" s="69">
        <v>35</v>
      </c>
      <c r="F2291" s="68" t="s">
        <v>3263</v>
      </c>
      <c r="G2291" s="68" t="s">
        <v>1</v>
      </c>
      <c r="H2291" s="68" t="s">
        <v>1121</v>
      </c>
      <c r="I2291" t="str">
        <f>IF(A2291="","Pacote",IF(B2291=IFERROR(VLOOKUP(B2291,base!$L$1:$L$20,1,0),""),"Produtos",IF(B2291=IFERROR(VLOOKUP(B2291,base!$K$2:$K$20,1,0),""),"Serviços",IF(B2291="Gorjeta","Gorjeta","Combos"))))</f>
        <v>Serviços</v>
      </c>
      <c r="J2291">
        <f t="shared" si="180"/>
        <v>15.75</v>
      </c>
      <c r="K2291" s="1" t="str">
        <f t="shared" si="181"/>
        <v>24/05/2025 16:45</v>
      </c>
      <c r="L2291" s="1">
        <f t="shared" si="182"/>
        <v>45801</v>
      </c>
      <c r="M2291" s="1">
        <f t="shared" si="183"/>
        <v>45801</v>
      </c>
      <c r="N2291" s="1"/>
      <c r="O2291" t="str">
        <f t="shared" si="184"/>
        <v>PIX</v>
      </c>
      <c r="P2291" t="s">
        <v>149</v>
      </c>
      <c r="Q2291" t="str">
        <f t="shared" si="185"/>
        <v>Serviços</v>
      </c>
      <c r="R2291" t="str">
        <f t="shared" si="186"/>
        <v>Corte</v>
      </c>
      <c r="T2291" s="14">
        <f t="shared" si="187"/>
        <v>35</v>
      </c>
      <c r="U2291" s="14">
        <f t="shared" si="188"/>
        <v>35</v>
      </c>
      <c r="V2291" s="14"/>
      <c r="W2291" t="str">
        <f>IF(A2291=$A$1707,base!$I$3,IF(A2291=$A$1709,base!$I$2,IF(Receitas!A2291=Receitas!$A$1701,base!$I$4,"")))</f>
        <v>Christian Magon</v>
      </c>
      <c r="X2291" t="str">
        <f t="shared" si="189"/>
        <v>Vitor Hugo</v>
      </c>
    </row>
    <row r="2292" spans="1:24">
      <c r="A2292" s="68" t="s">
        <v>519</v>
      </c>
      <c r="B2292" s="68" t="s">
        <v>163</v>
      </c>
      <c r="C2292" s="68" t="s">
        <v>3264</v>
      </c>
      <c r="D2292" s="69">
        <v>35</v>
      </c>
      <c r="E2292" s="69">
        <v>60</v>
      </c>
      <c r="F2292" s="68" t="s">
        <v>3265</v>
      </c>
      <c r="G2292" s="68" t="s">
        <v>2</v>
      </c>
      <c r="H2292" s="68" t="s">
        <v>2908</v>
      </c>
      <c r="I2292" t="str">
        <f>IF(A2292="","Pacote",IF(B2292=IFERROR(VLOOKUP(B2292,base!$L$1:$L$20,1,0),""),"Produtos",IF(B2292=IFERROR(VLOOKUP(B2292,base!$K$2:$K$20,1,0),""),"Serviços",IF(B2292="Gorjeta","Gorjeta","Combos"))))</f>
        <v>Serviços</v>
      </c>
      <c r="J2292">
        <f t="shared" si="180"/>
        <v>15.75</v>
      </c>
      <c r="K2292" s="1" t="str">
        <f t="shared" si="181"/>
        <v>24/05/2025 18:30</v>
      </c>
      <c r="L2292" s="1">
        <f t="shared" si="182"/>
        <v>45801</v>
      </c>
      <c r="M2292" s="1">
        <f t="shared" si="183"/>
        <v>45801</v>
      </c>
      <c r="N2292" s="1"/>
      <c r="O2292" t="str">
        <f t="shared" si="184"/>
        <v>Dinheiro</v>
      </c>
      <c r="P2292" t="s">
        <v>149</v>
      </c>
      <c r="Q2292" t="str">
        <f t="shared" si="185"/>
        <v>Serviços</v>
      </c>
      <c r="R2292" t="str">
        <f t="shared" si="186"/>
        <v>Corte</v>
      </c>
      <c r="T2292" s="14">
        <f t="shared" si="187"/>
        <v>35</v>
      </c>
      <c r="U2292" s="14">
        <f t="shared" si="188"/>
        <v>60</v>
      </c>
      <c r="V2292" s="14"/>
      <c r="W2292" t="str">
        <f>IF(A2292=$A$1707,base!$I$3,IF(A2292=$A$1709,base!$I$2,IF(Receitas!A2292=Receitas!$A$1701,base!$I$4,"")))</f>
        <v>Gustavo de Castro</v>
      </c>
      <c r="X2292" t="str">
        <f t="shared" si="189"/>
        <v>ananda nunes</v>
      </c>
    </row>
    <row r="2293" spans="1:24">
      <c r="A2293" s="68" t="s">
        <v>519</v>
      </c>
      <c r="B2293" s="68" t="s">
        <v>2931</v>
      </c>
      <c r="C2293" s="68" t="s">
        <v>3264</v>
      </c>
      <c r="D2293" s="69">
        <v>25</v>
      </c>
      <c r="E2293" s="68" t="s">
        <v>1604</v>
      </c>
      <c r="F2293" s="68" t="s">
        <v>3265</v>
      </c>
      <c r="G2293" s="68" t="s">
        <v>2</v>
      </c>
      <c r="H2293" s="68" t="s">
        <v>2908</v>
      </c>
      <c r="I2293" t="str">
        <f>IF(A2293="","Pacote",IF(B2293=IFERROR(VLOOKUP(B2293,base!$L$1:$L$20,1,0),""),"Produtos",IF(B2293=IFERROR(VLOOKUP(B2293,base!$K$2:$K$20,1,0),""),"Serviços",IF(B2293="Gorjeta","Gorjeta","Combos"))))</f>
        <v>Produtos</v>
      </c>
      <c r="J2293">
        <f t="shared" si="180"/>
        <v>10</v>
      </c>
      <c r="K2293" s="1" t="str">
        <f t="shared" si="181"/>
        <v>24/05/2025 18:30</v>
      </c>
      <c r="L2293" s="1">
        <f t="shared" si="182"/>
        <v>45801</v>
      </c>
      <c r="M2293" s="1">
        <f t="shared" si="183"/>
        <v>45801</v>
      </c>
      <c r="N2293" s="1"/>
      <c r="O2293" t="str">
        <f t="shared" si="184"/>
        <v>Dinheiro</v>
      </c>
      <c r="P2293" t="s">
        <v>149</v>
      </c>
      <c r="Q2293" t="str">
        <f t="shared" si="185"/>
        <v>Produtos</v>
      </c>
      <c r="R2293" t="str">
        <f t="shared" si="186"/>
        <v>Pomada matte 80g</v>
      </c>
      <c r="T2293" s="14">
        <f t="shared" si="187"/>
        <v>25</v>
      </c>
      <c r="U2293" s="14" t="str">
        <f t="shared" si="188"/>
        <v/>
      </c>
      <c r="V2293" s="14"/>
      <c r="W2293" t="str">
        <f>IF(A2293=$A$1707,base!$I$3,IF(A2293=$A$1709,base!$I$2,IF(Receitas!A2293=Receitas!$A$1701,base!$I$4,"")))</f>
        <v>Gustavo de Castro</v>
      </c>
      <c r="X2293" t="str">
        <f t="shared" si="189"/>
        <v>ananda nunes</v>
      </c>
    </row>
    <row r="2294" spans="1:24">
      <c r="A2294" s="68" t="s">
        <v>536</v>
      </c>
      <c r="B2294" s="68" t="s">
        <v>163</v>
      </c>
      <c r="C2294" s="68" t="s">
        <v>3266</v>
      </c>
      <c r="D2294" s="69">
        <v>20</v>
      </c>
      <c r="E2294" s="69">
        <v>20</v>
      </c>
      <c r="F2294" s="68" t="s">
        <v>3267</v>
      </c>
      <c r="G2294" s="68" t="s">
        <v>1</v>
      </c>
      <c r="H2294" s="68" t="s">
        <v>274</v>
      </c>
      <c r="I2294" t="str">
        <f>IF(A2294="","Pacote",IF(B2294=IFERROR(VLOOKUP(B2294,base!$L$1:$L$20,1,0),""),"Produtos",IF(B2294=IFERROR(VLOOKUP(B2294,base!$K$2:$K$20,1,0),""),"Serviços",IF(B2294="Gorjeta","Gorjeta","Combos"))))</f>
        <v>Serviços</v>
      </c>
      <c r="J2294">
        <f t="shared" si="180"/>
        <v>9</v>
      </c>
      <c r="K2294" s="1" t="str">
        <f t="shared" si="181"/>
        <v>24/05/2025 17:30</v>
      </c>
      <c r="L2294" s="1">
        <f t="shared" si="182"/>
        <v>45801</v>
      </c>
      <c r="M2294" s="1">
        <f t="shared" si="183"/>
        <v>45801</v>
      </c>
      <c r="N2294" s="1"/>
      <c r="O2294" t="str">
        <f t="shared" si="184"/>
        <v>PIX</v>
      </c>
      <c r="P2294" t="s">
        <v>149</v>
      </c>
      <c r="Q2294" t="str">
        <f t="shared" si="185"/>
        <v>Serviços</v>
      </c>
      <c r="R2294" t="str">
        <f t="shared" si="186"/>
        <v>Corte</v>
      </c>
      <c r="T2294" s="14">
        <f t="shared" si="187"/>
        <v>20</v>
      </c>
      <c r="U2294" s="14">
        <f t="shared" si="188"/>
        <v>20</v>
      </c>
      <c r="V2294" s="14"/>
      <c r="W2294" t="str">
        <f>IF(A2294=$A$1707,base!$I$3,IF(A2294=$A$1709,base!$I$2,IF(Receitas!A2294=Receitas!$A$1701,base!$I$4,"")))</f>
        <v>PATRICK CARDOSO</v>
      </c>
      <c r="X2294" t="str">
        <f t="shared" si="189"/>
        <v>Ester brito</v>
      </c>
    </row>
    <row r="2295" spans="1:24">
      <c r="A2295" s="68" t="s">
        <v>252</v>
      </c>
      <c r="B2295" s="68" t="s">
        <v>163</v>
      </c>
      <c r="C2295" s="68" t="s">
        <v>3268</v>
      </c>
      <c r="D2295" s="69">
        <v>35</v>
      </c>
      <c r="E2295" s="69">
        <v>45</v>
      </c>
      <c r="F2295" s="68" t="s">
        <v>3245</v>
      </c>
      <c r="G2295" s="68" t="s">
        <v>354</v>
      </c>
      <c r="H2295" s="68" t="s">
        <v>24</v>
      </c>
      <c r="I2295" t="str">
        <f>IF(A2295="","Pacote",IF(B2295=IFERROR(VLOOKUP(B2295,base!$L$1:$L$20,1,0),""),"Produtos",IF(B2295=IFERROR(VLOOKUP(B2295,base!$K$2:$K$20,1,0),""),"Serviços",IF(B2295="Gorjeta","Gorjeta","Combos"))))</f>
        <v>Serviços</v>
      </c>
      <c r="J2295">
        <f t="shared" si="180"/>
        <v>15.75</v>
      </c>
      <c r="K2295" s="1" t="str">
        <f t="shared" si="181"/>
        <v>24/05/2025 18:00</v>
      </c>
      <c r="L2295" s="1">
        <f t="shared" si="182"/>
        <v>45801</v>
      </c>
      <c r="M2295" s="1">
        <f t="shared" si="183"/>
        <v>45801</v>
      </c>
      <c r="N2295" s="1"/>
      <c r="O2295" t="str">
        <f t="shared" si="184"/>
        <v>Cartão de Crédito</v>
      </c>
      <c r="P2295" t="s">
        <v>149</v>
      </c>
      <c r="Q2295" t="str">
        <f t="shared" si="185"/>
        <v>Serviços</v>
      </c>
      <c r="R2295" t="str">
        <f t="shared" si="186"/>
        <v>Corte</v>
      </c>
      <c r="T2295" s="14">
        <f t="shared" si="187"/>
        <v>35</v>
      </c>
      <c r="U2295" s="14">
        <f t="shared" si="188"/>
        <v>45</v>
      </c>
      <c r="V2295" s="14"/>
      <c r="W2295" t="str">
        <f>IF(A2295=$A$1707,base!$I$3,IF(A2295=$A$1709,base!$I$2,IF(Receitas!A2295=Receitas!$A$1701,base!$I$4,"")))</f>
        <v>Christian Magon</v>
      </c>
      <c r="X2295" t="str">
        <f t="shared" si="189"/>
        <v>Luis De Gonzaga Neto</v>
      </c>
    </row>
    <row r="2296" spans="1:24">
      <c r="A2296" s="68" t="s">
        <v>252</v>
      </c>
      <c r="B2296" s="68" t="s">
        <v>167</v>
      </c>
      <c r="C2296" s="68" t="s">
        <v>3268</v>
      </c>
      <c r="D2296" s="69">
        <v>10</v>
      </c>
      <c r="E2296" s="68" t="s">
        <v>1604</v>
      </c>
      <c r="F2296" s="68" t="s">
        <v>3245</v>
      </c>
      <c r="G2296" s="68" t="s">
        <v>354</v>
      </c>
      <c r="H2296" s="68" t="s">
        <v>24</v>
      </c>
      <c r="I2296" t="str">
        <f>IF(A2296="","Pacote",IF(B2296=IFERROR(VLOOKUP(B2296,base!$L$1:$L$20,1,0),""),"Produtos",IF(B2296=IFERROR(VLOOKUP(B2296,base!$K$2:$K$20,1,0),""),"Serviços",IF(B2296="Gorjeta","Gorjeta","Combos"))))</f>
        <v>Serviços</v>
      </c>
      <c r="J2296">
        <f t="shared" ref="J2296:J2302" si="190">IF(AND(I2296="Serviços",E2296&gt;0),ROUND(D2296*45%,2),IF(I2296="Produtos",ROUND(D2296*40%,2),D2296*45%))</f>
        <v>4.5</v>
      </c>
      <c r="K2296" s="1" t="str">
        <f t="shared" ref="K2296:K2302" si="191">F2296</f>
        <v>24/05/2025 18:00</v>
      </c>
      <c r="L2296" s="1">
        <f t="shared" ref="L2296:L2302" si="192">DATEVALUE(K2296)</f>
        <v>45801</v>
      </c>
      <c r="M2296" s="1">
        <f t="shared" ref="M2296:M2302" si="193">DATEVALUE(K2296)</f>
        <v>45801</v>
      </c>
      <c r="N2296" s="1"/>
      <c r="O2296" t="str">
        <f t="shared" ref="O2296:O2302" si="194">G2296</f>
        <v>Cartão de Crédito</v>
      </c>
      <c r="P2296" t="s">
        <v>149</v>
      </c>
      <c r="Q2296" t="str">
        <f t="shared" ref="Q2296:Q2302" si="195">I2296</f>
        <v>Serviços</v>
      </c>
      <c r="R2296" t="str">
        <f t="shared" ref="R2296:R2302" si="196">B2296</f>
        <v>Sobrancelha</v>
      </c>
      <c r="T2296" s="14">
        <f t="shared" ref="T2296:T2302" si="197">D2296</f>
        <v>10</v>
      </c>
      <c r="U2296" s="14" t="str">
        <f t="shared" ref="U2296:U2302" si="198">E2296</f>
        <v/>
      </c>
      <c r="V2296" s="14"/>
      <c r="W2296" t="str">
        <f>IF(A2296=$A$1707,base!$I$3,IF(A2296=$A$1709,base!$I$2,IF(Receitas!A2296=Receitas!$A$1701,base!$I$4,"")))</f>
        <v>Christian Magon</v>
      </c>
      <c r="X2296" t="str">
        <f t="shared" ref="X2296:X2302" si="199">H2296</f>
        <v>Luis De Gonzaga Neto</v>
      </c>
    </row>
    <row r="2297" spans="1:24">
      <c r="A2297" s="68" t="s">
        <v>252</v>
      </c>
      <c r="B2297" s="68" t="s">
        <v>163</v>
      </c>
      <c r="C2297" s="68" t="s">
        <v>3269</v>
      </c>
      <c r="D2297" s="69">
        <v>35</v>
      </c>
      <c r="E2297" s="69">
        <v>45</v>
      </c>
      <c r="F2297" s="68" t="s">
        <v>3265</v>
      </c>
      <c r="G2297" s="68" t="s">
        <v>354</v>
      </c>
      <c r="H2297" s="68" t="s">
        <v>197</v>
      </c>
      <c r="I2297" t="str">
        <f>IF(A2297="","Pacote",IF(B2297=IFERROR(VLOOKUP(B2297,base!$L$1:$L$20,1,0),""),"Produtos",IF(B2297=IFERROR(VLOOKUP(B2297,base!$K$2:$K$20,1,0),""),"Serviços",IF(B2297="Gorjeta","Gorjeta","Combos"))))</f>
        <v>Serviços</v>
      </c>
      <c r="J2297">
        <f t="shared" si="190"/>
        <v>15.75</v>
      </c>
      <c r="K2297" s="1" t="str">
        <f t="shared" si="191"/>
        <v>24/05/2025 18:30</v>
      </c>
      <c r="L2297" s="1">
        <f t="shared" si="192"/>
        <v>45801</v>
      </c>
      <c r="M2297" s="1">
        <f t="shared" si="193"/>
        <v>45801</v>
      </c>
      <c r="N2297" s="1"/>
      <c r="O2297" t="str">
        <f t="shared" si="194"/>
        <v>Cartão de Crédito</v>
      </c>
      <c r="P2297" t="s">
        <v>149</v>
      </c>
      <c r="Q2297" t="str">
        <f t="shared" si="195"/>
        <v>Serviços</v>
      </c>
      <c r="R2297" t="str">
        <f t="shared" si="196"/>
        <v>Corte</v>
      </c>
      <c r="T2297" s="14">
        <f t="shared" si="197"/>
        <v>35</v>
      </c>
      <c r="U2297" s="14">
        <f t="shared" si="198"/>
        <v>45</v>
      </c>
      <c r="V2297" s="14"/>
      <c r="W2297" t="str">
        <f>IF(A2297=$A$1707,base!$I$3,IF(A2297=$A$1709,base!$I$2,IF(Receitas!A2297=Receitas!$A$1701,base!$I$4,"")))</f>
        <v>Christian Magon</v>
      </c>
      <c r="X2297" t="str">
        <f t="shared" si="199"/>
        <v>Lorran Reymond</v>
      </c>
    </row>
    <row r="2298" spans="1:24">
      <c r="A2298" s="68" t="s">
        <v>252</v>
      </c>
      <c r="B2298" s="68" t="s">
        <v>167</v>
      </c>
      <c r="C2298" s="68" t="s">
        <v>3269</v>
      </c>
      <c r="D2298" s="69">
        <v>10</v>
      </c>
      <c r="E2298" s="68" t="s">
        <v>1604</v>
      </c>
      <c r="F2298" s="68" t="s">
        <v>3265</v>
      </c>
      <c r="G2298" s="68" t="s">
        <v>354</v>
      </c>
      <c r="H2298" s="68" t="s">
        <v>197</v>
      </c>
      <c r="I2298" t="str">
        <f>IF(A2298="","Pacote",IF(B2298=IFERROR(VLOOKUP(B2298,base!$L$1:$L$20,1,0),""),"Produtos",IF(B2298=IFERROR(VLOOKUP(B2298,base!$K$2:$K$20,1,0),""),"Serviços",IF(B2298="Gorjeta","Gorjeta","Combos"))))</f>
        <v>Serviços</v>
      </c>
      <c r="J2298">
        <f t="shared" si="190"/>
        <v>4.5</v>
      </c>
      <c r="K2298" s="1" t="str">
        <f t="shared" si="191"/>
        <v>24/05/2025 18:30</v>
      </c>
      <c r="L2298" s="1">
        <f t="shared" si="192"/>
        <v>45801</v>
      </c>
      <c r="M2298" s="1">
        <f t="shared" si="193"/>
        <v>45801</v>
      </c>
      <c r="N2298" s="1"/>
      <c r="O2298" t="str">
        <f t="shared" si="194"/>
        <v>Cartão de Crédito</v>
      </c>
      <c r="P2298" t="s">
        <v>149</v>
      </c>
      <c r="Q2298" t="str">
        <f t="shared" si="195"/>
        <v>Serviços</v>
      </c>
      <c r="R2298" t="str">
        <f t="shared" si="196"/>
        <v>Sobrancelha</v>
      </c>
      <c r="T2298" s="14">
        <f t="shared" si="197"/>
        <v>10</v>
      </c>
      <c r="U2298" s="14" t="str">
        <f t="shared" si="198"/>
        <v/>
      </c>
      <c r="V2298" s="14"/>
      <c r="W2298" t="str">
        <f>IF(A2298=$A$1707,base!$I$3,IF(A2298=$A$1709,base!$I$2,IF(Receitas!A2298=Receitas!$A$1701,base!$I$4,"")))</f>
        <v>Christian Magon</v>
      </c>
      <c r="X2298" t="str">
        <f t="shared" si="199"/>
        <v>Lorran Reymond</v>
      </c>
    </row>
    <row r="2299" spans="1:24">
      <c r="A2299" s="68" t="s">
        <v>536</v>
      </c>
      <c r="B2299" s="68" t="s">
        <v>163</v>
      </c>
      <c r="C2299" s="68" t="s">
        <v>3270</v>
      </c>
      <c r="D2299" s="69">
        <v>35</v>
      </c>
      <c r="E2299" s="69">
        <v>35</v>
      </c>
      <c r="F2299" s="68" t="s">
        <v>3271</v>
      </c>
      <c r="G2299" s="68" t="s">
        <v>1</v>
      </c>
      <c r="H2299" s="68" t="s">
        <v>424</v>
      </c>
      <c r="I2299" t="str">
        <f>IF(A2299="","Pacote",IF(B2299=IFERROR(VLOOKUP(B2299,base!$L$1:$L$20,1,0),""),"Produtos",IF(B2299=IFERROR(VLOOKUP(B2299,base!$K$2:$K$20,1,0),""),"Serviços",IF(B2299="Gorjeta","Gorjeta","Combos"))))</f>
        <v>Serviços</v>
      </c>
      <c r="J2299">
        <f t="shared" si="190"/>
        <v>15.75</v>
      </c>
      <c r="K2299" s="1" t="str">
        <f t="shared" si="191"/>
        <v>24/05/2025 19:00</v>
      </c>
      <c r="L2299" s="1">
        <f t="shared" si="192"/>
        <v>45801</v>
      </c>
      <c r="M2299" s="1">
        <f t="shared" si="193"/>
        <v>45801</v>
      </c>
      <c r="N2299" s="1"/>
      <c r="O2299" t="str">
        <f t="shared" si="194"/>
        <v>PIX</v>
      </c>
      <c r="P2299" t="s">
        <v>149</v>
      </c>
      <c r="Q2299" t="str">
        <f t="shared" si="195"/>
        <v>Serviços</v>
      </c>
      <c r="R2299" t="str">
        <f t="shared" si="196"/>
        <v>Corte</v>
      </c>
      <c r="T2299" s="14">
        <f t="shared" si="197"/>
        <v>35</v>
      </c>
      <c r="U2299" s="14">
        <f t="shared" si="198"/>
        <v>35</v>
      </c>
      <c r="V2299" s="14"/>
      <c r="W2299" t="str">
        <f>IF(A2299=$A$1707,base!$I$3,IF(A2299=$A$1709,base!$I$2,IF(Receitas!A2299=Receitas!$A$1701,base!$I$4,"")))</f>
        <v>PATRICK CARDOSO</v>
      </c>
      <c r="X2299" t="str">
        <f t="shared" si="199"/>
        <v>luciano da costa cruz</v>
      </c>
    </row>
    <row r="2300" spans="1:24">
      <c r="A2300" s="68" t="s">
        <v>252</v>
      </c>
      <c r="B2300" s="68" t="s">
        <v>163</v>
      </c>
      <c r="C2300" s="68" t="s">
        <v>3272</v>
      </c>
      <c r="D2300" s="69">
        <v>35</v>
      </c>
      <c r="E2300" s="69">
        <v>35</v>
      </c>
      <c r="F2300" s="68" t="s">
        <v>3273</v>
      </c>
      <c r="G2300" s="68" t="s">
        <v>2</v>
      </c>
      <c r="H2300" s="68" t="s">
        <v>83</v>
      </c>
      <c r="I2300" t="str">
        <f>IF(A2300="","Pacote",IF(B2300=IFERROR(VLOOKUP(B2300,base!$L$1:$L$20,1,0),""),"Produtos",IF(B2300=IFERROR(VLOOKUP(B2300,base!$K$2:$K$20,1,0),""),"Serviços",IF(B2300="Gorjeta","Gorjeta","Combos"))))</f>
        <v>Serviços</v>
      </c>
      <c r="J2300">
        <f t="shared" si="190"/>
        <v>15.75</v>
      </c>
      <c r="K2300" s="1" t="str">
        <f t="shared" si="191"/>
        <v>24/05/2025 20:35</v>
      </c>
      <c r="L2300" s="1">
        <f t="shared" si="192"/>
        <v>45801</v>
      </c>
      <c r="M2300" s="1">
        <f t="shared" si="193"/>
        <v>45801</v>
      </c>
      <c r="N2300" s="1"/>
      <c r="O2300" t="str">
        <f t="shared" si="194"/>
        <v>Dinheiro</v>
      </c>
      <c r="P2300" t="s">
        <v>149</v>
      </c>
      <c r="Q2300" t="str">
        <f t="shared" si="195"/>
        <v>Serviços</v>
      </c>
      <c r="R2300" t="str">
        <f t="shared" si="196"/>
        <v>Corte</v>
      </c>
      <c r="T2300" s="14">
        <f t="shared" si="197"/>
        <v>35</v>
      </c>
      <c r="U2300" s="14">
        <f t="shared" si="198"/>
        <v>35</v>
      </c>
      <c r="V2300" s="14"/>
      <c r="W2300" t="str">
        <f>IF(A2300=$A$1707,base!$I$3,IF(A2300=$A$1709,base!$I$2,IF(Receitas!A2300=Receitas!$A$1701,base!$I$4,"")))</f>
        <v>Christian Magon</v>
      </c>
      <c r="X2300" t="str">
        <f t="shared" si="199"/>
        <v>Jayme henrique</v>
      </c>
    </row>
    <row r="2301" spans="1:24">
      <c r="A2301" s="68" t="s">
        <v>536</v>
      </c>
      <c r="B2301" s="68" t="s">
        <v>163</v>
      </c>
      <c r="C2301" s="68" t="s">
        <v>3274</v>
      </c>
      <c r="D2301" s="69">
        <v>20</v>
      </c>
      <c r="E2301" s="69">
        <v>20</v>
      </c>
      <c r="F2301" s="68" t="s">
        <v>3275</v>
      </c>
      <c r="G2301" s="68" t="s">
        <v>1</v>
      </c>
      <c r="H2301" s="68" t="s">
        <v>274</v>
      </c>
      <c r="I2301" t="str">
        <f>IF(A2301="","Pacote",IF(B2301=IFERROR(VLOOKUP(B2301,base!$L$1:$L$20,1,0),""),"Produtos",IF(B2301=IFERROR(VLOOKUP(B2301,base!$K$2:$K$20,1,0),""),"Serviços",IF(B2301="Gorjeta","Gorjeta","Combos"))))</f>
        <v>Serviços</v>
      </c>
      <c r="J2301">
        <f t="shared" si="190"/>
        <v>9</v>
      </c>
      <c r="K2301" s="1" t="str">
        <f t="shared" si="191"/>
        <v>24/05/2025 19:45</v>
      </c>
      <c r="L2301" s="1">
        <f t="shared" si="192"/>
        <v>45801</v>
      </c>
      <c r="M2301" s="1">
        <f t="shared" si="193"/>
        <v>45801</v>
      </c>
      <c r="N2301" s="1"/>
      <c r="O2301" t="str">
        <f t="shared" si="194"/>
        <v>PIX</v>
      </c>
      <c r="P2301" t="s">
        <v>149</v>
      </c>
      <c r="Q2301" t="str">
        <f t="shared" si="195"/>
        <v>Serviços</v>
      </c>
      <c r="R2301" t="str">
        <f t="shared" si="196"/>
        <v>Corte</v>
      </c>
      <c r="T2301" s="14">
        <f t="shared" si="197"/>
        <v>20</v>
      </c>
      <c r="U2301" s="14">
        <f t="shared" si="198"/>
        <v>20</v>
      </c>
      <c r="V2301" s="14"/>
      <c r="W2301" t="str">
        <f>IF(A2301=$A$1707,base!$I$3,IF(A2301=$A$1709,base!$I$2,IF(Receitas!A2301=Receitas!$A$1701,base!$I$4,"")))</f>
        <v>PATRICK CARDOSO</v>
      </c>
      <c r="X2301" t="str">
        <f t="shared" si="199"/>
        <v>Ester brito</v>
      </c>
    </row>
    <row r="2302" spans="1:24" s="25" customFormat="1">
      <c r="A2302" s="70" t="s">
        <v>519</v>
      </c>
      <c r="B2302" s="70" t="s">
        <v>353</v>
      </c>
      <c r="C2302" s="70" t="s">
        <v>3276</v>
      </c>
      <c r="D2302" s="71">
        <v>60</v>
      </c>
      <c r="E2302" s="71">
        <v>60</v>
      </c>
      <c r="F2302" s="70" t="s">
        <v>3277</v>
      </c>
      <c r="G2302" s="70" t="s">
        <v>1</v>
      </c>
      <c r="H2302" s="70" t="s">
        <v>203</v>
      </c>
      <c r="I2302" s="25" t="str">
        <f>IF(A2302="","Pacote",IF(B2302=IFERROR(VLOOKUP(B2302,base!$L$1:$L$20,1,0),""),"Produtos",IF(B2302=IFERROR(VLOOKUP(B2302,base!$K$2:$K$20,1,0),""),"Serviços",IF(B2302="Gorjeta","Gorjeta","Combos"))))</f>
        <v>Combos</v>
      </c>
      <c r="J2302" s="25">
        <f t="shared" si="190"/>
        <v>27</v>
      </c>
      <c r="K2302" s="50" t="str">
        <f t="shared" si="191"/>
        <v>24/05/2025 19:30</v>
      </c>
      <c r="L2302" s="50">
        <f t="shared" si="192"/>
        <v>45801</v>
      </c>
      <c r="M2302" s="50">
        <f t="shared" si="193"/>
        <v>45801</v>
      </c>
      <c r="N2302" s="50"/>
      <c r="O2302" s="25" t="str">
        <f t="shared" si="194"/>
        <v>PIX</v>
      </c>
      <c r="P2302" s="25" t="s">
        <v>149</v>
      </c>
      <c r="Q2302" s="25" t="str">
        <f t="shared" si="195"/>
        <v>Combos</v>
      </c>
      <c r="R2302" s="25" t="str">
        <f t="shared" si="196"/>
        <v>Combo ( Corte + Barba )</v>
      </c>
      <c r="T2302" s="26">
        <f t="shared" si="197"/>
        <v>60</v>
      </c>
      <c r="U2302" s="26">
        <f t="shared" si="198"/>
        <v>60</v>
      </c>
      <c r="V2302" s="26"/>
      <c r="W2302" s="25" t="str">
        <f>IF(A2302=$A$1707,base!$I$3,IF(A2302=$A$1709,base!$I$2,IF(Receitas!A2302=Receitas!$A$1701,base!$I$4,"")))</f>
        <v>Gustavo de Castro</v>
      </c>
      <c r="X2302" s="25" t="str">
        <f t="shared" si="199"/>
        <v>augusto venancio</v>
      </c>
    </row>
    <row r="2303" spans="1:24">
      <c r="A2303" t="s">
        <v>519</v>
      </c>
      <c r="B2303" t="s">
        <v>163</v>
      </c>
      <c r="C2303" t="s">
        <v>3278</v>
      </c>
      <c r="D2303" s="14">
        <v>35</v>
      </c>
      <c r="E2303" s="14">
        <v>35</v>
      </c>
      <c r="F2303" t="s">
        <v>3279</v>
      </c>
      <c r="G2303" t="s">
        <v>310</v>
      </c>
      <c r="H2303" t="s">
        <v>1490</v>
      </c>
      <c r="I2303" t="str">
        <f>IF(A2303="","Pacote",IF(B2303=IFERROR(VLOOKUP(B2303,base!$L$1:$L$20,1,0),""),"Produtos",IF(B2303=IFERROR(VLOOKUP(B2303,base!$K$2:$K$20,1,0),""),"Serviços",IF(B2303="Gorjeta","Gorjeta","Combos"))))</f>
        <v>Serviços</v>
      </c>
      <c r="J2303">
        <f t="shared" ref="J2303" si="200">IF(AND(I2303="Serviços",E2303&gt;0),ROUND(D2303*45%,2),IF(I2303="Produtos",ROUND(D2303*40%,2),D2303*45%))</f>
        <v>15.75</v>
      </c>
      <c r="K2303" s="1" t="str">
        <f t="shared" ref="K2303" si="201">F2303</f>
        <v>27/05/2025 16:00</v>
      </c>
      <c r="L2303" s="1">
        <f t="shared" ref="L2303" si="202">DATEVALUE(K2303)</f>
        <v>45804</v>
      </c>
      <c r="M2303" s="1">
        <f t="shared" ref="M2303" si="203">DATEVALUE(K2303)</f>
        <v>45804</v>
      </c>
      <c r="N2303" s="1"/>
      <c r="O2303" t="str">
        <f t="shared" ref="O2303" si="204">G2303</f>
        <v>Cartão de Débito</v>
      </c>
      <c r="P2303" t="s">
        <v>149</v>
      </c>
      <c r="Q2303" t="str">
        <f t="shared" ref="Q2303" si="205">I2303</f>
        <v>Serviços</v>
      </c>
      <c r="R2303" t="str">
        <f t="shared" ref="R2303" si="206">B2303</f>
        <v>Corte</v>
      </c>
      <c r="T2303" s="14">
        <f t="shared" ref="T2303" si="207">D2303</f>
        <v>35</v>
      </c>
      <c r="U2303" s="14">
        <f t="shared" ref="U2303" si="208">E2303</f>
        <v>35</v>
      </c>
      <c r="V2303" s="14"/>
      <c r="W2303" t="str">
        <f>IF(A2303=$A$1707,base!$I$3,IF(A2303=$A$1709,base!$I$2,IF(Receitas!A2303=Receitas!$A$1701,base!$I$4,"")))</f>
        <v>Gustavo de Castro</v>
      </c>
      <c r="X2303" t="str">
        <f t="shared" ref="X2303" si="209">H2303</f>
        <v>Nathalia Costa</v>
      </c>
    </row>
    <row r="2304" spans="1:24">
      <c r="A2304" t="s">
        <v>519</v>
      </c>
      <c r="B2304" t="s">
        <v>163</v>
      </c>
      <c r="C2304" t="s">
        <v>3280</v>
      </c>
      <c r="D2304" s="14">
        <v>35</v>
      </c>
      <c r="E2304" s="14">
        <v>35</v>
      </c>
      <c r="F2304" t="s">
        <v>3281</v>
      </c>
      <c r="G2304" t="s">
        <v>2</v>
      </c>
      <c r="H2304" t="s">
        <v>194</v>
      </c>
      <c r="I2304" t="str">
        <f>IF(A2304="","Pacote",IF(B2304=IFERROR(VLOOKUP(B2304,base!$L$1:$L$20,1,0),""),"Produtos",IF(B2304=IFERROR(VLOOKUP(B2304,base!$K$2:$K$20,1,0),""),"Serviços",IF(B2304="Gorjeta","Gorjeta","Combos"))))</f>
        <v>Serviços</v>
      </c>
      <c r="J2304">
        <f t="shared" ref="J2304:J2367" si="210">IF(AND(I2304="Serviços",E2304&gt;0),ROUND(D2304*45%,2),IF(I2304="Produtos",ROUND(D2304*40%,2),D2304*45%))</f>
        <v>15.75</v>
      </c>
      <c r="K2304" s="1" t="str">
        <f t="shared" ref="K2304:K2367" si="211">F2304</f>
        <v>26/05/2025 16:15</v>
      </c>
      <c r="L2304" s="1">
        <f t="shared" ref="L2304:L2367" si="212">DATEVALUE(K2304)</f>
        <v>45803</v>
      </c>
      <c r="M2304" s="1">
        <f t="shared" ref="M2304:M2367" si="213">DATEVALUE(K2304)</f>
        <v>45803</v>
      </c>
      <c r="N2304" s="1"/>
      <c r="O2304" t="str">
        <f t="shared" ref="O2304:O2367" si="214">G2304</f>
        <v>Dinheiro</v>
      </c>
      <c r="P2304" t="s">
        <v>149</v>
      </c>
      <c r="Q2304" t="str">
        <f t="shared" ref="Q2304:Q2367" si="215">I2304</f>
        <v>Serviços</v>
      </c>
      <c r="R2304" t="str">
        <f t="shared" ref="R2304:R2367" si="216">B2304</f>
        <v>Corte</v>
      </c>
      <c r="T2304" s="14">
        <f t="shared" ref="T2304:T2367" si="217">D2304</f>
        <v>35</v>
      </c>
      <c r="U2304" s="14">
        <f t="shared" ref="U2304:U2367" si="218">E2304</f>
        <v>35</v>
      </c>
      <c r="V2304" s="14"/>
      <c r="W2304" t="str">
        <f>IF(A2304=$A$1707,base!$I$3,IF(A2304=$A$1709,base!$I$2,IF(Receitas!A2304=Receitas!$A$1701,base!$I$4,"")))</f>
        <v>Gustavo de Castro</v>
      </c>
      <c r="X2304" t="str">
        <f t="shared" ref="X2304:X2367" si="219">H2304</f>
        <v>Esther Araujo dos Anjos</v>
      </c>
    </row>
    <row r="2305" spans="1:24">
      <c r="A2305" t="s">
        <v>252</v>
      </c>
      <c r="B2305" t="s">
        <v>163</v>
      </c>
      <c r="C2305" t="s">
        <v>3282</v>
      </c>
      <c r="D2305" s="14">
        <v>50</v>
      </c>
      <c r="E2305" s="14">
        <v>90</v>
      </c>
      <c r="F2305" t="s">
        <v>3283</v>
      </c>
      <c r="G2305" t="s">
        <v>1120</v>
      </c>
      <c r="H2305" t="s">
        <v>3284</v>
      </c>
      <c r="I2305" t="str">
        <f>IF(A2305="","Pacote",IF(B2305=IFERROR(VLOOKUP(B2305,base!$L$1:$L$20,1,0),""),"Produtos",IF(B2305=IFERROR(VLOOKUP(B2305,base!$K$2:$K$20,1,0),""),"Serviços",IF(B2305="Gorjeta","Gorjeta","Combos"))))</f>
        <v>Serviços</v>
      </c>
      <c r="J2305">
        <f t="shared" si="210"/>
        <v>22.5</v>
      </c>
      <c r="K2305" s="1" t="str">
        <f t="shared" si="211"/>
        <v>26/05/2025 10:00</v>
      </c>
      <c r="L2305" s="1">
        <f t="shared" si="212"/>
        <v>45803</v>
      </c>
      <c r="M2305" s="1">
        <f t="shared" si="213"/>
        <v>45803</v>
      </c>
      <c r="N2305" s="1"/>
      <c r="O2305" t="str">
        <f t="shared" si="214"/>
        <v>PIX  / Dinheiro</v>
      </c>
      <c r="P2305" t="s">
        <v>149</v>
      </c>
      <c r="Q2305" t="str">
        <f t="shared" si="215"/>
        <v>Serviços</v>
      </c>
      <c r="R2305" t="str">
        <f t="shared" si="216"/>
        <v>Corte</v>
      </c>
      <c r="T2305" s="14">
        <f t="shared" si="217"/>
        <v>50</v>
      </c>
      <c r="U2305" s="14">
        <f t="shared" si="218"/>
        <v>90</v>
      </c>
      <c r="V2305" s="14"/>
      <c r="W2305" t="str">
        <f>IF(A2305=$A$1707,base!$I$3,IF(A2305=$A$1709,base!$I$2,IF(Receitas!A2305=Receitas!$A$1701,base!$I$4,"")))</f>
        <v>Christian Magon</v>
      </c>
      <c r="X2305" t="str">
        <f t="shared" si="219"/>
        <v>Marcio Eduardo</v>
      </c>
    </row>
    <row r="2306" spans="1:24">
      <c r="A2306" t="s">
        <v>252</v>
      </c>
      <c r="B2306" t="s">
        <v>472</v>
      </c>
      <c r="C2306" t="s">
        <v>3282</v>
      </c>
      <c r="D2306" s="14">
        <v>40</v>
      </c>
      <c r="E2306" t="s">
        <v>1604</v>
      </c>
      <c r="F2306" t="s">
        <v>3283</v>
      </c>
      <c r="G2306" t="s">
        <v>1120</v>
      </c>
      <c r="H2306" t="s">
        <v>3284</v>
      </c>
      <c r="I2306" t="str">
        <f>IF(A2306="","Pacote",IF(B2306=IFERROR(VLOOKUP(B2306,base!$L$1:$L$20,1,0),""),"Produtos",IF(B2306=IFERROR(VLOOKUP(B2306,base!$K$2:$K$20,1,0),""),"Serviços",IF(B2306="Gorjeta","Gorjeta","Combos"))))</f>
        <v>Produtos</v>
      </c>
      <c r="J2306">
        <f t="shared" si="210"/>
        <v>16</v>
      </c>
      <c r="K2306" s="1" t="str">
        <f t="shared" si="211"/>
        <v>26/05/2025 10:00</v>
      </c>
      <c r="L2306" s="1">
        <f t="shared" si="212"/>
        <v>45803</v>
      </c>
      <c r="M2306" s="1">
        <f t="shared" si="213"/>
        <v>45803</v>
      </c>
      <c r="N2306" s="1"/>
      <c r="O2306" t="str">
        <f t="shared" si="214"/>
        <v>PIX  / Dinheiro</v>
      </c>
      <c r="P2306" t="s">
        <v>149</v>
      </c>
      <c r="Q2306" t="str">
        <f t="shared" si="215"/>
        <v>Produtos</v>
      </c>
      <c r="R2306" t="str">
        <f t="shared" si="216"/>
        <v>minox serum</v>
      </c>
      <c r="T2306" s="14">
        <f t="shared" si="217"/>
        <v>40</v>
      </c>
      <c r="U2306" s="14" t="str">
        <f t="shared" si="218"/>
        <v/>
      </c>
      <c r="V2306" s="14"/>
      <c r="W2306" t="str">
        <f>IF(A2306=$A$1707,base!$I$3,IF(A2306=$A$1709,base!$I$2,IF(Receitas!A2306=Receitas!$A$1701,base!$I$4,"")))</f>
        <v>Christian Magon</v>
      </c>
      <c r="X2306" t="str">
        <f t="shared" si="219"/>
        <v>Marcio Eduardo</v>
      </c>
    </row>
    <row r="2307" spans="1:24">
      <c r="A2307" t="s">
        <v>519</v>
      </c>
      <c r="B2307" t="s">
        <v>163</v>
      </c>
      <c r="C2307" t="s">
        <v>3285</v>
      </c>
      <c r="D2307" s="14">
        <v>35</v>
      </c>
      <c r="E2307" s="14">
        <v>35</v>
      </c>
      <c r="F2307" t="s">
        <v>3283</v>
      </c>
      <c r="G2307" t="s">
        <v>1</v>
      </c>
      <c r="H2307" t="s">
        <v>80</v>
      </c>
      <c r="I2307" t="str">
        <f>IF(A2307="","Pacote",IF(B2307=IFERROR(VLOOKUP(B2307,base!$L$1:$L$20,1,0),""),"Produtos",IF(B2307=IFERROR(VLOOKUP(B2307,base!$K$2:$K$20,1,0),""),"Serviços",IF(B2307="Gorjeta","Gorjeta","Combos"))))</f>
        <v>Serviços</v>
      </c>
      <c r="J2307">
        <f t="shared" si="210"/>
        <v>15.75</v>
      </c>
      <c r="K2307" s="1" t="str">
        <f t="shared" si="211"/>
        <v>26/05/2025 10:00</v>
      </c>
      <c r="L2307" s="1">
        <f t="shared" si="212"/>
        <v>45803</v>
      </c>
      <c r="M2307" s="1">
        <f t="shared" si="213"/>
        <v>45803</v>
      </c>
      <c r="N2307" s="1"/>
      <c r="O2307" t="str">
        <f t="shared" si="214"/>
        <v>PIX</v>
      </c>
      <c r="P2307" t="s">
        <v>149</v>
      </c>
      <c r="Q2307" t="str">
        <f t="shared" si="215"/>
        <v>Serviços</v>
      </c>
      <c r="R2307" t="str">
        <f t="shared" si="216"/>
        <v>Corte</v>
      </c>
      <c r="T2307" s="14">
        <f t="shared" si="217"/>
        <v>35</v>
      </c>
      <c r="U2307" s="14">
        <f t="shared" si="218"/>
        <v>35</v>
      </c>
      <c r="V2307" s="14"/>
      <c r="W2307" t="str">
        <f>IF(A2307=$A$1707,base!$I$3,IF(A2307=$A$1709,base!$I$2,IF(Receitas!A2307=Receitas!$A$1701,base!$I$4,"")))</f>
        <v>Gustavo de Castro</v>
      </c>
      <c r="X2307" t="str">
        <f t="shared" si="219"/>
        <v>Gabriel Pereira</v>
      </c>
    </row>
    <row r="2308" spans="1:24">
      <c r="A2308" t="s">
        <v>519</v>
      </c>
      <c r="B2308" t="s">
        <v>163</v>
      </c>
      <c r="C2308" t="s">
        <v>3286</v>
      </c>
      <c r="D2308" s="14">
        <v>35</v>
      </c>
      <c r="E2308" s="14">
        <v>57</v>
      </c>
      <c r="F2308" t="s">
        <v>3287</v>
      </c>
      <c r="G2308" t="s">
        <v>1</v>
      </c>
      <c r="H2308" t="s">
        <v>110</v>
      </c>
      <c r="I2308" t="str">
        <f>IF(A2308="","Pacote",IF(B2308=IFERROR(VLOOKUP(B2308,base!$L$1:$L$20,1,0),""),"Produtos",IF(B2308=IFERROR(VLOOKUP(B2308,base!$K$2:$K$20,1,0),""),"Serviços",IF(B2308="Gorjeta","Gorjeta","Combos"))))</f>
        <v>Serviços</v>
      </c>
      <c r="J2308">
        <f t="shared" si="210"/>
        <v>15.75</v>
      </c>
      <c r="K2308" s="1" t="str">
        <f t="shared" si="211"/>
        <v>26/05/2025 11:30</v>
      </c>
      <c r="L2308" s="1">
        <f t="shared" si="212"/>
        <v>45803</v>
      </c>
      <c r="M2308" s="1">
        <f t="shared" si="213"/>
        <v>45803</v>
      </c>
      <c r="N2308" s="1"/>
      <c r="O2308" t="str">
        <f t="shared" si="214"/>
        <v>PIX</v>
      </c>
      <c r="P2308" t="s">
        <v>149</v>
      </c>
      <c r="Q2308" t="str">
        <f t="shared" si="215"/>
        <v>Serviços</v>
      </c>
      <c r="R2308" t="str">
        <f t="shared" si="216"/>
        <v>Corte</v>
      </c>
      <c r="T2308" s="14">
        <f t="shared" si="217"/>
        <v>35</v>
      </c>
      <c r="U2308" s="14">
        <f t="shared" si="218"/>
        <v>57</v>
      </c>
      <c r="V2308" s="14"/>
      <c r="W2308" t="str">
        <f>IF(A2308=$A$1707,base!$I$3,IF(A2308=$A$1709,base!$I$2,IF(Receitas!A2308=Receitas!$A$1701,base!$I$4,"")))</f>
        <v>Gustavo de Castro</v>
      </c>
      <c r="X2308" t="str">
        <f t="shared" si="219"/>
        <v>Vinicius villela</v>
      </c>
    </row>
    <row r="2309" spans="1:24">
      <c r="A2309" t="s">
        <v>519</v>
      </c>
      <c r="B2309" t="s">
        <v>507</v>
      </c>
      <c r="C2309" t="s">
        <v>3286</v>
      </c>
      <c r="D2309" s="14">
        <v>22</v>
      </c>
      <c r="E2309" t="s">
        <v>1604</v>
      </c>
      <c r="F2309" t="s">
        <v>3287</v>
      </c>
      <c r="G2309" t="s">
        <v>1</v>
      </c>
      <c r="H2309" t="s">
        <v>110</v>
      </c>
      <c r="I2309" t="str">
        <f>IF(A2309="","Pacote",IF(B2309=IFERROR(VLOOKUP(B2309,base!$L$1:$L$20,1,0),""),"Produtos",IF(B2309=IFERROR(VLOOKUP(B2309,base!$K$2:$K$20,1,0),""),"Serviços",IF(B2309="Gorjeta","Gorjeta","Combos"))))</f>
        <v>Produtos</v>
      </c>
      <c r="J2309">
        <f t="shared" si="210"/>
        <v>8.8000000000000007</v>
      </c>
      <c r="K2309" s="1" t="str">
        <f t="shared" si="211"/>
        <v>26/05/2025 11:30</v>
      </c>
      <c r="L2309" s="1">
        <f t="shared" si="212"/>
        <v>45803</v>
      </c>
      <c r="M2309" s="1">
        <f t="shared" si="213"/>
        <v>45803</v>
      </c>
      <c r="N2309" s="1"/>
      <c r="O2309" t="str">
        <f t="shared" si="214"/>
        <v>PIX</v>
      </c>
      <c r="P2309" t="s">
        <v>149</v>
      </c>
      <c r="Q2309" t="str">
        <f t="shared" si="215"/>
        <v>Produtos</v>
      </c>
      <c r="R2309" t="str">
        <f t="shared" si="216"/>
        <v>GEL COLA</v>
      </c>
      <c r="T2309" s="14">
        <f t="shared" si="217"/>
        <v>22</v>
      </c>
      <c r="U2309" s="14" t="str">
        <f t="shared" si="218"/>
        <v/>
      </c>
      <c r="V2309" s="14"/>
      <c r="W2309" t="str">
        <f>IF(A2309=$A$1707,base!$I$3,IF(A2309=$A$1709,base!$I$2,IF(Receitas!A2309=Receitas!$A$1701,base!$I$4,"")))</f>
        <v>Gustavo de Castro</v>
      </c>
      <c r="X2309" t="str">
        <f t="shared" si="219"/>
        <v>Vinicius villela</v>
      </c>
    </row>
    <row r="2310" spans="1:24">
      <c r="A2310" t="s">
        <v>252</v>
      </c>
      <c r="B2310" t="s">
        <v>163</v>
      </c>
      <c r="C2310" t="s">
        <v>3288</v>
      </c>
      <c r="D2310" s="14">
        <v>35</v>
      </c>
      <c r="E2310" s="14">
        <v>35</v>
      </c>
      <c r="F2310" t="s">
        <v>3289</v>
      </c>
      <c r="G2310" t="s">
        <v>1</v>
      </c>
      <c r="H2310" t="s">
        <v>3290</v>
      </c>
      <c r="I2310" t="str">
        <f>IF(A2310="","Pacote",IF(B2310=IFERROR(VLOOKUP(B2310,base!$L$1:$L$20,1,0),""),"Produtos",IF(B2310=IFERROR(VLOOKUP(B2310,base!$K$2:$K$20,1,0),""),"Serviços",IF(B2310="Gorjeta","Gorjeta","Combos"))))</f>
        <v>Serviços</v>
      </c>
      <c r="J2310">
        <f t="shared" si="210"/>
        <v>15.75</v>
      </c>
      <c r="K2310" s="1" t="str">
        <f t="shared" si="211"/>
        <v>26/05/2025 13:10</v>
      </c>
      <c r="L2310" s="1">
        <f t="shared" si="212"/>
        <v>45803</v>
      </c>
      <c r="M2310" s="1">
        <f t="shared" si="213"/>
        <v>45803</v>
      </c>
      <c r="N2310" s="1"/>
      <c r="O2310" t="str">
        <f t="shared" si="214"/>
        <v>PIX</v>
      </c>
      <c r="P2310" t="s">
        <v>149</v>
      </c>
      <c r="Q2310" t="str">
        <f t="shared" si="215"/>
        <v>Serviços</v>
      </c>
      <c r="R2310" t="str">
        <f t="shared" si="216"/>
        <v>Corte</v>
      </c>
      <c r="T2310" s="14">
        <f t="shared" si="217"/>
        <v>35</v>
      </c>
      <c r="U2310" s="14">
        <f t="shared" si="218"/>
        <v>35</v>
      </c>
      <c r="V2310" s="14"/>
      <c r="W2310" t="str">
        <f>IF(A2310=$A$1707,base!$I$3,IF(A2310=$A$1709,base!$I$2,IF(Receitas!A2310=Receitas!$A$1701,base!$I$4,"")))</f>
        <v>Christian Magon</v>
      </c>
      <c r="X2310" t="str">
        <f t="shared" si="219"/>
        <v>roni felix</v>
      </c>
    </row>
    <row r="2311" spans="1:24">
      <c r="A2311" t="s">
        <v>519</v>
      </c>
      <c r="B2311" t="s">
        <v>163</v>
      </c>
      <c r="C2311" t="s">
        <v>3291</v>
      </c>
      <c r="D2311" s="14">
        <v>35</v>
      </c>
      <c r="E2311" s="14">
        <v>60</v>
      </c>
      <c r="F2311" t="s">
        <v>3292</v>
      </c>
      <c r="G2311" t="s">
        <v>1</v>
      </c>
      <c r="H2311" t="s">
        <v>2025</v>
      </c>
      <c r="I2311" t="str">
        <f>IF(A2311="","Pacote",IF(B2311=IFERROR(VLOOKUP(B2311,base!$L$1:$L$20,1,0),""),"Produtos",IF(B2311=IFERROR(VLOOKUP(B2311,base!$K$2:$K$20,1,0),""),"Serviços",IF(B2311="Gorjeta","Gorjeta","Combos"))))</f>
        <v>Serviços</v>
      </c>
      <c r="J2311">
        <f t="shared" si="210"/>
        <v>15.75</v>
      </c>
      <c r="K2311" s="1" t="str">
        <f t="shared" si="211"/>
        <v>26/05/2025 16:00</v>
      </c>
      <c r="L2311" s="1">
        <f t="shared" si="212"/>
        <v>45803</v>
      </c>
      <c r="M2311" s="1">
        <f t="shared" si="213"/>
        <v>45803</v>
      </c>
      <c r="N2311" s="1"/>
      <c r="O2311" t="str">
        <f t="shared" si="214"/>
        <v>PIX</v>
      </c>
      <c r="P2311" t="s">
        <v>149</v>
      </c>
      <c r="Q2311" t="str">
        <f t="shared" si="215"/>
        <v>Serviços</v>
      </c>
      <c r="R2311" t="str">
        <f t="shared" si="216"/>
        <v>Corte</v>
      </c>
      <c r="T2311" s="14">
        <f t="shared" si="217"/>
        <v>35</v>
      </c>
      <c r="U2311" s="14">
        <f t="shared" si="218"/>
        <v>60</v>
      </c>
      <c r="V2311" s="14"/>
      <c r="W2311" t="str">
        <f>IF(A2311=$A$1707,base!$I$3,IF(A2311=$A$1709,base!$I$2,IF(Receitas!A2311=Receitas!$A$1701,base!$I$4,"")))</f>
        <v>Gustavo de Castro</v>
      </c>
      <c r="X2311" t="str">
        <f t="shared" si="219"/>
        <v>roney almeida</v>
      </c>
    </row>
    <row r="2312" spans="1:24">
      <c r="A2312" t="s">
        <v>519</v>
      </c>
      <c r="B2312" t="s">
        <v>2825</v>
      </c>
      <c r="C2312" t="s">
        <v>3291</v>
      </c>
      <c r="D2312" s="14">
        <v>10</v>
      </c>
      <c r="E2312" t="s">
        <v>1604</v>
      </c>
      <c r="F2312" t="s">
        <v>3292</v>
      </c>
      <c r="G2312" t="s">
        <v>1</v>
      </c>
      <c r="H2312" t="s">
        <v>2025</v>
      </c>
      <c r="I2312" t="str">
        <f>IF(A2312="","Pacote",IF(B2312=IFERROR(VLOOKUP(B2312,base!$L$1:$L$20,1,0),""),"Produtos",IF(B2312=IFERROR(VLOOKUP(B2312,base!$K$2:$K$20,1,0),""),"Serviços",IF(B2312="Gorjeta","Gorjeta","Combos"))))</f>
        <v>Serviços</v>
      </c>
      <c r="J2312">
        <f t="shared" si="210"/>
        <v>4.5</v>
      </c>
      <c r="K2312" s="1" t="str">
        <f t="shared" si="211"/>
        <v>26/05/2025 16:00</v>
      </c>
      <c r="L2312" s="1">
        <f t="shared" si="212"/>
        <v>45803</v>
      </c>
      <c r="M2312" s="1">
        <f t="shared" si="213"/>
        <v>45803</v>
      </c>
      <c r="N2312" s="1"/>
      <c r="O2312" t="str">
        <f t="shared" si="214"/>
        <v>PIX</v>
      </c>
      <c r="P2312" t="s">
        <v>149</v>
      </c>
      <c r="Q2312" t="str">
        <f t="shared" si="215"/>
        <v>Serviços</v>
      </c>
      <c r="R2312" t="str">
        <f t="shared" si="216"/>
        <v>barboterapia</v>
      </c>
      <c r="T2312" s="14">
        <f t="shared" si="217"/>
        <v>10</v>
      </c>
      <c r="U2312" s="14" t="str">
        <f t="shared" si="218"/>
        <v/>
      </c>
      <c r="V2312" s="14"/>
      <c r="W2312" t="str">
        <f>IF(A2312=$A$1707,base!$I$3,IF(A2312=$A$1709,base!$I$2,IF(Receitas!A2312=Receitas!$A$1701,base!$I$4,"")))</f>
        <v>Gustavo de Castro</v>
      </c>
      <c r="X2312" t="str">
        <f t="shared" si="219"/>
        <v>roney almeida</v>
      </c>
    </row>
    <row r="2313" spans="1:24">
      <c r="A2313" t="s">
        <v>519</v>
      </c>
      <c r="B2313" t="s">
        <v>1187</v>
      </c>
      <c r="C2313" t="s">
        <v>3291</v>
      </c>
      <c r="D2313" s="14">
        <v>15</v>
      </c>
      <c r="E2313" t="s">
        <v>1604</v>
      </c>
      <c r="F2313" t="s">
        <v>3292</v>
      </c>
      <c r="G2313" t="s">
        <v>1</v>
      </c>
      <c r="H2313" t="s">
        <v>2025</v>
      </c>
      <c r="I2313" t="str">
        <f>IF(A2313="","Pacote",IF(B2313=IFERROR(VLOOKUP(B2313,base!$L$1:$L$20,1,0),""),"Produtos",IF(B2313=IFERROR(VLOOKUP(B2313,base!$K$2:$K$20,1,0),""),"Serviços",IF(B2313="Gorjeta","Gorjeta","Combos"))))</f>
        <v>Serviços</v>
      </c>
      <c r="J2313">
        <f t="shared" si="210"/>
        <v>6.75</v>
      </c>
      <c r="K2313" s="1" t="str">
        <f t="shared" si="211"/>
        <v>26/05/2025 16:00</v>
      </c>
      <c r="L2313" s="1">
        <f t="shared" si="212"/>
        <v>45803</v>
      </c>
      <c r="M2313" s="1">
        <f t="shared" si="213"/>
        <v>45803</v>
      </c>
      <c r="N2313" s="1"/>
      <c r="O2313" t="str">
        <f t="shared" si="214"/>
        <v>PIX</v>
      </c>
      <c r="P2313" t="s">
        <v>149</v>
      </c>
      <c r="Q2313" t="str">
        <f t="shared" si="215"/>
        <v>Serviços</v>
      </c>
      <c r="R2313" t="str">
        <f t="shared" si="216"/>
        <v>depilação nariz</v>
      </c>
      <c r="T2313" s="14">
        <f t="shared" si="217"/>
        <v>15</v>
      </c>
      <c r="U2313" s="14" t="str">
        <f t="shared" si="218"/>
        <v/>
      </c>
      <c r="V2313" s="14"/>
      <c r="W2313" t="str">
        <f>IF(A2313=$A$1707,base!$I$3,IF(A2313=$A$1709,base!$I$2,IF(Receitas!A2313=Receitas!$A$1701,base!$I$4,"")))</f>
        <v>Gustavo de Castro</v>
      </c>
      <c r="X2313" t="str">
        <f t="shared" si="219"/>
        <v>roney almeida</v>
      </c>
    </row>
    <row r="2314" spans="1:24">
      <c r="A2314" t="s">
        <v>252</v>
      </c>
      <c r="B2314" t="s">
        <v>353</v>
      </c>
      <c r="C2314" t="s">
        <v>3293</v>
      </c>
      <c r="D2314" s="14">
        <v>60</v>
      </c>
      <c r="E2314" s="14">
        <v>80</v>
      </c>
      <c r="F2314" t="s">
        <v>3294</v>
      </c>
      <c r="G2314" t="s">
        <v>1</v>
      </c>
      <c r="H2314" t="s">
        <v>3295</v>
      </c>
      <c r="I2314" t="str">
        <f>IF(A2314="","Pacote",IF(B2314=IFERROR(VLOOKUP(B2314,base!$L$1:$L$20,1,0),""),"Produtos",IF(B2314=IFERROR(VLOOKUP(B2314,base!$K$2:$K$20,1,0),""),"Serviços",IF(B2314="Gorjeta","Gorjeta","Combos"))))</f>
        <v>Combos</v>
      </c>
      <c r="J2314">
        <f t="shared" si="210"/>
        <v>27</v>
      </c>
      <c r="K2314" s="1" t="str">
        <f t="shared" si="211"/>
        <v>26/05/2025 19:00</v>
      </c>
      <c r="L2314" s="1">
        <f t="shared" si="212"/>
        <v>45803</v>
      </c>
      <c r="M2314" s="1">
        <f t="shared" si="213"/>
        <v>45803</v>
      </c>
      <c r="N2314" s="1"/>
      <c r="O2314" t="str">
        <f t="shared" si="214"/>
        <v>PIX</v>
      </c>
      <c r="P2314" t="s">
        <v>149</v>
      </c>
      <c r="Q2314" t="str">
        <f t="shared" si="215"/>
        <v>Combos</v>
      </c>
      <c r="R2314" t="str">
        <f t="shared" si="216"/>
        <v>Combo ( Corte + Barba )</v>
      </c>
      <c r="T2314" s="14">
        <f t="shared" si="217"/>
        <v>60</v>
      </c>
      <c r="U2314" s="14">
        <f t="shared" si="218"/>
        <v>80</v>
      </c>
      <c r="V2314" s="14"/>
      <c r="W2314" t="str">
        <f>IF(A2314=$A$1707,base!$I$3,IF(A2314=$A$1709,base!$I$2,IF(Receitas!A2314=Receitas!$A$1701,base!$I$4,"")))</f>
        <v>Christian Magon</v>
      </c>
      <c r="X2314" t="str">
        <f t="shared" si="219"/>
        <v>Gustavo Castro</v>
      </c>
    </row>
    <row r="2315" spans="1:24">
      <c r="A2315" t="s">
        <v>252</v>
      </c>
      <c r="B2315" t="s">
        <v>352</v>
      </c>
      <c r="C2315" t="s">
        <v>3293</v>
      </c>
      <c r="D2315" s="14">
        <v>20</v>
      </c>
      <c r="E2315" t="s">
        <v>1604</v>
      </c>
      <c r="F2315" t="s">
        <v>3294</v>
      </c>
      <c r="G2315" t="s">
        <v>1</v>
      </c>
      <c r="H2315" t="s">
        <v>3295</v>
      </c>
      <c r="I2315" t="str">
        <f>IF(A2315="","Pacote",IF(B2315=IFERROR(VLOOKUP(B2315,base!$L$1:$L$20,1,0),""),"Produtos",IF(B2315=IFERROR(VLOOKUP(B2315,base!$K$2:$K$20,1,0),""),"Serviços",IF(B2315="Gorjeta","Gorjeta","Combos"))))</f>
        <v>Combos</v>
      </c>
      <c r="J2315">
        <f t="shared" si="210"/>
        <v>9</v>
      </c>
      <c r="K2315" s="1" t="str">
        <f t="shared" si="211"/>
        <v>26/05/2025 19:00</v>
      </c>
      <c r="L2315" s="1">
        <f t="shared" si="212"/>
        <v>45803</v>
      </c>
      <c r="M2315" s="1">
        <f t="shared" si="213"/>
        <v>45803</v>
      </c>
      <c r="N2315" s="1"/>
      <c r="O2315" t="str">
        <f t="shared" si="214"/>
        <v>PIX</v>
      </c>
      <c r="P2315" t="s">
        <v>149</v>
      </c>
      <c r="Q2315" t="str">
        <f t="shared" si="215"/>
        <v>Combos</v>
      </c>
      <c r="R2315" t="str">
        <f t="shared" si="216"/>
        <v>Combo ( depilação nariz e orelha )</v>
      </c>
      <c r="T2315" s="14">
        <f t="shared" si="217"/>
        <v>20</v>
      </c>
      <c r="U2315" s="14" t="str">
        <f t="shared" si="218"/>
        <v/>
      </c>
      <c r="V2315" s="14"/>
      <c r="W2315" t="str">
        <f>IF(A2315=$A$1707,base!$I$3,IF(A2315=$A$1709,base!$I$2,IF(Receitas!A2315=Receitas!$A$1701,base!$I$4,"")))</f>
        <v>Christian Magon</v>
      </c>
      <c r="X2315" t="str">
        <f t="shared" si="219"/>
        <v>Gustavo Castro</v>
      </c>
    </row>
    <row r="2316" spans="1:24">
      <c r="A2316" t="s">
        <v>252</v>
      </c>
      <c r="B2316" t="s">
        <v>163</v>
      </c>
      <c r="C2316" t="s">
        <v>3296</v>
      </c>
      <c r="D2316" s="14">
        <v>35</v>
      </c>
      <c r="E2316" s="14">
        <v>35</v>
      </c>
      <c r="F2316" t="s">
        <v>3297</v>
      </c>
      <c r="G2316" t="s">
        <v>1</v>
      </c>
      <c r="H2316" t="s">
        <v>58</v>
      </c>
      <c r="I2316" t="str">
        <f>IF(A2316="","Pacote",IF(B2316=IFERROR(VLOOKUP(B2316,base!$L$1:$L$20,1,0),""),"Produtos",IF(B2316=IFERROR(VLOOKUP(B2316,base!$K$2:$K$20,1,0),""),"Serviços",IF(B2316="Gorjeta","Gorjeta","Combos"))))</f>
        <v>Serviços</v>
      </c>
      <c r="J2316">
        <f t="shared" si="210"/>
        <v>15.75</v>
      </c>
      <c r="K2316" s="1" t="str">
        <f t="shared" si="211"/>
        <v>26/05/2025 20:00</v>
      </c>
      <c r="L2316" s="1">
        <f t="shared" si="212"/>
        <v>45803</v>
      </c>
      <c r="M2316" s="1">
        <f t="shared" si="213"/>
        <v>45803</v>
      </c>
      <c r="N2316" s="1"/>
      <c r="O2316" t="str">
        <f t="shared" si="214"/>
        <v>PIX</v>
      </c>
      <c r="P2316" t="s">
        <v>149</v>
      </c>
      <c r="Q2316" t="str">
        <f t="shared" si="215"/>
        <v>Serviços</v>
      </c>
      <c r="R2316" t="str">
        <f t="shared" si="216"/>
        <v>Corte</v>
      </c>
      <c r="T2316" s="14">
        <f t="shared" si="217"/>
        <v>35</v>
      </c>
      <c r="U2316" s="14">
        <f t="shared" si="218"/>
        <v>35</v>
      </c>
      <c r="V2316" s="14"/>
      <c r="W2316" t="str">
        <f>IF(A2316=$A$1707,base!$I$3,IF(A2316=$A$1709,base!$I$2,IF(Receitas!A2316=Receitas!$A$1701,base!$I$4,"")))</f>
        <v>Christian Magon</v>
      </c>
      <c r="X2316" t="str">
        <f t="shared" si="219"/>
        <v>Carlos Vinicius Amaral da Silva</v>
      </c>
    </row>
    <row r="2317" spans="1:24">
      <c r="A2317" t="s">
        <v>252</v>
      </c>
      <c r="B2317" t="s">
        <v>163</v>
      </c>
      <c r="C2317" t="s">
        <v>3298</v>
      </c>
      <c r="D2317" s="14">
        <v>35</v>
      </c>
      <c r="E2317" s="14">
        <v>53</v>
      </c>
      <c r="F2317" t="s">
        <v>3299</v>
      </c>
      <c r="G2317" t="s">
        <v>1</v>
      </c>
      <c r="H2317" t="s">
        <v>364</v>
      </c>
      <c r="I2317" t="str">
        <f>IF(A2317="","Pacote",IF(B2317=IFERROR(VLOOKUP(B2317,base!$L$1:$L$20,1,0),""),"Produtos",IF(B2317=IFERROR(VLOOKUP(B2317,base!$K$2:$K$20,1,0),""),"Serviços",IF(B2317="Gorjeta","Gorjeta","Combos"))))</f>
        <v>Serviços</v>
      </c>
      <c r="J2317">
        <f t="shared" si="210"/>
        <v>15.75</v>
      </c>
      <c r="K2317" s="1" t="str">
        <f t="shared" si="211"/>
        <v>29/05/2025 10:00</v>
      </c>
      <c r="L2317" s="1">
        <f t="shared" si="212"/>
        <v>45806</v>
      </c>
      <c r="M2317" s="1">
        <f t="shared" si="213"/>
        <v>45806</v>
      </c>
      <c r="N2317" s="1"/>
      <c r="O2317" t="str">
        <f t="shared" si="214"/>
        <v>PIX</v>
      </c>
      <c r="P2317" t="s">
        <v>149</v>
      </c>
      <c r="Q2317" t="str">
        <f t="shared" si="215"/>
        <v>Serviços</v>
      </c>
      <c r="R2317" t="str">
        <f t="shared" si="216"/>
        <v>Corte</v>
      </c>
      <c r="T2317" s="14">
        <f t="shared" si="217"/>
        <v>35</v>
      </c>
      <c r="U2317" s="14">
        <f t="shared" si="218"/>
        <v>53</v>
      </c>
      <c r="V2317" s="14"/>
      <c r="W2317" t="str">
        <f>IF(A2317=$A$1707,base!$I$3,IF(A2317=$A$1709,base!$I$2,IF(Receitas!A2317=Receitas!$A$1701,base!$I$4,"")))</f>
        <v>Christian Magon</v>
      </c>
      <c r="X2317" t="str">
        <f t="shared" si="219"/>
        <v>Gabriel lucas</v>
      </c>
    </row>
    <row r="2318" spans="1:24">
      <c r="A2318" t="s">
        <v>252</v>
      </c>
      <c r="B2318" t="s">
        <v>2931</v>
      </c>
      <c r="C2318" t="s">
        <v>3298</v>
      </c>
      <c r="D2318" s="14">
        <v>18</v>
      </c>
      <c r="E2318" t="s">
        <v>1604</v>
      </c>
      <c r="F2318" t="s">
        <v>3299</v>
      </c>
      <c r="G2318" t="s">
        <v>1</v>
      </c>
      <c r="H2318" t="s">
        <v>364</v>
      </c>
      <c r="I2318" t="str">
        <f>IF(A2318="","Pacote",IF(B2318=IFERROR(VLOOKUP(B2318,base!$L$1:$L$20,1,0),""),"Produtos",IF(B2318=IFERROR(VLOOKUP(B2318,base!$K$2:$K$20,1,0),""),"Serviços",IF(B2318="Gorjeta","Gorjeta","Combos"))))</f>
        <v>Produtos</v>
      </c>
      <c r="J2318">
        <f t="shared" si="210"/>
        <v>7.2</v>
      </c>
      <c r="K2318" s="1" t="str">
        <f t="shared" si="211"/>
        <v>29/05/2025 10:00</v>
      </c>
      <c r="L2318" s="1">
        <f t="shared" si="212"/>
        <v>45806</v>
      </c>
      <c r="M2318" s="1">
        <f t="shared" si="213"/>
        <v>45806</v>
      </c>
      <c r="N2318" s="1"/>
      <c r="O2318" t="str">
        <f t="shared" si="214"/>
        <v>PIX</v>
      </c>
      <c r="P2318" t="s">
        <v>149</v>
      </c>
      <c r="Q2318" t="str">
        <f t="shared" si="215"/>
        <v>Produtos</v>
      </c>
      <c r="R2318" t="str">
        <f t="shared" si="216"/>
        <v>Pomada matte 80g</v>
      </c>
      <c r="T2318" s="14">
        <f t="shared" si="217"/>
        <v>18</v>
      </c>
      <c r="U2318" s="14" t="str">
        <f t="shared" si="218"/>
        <v/>
      </c>
      <c r="V2318" s="14"/>
      <c r="W2318" t="str">
        <f>IF(A2318=$A$1707,base!$I$3,IF(A2318=$A$1709,base!$I$2,IF(Receitas!A2318=Receitas!$A$1701,base!$I$4,"")))</f>
        <v>Christian Magon</v>
      </c>
      <c r="X2318" t="str">
        <f t="shared" si="219"/>
        <v>Gabriel lucas</v>
      </c>
    </row>
    <row r="2319" spans="1:24">
      <c r="A2319" t="s">
        <v>252</v>
      </c>
      <c r="B2319" t="s">
        <v>163</v>
      </c>
      <c r="C2319" t="s">
        <v>3300</v>
      </c>
      <c r="D2319" s="14">
        <v>35</v>
      </c>
      <c r="E2319" s="14">
        <v>35</v>
      </c>
      <c r="F2319" t="s">
        <v>3301</v>
      </c>
      <c r="G2319" t="s">
        <v>1</v>
      </c>
      <c r="H2319" t="s">
        <v>360</v>
      </c>
      <c r="I2319" t="str">
        <f>IF(A2319="","Pacote",IF(B2319=IFERROR(VLOOKUP(B2319,base!$L$1:$L$20,1,0),""),"Produtos",IF(B2319=IFERROR(VLOOKUP(B2319,base!$K$2:$K$20,1,0),""),"Serviços",IF(B2319="Gorjeta","Gorjeta","Combos"))))</f>
        <v>Serviços</v>
      </c>
      <c r="J2319">
        <f t="shared" si="210"/>
        <v>15.75</v>
      </c>
      <c r="K2319" s="1" t="str">
        <f t="shared" si="211"/>
        <v>26/05/2025 18:00</v>
      </c>
      <c r="L2319" s="1">
        <f t="shared" si="212"/>
        <v>45803</v>
      </c>
      <c r="M2319" s="1">
        <f t="shared" si="213"/>
        <v>45803</v>
      </c>
      <c r="N2319" s="1"/>
      <c r="O2319" t="str">
        <f t="shared" si="214"/>
        <v>PIX</v>
      </c>
      <c r="P2319" t="s">
        <v>149</v>
      </c>
      <c r="Q2319" t="str">
        <f t="shared" si="215"/>
        <v>Serviços</v>
      </c>
      <c r="R2319" t="str">
        <f t="shared" si="216"/>
        <v>Corte</v>
      </c>
      <c r="T2319" s="14">
        <f t="shared" si="217"/>
        <v>35</v>
      </c>
      <c r="U2319" s="14">
        <f t="shared" si="218"/>
        <v>35</v>
      </c>
      <c r="V2319" s="14"/>
      <c r="W2319" t="str">
        <f>IF(A2319=$A$1707,base!$I$3,IF(A2319=$A$1709,base!$I$2,IF(Receitas!A2319=Receitas!$A$1701,base!$I$4,"")))</f>
        <v>Christian Magon</v>
      </c>
      <c r="X2319" t="str">
        <f t="shared" si="219"/>
        <v>Anderson cleyton</v>
      </c>
    </row>
    <row r="2320" spans="1:24">
      <c r="A2320" t="s">
        <v>536</v>
      </c>
      <c r="B2320" t="s">
        <v>163</v>
      </c>
      <c r="C2320" t="s">
        <v>3302</v>
      </c>
      <c r="D2320" s="14">
        <v>30</v>
      </c>
      <c r="E2320" s="14">
        <v>30</v>
      </c>
      <c r="F2320" t="s">
        <v>3303</v>
      </c>
      <c r="G2320" t="s">
        <v>1</v>
      </c>
      <c r="H2320" t="s">
        <v>271</v>
      </c>
      <c r="I2320" t="str">
        <f>IF(A2320="","Pacote",IF(B2320=IFERROR(VLOOKUP(B2320,base!$L$1:$L$20,1,0),""),"Produtos",IF(B2320=IFERROR(VLOOKUP(B2320,base!$K$2:$K$20,1,0),""),"Serviços",IF(B2320="Gorjeta","Gorjeta","Combos"))))</f>
        <v>Serviços</v>
      </c>
      <c r="J2320">
        <f t="shared" si="210"/>
        <v>13.5</v>
      </c>
      <c r="K2320" s="1" t="str">
        <f t="shared" si="211"/>
        <v>30/05/2025 19:00</v>
      </c>
      <c r="L2320" s="1">
        <f t="shared" si="212"/>
        <v>45807</v>
      </c>
      <c r="M2320" s="1">
        <f t="shared" si="213"/>
        <v>45807</v>
      </c>
      <c r="N2320" s="1"/>
      <c r="O2320" t="str">
        <f t="shared" si="214"/>
        <v>PIX</v>
      </c>
      <c r="P2320" t="s">
        <v>149</v>
      </c>
      <c r="Q2320" t="str">
        <f t="shared" si="215"/>
        <v>Serviços</v>
      </c>
      <c r="R2320" t="str">
        <f t="shared" si="216"/>
        <v>Corte</v>
      </c>
      <c r="T2320" s="14">
        <f t="shared" si="217"/>
        <v>30</v>
      </c>
      <c r="U2320" s="14">
        <f t="shared" si="218"/>
        <v>30</v>
      </c>
      <c r="V2320" s="14"/>
      <c r="W2320" t="str">
        <f>IF(A2320=$A$1707,base!$I$3,IF(A2320=$A$1709,base!$I$2,IF(Receitas!A2320=Receitas!$A$1701,base!$I$4,"")))</f>
        <v>PATRICK CARDOSO</v>
      </c>
      <c r="X2320" t="str">
        <f t="shared" si="219"/>
        <v>MARCIO ANDRE BARROSO</v>
      </c>
    </row>
    <row r="2321" spans="1:24">
      <c r="A2321" t="s">
        <v>536</v>
      </c>
      <c r="B2321" t="s">
        <v>163</v>
      </c>
      <c r="C2321" t="s">
        <v>3304</v>
      </c>
      <c r="D2321" s="14">
        <v>20</v>
      </c>
      <c r="E2321" s="14">
        <v>20</v>
      </c>
      <c r="F2321" t="s">
        <v>3305</v>
      </c>
      <c r="G2321" t="s">
        <v>1</v>
      </c>
      <c r="H2321" t="s">
        <v>410</v>
      </c>
      <c r="I2321" t="str">
        <f>IF(A2321="","Pacote",IF(B2321=IFERROR(VLOOKUP(B2321,base!$L$1:$L$20,1,0),""),"Produtos",IF(B2321=IFERROR(VLOOKUP(B2321,base!$K$2:$K$20,1,0),""),"Serviços",IF(B2321="Gorjeta","Gorjeta","Combos"))))</f>
        <v>Serviços</v>
      </c>
      <c r="J2321">
        <f t="shared" si="210"/>
        <v>9</v>
      </c>
      <c r="K2321" s="1" t="str">
        <f t="shared" si="211"/>
        <v>27/05/2025 12:30</v>
      </c>
      <c r="L2321" s="1">
        <f t="shared" si="212"/>
        <v>45804</v>
      </c>
      <c r="M2321" s="1">
        <f t="shared" si="213"/>
        <v>45804</v>
      </c>
      <c r="N2321" s="1"/>
      <c r="O2321" t="str">
        <f t="shared" si="214"/>
        <v>PIX</v>
      </c>
      <c r="P2321" t="s">
        <v>149</v>
      </c>
      <c r="Q2321" t="str">
        <f t="shared" si="215"/>
        <v>Serviços</v>
      </c>
      <c r="R2321" t="str">
        <f t="shared" si="216"/>
        <v>Corte</v>
      </c>
      <c r="T2321" s="14">
        <f t="shared" si="217"/>
        <v>20</v>
      </c>
      <c r="U2321" s="14">
        <f t="shared" si="218"/>
        <v>20</v>
      </c>
      <c r="V2321" s="14"/>
      <c r="W2321" t="str">
        <f>IF(A2321=$A$1707,base!$I$3,IF(A2321=$A$1709,base!$I$2,IF(Receitas!A2321=Receitas!$A$1701,base!$I$4,"")))</f>
        <v>PATRICK CARDOSO</v>
      </c>
      <c r="X2321" t="str">
        <f t="shared" si="219"/>
        <v>marcus vinicius santos</v>
      </c>
    </row>
    <row r="2322" spans="1:24">
      <c r="A2322" t="s">
        <v>536</v>
      </c>
      <c r="B2322" t="s">
        <v>163</v>
      </c>
      <c r="C2322" t="s">
        <v>3306</v>
      </c>
      <c r="D2322" s="14">
        <v>35</v>
      </c>
      <c r="E2322" s="14">
        <v>35</v>
      </c>
      <c r="F2322" t="s">
        <v>3307</v>
      </c>
      <c r="G2322" t="s">
        <v>1</v>
      </c>
      <c r="H2322" t="s">
        <v>375</v>
      </c>
      <c r="I2322" t="str">
        <f>IF(A2322="","Pacote",IF(B2322=IFERROR(VLOOKUP(B2322,base!$L$1:$L$20,1,0),""),"Produtos",IF(B2322=IFERROR(VLOOKUP(B2322,base!$K$2:$K$20,1,0),""),"Serviços",IF(B2322="Gorjeta","Gorjeta","Combos"))))</f>
        <v>Serviços</v>
      </c>
      <c r="J2322">
        <f t="shared" si="210"/>
        <v>15.75</v>
      </c>
      <c r="K2322" s="1" t="str">
        <f t="shared" si="211"/>
        <v>27/05/2025 18:30</v>
      </c>
      <c r="L2322" s="1">
        <f t="shared" si="212"/>
        <v>45804</v>
      </c>
      <c r="M2322" s="1">
        <f t="shared" si="213"/>
        <v>45804</v>
      </c>
      <c r="N2322" s="1"/>
      <c r="O2322" t="str">
        <f t="shared" si="214"/>
        <v>PIX</v>
      </c>
      <c r="P2322" t="s">
        <v>149</v>
      </c>
      <c r="Q2322" t="str">
        <f t="shared" si="215"/>
        <v>Serviços</v>
      </c>
      <c r="R2322" t="str">
        <f t="shared" si="216"/>
        <v>Corte</v>
      </c>
      <c r="T2322" s="14">
        <f t="shared" si="217"/>
        <v>35</v>
      </c>
      <c r="U2322" s="14">
        <f t="shared" si="218"/>
        <v>35</v>
      </c>
      <c r="V2322" s="14"/>
      <c r="W2322" t="str">
        <f>IF(A2322=$A$1707,base!$I$3,IF(A2322=$A$1709,base!$I$2,IF(Receitas!A2322=Receitas!$A$1701,base!$I$4,"")))</f>
        <v>PATRICK CARDOSO</v>
      </c>
      <c r="X2322" t="str">
        <f t="shared" si="219"/>
        <v>Ítalo Almeida</v>
      </c>
    </row>
    <row r="2323" spans="1:24">
      <c r="A2323" t="s">
        <v>536</v>
      </c>
      <c r="B2323" t="s">
        <v>163</v>
      </c>
      <c r="C2323" t="s">
        <v>3308</v>
      </c>
      <c r="D2323" s="14">
        <v>35</v>
      </c>
      <c r="E2323" s="14">
        <v>35</v>
      </c>
      <c r="F2323" t="s">
        <v>3309</v>
      </c>
      <c r="G2323" t="s">
        <v>1</v>
      </c>
      <c r="H2323" t="s">
        <v>1083</v>
      </c>
      <c r="I2323" t="str">
        <f>IF(A2323="","Pacote",IF(B2323=IFERROR(VLOOKUP(B2323,base!$L$1:$L$20,1,0),""),"Produtos",IF(B2323=IFERROR(VLOOKUP(B2323,base!$K$2:$K$20,1,0),""),"Serviços",IF(B2323="Gorjeta","Gorjeta","Combos"))))</f>
        <v>Serviços</v>
      </c>
      <c r="J2323">
        <f t="shared" si="210"/>
        <v>15.75</v>
      </c>
      <c r="K2323" s="1" t="str">
        <f t="shared" si="211"/>
        <v>27/05/2025 19:30</v>
      </c>
      <c r="L2323" s="1">
        <f t="shared" si="212"/>
        <v>45804</v>
      </c>
      <c r="M2323" s="1">
        <f t="shared" si="213"/>
        <v>45804</v>
      </c>
      <c r="N2323" s="1"/>
      <c r="O2323" t="str">
        <f t="shared" si="214"/>
        <v>PIX</v>
      </c>
      <c r="P2323" t="s">
        <v>149</v>
      </c>
      <c r="Q2323" t="str">
        <f t="shared" si="215"/>
        <v>Serviços</v>
      </c>
      <c r="R2323" t="str">
        <f t="shared" si="216"/>
        <v>Corte</v>
      </c>
      <c r="T2323" s="14">
        <f t="shared" si="217"/>
        <v>35</v>
      </c>
      <c r="U2323" s="14">
        <f t="shared" si="218"/>
        <v>35</v>
      </c>
      <c r="V2323" s="14"/>
      <c r="W2323" t="str">
        <f>IF(A2323=$A$1707,base!$I$3,IF(A2323=$A$1709,base!$I$2,IF(Receitas!A2323=Receitas!$A$1701,base!$I$4,"")))</f>
        <v>PATRICK CARDOSO</v>
      </c>
      <c r="X2323" t="str">
        <f t="shared" si="219"/>
        <v>breno souza</v>
      </c>
    </row>
    <row r="2324" spans="1:24">
      <c r="A2324" t="s">
        <v>519</v>
      </c>
      <c r="B2324" t="s">
        <v>163</v>
      </c>
      <c r="C2324" t="s">
        <v>3310</v>
      </c>
      <c r="D2324" s="14">
        <v>35</v>
      </c>
      <c r="E2324" s="14">
        <v>60</v>
      </c>
      <c r="F2324" t="s">
        <v>3311</v>
      </c>
      <c r="G2324" t="s">
        <v>1</v>
      </c>
      <c r="H2324" t="s">
        <v>3312</v>
      </c>
      <c r="I2324" t="str">
        <f>IF(A2324="","Pacote",IF(B2324=IFERROR(VLOOKUP(B2324,base!$L$1:$L$20,1,0),""),"Produtos",IF(B2324=IFERROR(VLOOKUP(B2324,base!$K$2:$K$20,1,0),""),"Serviços",IF(B2324="Gorjeta","Gorjeta","Combos"))))</f>
        <v>Serviços</v>
      </c>
      <c r="J2324">
        <f t="shared" si="210"/>
        <v>15.75</v>
      </c>
      <c r="K2324" s="1" t="str">
        <f t="shared" si="211"/>
        <v>27/05/2025 17:00</v>
      </c>
      <c r="L2324" s="1">
        <f t="shared" si="212"/>
        <v>45804</v>
      </c>
      <c r="M2324" s="1">
        <f t="shared" si="213"/>
        <v>45804</v>
      </c>
      <c r="N2324" s="1"/>
      <c r="O2324" t="str">
        <f t="shared" si="214"/>
        <v>PIX</v>
      </c>
      <c r="P2324" t="s">
        <v>149</v>
      </c>
      <c r="Q2324" t="str">
        <f t="shared" si="215"/>
        <v>Serviços</v>
      </c>
      <c r="R2324" t="str">
        <f t="shared" si="216"/>
        <v>Corte</v>
      </c>
      <c r="T2324" s="14">
        <f t="shared" si="217"/>
        <v>35</v>
      </c>
      <c r="U2324" s="14">
        <f t="shared" si="218"/>
        <v>60</v>
      </c>
      <c r="V2324" s="14"/>
      <c r="W2324" t="str">
        <f>IF(A2324=$A$1707,base!$I$3,IF(A2324=$A$1709,base!$I$2,IF(Receitas!A2324=Receitas!$A$1701,base!$I$4,"")))</f>
        <v>Gustavo de Castro</v>
      </c>
      <c r="X2324" t="str">
        <f t="shared" si="219"/>
        <v>Matheus</v>
      </c>
    </row>
    <row r="2325" spans="1:24">
      <c r="A2325" t="s">
        <v>519</v>
      </c>
      <c r="B2325" t="s">
        <v>1046</v>
      </c>
      <c r="C2325" t="s">
        <v>3310</v>
      </c>
      <c r="D2325" s="14">
        <v>25</v>
      </c>
      <c r="E2325" t="s">
        <v>1604</v>
      </c>
      <c r="F2325" t="s">
        <v>3311</v>
      </c>
      <c r="G2325" t="s">
        <v>1</v>
      </c>
      <c r="H2325" t="s">
        <v>3312</v>
      </c>
      <c r="I2325" t="str">
        <f>IF(A2325="","Pacote",IF(B2325=IFERROR(VLOOKUP(B2325,base!$L$1:$L$20,1,0),""),"Produtos",IF(B2325=IFERROR(VLOOKUP(B2325,base!$K$2:$K$20,1,0),""),"Serviços",IF(B2325="Gorjeta","Gorjeta","Combos"))))</f>
        <v>Serviços</v>
      </c>
      <c r="J2325">
        <f t="shared" si="210"/>
        <v>11.25</v>
      </c>
      <c r="K2325" s="1" t="str">
        <f t="shared" si="211"/>
        <v>27/05/2025 17:00</v>
      </c>
      <c r="L2325" s="1">
        <f t="shared" si="212"/>
        <v>45804</v>
      </c>
      <c r="M2325" s="1">
        <f t="shared" si="213"/>
        <v>45804</v>
      </c>
      <c r="N2325" s="1"/>
      <c r="O2325" t="str">
        <f t="shared" si="214"/>
        <v>PIX</v>
      </c>
      <c r="P2325" t="s">
        <v>149</v>
      </c>
      <c r="Q2325" t="str">
        <f t="shared" si="215"/>
        <v>Serviços</v>
      </c>
      <c r="R2325" t="str">
        <f t="shared" si="216"/>
        <v>Barba</v>
      </c>
      <c r="T2325" s="14">
        <f t="shared" si="217"/>
        <v>25</v>
      </c>
      <c r="U2325" s="14" t="str">
        <f t="shared" si="218"/>
        <v/>
      </c>
      <c r="V2325" s="14"/>
      <c r="W2325" t="str">
        <f>IF(A2325=$A$1707,base!$I$3,IF(A2325=$A$1709,base!$I$2,IF(Receitas!A2325=Receitas!$A$1701,base!$I$4,"")))</f>
        <v>Gustavo de Castro</v>
      </c>
      <c r="X2325" t="str">
        <f t="shared" si="219"/>
        <v>Matheus</v>
      </c>
    </row>
    <row r="2326" spans="1:24">
      <c r="A2326" t="s">
        <v>536</v>
      </c>
      <c r="B2326" t="s">
        <v>1046</v>
      </c>
      <c r="C2326" t="s">
        <v>3313</v>
      </c>
      <c r="D2326" s="14">
        <v>35</v>
      </c>
      <c r="E2326" s="14">
        <v>53</v>
      </c>
      <c r="F2326" t="s">
        <v>3314</v>
      </c>
      <c r="G2326" t="s">
        <v>1</v>
      </c>
      <c r="H2326" t="s">
        <v>3315</v>
      </c>
      <c r="I2326" t="str">
        <f>IF(A2326="","Pacote",IF(B2326=IFERROR(VLOOKUP(B2326,base!$L$1:$L$20,1,0),""),"Produtos",IF(B2326=IFERROR(VLOOKUP(B2326,base!$K$2:$K$20,1,0),""),"Serviços",IF(B2326="Gorjeta","Gorjeta","Combos"))))</f>
        <v>Serviços</v>
      </c>
      <c r="J2326">
        <f t="shared" si="210"/>
        <v>15.75</v>
      </c>
      <c r="K2326" s="1" t="str">
        <f t="shared" si="211"/>
        <v>27/05/2025 16:30</v>
      </c>
      <c r="L2326" s="1">
        <f t="shared" si="212"/>
        <v>45804</v>
      </c>
      <c r="M2326" s="1">
        <f t="shared" si="213"/>
        <v>45804</v>
      </c>
      <c r="N2326" s="1"/>
      <c r="O2326" t="str">
        <f t="shared" si="214"/>
        <v>PIX</v>
      </c>
      <c r="P2326" t="s">
        <v>149</v>
      </c>
      <c r="Q2326" t="str">
        <f t="shared" si="215"/>
        <v>Serviços</v>
      </c>
      <c r="R2326" t="str">
        <f t="shared" si="216"/>
        <v>Barba</v>
      </c>
      <c r="T2326" s="14">
        <f t="shared" si="217"/>
        <v>35</v>
      </c>
      <c r="U2326" s="14">
        <f t="shared" si="218"/>
        <v>53</v>
      </c>
      <c r="V2326" s="14"/>
      <c r="W2326" t="str">
        <f>IF(A2326=$A$1707,base!$I$3,IF(A2326=$A$1709,base!$I$2,IF(Receitas!A2326=Receitas!$A$1701,base!$I$4,"")))</f>
        <v>PATRICK CARDOSO</v>
      </c>
      <c r="X2326" t="str">
        <f t="shared" si="219"/>
        <v>cleide Souza</v>
      </c>
    </row>
    <row r="2327" spans="1:24">
      <c r="A2327" t="s">
        <v>536</v>
      </c>
      <c r="B2327" t="s">
        <v>3316</v>
      </c>
      <c r="C2327" t="s">
        <v>3313</v>
      </c>
      <c r="D2327" s="14">
        <v>18</v>
      </c>
      <c r="E2327" t="s">
        <v>1604</v>
      </c>
      <c r="F2327" t="s">
        <v>3314</v>
      </c>
      <c r="G2327" t="s">
        <v>1</v>
      </c>
      <c r="H2327" t="s">
        <v>3315</v>
      </c>
      <c r="I2327" t="str">
        <f>IF(A2327="","Pacote",IF(B2327=IFERROR(VLOOKUP(B2327,base!$L$1:$L$20,1,0),""),"Produtos",IF(B2327=IFERROR(VLOOKUP(B2327,base!$K$2:$K$20,1,0),""),"Serviços",IF(B2327="Gorjeta","Gorjeta","Combos"))))</f>
        <v>Produtos</v>
      </c>
      <c r="J2327">
        <f t="shared" si="210"/>
        <v>7.2</v>
      </c>
      <c r="K2327" s="1" t="str">
        <f t="shared" si="211"/>
        <v>27/05/2025 16:30</v>
      </c>
      <c r="L2327" s="1">
        <f t="shared" si="212"/>
        <v>45804</v>
      </c>
      <c r="M2327" s="1">
        <f t="shared" si="213"/>
        <v>45804</v>
      </c>
      <c r="N2327" s="1"/>
      <c r="O2327" t="str">
        <f t="shared" si="214"/>
        <v>PIX</v>
      </c>
      <c r="P2327" t="s">
        <v>149</v>
      </c>
      <c r="Q2327" t="str">
        <f t="shared" si="215"/>
        <v>Produtos</v>
      </c>
      <c r="R2327" t="str">
        <f t="shared" si="216"/>
        <v>pasta caramelo Fox 80g</v>
      </c>
      <c r="T2327" s="14">
        <f t="shared" si="217"/>
        <v>18</v>
      </c>
      <c r="U2327" s="14" t="str">
        <f t="shared" si="218"/>
        <v/>
      </c>
      <c r="V2327" s="14"/>
      <c r="W2327" t="str">
        <f>IF(A2327=$A$1707,base!$I$3,IF(A2327=$A$1709,base!$I$2,IF(Receitas!A2327=Receitas!$A$1701,base!$I$4,"")))</f>
        <v>PATRICK CARDOSO</v>
      </c>
      <c r="X2327" t="str">
        <f t="shared" si="219"/>
        <v>cleide Souza</v>
      </c>
    </row>
    <row r="2328" spans="1:24">
      <c r="A2328" t="s">
        <v>252</v>
      </c>
      <c r="B2328" t="s">
        <v>163</v>
      </c>
      <c r="C2328" t="s">
        <v>3317</v>
      </c>
      <c r="D2328" s="14">
        <v>20</v>
      </c>
      <c r="E2328" s="14">
        <v>20</v>
      </c>
      <c r="F2328" t="s">
        <v>3318</v>
      </c>
      <c r="G2328" t="s">
        <v>1</v>
      </c>
      <c r="H2328" t="s">
        <v>1077</v>
      </c>
      <c r="I2328" t="str">
        <f>IF(A2328="","Pacote",IF(B2328=IFERROR(VLOOKUP(B2328,base!$L$1:$L$20,1,0),""),"Produtos",IF(B2328=IFERROR(VLOOKUP(B2328,base!$K$2:$K$20,1,0),""),"Serviços",IF(B2328="Gorjeta","Gorjeta","Combos"))))</f>
        <v>Serviços</v>
      </c>
      <c r="J2328">
        <f t="shared" si="210"/>
        <v>9</v>
      </c>
      <c r="K2328" s="1" t="str">
        <f t="shared" si="211"/>
        <v>27/05/2025 17:30</v>
      </c>
      <c r="L2328" s="1">
        <f t="shared" si="212"/>
        <v>45804</v>
      </c>
      <c r="M2328" s="1">
        <f t="shared" si="213"/>
        <v>45804</v>
      </c>
      <c r="N2328" s="1"/>
      <c r="O2328" t="str">
        <f t="shared" si="214"/>
        <v>PIX</v>
      </c>
      <c r="P2328" t="s">
        <v>149</v>
      </c>
      <c r="Q2328" t="str">
        <f t="shared" si="215"/>
        <v>Serviços</v>
      </c>
      <c r="R2328" t="str">
        <f t="shared" si="216"/>
        <v>Corte</v>
      </c>
      <c r="T2328" s="14">
        <f t="shared" si="217"/>
        <v>20</v>
      </c>
      <c r="U2328" s="14">
        <f t="shared" si="218"/>
        <v>20</v>
      </c>
      <c r="V2328" s="14"/>
      <c r="W2328" t="str">
        <f>IF(A2328=$A$1707,base!$I$3,IF(A2328=$A$1709,base!$I$2,IF(Receitas!A2328=Receitas!$A$1701,base!$I$4,"")))</f>
        <v>Christian Magon</v>
      </c>
      <c r="X2328" t="str">
        <f t="shared" si="219"/>
        <v>leonardo souza de moura</v>
      </c>
    </row>
    <row r="2329" spans="1:24">
      <c r="A2329" t="s">
        <v>252</v>
      </c>
      <c r="B2329" t="s">
        <v>163</v>
      </c>
      <c r="C2329" t="s">
        <v>3319</v>
      </c>
      <c r="D2329" s="14">
        <v>35</v>
      </c>
      <c r="E2329" s="14">
        <v>35</v>
      </c>
      <c r="F2329" t="s">
        <v>3309</v>
      </c>
      <c r="G2329" t="s">
        <v>1</v>
      </c>
      <c r="H2329" t="s">
        <v>3320</v>
      </c>
      <c r="I2329" t="str">
        <f>IF(A2329="","Pacote",IF(B2329=IFERROR(VLOOKUP(B2329,base!$L$1:$L$20,1,0),""),"Produtos",IF(B2329=IFERROR(VLOOKUP(B2329,base!$K$2:$K$20,1,0),""),"Serviços",IF(B2329="Gorjeta","Gorjeta","Combos"))))</f>
        <v>Serviços</v>
      </c>
      <c r="J2329">
        <f t="shared" si="210"/>
        <v>15.75</v>
      </c>
      <c r="K2329" s="1" t="str">
        <f t="shared" si="211"/>
        <v>27/05/2025 19:30</v>
      </c>
      <c r="L2329" s="1">
        <f t="shared" si="212"/>
        <v>45804</v>
      </c>
      <c r="M2329" s="1">
        <f t="shared" si="213"/>
        <v>45804</v>
      </c>
      <c r="N2329" s="1"/>
      <c r="O2329" t="str">
        <f t="shared" si="214"/>
        <v>PIX</v>
      </c>
      <c r="P2329" t="s">
        <v>149</v>
      </c>
      <c r="Q2329" t="str">
        <f t="shared" si="215"/>
        <v>Serviços</v>
      </c>
      <c r="R2329" t="str">
        <f t="shared" si="216"/>
        <v>Corte</v>
      </c>
      <c r="T2329" s="14">
        <f t="shared" si="217"/>
        <v>35</v>
      </c>
      <c r="U2329" s="14">
        <f t="shared" si="218"/>
        <v>35</v>
      </c>
      <c r="V2329" s="14"/>
      <c r="W2329" t="str">
        <f>IF(A2329=$A$1707,base!$I$3,IF(A2329=$A$1709,base!$I$2,IF(Receitas!A2329=Receitas!$A$1701,base!$I$4,"")))</f>
        <v>Christian Magon</v>
      </c>
      <c r="X2329" t="str">
        <f t="shared" si="219"/>
        <v>leonardo de carvalho telles</v>
      </c>
    </row>
    <row r="2330" spans="1:24">
      <c r="A2330" t="s">
        <v>519</v>
      </c>
      <c r="B2330" t="s">
        <v>163</v>
      </c>
      <c r="C2330" t="s">
        <v>3321</v>
      </c>
      <c r="D2330" s="14">
        <v>35</v>
      </c>
      <c r="E2330" s="14">
        <v>35</v>
      </c>
      <c r="F2330" t="s">
        <v>3322</v>
      </c>
      <c r="G2330" t="s">
        <v>1</v>
      </c>
      <c r="H2330" t="s">
        <v>842</v>
      </c>
      <c r="I2330" t="str">
        <f>IF(A2330="","Pacote",IF(B2330=IFERROR(VLOOKUP(B2330,base!$L$1:$L$20,1,0),""),"Produtos",IF(B2330=IFERROR(VLOOKUP(B2330,base!$K$2:$K$20,1,0),""),"Serviços",IF(B2330="Gorjeta","Gorjeta","Combos"))))</f>
        <v>Serviços</v>
      </c>
      <c r="J2330">
        <f t="shared" si="210"/>
        <v>15.75</v>
      </c>
      <c r="K2330" s="1" t="str">
        <f t="shared" si="211"/>
        <v>28/05/2025 17:15</v>
      </c>
      <c r="L2330" s="1">
        <f t="shared" si="212"/>
        <v>45805</v>
      </c>
      <c r="M2330" s="1">
        <f t="shared" si="213"/>
        <v>45805</v>
      </c>
      <c r="N2330" s="1"/>
      <c r="O2330" t="str">
        <f t="shared" si="214"/>
        <v>PIX</v>
      </c>
      <c r="P2330" t="s">
        <v>149</v>
      </c>
      <c r="Q2330" t="str">
        <f t="shared" si="215"/>
        <v>Serviços</v>
      </c>
      <c r="R2330" t="str">
        <f t="shared" si="216"/>
        <v>Corte</v>
      </c>
      <c r="T2330" s="14">
        <f t="shared" si="217"/>
        <v>35</v>
      </c>
      <c r="U2330" s="14">
        <f t="shared" si="218"/>
        <v>35</v>
      </c>
      <c r="V2330" s="14"/>
      <c r="W2330" t="str">
        <f>IF(A2330=$A$1707,base!$I$3,IF(A2330=$A$1709,base!$I$2,IF(Receitas!A2330=Receitas!$A$1701,base!$I$4,"")))</f>
        <v>Gustavo de Castro</v>
      </c>
      <c r="X2330" t="str">
        <f t="shared" si="219"/>
        <v>Gilson Abud</v>
      </c>
    </row>
    <row r="2331" spans="1:24">
      <c r="A2331" t="s">
        <v>519</v>
      </c>
      <c r="B2331" t="s">
        <v>163</v>
      </c>
      <c r="C2331" t="s">
        <v>3323</v>
      </c>
      <c r="D2331" s="14">
        <v>35</v>
      </c>
      <c r="E2331" s="14">
        <v>35</v>
      </c>
      <c r="F2331" t="s">
        <v>3324</v>
      </c>
      <c r="G2331" t="s">
        <v>1</v>
      </c>
      <c r="H2331" t="s">
        <v>2060</v>
      </c>
      <c r="I2331" t="str">
        <f>IF(A2331="","Pacote",IF(B2331=IFERROR(VLOOKUP(B2331,base!$L$1:$L$20,1,0),""),"Produtos",IF(B2331=IFERROR(VLOOKUP(B2331,base!$K$2:$K$20,1,0),""),"Serviços",IF(B2331="Gorjeta","Gorjeta","Combos"))))</f>
        <v>Serviços</v>
      </c>
      <c r="J2331">
        <f t="shared" si="210"/>
        <v>15.75</v>
      </c>
      <c r="K2331" s="1" t="str">
        <f t="shared" si="211"/>
        <v>28/05/2025 13:30</v>
      </c>
      <c r="L2331" s="1">
        <f t="shared" si="212"/>
        <v>45805</v>
      </c>
      <c r="M2331" s="1">
        <f t="shared" si="213"/>
        <v>45805</v>
      </c>
      <c r="N2331" s="1"/>
      <c r="O2331" t="str">
        <f t="shared" si="214"/>
        <v>PIX</v>
      </c>
      <c r="P2331" t="s">
        <v>149</v>
      </c>
      <c r="Q2331" t="str">
        <f t="shared" si="215"/>
        <v>Serviços</v>
      </c>
      <c r="R2331" t="str">
        <f t="shared" si="216"/>
        <v>Corte</v>
      </c>
      <c r="T2331" s="14">
        <f t="shared" si="217"/>
        <v>35</v>
      </c>
      <c r="U2331" s="14">
        <f t="shared" si="218"/>
        <v>35</v>
      </c>
      <c r="V2331" s="14"/>
      <c r="W2331" t="str">
        <f>IF(A2331=$A$1707,base!$I$3,IF(A2331=$A$1709,base!$I$2,IF(Receitas!A2331=Receitas!$A$1701,base!$I$4,"")))</f>
        <v>Gustavo de Castro</v>
      </c>
      <c r="X2331" t="str">
        <f t="shared" si="219"/>
        <v>Gabriel</v>
      </c>
    </row>
    <row r="2332" spans="1:24">
      <c r="A2332" t="s">
        <v>536</v>
      </c>
      <c r="B2332" t="s">
        <v>163</v>
      </c>
      <c r="C2332" t="s">
        <v>3325</v>
      </c>
      <c r="D2332" s="14">
        <v>35</v>
      </c>
      <c r="E2332" s="14">
        <v>35</v>
      </c>
      <c r="F2332" t="s">
        <v>3326</v>
      </c>
      <c r="G2332" t="s">
        <v>1</v>
      </c>
      <c r="H2332" t="s">
        <v>501</v>
      </c>
      <c r="I2332" t="str">
        <f>IF(A2332="","Pacote",IF(B2332=IFERROR(VLOOKUP(B2332,base!$L$1:$L$20,1,0),""),"Produtos",IF(B2332=IFERROR(VLOOKUP(B2332,base!$K$2:$K$20,1,0),""),"Serviços",IF(B2332="Gorjeta","Gorjeta","Combos"))))</f>
        <v>Serviços</v>
      </c>
      <c r="J2332">
        <f t="shared" si="210"/>
        <v>15.75</v>
      </c>
      <c r="K2332" s="1" t="str">
        <f t="shared" si="211"/>
        <v>28/05/2025 10:45</v>
      </c>
      <c r="L2332" s="1">
        <f t="shared" si="212"/>
        <v>45805</v>
      </c>
      <c r="M2332" s="1">
        <f t="shared" si="213"/>
        <v>45805</v>
      </c>
      <c r="N2332" s="1"/>
      <c r="O2332" t="str">
        <f t="shared" si="214"/>
        <v>PIX</v>
      </c>
      <c r="P2332" t="s">
        <v>149</v>
      </c>
      <c r="Q2332" t="str">
        <f t="shared" si="215"/>
        <v>Serviços</v>
      </c>
      <c r="R2332" t="str">
        <f t="shared" si="216"/>
        <v>Corte</v>
      </c>
      <c r="T2332" s="14">
        <f t="shared" si="217"/>
        <v>35</v>
      </c>
      <c r="U2332" s="14">
        <f t="shared" si="218"/>
        <v>35</v>
      </c>
      <c r="V2332" s="14"/>
      <c r="W2332" t="str">
        <f>IF(A2332=$A$1707,base!$I$3,IF(A2332=$A$1709,base!$I$2,IF(Receitas!A2332=Receitas!$A$1701,base!$I$4,"")))</f>
        <v>PATRICK CARDOSO</v>
      </c>
      <c r="X2332" t="str">
        <f t="shared" si="219"/>
        <v>Michel Maiorano</v>
      </c>
    </row>
    <row r="2333" spans="1:24">
      <c r="A2333" t="s">
        <v>519</v>
      </c>
      <c r="B2333" t="s">
        <v>163</v>
      </c>
      <c r="C2333" t="s">
        <v>3327</v>
      </c>
      <c r="D2333" s="14">
        <v>35</v>
      </c>
      <c r="E2333" s="14">
        <v>35</v>
      </c>
      <c r="F2333" t="s">
        <v>3328</v>
      </c>
      <c r="G2333" t="s">
        <v>1</v>
      </c>
      <c r="H2333" t="s">
        <v>384</v>
      </c>
      <c r="I2333" t="str">
        <f>IF(A2333="","Pacote",IF(B2333=IFERROR(VLOOKUP(B2333,base!$L$1:$L$20,1,0),""),"Produtos",IF(B2333=IFERROR(VLOOKUP(B2333,base!$K$2:$K$20,1,0),""),"Serviços",IF(B2333="Gorjeta","Gorjeta","Combos"))))</f>
        <v>Serviços</v>
      </c>
      <c r="J2333">
        <f t="shared" si="210"/>
        <v>15.75</v>
      </c>
      <c r="K2333" s="1" t="str">
        <f t="shared" si="211"/>
        <v>28/05/2025 14:00</v>
      </c>
      <c r="L2333" s="1">
        <f t="shared" si="212"/>
        <v>45805</v>
      </c>
      <c r="M2333" s="1">
        <f t="shared" si="213"/>
        <v>45805</v>
      </c>
      <c r="N2333" s="1"/>
      <c r="O2333" t="str">
        <f t="shared" si="214"/>
        <v>PIX</v>
      </c>
      <c r="P2333" t="s">
        <v>149</v>
      </c>
      <c r="Q2333" t="str">
        <f t="shared" si="215"/>
        <v>Serviços</v>
      </c>
      <c r="R2333" t="str">
        <f t="shared" si="216"/>
        <v>Corte</v>
      </c>
      <c r="T2333" s="14">
        <f t="shared" si="217"/>
        <v>35</v>
      </c>
      <c r="U2333" s="14">
        <f t="shared" si="218"/>
        <v>35</v>
      </c>
      <c r="V2333" s="14"/>
      <c r="W2333" t="str">
        <f>IF(A2333=$A$1707,base!$I$3,IF(A2333=$A$1709,base!$I$2,IF(Receitas!A2333=Receitas!$A$1701,base!$I$4,"")))</f>
        <v>Gustavo de Castro</v>
      </c>
      <c r="X2333" t="str">
        <f t="shared" si="219"/>
        <v>Matheus Rodriguês</v>
      </c>
    </row>
    <row r="2334" spans="1:24">
      <c r="A2334" t="s">
        <v>536</v>
      </c>
      <c r="B2334" t="s">
        <v>163</v>
      </c>
      <c r="C2334" t="s">
        <v>3329</v>
      </c>
      <c r="D2334" s="14">
        <v>35</v>
      </c>
      <c r="E2334" s="14">
        <v>35</v>
      </c>
      <c r="F2334" t="s">
        <v>3330</v>
      </c>
      <c r="G2334" t="s">
        <v>310</v>
      </c>
      <c r="H2334" t="s">
        <v>492</v>
      </c>
      <c r="I2334" t="str">
        <f>IF(A2334="","Pacote",IF(B2334=IFERROR(VLOOKUP(B2334,base!$L$1:$L$20,1,0),""),"Produtos",IF(B2334=IFERROR(VLOOKUP(B2334,base!$K$2:$K$20,1,0),""),"Serviços",IF(B2334="Gorjeta","Gorjeta","Combos"))))</f>
        <v>Serviços</v>
      </c>
      <c r="J2334">
        <f t="shared" si="210"/>
        <v>15.75</v>
      </c>
      <c r="K2334" s="1" t="str">
        <f t="shared" si="211"/>
        <v>28/05/2025 11:45</v>
      </c>
      <c r="L2334" s="1">
        <f t="shared" si="212"/>
        <v>45805</v>
      </c>
      <c r="M2334" s="1">
        <f t="shared" si="213"/>
        <v>45805</v>
      </c>
      <c r="N2334" s="1"/>
      <c r="O2334" t="str">
        <f t="shared" si="214"/>
        <v>Cartão de Débito</v>
      </c>
      <c r="P2334" t="s">
        <v>149</v>
      </c>
      <c r="Q2334" t="str">
        <f t="shared" si="215"/>
        <v>Serviços</v>
      </c>
      <c r="R2334" t="str">
        <f t="shared" si="216"/>
        <v>Corte</v>
      </c>
      <c r="T2334" s="14">
        <f t="shared" si="217"/>
        <v>35</v>
      </c>
      <c r="U2334" s="14">
        <f t="shared" si="218"/>
        <v>35</v>
      </c>
      <c r="V2334" s="14"/>
      <c r="W2334" t="str">
        <f>IF(A2334=$A$1707,base!$I$3,IF(A2334=$A$1709,base!$I$2,IF(Receitas!A2334=Receitas!$A$1701,base!$I$4,"")))</f>
        <v>PATRICK CARDOSO</v>
      </c>
      <c r="X2334" t="str">
        <f t="shared" si="219"/>
        <v>Gilmar Carvalho</v>
      </c>
    </row>
    <row r="2335" spans="1:24">
      <c r="A2335" t="s">
        <v>536</v>
      </c>
      <c r="B2335" t="s">
        <v>1046</v>
      </c>
      <c r="C2335" t="s">
        <v>3331</v>
      </c>
      <c r="D2335" s="14">
        <v>45</v>
      </c>
      <c r="E2335" s="14">
        <v>45</v>
      </c>
      <c r="F2335" t="s">
        <v>3332</v>
      </c>
      <c r="G2335" t="s">
        <v>310</v>
      </c>
      <c r="H2335" t="s">
        <v>3333</v>
      </c>
      <c r="I2335" t="str">
        <f>IF(A2335="","Pacote",IF(B2335=IFERROR(VLOOKUP(B2335,base!$L$1:$L$20,1,0),""),"Produtos",IF(B2335=IFERROR(VLOOKUP(B2335,base!$K$2:$K$20,1,0),""),"Serviços",IF(B2335="Gorjeta","Gorjeta","Combos"))))</f>
        <v>Serviços</v>
      </c>
      <c r="J2335">
        <f t="shared" si="210"/>
        <v>20.25</v>
      </c>
      <c r="K2335" s="1" t="str">
        <f t="shared" si="211"/>
        <v>28/05/2025 13:20</v>
      </c>
      <c r="L2335" s="1">
        <f t="shared" si="212"/>
        <v>45805</v>
      </c>
      <c r="M2335" s="1">
        <f t="shared" si="213"/>
        <v>45805</v>
      </c>
      <c r="N2335" s="1"/>
      <c r="O2335" t="str">
        <f t="shared" si="214"/>
        <v>Cartão de Débito</v>
      </c>
      <c r="P2335" t="s">
        <v>149</v>
      </c>
      <c r="Q2335" t="str">
        <f t="shared" si="215"/>
        <v>Serviços</v>
      </c>
      <c r="R2335" t="str">
        <f t="shared" si="216"/>
        <v>Barba</v>
      </c>
      <c r="T2335" s="14">
        <f t="shared" si="217"/>
        <v>45</v>
      </c>
      <c r="U2335" s="14">
        <f t="shared" si="218"/>
        <v>45</v>
      </c>
      <c r="V2335" s="14"/>
      <c r="W2335" t="str">
        <f>IF(A2335=$A$1707,base!$I$3,IF(A2335=$A$1709,base!$I$2,IF(Receitas!A2335=Receitas!$A$1701,base!$I$4,"")))</f>
        <v>PATRICK CARDOSO</v>
      </c>
      <c r="X2335" t="str">
        <f t="shared" si="219"/>
        <v>Paulo Vagner</v>
      </c>
    </row>
    <row r="2336" spans="1:24">
      <c r="A2336" t="s">
        <v>519</v>
      </c>
      <c r="B2336" t="s">
        <v>163</v>
      </c>
      <c r="C2336" t="s">
        <v>3334</v>
      </c>
      <c r="D2336" s="14">
        <v>35</v>
      </c>
      <c r="E2336" s="14">
        <v>60</v>
      </c>
      <c r="F2336" t="s">
        <v>3335</v>
      </c>
      <c r="G2336" t="s">
        <v>355</v>
      </c>
      <c r="H2336" t="s">
        <v>3336</v>
      </c>
      <c r="I2336" t="str">
        <f>IF(A2336="","Pacote",IF(B2336=IFERROR(VLOOKUP(B2336,base!$L$1:$L$20,1,0),""),"Produtos",IF(B2336=IFERROR(VLOOKUP(B2336,base!$K$2:$K$20,1,0),""),"Serviços",IF(B2336="Gorjeta","Gorjeta","Combos"))))</f>
        <v>Serviços</v>
      </c>
      <c r="J2336">
        <f t="shared" si="210"/>
        <v>15.75</v>
      </c>
      <c r="K2336" s="1" t="str">
        <f t="shared" si="211"/>
        <v>28/05/2025 16:00</v>
      </c>
      <c r="L2336" s="1">
        <f t="shared" si="212"/>
        <v>45805</v>
      </c>
      <c r="M2336" s="1">
        <f t="shared" si="213"/>
        <v>45805</v>
      </c>
      <c r="N2336" s="1"/>
      <c r="O2336" t="str">
        <f t="shared" si="214"/>
        <v>PIX  / Cartão de Crédito</v>
      </c>
      <c r="P2336" t="s">
        <v>149</v>
      </c>
      <c r="Q2336" t="str">
        <f t="shared" si="215"/>
        <v>Serviços</v>
      </c>
      <c r="R2336" t="str">
        <f t="shared" si="216"/>
        <v>Corte</v>
      </c>
      <c r="T2336" s="14">
        <f t="shared" si="217"/>
        <v>35</v>
      </c>
      <c r="U2336" s="14">
        <f t="shared" si="218"/>
        <v>60</v>
      </c>
      <c r="V2336" s="14"/>
      <c r="W2336" t="str">
        <f>IF(A2336=$A$1707,base!$I$3,IF(A2336=$A$1709,base!$I$2,IF(Receitas!A2336=Receitas!$A$1701,base!$I$4,"")))</f>
        <v>Gustavo de Castro</v>
      </c>
      <c r="X2336" t="str">
        <f t="shared" si="219"/>
        <v>Vinicius</v>
      </c>
    </row>
    <row r="2337" spans="1:24">
      <c r="A2337" t="s">
        <v>519</v>
      </c>
      <c r="B2337" t="s">
        <v>1046</v>
      </c>
      <c r="C2337" t="s">
        <v>3334</v>
      </c>
      <c r="D2337" s="14">
        <v>25</v>
      </c>
      <c r="E2337" t="s">
        <v>1604</v>
      </c>
      <c r="F2337" t="s">
        <v>3335</v>
      </c>
      <c r="G2337" t="s">
        <v>355</v>
      </c>
      <c r="H2337" t="s">
        <v>3336</v>
      </c>
      <c r="I2337" t="str">
        <f>IF(A2337="","Pacote",IF(B2337=IFERROR(VLOOKUP(B2337,base!$L$1:$L$20,1,0),""),"Produtos",IF(B2337=IFERROR(VLOOKUP(B2337,base!$K$2:$K$20,1,0),""),"Serviços",IF(B2337="Gorjeta","Gorjeta","Combos"))))</f>
        <v>Serviços</v>
      </c>
      <c r="J2337">
        <f t="shared" si="210"/>
        <v>11.25</v>
      </c>
      <c r="K2337" s="1" t="str">
        <f t="shared" si="211"/>
        <v>28/05/2025 16:00</v>
      </c>
      <c r="L2337" s="1">
        <f t="shared" si="212"/>
        <v>45805</v>
      </c>
      <c r="M2337" s="1">
        <f t="shared" si="213"/>
        <v>45805</v>
      </c>
      <c r="N2337" s="1"/>
      <c r="O2337" t="str">
        <f t="shared" si="214"/>
        <v>PIX  / Cartão de Crédito</v>
      </c>
      <c r="P2337" t="s">
        <v>149</v>
      </c>
      <c r="Q2337" t="str">
        <f t="shared" si="215"/>
        <v>Serviços</v>
      </c>
      <c r="R2337" t="str">
        <f t="shared" si="216"/>
        <v>Barba</v>
      </c>
      <c r="T2337" s="14">
        <f t="shared" si="217"/>
        <v>25</v>
      </c>
      <c r="U2337" s="14" t="str">
        <f t="shared" si="218"/>
        <v/>
      </c>
      <c r="V2337" s="14"/>
      <c r="W2337" t="str">
        <f>IF(A2337=$A$1707,base!$I$3,IF(A2337=$A$1709,base!$I$2,IF(Receitas!A2337=Receitas!$A$1701,base!$I$4,"")))</f>
        <v>Gustavo de Castro</v>
      </c>
      <c r="X2337" t="str">
        <f t="shared" si="219"/>
        <v>Vinicius</v>
      </c>
    </row>
    <row r="2338" spans="1:24">
      <c r="A2338" t="s">
        <v>519</v>
      </c>
      <c r="B2338" t="s">
        <v>163</v>
      </c>
      <c r="C2338" t="s">
        <v>3337</v>
      </c>
      <c r="D2338" s="14">
        <v>35</v>
      </c>
      <c r="E2338" s="14">
        <v>35</v>
      </c>
      <c r="F2338" t="s">
        <v>3338</v>
      </c>
      <c r="G2338" t="s">
        <v>1</v>
      </c>
      <c r="H2338" t="s">
        <v>3339</v>
      </c>
      <c r="I2338" t="str">
        <f>IF(A2338="","Pacote",IF(B2338=IFERROR(VLOOKUP(B2338,base!$L$1:$L$20,1,0),""),"Produtos",IF(B2338=IFERROR(VLOOKUP(B2338,base!$K$2:$K$20,1,0),""),"Serviços",IF(B2338="Gorjeta","Gorjeta","Combos"))))</f>
        <v>Serviços</v>
      </c>
      <c r="J2338">
        <f t="shared" si="210"/>
        <v>15.75</v>
      </c>
      <c r="K2338" s="1" t="str">
        <f t="shared" si="211"/>
        <v>28/05/2025 15:40</v>
      </c>
      <c r="L2338" s="1">
        <f t="shared" si="212"/>
        <v>45805</v>
      </c>
      <c r="M2338" s="1">
        <f t="shared" si="213"/>
        <v>45805</v>
      </c>
      <c r="N2338" s="1"/>
      <c r="O2338" t="str">
        <f t="shared" si="214"/>
        <v>PIX</v>
      </c>
      <c r="P2338" t="s">
        <v>149</v>
      </c>
      <c r="Q2338" t="str">
        <f t="shared" si="215"/>
        <v>Serviços</v>
      </c>
      <c r="R2338" t="str">
        <f t="shared" si="216"/>
        <v>Corte</v>
      </c>
      <c r="T2338" s="14">
        <f t="shared" si="217"/>
        <v>35</v>
      </c>
      <c r="U2338" s="14">
        <f t="shared" si="218"/>
        <v>35</v>
      </c>
      <c r="V2338" s="14"/>
      <c r="W2338" t="str">
        <f>IF(A2338=$A$1707,base!$I$3,IF(A2338=$A$1709,base!$I$2,IF(Receitas!A2338=Receitas!$A$1701,base!$I$4,"")))</f>
        <v>Gustavo de Castro</v>
      </c>
      <c r="X2338" t="str">
        <f t="shared" si="219"/>
        <v>sandra augusto</v>
      </c>
    </row>
    <row r="2339" spans="1:24">
      <c r="A2339" t="s">
        <v>519</v>
      </c>
      <c r="B2339" t="s">
        <v>163</v>
      </c>
      <c r="C2339" t="s">
        <v>3340</v>
      </c>
      <c r="D2339" s="14">
        <v>35</v>
      </c>
      <c r="E2339" s="14">
        <v>35</v>
      </c>
      <c r="F2339" t="s">
        <v>3341</v>
      </c>
      <c r="G2339" t="s">
        <v>1</v>
      </c>
      <c r="H2339" t="s">
        <v>3342</v>
      </c>
      <c r="I2339" t="str">
        <f>IF(A2339="","Pacote",IF(B2339=IFERROR(VLOOKUP(B2339,base!$L$1:$L$20,1,0),""),"Produtos",IF(B2339=IFERROR(VLOOKUP(B2339,base!$K$2:$K$20,1,0),""),"Serviços",IF(B2339="Gorjeta","Gorjeta","Combos"))))</f>
        <v>Serviços</v>
      </c>
      <c r="J2339">
        <f t="shared" si="210"/>
        <v>15.75</v>
      </c>
      <c r="K2339" s="1" t="str">
        <f t="shared" si="211"/>
        <v>28/05/2025 16:20</v>
      </c>
      <c r="L2339" s="1">
        <f t="shared" si="212"/>
        <v>45805</v>
      </c>
      <c r="M2339" s="1">
        <f t="shared" si="213"/>
        <v>45805</v>
      </c>
      <c r="N2339" s="1"/>
      <c r="O2339" t="str">
        <f t="shared" si="214"/>
        <v>PIX</v>
      </c>
      <c r="P2339" t="s">
        <v>149</v>
      </c>
      <c r="Q2339" t="str">
        <f t="shared" si="215"/>
        <v>Serviços</v>
      </c>
      <c r="R2339" t="str">
        <f t="shared" si="216"/>
        <v>Corte</v>
      </c>
      <c r="T2339" s="14">
        <f t="shared" si="217"/>
        <v>35</v>
      </c>
      <c r="U2339" s="14">
        <f t="shared" si="218"/>
        <v>35</v>
      </c>
      <c r="V2339" s="14"/>
      <c r="W2339" t="str">
        <f>IF(A2339=$A$1707,base!$I$3,IF(A2339=$A$1709,base!$I$2,IF(Receitas!A2339=Receitas!$A$1701,base!$I$4,"")))</f>
        <v>Gustavo de Castro</v>
      </c>
      <c r="X2339" t="str">
        <f t="shared" si="219"/>
        <v>stefany  carvalho</v>
      </c>
    </row>
    <row r="2340" spans="1:24">
      <c r="A2340" t="s">
        <v>536</v>
      </c>
      <c r="B2340" t="s">
        <v>2825</v>
      </c>
      <c r="C2340" t="s">
        <v>3343</v>
      </c>
      <c r="D2340" s="14">
        <v>20</v>
      </c>
      <c r="E2340" s="14">
        <v>70</v>
      </c>
      <c r="F2340" t="s">
        <v>3344</v>
      </c>
      <c r="G2340" t="s">
        <v>354</v>
      </c>
      <c r="H2340" t="s">
        <v>3204</v>
      </c>
      <c r="I2340" t="str">
        <f>IF(A2340="","Pacote",IF(B2340=IFERROR(VLOOKUP(B2340,base!$L$1:$L$20,1,0),""),"Produtos",IF(B2340=IFERROR(VLOOKUP(B2340,base!$K$2:$K$20,1,0),""),"Serviços",IF(B2340="Gorjeta","Gorjeta","Combos"))))</f>
        <v>Serviços</v>
      </c>
      <c r="J2340">
        <f t="shared" si="210"/>
        <v>9</v>
      </c>
      <c r="K2340" s="1" t="str">
        <f t="shared" si="211"/>
        <v>28/05/2025 16:15</v>
      </c>
      <c r="L2340" s="1">
        <f t="shared" si="212"/>
        <v>45805</v>
      </c>
      <c r="M2340" s="1">
        <f t="shared" si="213"/>
        <v>45805</v>
      </c>
      <c r="N2340" s="1"/>
      <c r="O2340" t="str">
        <f t="shared" si="214"/>
        <v>Cartão de Crédito</v>
      </c>
      <c r="P2340" t="s">
        <v>149</v>
      </c>
      <c r="Q2340" t="str">
        <f t="shared" si="215"/>
        <v>Serviços</v>
      </c>
      <c r="R2340" t="str">
        <f t="shared" si="216"/>
        <v>barboterapia</v>
      </c>
      <c r="T2340" s="14">
        <f t="shared" si="217"/>
        <v>20</v>
      </c>
      <c r="U2340" s="14">
        <f t="shared" si="218"/>
        <v>70</v>
      </c>
      <c r="V2340" s="14"/>
      <c r="W2340" t="str">
        <f>IF(A2340=$A$1707,base!$I$3,IF(A2340=$A$1709,base!$I$2,IF(Receitas!A2340=Receitas!$A$1701,base!$I$4,"")))</f>
        <v>PATRICK CARDOSO</v>
      </c>
      <c r="X2340" t="str">
        <f t="shared" si="219"/>
        <v>Thiago Ramos</v>
      </c>
    </row>
    <row r="2341" spans="1:24">
      <c r="A2341" t="s">
        <v>536</v>
      </c>
      <c r="B2341" t="s">
        <v>163</v>
      </c>
      <c r="C2341" t="s">
        <v>3343</v>
      </c>
      <c r="D2341" s="14">
        <v>35</v>
      </c>
      <c r="E2341" t="s">
        <v>1604</v>
      </c>
      <c r="F2341" t="s">
        <v>3344</v>
      </c>
      <c r="G2341" t="s">
        <v>354</v>
      </c>
      <c r="H2341" t="s">
        <v>3204</v>
      </c>
      <c r="I2341" t="str">
        <f>IF(A2341="","Pacote",IF(B2341=IFERROR(VLOOKUP(B2341,base!$L$1:$L$20,1,0),""),"Produtos",IF(B2341=IFERROR(VLOOKUP(B2341,base!$K$2:$K$20,1,0),""),"Serviços",IF(B2341="Gorjeta","Gorjeta","Combos"))))</f>
        <v>Serviços</v>
      </c>
      <c r="J2341">
        <f t="shared" si="210"/>
        <v>15.75</v>
      </c>
      <c r="K2341" s="1" t="str">
        <f t="shared" si="211"/>
        <v>28/05/2025 16:15</v>
      </c>
      <c r="L2341" s="1">
        <f t="shared" si="212"/>
        <v>45805</v>
      </c>
      <c r="M2341" s="1">
        <f t="shared" si="213"/>
        <v>45805</v>
      </c>
      <c r="N2341" s="1"/>
      <c r="O2341" t="str">
        <f t="shared" si="214"/>
        <v>Cartão de Crédito</v>
      </c>
      <c r="P2341" t="s">
        <v>149</v>
      </c>
      <c r="Q2341" t="str">
        <f t="shared" si="215"/>
        <v>Serviços</v>
      </c>
      <c r="R2341" t="str">
        <f t="shared" si="216"/>
        <v>Corte</v>
      </c>
      <c r="T2341" s="14">
        <f t="shared" si="217"/>
        <v>35</v>
      </c>
      <c r="U2341" s="14" t="str">
        <f t="shared" si="218"/>
        <v/>
      </c>
      <c r="V2341" s="14"/>
      <c r="W2341" t="str">
        <f>IF(A2341=$A$1707,base!$I$3,IF(A2341=$A$1709,base!$I$2,IF(Receitas!A2341=Receitas!$A$1701,base!$I$4,"")))</f>
        <v>PATRICK CARDOSO</v>
      </c>
      <c r="X2341" t="str">
        <f t="shared" si="219"/>
        <v>Thiago Ramos</v>
      </c>
    </row>
    <row r="2342" spans="1:24">
      <c r="A2342" t="s">
        <v>536</v>
      </c>
      <c r="B2342" t="s">
        <v>1046</v>
      </c>
      <c r="C2342" t="s">
        <v>3343</v>
      </c>
      <c r="D2342" s="14">
        <v>15</v>
      </c>
      <c r="E2342" t="s">
        <v>1604</v>
      </c>
      <c r="F2342" t="s">
        <v>3344</v>
      </c>
      <c r="G2342" t="s">
        <v>354</v>
      </c>
      <c r="H2342" t="s">
        <v>3204</v>
      </c>
      <c r="I2342" t="str">
        <f>IF(A2342="","Pacote",IF(B2342=IFERROR(VLOOKUP(B2342,base!$L$1:$L$20,1,0),""),"Produtos",IF(B2342=IFERROR(VLOOKUP(B2342,base!$K$2:$K$20,1,0),""),"Serviços",IF(B2342="Gorjeta","Gorjeta","Combos"))))</f>
        <v>Serviços</v>
      </c>
      <c r="J2342">
        <f t="shared" si="210"/>
        <v>6.75</v>
      </c>
      <c r="K2342" s="1" t="str">
        <f t="shared" si="211"/>
        <v>28/05/2025 16:15</v>
      </c>
      <c r="L2342" s="1">
        <f t="shared" si="212"/>
        <v>45805</v>
      </c>
      <c r="M2342" s="1">
        <f t="shared" si="213"/>
        <v>45805</v>
      </c>
      <c r="N2342" s="1"/>
      <c r="O2342" t="str">
        <f t="shared" si="214"/>
        <v>Cartão de Crédito</v>
      </c>
      <c r="P2342" t="s">
        <v>149</v>
      </c>
      <c r="Q2342" t="str">
        <f t="shared" si="215"/>
        <v>Serviços</v>
      </c>
      <c r="R2342" t="str">
        <f t="shared" si="216"/>
        <v>Barba</v>
      </c>
      <c r="T2342" s="14">
        <f t="shared" si="217"/>
        <v>15</v>
      </c>
      <c r="U2342" s="14" t="str">
        <f t="shared" si="218"/>
        <v/>
      </c>
      <c r="V2342" s="14"/>
      <c r="W2342" t="str">
        <f>IF(A2342=$A$1707,base!$I$3,IF(A2342=$A$1709,base!$I$2,IF(Receitas!A2342=Receitas!$A$1701,base!$I$4,"")))</f>
        <v>PATRICK CARDOSO</v>
      </c>
      <c r="X2342" t="str">
        <f t="shared" si="219"/>
        <v>Thiago Ramos</v>
      </c>
    </row>
    <row r="2343" spans="1:24">
      <c r="A2343" t="s">
        <v>536</v>
      </c>
      <c r="B2343" t="s">
        <v>163</v>
      </c>
      <c r="C2343" t="s">
        <v>3345</v>
      </c>
      <c r="D2343" s="14">
        <v>35</v>
      </c>
      <c r="E2343" s="14">
        <v>70</v>
      </c>
      <c r="F2343" t="s">
        <v>3322</v>
      </c>
      <c r="G2343" t="s">
        <v>2</v>
      </c>
      <c r="H2343" t="s">
        <v>280</v>
      </c>
      <c r="I2343" t="str">
        <f>IF(A2343="","Pacote",IF(B2343=IFERROR(VLOOKUP(B2343,base!$L$1:$L$20,1,0),""),"Produtos",IF(B2343=IFERROR(VLOOKUP(B2343,base!$K$2:$K$20,1,0),""),"Serviços",IF(B2343="Gorjeta","Gorjeta","Combos"))))</f>
        <v>Serviços</v>
      </c>
      <c r="J2343">
        <f t="shared" si="210"/>
        <v>15.75</v>
      </c>
      <c r="K2343" s="1" t="str">
        <f t="shared" si="211"/>
        <v>28/05/2025 17:15</v>
      </c>
      <c r="L2343" s="1">
        <f t="shared" si="212"/>
        <v>45805</v>
      </c>
      <c r="M2343" s="1">
        <f t="shared" si="213"/>
        <v>45805</v>
      </c>
      <c r="N2343" s="1"/>
      <c r="O2343" t="str">
        <f t="shared" si="214"/>
        <v>Dinheiro</v>
      </c>
      <c r="P2343" t="s">
        <v>149</v>
      </c>
      <c r="Q2343" t="str">
        <f t="shared" si="215"/>
        <v>Serviços</v>
      </c>
      <c r="R2343" t="str">
        <f t="shared" si="216"/>
        <v>Corte</v>
      </c>
      <c r="T2343" s="14">
        <f t="shared" si="217"/>
        <v>35</v>
      </c>
      <c r="U2343" s="14">
        <f t="shared" si="218"/>
        <v>70</v>
      </c>
      <c r="V2343" s="14"/>
      <c r="W2343" t="str">
        <f>IF(A2343=$A$1707,base!$I$3,IF(A2343=$A$1709,base!$I$2,IF(Receitas!A2343=Receitas!$A$1701,base!$I$4,"")))</f>
        <v>PATRICK CARDOSO</v>
      </c>
      <c r="X2343" t="str">
        <f t="shared" si="219"/>
        <v>hailton carlos jesus</v>
      </c>
    </row>
    <row r="2344" spans="1:24">
      <c r="A2344" t="s">
        <v>536</v>
      </c>
      <c r="B2344" t="s">
        <v>163</v>
      </c>
      <c r="C2344" t="s">
        <v>3345</v>
      </c>
      <c r="D2344" s="14">
        <v>35</v>
      </c>
      <c r="E2344" t="s">
        <v>1604</v>
      </c>
      <c r="F2344" t="s">
        <v>3322</v>
      </c>
      <c r="G2344" t="s">
        <v>2</v>
      </c>
      <c r="H2344" t="s">
        <v>280</v>
      </c>
      <c r="I2344" t="str">
        <f>IF(A2344="","Pacote",IF(B2344=IFERROR(VLOOKUP(B2344,base!$L$1:$L$20,1,0),""),"Produtos",IF(B2344=IFERROR(VLOOKUP(B2344,base!$K$2:$K$20,1,0),""),"Serviços",IF(B2344="Gorjeta","Gorjeta","Combos"))))</f>
        <v>Serviços</v>
      </c>
      <c r="J2344">
        <f t="shared" si="210"/>
        <v>15.75</v>
      </c>
      <c r="K2344" s="1" t="str">
        <f t="shared" si="211"/>
        <v>28/05/2025 17:15</v>
      </c>
      <c r="L2344" s="1">
        <f t="shared" si="212"/>
        <v>45805</v>
      </c>
      <c r="M2344" s="1">
        <f t="shared" si="213"/>
        <v>45805</v>
      </c>
      <c r="N2344" s="1"/>
      <c r="O2344" t="str">
        <f t="shared" si="214"/>
        <v>Dinheiro</v>
      </c>
      <c r="P2344" t="s">
        <v>149</v>
      </c>
      <c r="Q2344" t="str">
        <f t="shared" si="215"/>
        <v>Serviços</v>
      </c>
      <c r="R2344" t="str">
        <f t="shared" si="216"/>
        <v>Corte</v>
      </c>
      <c r="T2344" s="14">
        <f t="shared" si="217"/>
        <v>35</v>
      </c>
      <c r="U2344" s="14" t="str">
        <f t="shared" si="218"/>
        <v/>
      </c>
      <c r="V2344" s="14"/>
      <c r="W2344" t="str">
        <f>IF(A2344=$A$1707,base!$I$3,IF(A2344=$A$1709,base!$I$2,IF(Receitas!A2344=Receitas!$A$1701,base!$I$4,"")))</f>
        <v>PATRICK CARDOSO</v>
      </c>
      <c r="X2344" t="str">
        <f t="shared" si="219"/>
        <v>hailton carlos jesus</v>
      </c>
    </row>
    <row r="2345" spans="1:24">
      <c r="A2345" t="s">
        <v>536</v>
      </c>
      <c r="B2345" t="s">
        <v>163</v>
      </c>
      <c r="C2345" t="s">
        <v>3346</v>
      </c>
      <c r="D2345" s="14">
        <v>30</v>
      </c>
      <c r="E2345" s="14">
        <v>30</v>
      </c>
      <c r="F2345" t="s">
        <v>3347</v>
      </c>
      <c r="G2345" t="s">
        <v>2</v>
      </c>
      <c r="H2345" t="s">
        <v>3348</v>
      </c>
      <c r="I2345" t="str">
        <f>IF(A2345="","Pacote",IF(B2345=IFERROR(VLOOKUP(B2345,base!$L$1:$L$20,1,0),""),"Produtos",IF(B2345=IFERROR(VLOOKUP(B2345,base!$K$2:$K$20,1,0),""),"Serviços",IF(B2345="Gorjeta","Gorjeta","Combos"))))</f>
        <v>Serviços</v>
      </c>
      <c r="J2345">
        <f t="shared" si="210"/>
        <v>13.5</v>
      </c>
      <c r="K2345" s="1" t="str">
        <f t="shared" si="211"/>
        <v>28/05/2025 19:00</v>
      </c>
      <c r="L2345" s="1">
        <f t="shared" si="212"/>
        <v>45805</v>
      </c>
      <c r="M2345" s="1">
        <f t="shared" si="213"/>
        <v>45805</v>
      </c>
      <c r="N2345" s="1"/>
      <c r="O2345" t="str">
        <f t="shared" si="214"/>
        <v>Dinheiro</v>
      </c>
      <c r="P2345" t="s">
        <v>149</v>
      </c>
      <c r="Q2345" t="str">
        <f t="shared" si="215"/>
        <v>Serviços</v>
      </c>
      <c r="R2345" t="str">
        <f t="shared" si="216"/>
        <v>Corte</v>
      </c>
      <c r="T2345" s="14">
        <f t="shared" si="217"/>
        <v>30</v>
      </c>
      <c r="U2345" s="14">
        <f t="shared" si="218"/>
        <v>30</v>
      </c>
      <c r="V2345" s="14"/>
      <c r="W2345" t="str">
        <f>IF(A2345=$A$1707,base!$I$3,IF(A2345=$A$1709,base!$I$2,IF(Receitas!A2345=Receitas!$A$1701,base!$I$4,"")))</f>
        <v>PATRICK CARDOSO</v>
      </c>
      <c r="X2345" t="str">
        <f t="shared" si="219"/>
        <v>Gean Dias</v>
      </c>
    </row>
    <row r="2346" spans="1:24">
      <c r="A2346" t="s">
        <v>519</v>
      </c>
      <c r="B2346" t="s">
        <v>163</v>
      </c>
      <c r="C2346" t="s">
        <v>3349</v>
      </c>
      <c r="D2346" s="14">
        <v>35</v>
      </c>
      <c r="E2346" s="14">
        <v>25</v>
      </c>
      <c r="F2346" t="s">
        <v>3350</v>
      </c>
      <c r="G2346" t="s">
        <v>354</v>
      </c>
      <c r="H2346" t="s">
        <v>122</v>
      </c>
      <c r="I2346" t="str">
        <f>IF(A2346="","Pacote",IF(B2346=IFERROR(VLOOKUP(B2346,base!$L$1:$L$20,1,0),""),"Produtos",IF(B2346=IFERROR(VLOOKUP(B2346,base!$K$2:$K$20,1,0),""),"Serviços",IF(B2346="Gorjeta","Gorjeta","Combos"))))</f>
        <v>Serviços</v>
      </c>
      <c r="J2346">
        <f t="shared" si="210"/>
        <v>15.75</v>
      </c>
      <c r="K2346" s="1" t="str">
        <f t="shared" si="211"/>
        <v>29/05/2025 10:45</v>
      </c>
      <c r="L2346" s="1">
        <f t="shared" si="212"/>
        <v>45806</v>
      </c>
      <c r="M2346" s="1">
        <f t="shared" si="213"/>
        <v>45806</v>
      </c>
      <c r="N2346" s="1"/>
      <c r="O2346" t="str">
        <f t="shared" si="214"/>
        <v>Cartão de Crédito</v>
      </c>
      <c r="P2346" t="s">
        <v>149</v>
      </c>
      <c r="Q2346" t="str">
        <f t="shared" si="215"/>
        <v>Serviços</v>
      </c>
      <c r="R2346" t="str">
        <f t="shared" si="216"/>
        <v>Corte</v>
      </c>
      <c r="T2346" s="14">
        <f t="shared" si="217"/>
        <v>35</v>
      </c>
      <c r="U2346" s="14">
        <f t="shared" si="218"/>
        <v>25</v>
      </c>
      <c r="V2346" s="14"/>
      <c r="W2346" t="str">
        <f>IF(A2346=$A$1707,base!$I$3,IF(A2346=$A$1709,base!$I$2,IF(Receitas!A2346=Receitas!$A$1701,base!$I$4,"")))</f>
        <v>Gustavo de Castro</v>
      </c>
      <c r="X2346" t="str">
        <f t="shared" si="219"/>
        <v>Paulo Roberto</v>
      </c>
    </row>
    <row r="2347" spans="1:24">
      <c r="A2347" t="s">
        <v>519</v>
      </c>
      <c r="B2347" t="s">
        <v>1046</v>
      </c>
      <c r="C2347" t="s">
        <v>3349</v>
      </c>
      <c r="D2347" s="14">
        <v>25</v>
      </c>
      <c r="E2347" t="s">
        <v>1604</v>
      </c>
      <c r="F2347" t="s">
        <v>3350</v>
      </c>
      <c r="G2347" t="s">
        <v>354</v>
      </c>
      <c r="H2347" t="s">
        <v>122</v>
      </c>
      <c r="I2347" t="str">
        <f>IF(A2347="","Pacote",IF(B2347=IFERROR(VLOOKUP(B2347,base!$L$1:$L$20,1,0),""),"Produtos",IF(B2347=IFERROR(VLOOKUP(B2347,base!$K$2:$K$20,1,0),""),"Serviços",IF(B2347="Gorjeta","Gorjeta","Combos"))))</f>
        <v>Serviços</v>
      </c>
      <c r="J2347">
        <f t="shared" si="210"/>
        <v>11.25</v>
      </c>
      <c r="K2347" s="1" t="str">
        <f t="shared" si="211"/>
        <v>29/05/2025 10:45</v>
      </c>
      <c r="L2347" s="1">
        <f t="shared" si="212"/>
        <v>45806</v>
      </c>
      <c r="M2347" s="1">
        <f t="shared" si="213"/>
        <v>45806</v>
      </c>
      <c r="N2347" s="1"/>
      <c r="O2347" t="str">
        <f t="shared" si="214"/>
        <v>Cartão de Crédito</v>
      </c>
      <c r="P2347" t="s">
        <v>149</v>
      </c>
      <c r="Q2347" t="str">
        <f t="shared" si="215"/>
        <v>Serviços</v>
      </c>
      <c r="R2347" t="str">
        <f t="shared" si="216"/>
        <v>Barba</v>
      </c>
      <c r="T2347" s="14">
        <f t="shared" si="217"/>
        <v>25</v>
      </c>
      <c r="U2347" s="14" t="str">
        <f t="shared" si="218"/>
        <v/>
      </c>
      <c r="V2347" s="14"/>
      <c r="W2347" t="str">
        <f>IF(A2347=$A$1707,base!$I$3,IF(A2347=$A$1709,base!$I$2,IF(Receitas!A2347=Receitas!$A$1701,base!$I$4,"")))</f>
        <v>Gustavo de Castro</v>
      </c>
      <c r="X2347" t="str">
        <f t="shared" si="219"/>
        <v>Paulo Roberto</v>
      </c>
    </row>
    <row r="2348" spans="1:24">
      <c r="A2348" t="s">
        <v>519</v>
      </c>
      <c r="B2348" t="s">
        <v>163</v>
      </c>
      <c r="C2348" t="s">
        <v>3351</v>
      </c>
      <c r="D2348" s="14">
        <v>35</v>
      </c>
      <c r="E2348" s="14">
        <v>55</v>
      </c>
      <c r="F2348" t="s">
        <v>3352</v>
      </c>
      <c r="G2348" t="s">
        <v>1</v>
      </c>
      <c r="H2348" t="s">
        <v>2008</v>
      </c>
      <c r="I2348" t="str">
        <f>IF(A2348="","Pacote",IF(B2348=IFERROR(VLOOKUP(B2348,base!$L$1:$L$20,1,0),""),"Produtos",IF(B2348=IFERROR(VLOOKUP(B2348,base!$K$2:$K$20,1,0),""),"Serviços",IF(B2348="Gorjeta","Gorjeta","Combos"))))</f>
        <v>Serviços</v>
      </c>
      <c r="J2348">
        <f t="shared" si="210"/>
        <v>15.75</v>
      </c>
      <c r="K2348" s="1" t="str">
        <f t="shared" si="211"/>
        <v>29/05/2025 10:15</v>
      </c>
      <c r="L2348" s="1">
        <f t="shared" si="212"/>
        <v>45806</v>
      </c>
      <c r="M2348" s="1">
        <f t="shared" si="213"/>
        <v>45806</v>
      </c>
      <c r="N2348" s="1"/>
      <c r="O2348" t="str">
        <f t="shared" si="214"/>
        <v>PIX</v>
      </c>
      <c r="P2348" t="s">
        <v>149</v>
      </c>
      <c r="Q2348" t="str">
        <f t="shared" si="215"/>
        <v>Serviços</v>
      </c>
      <c r="R2348" t="str">
        <f t="shared" si="216"/>
        <v>Corte</v>
      </c>
      <c r="T2348" s="14">
        <f t="shared" si="217"/>
        <v>35</v>
      </c>
      <c r="U2348" s="14">
        <f t="shared" si="218"/>
        <v>55</v>
      </c>
      <c r="V2348" s="14"/>
      <c r="W2348" t="str">
        <f>IF(A2348=$A$1707,base!$I$3,IF(A2348=$A$1709,base!$I$2,IF(Receitas!A2348=Receitas!$A$1701,base!$I$4,"")))</f>
        <v>Gustavo de Castro</v>
      </c>
      <c r="X2348" t="str">
        <f t="shared" si="219"/>
        <v>gabriel luiz</v>
      </c>
    </row>
    <row r="2349" spans="1:24">
      <c r="A2349" t="s">
        <v>519</v>
      </c>
      <c r="B2349" t="s">
        <v>166</v>
      </c>
      <c r="C2349" t="s">
        <v>3351</v>
      </c>
      <c r="D2349" s="14">
        <v>20</v>
      </c>
      <c r="E2349" t="s">
        <v>1604</v>
      </c>
      <c r="F2349" t="s">
        <v>3352</v>
      </c>
      <c r="G2349" t="s">
        <v>1</v>
      </c>
      <c r="H2349" t="s">
        <v>2008</v>
      </c>
      <c r="I2349" t="str">
        <f>IF(A2349="","Pacote",IF(B2349=IFERROR(VLOOKUP(B2349,base!$L$1:$L$20,1,0),""),"Produtos",IF(B2349=IFERROR(VLOOKUP(B2349,base!$K$2:$K$20,1,0),""),"Serviços",IF(B2349="Gorjeta","Gorjeta","Combos"))))</f>
        <v>Serviços</v>
      </c>
      <c r="J2349">
        <f t="shared" si="210"/>
        <v>9</v>
      </c>
      <c r="K2349" s="1" t="str">
        <f t="shared" si="211"/>
        <v>29/05/2025 10:15</v>
      </c>
      <c r="L2349" s="1">
        <f t="shared" si="212"/>
        <v>45806</v>
      </c>
      <c r="M2349" s="1">
        <f t="shared" si="213"/>
        <v>45806</v>
      </c>
      <c r="N2349" s="1"/>
      <c r="O2349" t="str">
        <f t="shared" si="214"/>
        <v>PIX</v>
      </c>
      <c r="P2349" t="s">
        <v>149</v>
      </c>
      <c r="Q2349" t="str">
        <f t="shared" si="215"/>
        <v>Serviços</v>
      </c>
      <c r="R2349" t="str">
        <f t="shared" si="216"/>
        <v>Pigmentação</v>
      </c>
      <c r="T2349" s="14">
        <f t="shared" si="217"/>
        <v>20</v>
      </c>
      <c r="U2349" s="14" t="str">
        <f t="shared" si="218"/>
        <v/>
      </c>
      <c r="V2349" s="14"/>
      <c r="W2349" t="str">
        <f>IF(A2349=$A$1707,base!$I$3,IF(A2349=$A$1709,base!$I$2,IF(Receitas!A2349=Receitas!$A$1701,base!$I$4,"")))</f>
        <v>Gustavo de Castro</v>
      </c>
      <c r="X2349" t="str">
        <f t="shared" si="219"/>
        <v>gabriel luiz</v>
      </c>
    </row>
    <row r="2350" spans="1:24">
      <c r="A2350" t="s">
        <v>252</v>
      </c>
      <c r="B2350" t="s">
        <v>163</v>
      </c>
      <c r="C2350" t="s">
        <v>3353</v>
      </c>
      <c r="D2350" s="14">
        <v>35</v>
      </c>
      <c r="E2350" s="14">
        <v>53</v>
      </c>
      <c r="F2350" t="s">
        <v>3354</v>
      </c>
      <c r="G2350" t="s">
        <v>354</v>
      </c>
      <c r="H2350" t="s">
        <v>373</v>
      </c>
      <c r="I2350" t="str">
        <f>IF(A2350="","Pacote",IF(B2350=IFERROR(VLOOKUP(B2350,base!$L$1:$L$20,1,0),""),"Produtos",IF(B2350=IFERROR(VLOOKUP(B2350,base!$K$2:$K$20,1,0),""),"Serviços",IF(B2350="Gorjeta","Gorjeta","Combos"))))</f>
        <v>Serviços</v>
      </c>
      <c r="J2350">
        <f t="shared" si="210"/>
        <v>15.75</v>
      </c>
      <c r="K2350" s="1" t="str">
        <f t="shared" si="211"/>
        <v>29/05/2025 10:35</v>
      </c>
      <c r="L2350" s="1">
        <f t="shared" si="212"/>
        <v>45806</v>
      </c>
      <c r="M2350" s="1">
        <f t="shared" si="213"/>
        <v>45806</v>
      </c>
      <c r="N2350" s="1"/>
      <c r="O2350" t="str">
        <f t="shared" si="214"/>
        <v>Cartão de Crédito</v>
      </c>
      <c r="P2350" t="s">
        <v>149</v>
      </c>
      <c r="Q2350" t="str">
        <f t="shared" si="215"/>
        <v>Serviços</v>
      </c>
      <c r="R2350" t="str">
        <f t="shared" si="216"/>
        <v>Corte</v>
      </c>
      <c r="T2350" s="14">
        <f t="shared" si="217"/>
        <v>35</v>
      </c>
      <c r="U2350" s="14">
        <f t="shared" si="218"/>
        <v>53</v>
      </c>
      <c r="V2350" s="14"/>
      <c r="W2350" t="str">
        <f>IF(A2350=$A$1707,base!$I$3,IF(A2350=$A$1709,base!$I$2,IF(Receitas!A2350=Receitas!$A$1701,base!$I$4,"")))</f>
        <v>Christian Magon</v>
      </c>
      <c r="X2350" t="str">
        <f t="shared" si="219"/>
        <v>Danilo Nascimento</v>
      </c>
    </row>
    <row r="2351" spans="1:24">
      <c r="A2351" t="s">
        <v>252</v>
      </c>
      <c r="B2351" t="s">
        <v>2931</v>
      </c>
      <c r="C2351" t="s">
        <v>3353</v>
      </c>
      <c r="D2351" s="14">
        <v>18</v>
      </c>
      <c r="E2351" t="s">
        <v>1604</v>
      </c>
      <c r="F2351" t="s">
        <v>3354</v>
      </c>
      <c r="G2351" t="s">
        <v>354</v>
      </c>
      <c r="H2351" t="s">
        <v>373</v>
      </c>
      <c r="I2351" t="str">
        <f>IF(A2351="","Pacote",IF(B2351=IFERROR(VLOOKUP(B2351,base!$L$1:$L$20,1,0),""),"Produtos",IF(B2351=IFERROR(VLOOKUP(B2351,base!$K$2:$K$20,1,0),""),"Serviços",IF(B2351="Gorjeta","Gorjeta","Combos"))))</f>
        <v>Produtos</v>
      </c>
      <c r="J2351">
        <f t="shared" si="210"/>
        <v>7.2</v>
      </c>
      <c r="K2351" s="1" t="str">
        <f t="shared" si="211"/>
        <v>29/05/2025 10:35</v>
      </c>
      <c r="L2351" s="1">
        <f t="shared" si="212"/>
        <v>45806</v>
      </c>
      <c r="M2351" s="1">
        <f t="shared" si="213"/>
        <v>45806</v>
      </c>
      <c r="N2351" s="1"/>
      <c r="O2351" t="str">
        <f t="shared" si="214"/>
        <v>Cartão de Crédito</v>
      </c>
      <c r="P2351" t="s">
        <v>149</v>
      </c>
      <c r="Q2351" t="str">
        <f t="shared" si="215"/>
        <v>Produtos</v>
      </c>
      <c r="R2351" t="str">
        <f t="shared" si="216"/>
        <v>Pomada matte 80g</v>
      </c>
      <c r="T2351" s="14">
        <f t="shared" si="217"/>
        <v>18</v>
      </c>
      <c r="U2351" s="14" t="str">
        <f t="shared" si="218"/>
        <v/>
      </c>
      <c r="V2351" s="14"/>
      <c r="W2351" t="str">
        <f>IF(A2351=$A$1707,base!$I$3,IF(A2351=$A$1709,base!$I$2,IF(Receitas!A2351=Receitas!$A$1701,base!$I$4,"")))</f>
        <v>Christian Magon</v>
      </c>
      <c r="X2351" t="str">
        <f t="shared" si="219"/>
        <v>Danilo Nascimento</v>
      </c>
    </row>
    <row r="2352" spans="1:24">
      <c r="A2352" t="s">
        <v>536</v>
      </c>
      <c r="B2352" t="s">
        <v>352</v>
      </c>
      <c r="C2352" t="s">
        <v>3355</v>
      </c>
      <c r="D2352" s="14">
        <v>25</v>
      </c>
      <c r="E2352" s="14">
        <v>25</v>
      </c>
      <c r="F2352" t="s">
        <v>3356</v>
      </c>
      <c r="G2352" t="s">
        <v>2</v>
      </c>
      <c r="H2352" t="s">
        <v>3357</v>
      </c>
      <c r="I2352" t="str">
        <f>IF(A2352="","Pacote",IF(B2352=IFERROR(VLOOKUP(B2352,base!$L$1:$L$20,1,0),""),"Produtos",IF(B2352=IFERROR(VLOOKUP(B2352,base!$K$2:$K$20,1,0),""),"Serviços",IF(B2352="Gorjeta","Gorjeta","Combos"))))</f>
        <v>Combos</v>
      </c>
      <c r="J2352">
        <f t="shared" si="210"/>
        <v>11.25</v>
      </c>
      <c r="K2352" s="1" t="str">
        <f t="shared" si="211"/>
        <v>29/05/2025 10:30</v>
      </c>
      <c r="L2352" s="1">
        <f t="shared" si="212"/>
        <v>45806</v>
      </c>
      <c r="M2352" s="1">
        <f t="shared" si="213"/>
        <v>45806</v>
      </c>
      <c r="N2352" s="1"/>
      <c r="O2352" t="str">
        <f t="shared" si="214"/>
        <v>Dinheiro</v>
      </c>
      <c r="P2352" t="s">
        <v>149</v>
      </c>
      <c r="Q2352" t="str">
        <f t="shared" si="215"/>
        <v>Combos</v>
      </c>
      <c r="R2352" t="str">
        <f t="shared" si="216"/>
        <v>Combo ( depilação nariz e orelha )</v>
      </c>
      <c r="T2352" s="14">
        <f t="shared" si="217"/>
        <v>25</v>
      </c>
      <c r="U2352" s="14">
        <f t="shared" si="218"/>
        <v>25</v>
      </c>
      <c r="V2352" s="14"/>
      <c r="W2352" t="str">
        <f>IF(A2352=$A$1707,base!$I$3,IF(A2352=$A$1709,base!$I$2,IF(Receitas!A2352=Receitas!$A$1701,base!$I$4,"")))</f>
        <v>PATRICK CARDOSO</v>
      </c>
      <c r="X2352" t="str">
        <f t="shared" si="219"/>
        <v>Rita alves</v>
      </c>
    </row>
    <row r="2353" spans="1:24">
      <c r="A2353" t="s">
        <v>519</v>
      </c>
      <c r="B2353" t="s">
        <v>163</v>
      </c>
      <c r="C2353" t="s">
        <v>3358</v>
      </c>
      <c r="D2353" s="14">
        <v>35</v>
      </c>
      <c r="E2353" s="14">
        <v>50</v>
      </c>
      <c r="F2353" t="s">
        <v>3359</v>
      </c>
      <c r="G2353" t="s">
        <v>310</v>
      </c>
      <c r="H2353" t="s">
        <v>1523</v>
      </c>
      <c r="I2353" t="str">
        <f>IF(A2353="","Pacote",IF(B2353=IFERROR(VLOOKUP(B2353,base!$L$1:$L$20,1,0),""),"Produtos",IF(B2353=IFERROR(VLOOKUP(B2353,base!$K$2:$K$20,1,0),""),"Serviços",IF(B2353="Gorjeta","Gorjeta","Combos"))))</f>
        <v>Serviços</v>
      </c>
      <c r="J2353">
        <f t="shared" si="210"/>
        <v>15.75</v>
      </c>
      <c r="K2353" s="1" t="str">
        <f t="shared" si="211"/>
        <v>29/05/2025 17:45</v>
      </c>
      <c r="L2353" s="1">
        <f t="shared" si="212"/>
        <v>45806</v>
      </c>
      <c r="M2353" s="1">
        <f t="shared" si="213"/>
        <v>45806</v>
      </c>
      <c r="N2353" s="1"/>
      <c r="O2353" t="str">
        <f t="shared" si="214"/>
        <v>Cartão de Débito</v>
      </c>
      <c r="P2353" t="s">
        <v>149</v>
      </c>
      <c r="Q2353" t="str">
        <f t="shared" si="215"/>
        <v>Serviços</v>
      </c>
      <c r="R2353" t="str">
        <f t="shared" si="216"/>
        <v>Corte</v>
      </c>
      <c r="T2353" s="14">
        <f t="shared" si="217"/>
        <v>35</v>
      </c>
      <c r="U2353" s="14">
        <f t="shared" si="218"/>
        <v>50</v>
      </c>
      <c r="V2353" s="14"/>
      <c r="W2353" t="str">
        <f>IF(A2353=$A$1707,base!$I$3,IF(A2353=$A$1709,base!$I$2,IF(Receitas!A2353=Receitas!$A$1701,base!$I$4,"")))</f>
        <v>Gustavo de Castro</v>
      </c>
      <c r="X2353" t="str">
        <f t="shared" si="219"/>
        <v>Victor Manoel</v>
      </c>
    </row>
    <row r="2354" spans="1:24">
      <c r="A2354" t="s">
        <v>519</v>
      </c>
      <c r="B2354" t="s">
        <v>1046</v>
      </c>
      <c r="C2354" t="s">
        <v>3358</v>
      </c>
      <c r="D2354" s="14">
        <v>15</v>
      </c>
      <c r="E2354" t="s">
        <v>1604</v>
      </c>
      <c r="F2354" t="s">
        <v>3359</v>
      </c>
      <c r="G2354" t="s">
        <v>310</v>
      </c>
      <c r="H2354" t="s">
        <v>1523</v>
      </c>
      <c r="I2354" t="str">
        <f>IF(A2354="","Pacote",IF(B2354=IFERROR(VLOOKUP(B2354,base!$L$1:$L$20,1,0),""),"Produtos",IF(B2354=IFERROR(VLOOKUP(B2354,base!$K$2:$K$20,1,0),""),"Serviços",IF(B2354="Gorjeta","Gorjeta","Combos"))))</f>
        <v>Serviços</v>
      </c>
      <c r="J2354">
        <f t="shared" si="210"/>
        <v>6.75</v>
      </c>
      <c r="K2354" s="1" t="str">
        <f t="shared" si="211"/>
        <v>29/05/2025 17:45</v>
      </c>
      <c r="L2354" s="1">
        <f t="shared" si="212"/>
        <v>45806</v>
      </c>
      <c r="M2354" s="1">
        <f t="shared" si="213"/>
        <v>45806</v>
      </c>
      <c r="N2354" s="1"/>
      <c r="O2354" t="str">
        <f t="shared" si="214"/>
        <v>Cartão de Débito</v>
      </c>
      <c r="P2354" t="s">
        <v>149</v>
      </c>
      <c r="Q2354" t="str">
        <f t="shared" si="215"/>
        <v>Serviços</v>
      </c>
      <c r="R2354" t="str">
        <f t="shared" si="216"/>
        <v>Barba</v>
      </c>
      <c r="T2354" s="14">
        <f t="shared" si="217"/>
        <v>15</v>
      </c>
      <c r="U2354" s="14" t="str">
        <f t="shared" si="218"/>
        <v/>
      </c>
      <c r="V2354" s="14"/>
      <c r="W2354" t="str">
        <f>IF(A2354=$A$1707,base!$I$3,IF(A2354=$A$1709,base!$I$2,IF(Receitas!A2354=Receitas!$A$1701,base!$I$4,"")))</f>
        <v>Gustavo de Castro</v>
      </c>
      <c r="X2354" t="str">
        <f t="shared" si="219"/>
        <v>Victor Manoel</v>
      </c>
    </row>
    <row r="2355" spans="1:24">
      <c r="A2355" t="s">
        <v>252</v>
      </c>
      <c r="B2355" t="s">
        <v>353</v>
      </c>
      <c r="C2355" t="s">
        <v>3360</v>
      </c>
      <c r="D2355" s="14">
        <v>70</v>
      </c>
      <c r="E2355" s="14">
        <v>105</v>
      </c>
      <c r="F2355" t="s">
        <v>3361</v>
      </c>
      <c r="G2355" t="s">
        <v>1</v>
      </c>
      <c r="H2355" t="s">
        <v>1823</v>
      </c>
      <c r="I2355" t="str">
        <f>IF(A2355="","Pacote",IF(B2355=IFERROR(VLOOKUP(B2355,base!$L$1:$L$20,1,0),""),"Produtos",IF(B2355=IFERROR(VLOOKUP(B2355,base!$K$2:$K$20,1,0),""),"Serviços",IF(B2355="Gorjeta","Gorjeta","Combos"))))</f>
        <v>Combos</v>
      </c>
      <c r="J2355">
        <f t="shared" si="210"/>
        <v>31.5</v>
      </c>
      <c r="K2355" s="1" t="str">
        <f t="shared" si="211"/>
        <v>29/05/2025 18:00</v>
      </c>
      <c r="L2355" s="1">
        <f t="shared" si="212"/>
        <v>45806</v>
      </c>
      <c r="M2355" s="1">
        <f t="shared" si="213"/>
        <v>45806</v>
      </c>
      <c r="N2355" s="1"/>
      <c r="O2355" t="str">
        <f t="shared" si="214"/>
        <v>PIX</v>
      </c>
      <c r="P2355" t="s">
        <v>149</v>
      </c>
      <c r="Q2355" t="str">
        <f t="shared" si="215"/>
        <v>Combos</v>
      </c>
      <c r="R2355" t="str">
        <f t="shared" si="216"/>
        <v>Combo ( Corte + Barba )</v>
      </c>
      <c r="T2355" s="14">
        <f t="shared" si="217"/>
        <v>70</v>
      </c>
      <c r="U2355" s="14">
        <f t="shared" si="218"/>
        <v>105</v>
      </c>
      <c r="V2355" s="14"/>
      <c r="W2355" t="str">
        <f>IF(A2355=$A$1707,base!$I$3,IF(A2355=$A$1709,base!$I$2,IF(Receitas!A2355=Receitas!$A$1701,base!$I$4,"")))</f>
        <v>Christian Magon</v>
      </c>
      <c r="X2355" t="str">
        <f t="shared" si="219"/>
        <v>marco aurelio souza</v>
      </c>
    </row>
    <row r="2356" spans="1:24">
      <c r="A2356" t="s">
        <v>252</v>
      </c>
      <c r="B2356" t="s">
        <v>1187</v>
      </c>
      <c r="C2356" t="s">
        <v>3360</v>
      </c>
      <c r="D2356" s="14">
        <v>15</v>
      </c>
      <c r="E2356" t="s">
        <v>1604</v>
      </c>
      <c r="F2356" t="s">
        <v>3361</v>
      </c>
      <c r="G2356" t="s">
        <v>1</v>
      </c>
      <c r="H2356" t="s">
        <v>1823</v>
      </c>
      <c r="I2356" t="str">
        <f>IF(A2356="","Pacote",IF(B2356=IFERROR(VLOOKUP(B2356,base!$L$1:$L$20,1,0),""),"Produtos",IF(B2356=IFERROR(VLOOKUP(B2356,base!$K$2:$K$20,1,0),""),"Serviços",IF(B2356="Gorjeta","Gorjeta","Combos"))))</f>
        <v>Serviços</v>
      </c>
      <c r="J2356">
        <f t="shared" si="210"/>
        <v>6.75</v>
      </c>
      <c r="K2356" s="1" t="str">
        <f t="shared" si="211"/>
        <v>29/05/2025 18:00</v>
      </c>
      <c r="L2356" s="1">
        <f t="shared" si="212"/>
        <v>45806</v>
      </c>
      <c r="M2356" s="1">
        <f t="shared" si="213"/>
        <v>45806</v>
      </c>
      <c r="N2356" s="1"/>
      <c r="O2356" t="str">
        <f t="shared" si="214"/>
        <v>PIX</v>
      </c>
      <c r="P2356" t="s">
        <v>149</v>
      </c>
      <c r="Q2356" t="str">
        <f t="shared" si="215"/>
        <v>Serviços</v>
      </c>
      <c r="R2356" t="str">
        <f t="shared" si="216"/>
        <v>depilação nariz</v>
      </c>
      <c r="T2356" s="14">
        <f t="shared" si="217"/>
        <v>15</v>
      </c>
      <c r="U2356" s="14" t="str">
        <f t="shared" si="218"/>
        <v/>
      </c>
      <c r="V2356" s="14"/>
      <c r="W2356" t="str">
        <f>IF(A2356=$A$1707,base!$I$3,IF(A2356=$A$1709,base!$I$2,IF(Receitas!A2356=Receitas!$A$1701,base!$I$4,"")))</f>
        <v>Christian Magon</v>
      </c>
      <c r="X2356" t="str">
        <f t="shared" si="219"/>
        <v>marco aurelio souza</v>
      </c>
    </row>
    <row r="2357" spans="1:24">
      <c r="A2357" t="s">
        <v>252</v>
      </c>
      <c r="B2357" t="s">
        <v>3362</v>
      </c>
      <c r="C2357" t="s">
        <v>3360</v>
      </c>
      <c r="D2357" s="14">
        <v>20</v>
      </c>
      <c r="E2357" t="s">
        <v>1604</v>
      </c>
      <c r="F2357" t="s">
        <v>3361</v>
      </c>
      <c r="G2357" t="s">
        <v>1</v>
      </c>
      <c r="H2357" t="s">
        <v>1823</v>
      </c>
      <c r="I2357" t="str">
        <f>IF(A2357="","Pacote",IF(B2357=IFERROR(VLOOKUP(B2357,base!$L$1:$L$20,1,0),""),"Produtos",IF(B2357=IFERROR(VLOOKUP(B2357,base!$K$2:$K$20,1,0),""),"Serviços",IF(B2357="Gorjeta","Gorjeta","Combos"))))</f>
        <v>Serviços</v>
      </c>
      <c r="J2357">
        <f t="shared" si="210"/>
        <v>9</v>
      </c>
      <c r="K2357" s="1" t="str">
        <f t="shared" si="211"/>
        <v>29/05/2025 18:00</v>
      </c>
      <c r="L2357" s="1">
        <f t="shared" si="212"/>
        <v>45806</v>
      </c>
      <c r="M2357" s="1">
        <f t="shared" si="213"/>
        <v>45806</v>
      </c>
      <c r="N2357" s="1"/>
      <c r="O2357" t="str">
        <f t="shared" si="214"/>
        <v>PIX</v>
      </c>
      <c r="P2357" t="s">
        <v>149</v>
      </c>
      <c r="Q2357" t="str">
        <f t="shared" si="215"/>
        <v>Serviços</v>
      </c>
      <c r="R2357" t="str">
        <f t="shared" si="216"/>
        <v>selagem</v>
      </c>
      <c r="T2357" s="14">
        <f t="shared" si="217"/>
        <v>20</v>
      </c>
      <c r="U2357" s="14" t="str">
        <f t="shared" si="218"/>
        <v/>
      </c>
      <c r="V2357" s="14"/>
      <c r="W2357" t="str">
        <f>IF(A2357=$A$1707,base!$I$3,IF(A2357=$A$1709,base!$I$2,IF(Receitas!A2357=Receitas!$A$1701,base!$I$4,"")))</f>
        <v>Christian Magon</v>
      </c>
      <c r="X2357" t="str">
        <f t="shared" si="219"/>
        <v>marco aurelio souza</v>
      </c>
    </row>
    <row r="2358" spans="1:24">
      <c r="A2358" t="s">
        <v>519</v>
      </c>
      <c r="B2358" t="s">
        <v>163</v>
      </c>
      <c r="C2358" t="s">
        <v>3363</v>
      </c>
      <c r="D2358" s="14">
        <v>35</v>
      </c>
      <c r="E2358" s="14">
        <v>45</v>
      </c>
      <c r="F2358" t="s">
        <v>3364</v>
      </c>
      <c r="G2358" t="s">
        <v>1</v>
      </c>
      <c r="H2358" t="s">
        <v>3365</v>
      </c>
      <c r="I2358" t="str">
        <f>IF(A2358="","Pacote",IF(B2358=IFERROR(VLOOKUP(B2358,base!$L$1:$L$20,1,0),""),"Produtos",IF(B2358=IFERROR(VLOOKUP(B2358,base!$K$2:$K$20,1,0),""),"Serviços",IF(B2358="Gorjeta","Gorjeta","Combos"))))</f>
        <v>Serviços</v>
      </c>
      <c r="J2358">
        <f t="shared" si="210"/>
        <v>15.75</v>
      </c>
      <c r="K2358" s="1" t="str">
        <f t="shared" si="211"/>
        <v>29/05/2025 14:55</v>
      </c>
      <c r="L2358" s="1">
        <f t="shared" si="212"/>
        <v>45806</v>
      </c>
      <c r="M2358" s="1">
        <f t="shared" si="213"/>
        <v>45806</v>
      </c>
      <c r="N2358" s="1"/>
      <c r="O2358" t="str">
        <f t="shared" si="214"/>
        <v>PIX</v>
      </c>
      <c r="P2358" t="s">
        <v>149</v>
      </c>
      <c r="Q2358" t="str">
        <f t="shared" si="215"/>
        <v>Serviços</v>
      </c>
      <c r="R2358" t="str">
        <f t="shared" si="216"/>
        <v>Corte</v>
      </c>
      <c r="T2358" s="14">
        <f t="shared" si="217"/>
        <v>35</v>
      </c>
      <c r="U2358" s="14">
        <f t="shared" si="218"/>
        <v>45</v>
      </c>
      <c r="V2358" s="14"/>
      <c r="W2358" t="str">
        <f>IF(A2358=$A$1707,base!$I$3,IF(A2358=$A$1709,base!$I$2,IF(Receitas!A2358=Receitas!$A$1701,base!$I$4,"")))</f>
        <v>Gustavo de Castro</v>
      </c>
      <c r="X2358" t="str">
        <f t="shared" si="219"/>
        <v>Daniel Pacheco</v>
      </c>
    </row>
    <row r="2359" spans="1:24">
      <c r="A2359" t="s">
        <v>519</v>
      </c>
      <c r="B2359" t="s">
        <v>167</v>
      </c>
      <c r="C2359" t="s">
        <v>3363</v>
      </c>
      <c r="D2359" s="14">
        <v>10</v>
      </c>
      <c r="E2359" t="s">
        <v>1604</v>
      </c>
      <c r="F2359" t="s">
        <v>3364</v>
      </c>
      <c r="G2359" t="s">
        <v>1</v>
      </c>
      <c r="H2359" t="s">
        <v>3365</v>
      </c>
      <c r="I2359" t="str">
        <f>IF(A2359="","Pacote",IF(B2359=IFERROR(VLOOKUP(B2359,base!$L$1:$L$20,1,0),""),"Produtos",IF(B2359=IFERROR(VLOOKUP(B2359,base!$K$2:$K$20,1,0),""),"Serviços",IF(B2359="Gorjeta","Gorjeta","Combos"))))</f>
        <v>Serviços</v>
      </c>
      <c r="J2359">
        <f t="shared" si="210"/>
        <v>4.5</v>
      </c>
      <c r="K2359" s="1" t="str">
        <f t="shared" si="211"/>
        <v>29/05/2025 14:55</v>
      </c>
      <c r="L2359" s="1">
        <f t="shared" si="212"/>
        <v>45806</v>
      </c>
      <c r="M2359" s="1">
        <f t="shared" si="213"/>
        <v>45806</v>
      </c>
      <c r="N2359" s="1"/>
      <c r="O2359" t="str">
        <f t="shared" si="214"/>
        <v>PIX</v>
      </c>
      <c r="P2359" t="s">
        <v>149</v>
      </c>
      <c r="Q2359" t="str">
        <f t="shared" si="215"/>
        <v>Serviços</v>
      </c>
      <c r="R2359" t="str">
        <f t="shared" si="216"/>
        <v>Sobrancelha</v>
      </c>
      <c r="T2359" s="14">
        <f t="shared" si="217"/>
        <v>10</v>
      </c>
      <c r="U2359" s="14" t="str">
        <f t="shared" si="218"/>
        <v/>
      </c>
      <c r="V2359" s="14"/>
      <c r="W2359" t="str">
        <f>IF(A2359=$A$1707,base!$I$3,IF(A2359=$A$1709,base!$I$2,IF(Receitas!A2359=Receitas!$A$1701,base!$I$4,"")))</f>
        <v>Gustavo de Castro</v>
      </c>
      <c r="X2359" t="str">
        <f t="shared" si="219"/>
        <v>Daniel Pacheco</v>
      </c>
    </row>
    <row r="2360" spans="1:24">
      <c r="A2360" t="s">
        <v>536</v>
      </c>
      <c r="B2360" t="s">
        <v>163</v>
      </c>
      <c r="C2360" t="s">
        <v>3366</v>
      </c>
      <c r="D2360" s="14">
        <v>35</v>
      </c>
      <c r="E2360" s="14">
        <v>35</v>
      </c>
      <c r="F2360" t="s">
        <v>3367</v>
      </c>
      <c r="G2360" t="s">
        <v>310</v>
      </c>
      <c r="H2360" t="s">
        <v>3368</v>
      </c>
      <c r="I2360" t="str">
        <f>IF(A2360="","Pacote",IF(B2360=IFERROR(VLOOKUP(B2360,base!$L$1:$L$20,1,0),""),"Produtos",IF(B2360=IFERROR(VLOOKUP(B2360,base!$K$2:$K$20,1,0),""),"Serviços",IF(B2360="Gorjeta","Gorjeta","Combos"))))</f>
        <v>Serviços</v>
      </c>
      <c r="J2360">
        <f t="shared" si="210"/>
        <v>15.75</v>
      </c>
      <c r="K2360" s="1" t="str">
        <f t="shared" si="211"/>
        <v>29/05/2025 16:15</v>
      </c>
      <c r="L2360" s="1">
        <f t="shared" si="212"/>
        <v>45806</v>
      </c>
      <c r="M2360" s="1">
        <f t="shared" si="213"/>
        <v>45806</v>
      </c>
      <c r="N2360" s="1"/>
      <c r="O2360" t="str">
        <f t="shared" si="214"/>
        <v>Cartão de Débito</v>
      </c>
      <c r="P2360" t="s">
        <v>149</v>
      </c>
      <c r="Q2360" t="str">
        <f t="shared" si="215"/>
        <v>Serviços</v>
      </c>
      <c r="R2360" t="str">
        <f t="shared" si="216"/>
        <v>Corte</v>
      </c>
      <c r="T2360" s="14">
        <f t="shared" si="217"/>
        <v>35</v>
      </c>
      <c r="U2360" s="14">
        <f t="shared" si="218"/>
        <v>35</v>
      </c>
      <c r="V2360" s="14"/>
      <c r="W2360" t="str">
        <f>IF(A2360=$A$1707,base!$I$3,IF(A2360=$A$1709,base!$I$2,IF(Receitas!A2360=Receitas!$A$1701,base!$I$4,"")))</f>
        <v>PATRICK CARDOSO</v>
      </c>
      <c r="X2360" t="str">
        <f t="shared" si="219"/>
        <v>Davi Pereira</v>
      </c>
    </row>
    <row r="2361" spans="1:24">
      <c r="A2361" t="s">
        <v>252</v>
      </c>
      <c r="B2361" t="s">
        <v>163</v>
      </c>
      <c r="C2361" t="s">
        <v>3369</v>
      </c>
      <c r="D2361" s="14">
        <v>35</v>
      </c>
      <c r="E2361" s="14">
        <v>53</v>
      </c>
      <c r="F2361" t="s">
        <v>3370</v>
      </c>
      <c r="G2361" t="s">
        <v>2</v>
      </c>
      <c r="H2361" t="s">
        <v>372</v>
      </c>
      <c r="I2361" t="str">
        <f>IF(A2361="","Pacote",IF(B2361=IFERROR(VLOOKUP(B2361,base!$L$1:$L$20,1,0),""),"Produtos",IF(B2361=IFERROR(VLOOKUP(B2361,base!$K$2:$K$20,1,0),""),"Serviços",IF(B2361="Gorjeta","Gorjeta","Combos"))))</f>
        <v>Serviços</v>
      </c>
      <c r="J2361">
        <f t="shared" si="210"/>
        <v>15.75</v>
      </c>
      <c r="K2361" s="1" t="str">
        <f t="shared" si="211"/>
        <v>29/05/2025 17:15</v>
      </c>
      <c r="L2361" s="1">
        <f t="shared" si="212"/>
        <v>45806</v>
      </c>
      <c r="M2361" s="1">
        <f t="shared" si="213"/>
        <v>45806</v>
      </c>
      <c r="N2361" s="1"/>
      <c r="O2361" t="str">
        <f t="shared" si="214"/>
        <v>Dinheiro</v>
      </c>
      <c r="P2361" t="s">
        <v>149</v>
      </c>
      <c r="Q2361" t="str">
        <f t="shared" si="215"/>
        <v>Serviços</v>
      </c>
      <c r="R2361" t="str">
        <f t="shared" si="216"/>
        <v>Corte</v>
      </c>
      <c r="T2361" s="14">
        <f t="shared" si="217"/>
        <v>35</v>
      </c>
      <c r="U2361" s="14">
        <f t="shared" si="218"/>
        <v>53</v>
      </c>
      <c r="V2361" s="14"/>
      <c r="W2361" t="str">
        <f>IF(A2361=$A$1707,base!$I$3,IF(A2361=$A$1709,base!$I$2,IF(Receitas!A2361=Receitas!$A$1701,base!$I$4,"")))</f>
        <v>Christian Magon</v>
      </c>
      <c r="X2361" t="str">
        <f t="shared" si="219"/>
        <v>Joao Paulo</v>
      </c>
    </row>
    <row r="2362" spans="1:24">
      <c r="A2362" t="s">
        <v>252</v>
      </c>
      <c r="B2362" t="s">
        <v>2931</v>
      </c>
      <c r="C2362" t="s">
        <v>3369</v>
      </c>
      <c r="D2362" s="14">
        <v>18</v>
      </c>
      <c r="E2362" t="s">
        <v>1604</v>
      </c>
      <c r="F2362" t="s">
        <v>3370</v>
      </c>
      <c r="G2362" t="s">
        <v>2</v>
      </c>
      <c r="H2362" t="s">
        <v>372</v>
      </c>
      <c r="I2362" t="str">
        <f>IF(A2362="","Pacote",IF(B2362=IFERROR(VLOOKUP(B2362,base!$L$1:$L$20,1,0),""),"Produtos",IF(B2362=IFERROR(VLOOKUP(B2362,base!$K$2:$K$20,1,0),""),"Serviços",IF(B2362="Gorjeta","Gorjeta","Combos"))))</f>
        <v>Produtos</v>
      </c>
      <c r="J2362">
        <f t="shared" si="210"/>
        <v>7.2</v>
      </c>
      <c r="K2362" s="1" t="str">
        <f t="shared" si="211"/>
        <v>29/05/2025 17:15</v>
      </c>
      <c r="L2362" s="1">
        <f t="shared" si="212"/>
        <v>45806</v>
      </c>
      <c r="M2362" s="1">
        <f t="shared" si="213"/>
        <v>45806</v>
      </c>
      <c r="N2362" s="1"/>
      <c r="O2362" t="str">
        <f t="shared" si="214"/>
        <v>Dinheiro</v>
      </c>
      <c r="P2362" t="s">
        <v>149</v>
      </c>
      <c r="Q2362" t="str">
        <f t="shared" si="215"/>
        <v>Produtos</v>
      </c>
      <c r="R2362" t="str">
        <f t="shared" si="216"/>
        <v>Pomada matte 80g</v>
      </c>
      <c r="T2362" s="14">
        <f t="shared" si="217"/>
        <v>18</v>
      </c>
      <c r="U2362" s="14" t="str">
        <f t="shared" si="218"/>
        <v/>
      </c>
      <c r="V2362" s="14"/>
      <c r="W2362" t="str">
        <f>IF(A2362=$A$1707,base!$I$3,IF(A2362=$A$1709,base!$I$2,IF(Receitas!A2362=Receitas!$A$1701,base!$I$4,"")))</f>
        <v>Christian Magon</v>
      </c>
      <c r="X2362" t="str">
        <f t="shared" si="219"/>
        <v>Joao Paulo</v>
      </c>
    </row>
    <row r="2363" spans="1:24">
      <c r="A2363" t="s">
        <v>252</v>
      </c>
      <c r="B2363" t="s">
        <v>163</v>
      </c>
      <c r="C2363" t="s">
        <v>3371</v>
      </c>
      <c r="D2363" s="14">
        <v>35</v>
      </c>
      <c r="E2363" s="14">
        <v>35</v>
      </c>
      <c r="F2363" t="s">
        <v>3372</v>
      </c>
      <c r="G2363" t="s">
        <v>2</v>
      </c>
      <c r="H2363" t="s">
        <v>372</v>
      </c>
      <c r="I2363" t="str">
        <f>IF(A2363="","Pacote",IF(B2363=IFERROR(VLOOKUP(B2363,base!$L$1:$L$20,1,0),""),"Produtos",IF(B2363=IFERROR(VLOOKUP(B2363,base!$K$2:$K$20,1,0),""),"Serviços",IF(B2363="Gorjeta","Gorjeta","Combos"))))</f>
        <v>Serviços</v>
      </c>
      <c r="J2363">
        <f t="shared" si="210"/>
        <v>15.75</v>
      </c>
      <c r="K2363" s="1" t="str">
        <f t="shared" si="211"/>
        <v>30/05/2025 12:00</v>
      </c>
      <c r="L2363" s="1">
        <f t="shared" si="212"/>
        <v>45807</v>
      </c>
      <c r="M2363" s="1">
        <f t="shared" si="213"/>
        <v>45807</v>
      </c>
      <c r="N2363" s="1"/>
      <c r="O2363" t="str">
        <f t="shared" si="214"/>
        <v>Dinheiro</v>
      </c>
      <c r="P2363" t="s">
        <v>149</v>
      </c>
      <c r="Q2363" t="str">
        <f t="shared" si="215"/>
        <v>Serviços</v>
      </c>
      <c r="R2363" t="str">
        <f t="shared" si="216"/>
        <v>Corte</v>
      </c>
      <c r="T2363" s="14">
        <f t="shared" si="217"/>
        <v>35</v>
      </c>
      <c r="U2363" s="14">
        <f t="shared" si="218"/>
        <v>35</v>
      </c>
      <c r="V2363" s="14"/>
      <c r="W2363" t="str">
        <f>IF(A2363=$A$1707,base!$I$3,IF(A2363=$A$1709,base!$I$2,IF(Receitas!A2363=Receitas!$A$1701,base!$I$4,"")))</f>
        <v>Christian Magon</v>
      </c>
      <c r="X2363" t="str">
        <f t="shared" si="219"/>
        <v>Joao Paulo</v>
      </c>
    </row>
    <row r="2364" spans="1:24">
      <c r="A2364" t="s">
        <v>519</v>
      </c>
      <c r="B2364" t="s">
        <v>163</v>
      </c>
      <c r="C2364" t="s">
        <v>3373</v>
      </c>
      <c r="D2364" s="14">
        <v>35</v>
      </c>
      <c r="E2364" s="14">
        <v>75</v>
      </c>
      <c r="F2364" t="s">
        <v>3374</v>
      </c>
      <c r="G2364" t="s">
        <v>310</v>
      </c>
      <c r="H2364" t="s">
        <v>79</v>
      </c>
      <c r="I2364" t="str">
        <f>IF(A2364="","Pacote",IF(B2364=IFERROR(VLOOKUP(B2364,base!$L$1:$L$20,1,0),""),"Produtos",IF(B2364=IFERROR(VLOOKUP(B2364,base!$K$2:$K$20,1,0),""),"Serviços",IF(B2364="Gorjeta","Gorjeta","Combos"))))</f>
        <v>Serviços</v>
      </c>
      <c r="J2364">
        <f t="shared" si="210"/>
        <v>15.75</v>
      </c>
      <c r="K2364" s="1" t="str">
        <f t="shared" si="211"/>
        <v>29/05/2025 19:00</v>
      </c>
      <c r="L2364" s="1">
        <f t="shared" si="212"/>
        <v>45806</v>
      </c>
      <c r="M2364" s="1">
        <f t="shared" si="213"/>
        <v>45806</v>
      </c>
      <c r="N2364" s="1"/>
      <c r="O2364" t="str">
        <f t="shared" si="214"/>
        <v>Cartão de Débito</v>
      </c>
      <c r="P2364" t="s">
        <v>149</v>
      </c>
      <c r="Q2364" t="str">
        <f t="shared" si="215"/>
        <v>Serviços</v>
      </c>
      <c r="R2364" t="str">
        <f t="shared" si="216"/>
        <v>Corte</v>
      </c>
      <c r="T2364" s="14">
        <f t="shared" si="217"/>
        <v>35</v>
      </c>
      <c r="U2364" s="14">
        <f t="shared" si="218"/>
        <v>75</v>
      </c>
      <c r="V2364" s="14"/>
      <c r="W2364" t="str">
        <f>IF(A2364=$A$1707,base!$I$3,IF(A2364=$A$1709,base!$I$2,IF(Receitas!A2364=Receitas!$A$1701,base!$I$4,"")))</f>
        <v>Gustavo de Castro</v>
      </c>
      <c r="X2364" t="str">
        <f t="shared" si="219"/>
        <v>Wallace braz</v>
      </c>
    </row>
    <row r="2365" spans="1:24">
      <c r="A2365" t="s">
        <v>519</v>
      </c>
      <c r="B2365" t="s">
        <v>166</v>
      </c>
      <c r="C2365" t="s">
        <v>3373</v>
      </c>
      <c r="D2365" s="14">
        <v>20</v>
      </c>
      <c r="E2365" t="s">
        <v>1604</v>
      </c>
      <c r="F2365" t="s">
        <v>3374</v>
      </c>
      <c r="G2365" t="s">
        <v>310</v>
      </c>
      <c r="H2365" t="s">
        <v>79</v>
      </c>
      <c r="I2365" t="str">
        <f>IF(A2365="","Pacote",IF(B2365=IFERROR(VLOOKUP(B2365,base!$L$1:$L$20,1,0),""),"Produtos",IF(B2365=IFERROR(VLOOKUP(B2365,base!$K$2:$K$20,1,0),""),"Serviços",IF(B2365="Gorjeta","Gorjeta","Combos"))))</f>
        <v>Serviços</v>
      </c>
      <c r="J2365">
        <f t="shared" si="210"/>
        <v>9</v>
      </c>
      <c r="K2365" s="1" t="str">
        <f t="shared" si="211"/>
        <v>29/05/2025 19:00</v>
      </c>
      <c r="L2365" s="1">
        <f t="shared" si="212"/>
        <v>45806</v>
      </c>
      <c r="M2365" s="1">
        <f t="shared" si="213"/>
        <v>45806</v>
      </c>
      <c r="N2365" s="1"/>
      <c r="O2365" t="str">
        <f t="shared" si="214"/>
        <v>Cartão de Débito</v>
      </c>
      <c r="P2365" t="s">
        <v>149</v>
      </c>
      <c r="Q2365" t="str">
        <f t="shared" si="215"/>
        <v>Serviços</v>
      </c>
      <c r="R2365" t="str">
        <f t="shared" si="216"/>
        <v>Pigmentação</v>
      </c>
      <c r="T2365" s="14">
        <f t="shared" si="217"/>
        <v>20</v>
      </c>
      <c r="U2365" s="14" t="str">
        <f t="shared" si="218"/>
        <v/>
      </c>
      <c r="V2365" s="14"/>
      <c r="W2365" t="str">
        <f>IF(A2365=$A$1707,base!$I$3,IF(A2365=$A$1709,base!$I$2,IF(Receitas!A2365=Receitas!$A$1701,base!$I$4,"")))</f>
        <v>Gustavo de Castro</v>
      </c>
      <c r="X2365" t="str">
        <f t="shared" si="219"/>
        <v>Wallace braz</v>
      </c>
    </row>
    <row r="2366" spans="1:24">
      <c r="A2366" t="s">
        <v>519</v>
      </c>
      <c r="B2366" t="s">
        <v>2825</v>
      </c>
      <c r="C2366" t="s">
        <v>3373</v>
      </c>
      <c r="D2366" s="14">
        <v>20</v>
      </c>
      <c r="E2366" t="s">
        <v>1604</v>
      </c>
      <c r="F2366" t="s">
        <v>3374</v>
      </c>
      <c r="G2366" t="s">
        <v>310</v>
      </c>
      <c r="H2366" t="s">
        <v>79</v>
      </c>
      <c r="I2366" t="str">
        <f>IF(A2366="","Pacote",IF(B2366=IFERROR(VLOOKUP(B2366,base!$L$1:$L$20,1,0),""),"Produtos",IF(B2366=IFERROR(VLOOKUP(B2366,base!$K$2:$K$20,1,0),""),"Serviços",IF(B2366="Gorjeta","Gorjeta","Combos"))))</f>
        <v>Serviços</v>
      </c>
      <c r="J2366">
        <f t="shared" si="210"/>
        <v>9</v>
      </c>
      <c r="K2366" s="1" t="str">
        <f t="shared" si="211"/>
        <v>29/05/2025 19:00</v>
      </c>
      <c r="L2366" s="1">
        <f t="shared" si="212"/>
        <v>45806</v>
      </c>
      <c r="M2366" s="1">
        <f t="shared" si="213"/>
        <v>45806</v>
      </c>
      <c r="N2366" s="1"/>
      <c r="O2366" t="str">
        <f t="shared" si="214"/>
        <v>Cartão de Débito</v>
      </c>
      <c r="P2366" t="s">
        <v>149</v>
      </c>
      <c r="Q2366" t="str">
        <f t="shared" si="215"/>
        <v>Serviços</v>
      </c>
      <c r="R2366" t="str">
        <f t="shared" si="216"/>
        <v>barboterapia</v>
      </c>
      <c r="T2366" s="14">
        <f t="shared" si="217"/>
        <v>20</v>
      </c>
      <c r="U2366" s="14" t="str">
        <f t="shared" si="218"/>
        <v/>
      </c>
      <c r="V2366" s="14"/>
      <c r="W2366" t="str">
        <f>IF(A2366=$A$1707,base!$I$3,IF(A2366=$A$1709,base!$I$2,IF(Receitas!A2366=Receitas!$A$1701,base!$I$4,"")))</f>
        <v>Gustavo de Castro</v>
      </c>
      <c r="X2366" t="str">
        <f t="shared" si="219"/>
        <v>Wallace braz</v>
      </c>
    </row>
    <row r="2367" spans="1:24">
      <c r="A2367" t="s">
        <v>536</v>
      </c>
      <c r="B2367" t="s">
        <v>163</v>
      </c>
      <c r="C2367" t="s">
        <v>3375</v>
      </c>
      <c r="D2367" s="14">
        <v>35</v>
      </c>
      <c r="E2367" s="14">
        <v>53</v>
      </c>
      <c r="F2367" t="s">
        <v>3376</v>
      </c>
      <c r="G2367" t="s">
        <v>1</v>
      </c>
      <c r="H2367" t="s">
        <v>1315</v>
      </c>
      <c r="I2367" t="str">
        <f>IF(A2367="","Pacote",IF(B2367=IFERROR(VLOOKUP(B2367,base!$L$1:$L$20,1,0),""),"Produtos",IF(B2367=IFERROR(VLOOKUP(B2367,base!$K$2:$K$20,1,0),""),"Serviços",IF(B2367="Gorjeta","Gorjeta","Combos"))))</f>
        <v>Serviços</v>
      </c>
      <c r="J2367">
        <f t="shared" si="210"/>
        <v>15.75</v>
      </c>
      <c r="K2367" s="1" t="str">
        <f t="shared" si="211"/>
        <v>29/05/2025 18:45</v>
      </c>
      <c r="L2367" s="1">
        <f t="shared" si="212"/>
        <v>45806</v>
      </c>
      <c r="M2367" s="1">
        <f t="shared" si="213"/>
        <v>45806</v>
      </c>
      <c r="N2367" s="1"/>
      <c r="O2367" t="str">
        <f t="shared" si="214"/>
        <v>PIX</v>
      </c>
      <c r="P2367" t="s">
        <v>149</v>
      </c>
      <c r="Q2367" t="str">
        <f t="shared" si="215"/>
        <v>Serviços</v>
      </c>
      <c r="R2367" t="str">
        <f t="shared" si="216"/>
        <v>Corte</v>
      </c>
      <c r="T2367" s="14">
        <f t="shared" si="217"/>
        <v>35</v>
      </c>
      <c r="U2367" s="14">
        <f t="shared" si="218"/>
        <v>53</v>
      </c>
      <c r="V2367" s="14"/>
      <c r="W2367" t="str">
        <f>IF(A2367=$A$1707,base!$I$3,IF(A2367=$A$1709,base!$I$2,IF(Receitas!A2367=Receitas!$A$1701,base!$I$4,"")))</f>
        <v>PATRICK CARDOSO</v>
      </c>
      <c r="X2367" t="str">
        <f t="shared" si="219"/>
        <v>Elisabeth Andrade</v>
      </c>
    </row>
    <row r="2368" spans="1:24">
      <c r="A2368" t="s">
        <v>536</v>
      </c>
      <c r="B2368" t="s">
        <v>3316</v>
      </c>
      <c r="C2368" t="s">
        <v>3375</v>
      </c>
      <c r="D2368" s="14">
        <v>18</v>
      </c>
      <c r="E2368" t="s">
        <v>1604</v>
      </c>
      <c r="F2368" t="s">
        <v>3376</v>
      </c>
      <c r="G2368" t="s">
        <v>1</v>
      </c>
      <c r="H2368" t="s">
        <v>1315</v>
      </c>
      <c r="I2368" t="str">
        <f>IF(A2368="","Pacote",IF(B2368=IFERROR(VLOOKUP(B2368,base!$L$1:$L$20,1,0),""),"Produtos",IF(B2368=IFERROR(VLOOKUP(B2368,base!$K$2:$K$20,1,0),""),"Serviços",IF(B2368="Gorjeta","Gorjeta","Combos"))))</f>
        <v>Produtos</v>
      </c>
      <c r="J2368">
        <f t="shared" ref="J2368:J2414" si="220">IF(AND(I2368="Serviços",E2368&gt;0),ROUND(D2368*45%,2),IF(I2368="Produtos",ROUND(D2368*40%,2),D2368*45%))</f>
        <v>7.2</v>
      </c>
      <c r="K2368" s="1" t="str">
        <f t="shared" ref="K2368:K2414" si="221">F2368</f>
        <v>29/05/2025 18:45</v>
      </c>
      <c r="L2368" s="1">
        <f t="shared" ref="L2368:L2414" si="222">DATEVALUE(K2368)</f>
        <v>45806</v>
      </c>
      <c r="M2368" s="1">
        <f t="shared" ref="M2368:M2414" si="223">DATEVALUE(K2368)</f>
        <v>45806</v>
      </c>
      <c r="N2368" s="1"/>
      <c r="O2368" t="str">
        <f t="shared" ref="O2368:O2414" si="224">G2368</f>
        <v>PIX</v>
      </c>
      <c r="P2368" t="s">
        <v>149</v>
      </c>
      <c r="Q2368" t="str">
        <f t="shared" ref="Q2368:Q2414" si="225">I2368</f>
        <v>Produtos</v>
      </c>
      <c r="R2368" t="str">
        <f t="shared" ref="R2368:R2414" si="226">B2368</f>
        <v>pasta caramelo Fox 80g</v>
      </c>
      <c r="T2368" s="14">
        <f t="shared" ref="T2368:T2414" si="227">D2368</f>
        <v>18</v>
      </c>
      <c r="U2368" s="14" t="str">
        <f t="shared" ref="U2368:U2414" si="228">E2368</f>
        <v/>
      </c>
      <c r="V2368" s="14"/>
      <c r="W2368" t="str">
        <f>IF(A2368=$A$1707,base!$I$3,IF(A2368=$A$1709,base!$I$2,IF(Receitas!A2368=Receitas!$A$1701,base!$I$4,"")))</f>
        <v>PATRICK CARDOSO</v>
      </c>
      <c r="X2368" t="str">
        <f t="shared" ref="X2368:X2414" si="229">H2368</f>
        <v>Elisabeth Andrade</v>
      </c>
    </row>
    <row r="2369" spans="1:24">
      <c r="A2369" t="s">
        <v>536</v>
      </c>
      <c r="B2369" t="s">
        <v>353</v>
      </c>
      <c r="C2369" t="s">
        <v>3377</v>
      </c>
      <c r="D2369" s="14">
        <v>65</v>
      </c>
      <c r="E2369" s="14">
        <v>80</v>
      </c>
      <c r="F2369" t="s">
        <v>3361</v>
      </c>
      <c r="G2369" t="s">
        <v>310</v>
      </c>
      <c r="H2369" t="s">
        <v>502</v>
      </c>
      <c r="I2369" t="str">
        <f>IF(A2369="","Pacote",IF(B2369=IFERROR(VLOOKUP(B2369,base!$L$1:$L$20,1,0),""),"Produtos",IF(B2369=IFERROR(VLOOKUP(B2369,base!$K$2:$K$20,1,0),""),"Serviços",IF(B2369="Gorjeta","Gorjeta","Combos"))))</f>
        <v>Combos</v>
      </c>
      <c r="J2369">
        <f t="shared" si="220"/>
        <v>29.25</v>
      </c>
      <c r="K2369" s="1" t="str">
        <f t="shared" si="221"/>
        <v>29/05/2025 18:00</v>
      </c>
      <c r="L2369" s="1">
        <f t="shared" si="222"/>
        <v>45806</v>
      </c>
      <c r="M2369" s="1">
        <f t="shared" si="223"/>
        <v>45806</v>
      </c>
      <c r="N2369" s="1"/>
      <c r="O2369" t="str">
        <f t="shared" si="224"/>
        <v>Cartão de Débito</v>
      </c>
      <c r="P2369" t="s">
        <v>149</v>
      </c>
      <c r="Q2369" t="str">
        <f t="shared" si="225"/>
        <v>Combos</v>
      </c>
      <c r="R2369" t="str">
        <f t="shared" si="226"/>
        <v>Combo ( Corte + Barba )</v>
      </c>
      <c r="T2369" s="14">
        <f t="shared" si="227"/>
        <v>65</v>
      </c>
      <c r="U2369" s="14">
        <f t="shared" si="228"/>
        <v>80</v>
      </c>
      <c r="V2369" s="14"/>
      <c r="W2369" t="str">
        <f>IF(A2369=$A$1707,base!$I$3,IF(A2369=$A$1709,base!$I$2,IF(Receitas!A2369=Receitas!$A$1701,base!$I$4,"")))</f>
        <v>PATRICK CARDOSO</v>
      </c>
      <c r="X2369" t="str">
        <f t="shared" si="229"/>
        <v>Flavio Fernandes</v>
      </c>
    </row>
    <row r="2370" spans="1:24">
      <c r="A2370" t="s">
        <v>536</v>
      </c>
      <c r="B2370" t="s">
        <v>1187</v>
      </c>
      <c r="C2370" t="s">
        <v>3377</v>
      </c>
      <c r="D2370" s="14">
        <v>15</v>
      </c>
      <c r="E2370" t="s">
        <v>1604</v>
      </c>
      <c r="F2370" t="s">
        <v>3361</v>
      </c>
      <c r="G2370" t="s">
        <v>310</v>
      </c>
      <c r="H2370" t="s">
        <v>502</v>
      </c>
      <c r="I2370" t="str">
        <f>IF(A2370="","Pacote",IF(B2370=IFERROR(VLOOKUP(B2370,base!$L$1:$L$20,1,0),""),"Produtos",IF(B2370=IFERROR(VLOOKUP(B2370,base!$K$2:$K$20,1,0),""),"Serviços",IF(B2370="Gorjeta","Gorjeta","Combos"))))</f>
        <v>Serviços</v>
      </c>
      <c r="J2370">
        <f t="shared" si="220"/>
        <v>6.75</v>
      </c>
      <c r="K2370" s="1" t="str">
        <f t="shared" si="221"/>
        <v>29/05/2025 18:00</v>
      </c>
      <c r="L2370" s="1">
        <f t="shared" si="222"/>
        <v>45806</v>
      </c>
      <c r="M2370" s="1">
        <f t="shared" si="223"/>
        <v>45806</v>
      </c>
      <c r="N2370" s="1"/>
      <c r="O2370" t="str">
        <f t="shared" si="224"/>
        <v>Cartão de Débito</v>
      </c>
      <c r="P2370" t="s">
        <v>149</v>
      </c>
      <c r="Q2370" t="str">
        <f t="shared" si="225"/>
        <v>Serviços</v>
      </c>
      <c r="R2370" t="str">
        <f t="shared" si="226"/>
        <v>depilação nariz</v>
      </c>
      <c r="T2370" s="14">
        <f t="shared" si="227"/>
        <v>15</v>
      </c>
      <c r="U2370" s="14" t="str">
        <f t="shared" si="228"/>
        <v/>
      </c>
      <c r="V2370" s="14"/>
      <c r="W2370" t="str">
        <f>IF(A2370=$A$1707,base!$I$3,IF(A2370=$A$1709,base!$I$2,IF(Receitas!A2370=Receitas!$A$1701,base!$I$4,"")))</f>
        <v>PATRICK CARDOSO</v>
      </c>
      <c r="X2370" t="str">
        <f t="shared" si="229"/>
        <v>Flavio Fernandes</v>
      </c>
    </row>
    <row r="2371" spans="1:24">
      <c r="A2371" t="s">
        <v>519</v>
      </c>
      <c r="B2371" t="s">
        <v>163</v>
      </c>
      <c r="C2371" t="s">
        <v>3378</v>
      </c>
      <c r="D2371" s="14">
        <v>35</v>
      </c>
      <c r="E2371" s="14">
        <v>0</v>
      </c>
      <c r="F2371" t="s">
        <v>3379</v>
      </c>
      <c r="G2371" t="s">
        <v>1</v>
      </c>
      <c r="H2371" t="s">
        <v>295</v>
      </c>
      <c r="I2371" t="str">
        <f>IF(A2371="","Pacote",IF(B2371=IFERROR(VLOOKUP(B2371,base!$L$1:$L$20,1,0),""),"Produtos",IF(B2371=IFERROR(VLOOKUP(B2371,base!$K$2:$K$20,1,0),""),"Serviços",IF(B2371="Gorjeta","Gorjeta","Combos"))))</f>
        <v>Serviços</v>
      </c>
      <c r="J2371">
        <f t="shared" si="220"/>
        <v>15.75</v>
      </c>
      <c r="K2371" s="1" t="str">
        <f t="shared" si="221"/>
        <v>29/05/2025 21:05</v>
      </c>
      <c r="L2371" s="1">
        <f t="shared" si="222"/>
        <v>45806</v>
      </c>
      <c r="M2371" s="1">
        <f t="shared" si="223"/>
        <v>45806</v>
      </c>
      <c r="N2371" s="1"/>
      <c r="O2371" t="str">
        <f t="shared" si="224"/>
        <v>PIX</v>
      </c>
      <c r="P2371" t="s">
        <v>149</v>
      </c>
      <c r="Q2371" t="str">
        <f t="shared" si="225"/>
        <v>Serviços</v>
      </c>
      <c r="R2371" t="str">
        <f t="shared" si="226"/>
        <v>Corte</v>
      </c>
      <c r="T2371" s="14">
        <f t="shared" si="227"/>
        <v>35</v>
      </c>
      <c r="U2371" s="14">
        <f t="shared" si="228"/>
        <v>0</v>
      </c>
      <c r="V2371" s="14"/>
      <c r="W2371" t="str">
        <f>IF(A2371=$A$1707,base!$I$3,IF(A2371=$A$1709,base!$I$2,IF(Receitas!A2371=Receitas!$A$1701,base!$I$4,"")))</f>
        <v>Gustavo de Castro</v>
      </c>
      <c r="X2371" t="str">
        <f t="shared" si="229"/>
        <v>Luiz Felipe Seixas da silva</v>
      </c>
    </row>
    <row r="2372" spans="1:24">
      <c r="A2372" t="s">
        <v>519</v>
      </c>
      <c r="B2372" t="s">
        <v>163</v>
      </c>
      <c r="C2372" t="s">
        <v>3380</v>
      </c>
      <c r="D2372" s="14">
        <v>35</v>
      </c>
      <c r="E2372" s="14">
        <v>93</v>
      </c>
      <c r="F2372" t="s">
        <v>3381</v>
      </c>
      <c r="G2372" t="s">
        <v>1</v>
      </c>
      <c r="H2372" t="s">
        <v>3382</v>
      </c>
      <c r="I2372" t="str">
        <f>IF(A2372="","Pacote",IF(B2372=IFERROR(VLOOKUP(B2372,base!$L$1:$L$20,1,0),""),"Produtos",IF(B2372=IFERROR(VLOOKUP(B2372,base!$K$2:$K$20,1,0),""),"Serviços",IF(B2372="Gorjeta","Gorjeta","Combos"))))</f>
        <v>Serviços</v>
      </c>
      <c r="J2372">
        <f t="shared" si="220"/>
        <v>15.75</v>
      </c>
      <c r="K2372" s="1" t="str">
        <f t="shared" si="221"/>
        <v>30/05/2025 10:00</v>
      </c>
      <c r="L2372" s="1">
        <f t="shared" si="222"/>
        <v>45807</v>
      </c>
      <c r="M2372" s="1">
        <f t="shared" si="223"/>
        <v>45807</v>
      </c>
      <c r="N2372" s="1"/>
      <c r="O2372" t="str">
        <f t="shared" si="224"/>
        <v>PIX</v>
      </c>
      <c r="P2372" t="s">
        <v>149</v>
      </c>
      <c r="Q2372" t="str">
        <f t="shared" si="225"/>
        <v>Serviços</v>
      </c>
      <c r="R2372" t="str">
        <f t="shared" si="226"/>
        <v>Corte</v>
      </c>
      <c r="T2372" s="14">
        <f t="shared" si="227"/>
        <v>35</v>
      </c>
      <c r="U2372" s="14">
        <f t="shared" si="228"/>
        <v>93</v>
      </c>
      <c r="V2372" s="14"/>
      <c r="W2372" t="str">
        <f>IF(A2372=$A$1707,base!$I$3,IF(A2372=$A$1709,base!$I$2,IF(Receitas!A2372=Receitas!$A$1701,base!$I$4,"")))</f>
        <v>Gustavo de Castro</v>
      </c>
      <c r="X2372" t="str">
        <f t="shared" si="229"/>
        <v>wellington Lima</v>
      </c>
    </row>
    <row r="2373" spans="1:24">
      <c r="A2373" t="s">
        <v>519</v>
      </c>
      <c r="B2373" t="s">
        <v>3362</v>
      </c>
      <c r="C2373" t="s">
        <v>3380</v>
      </c>
      <c r="D2373" s="14">
        <v>20</v>
      </c>
      <c r="E2373" t="s">
        <v>1604</v>
      </c>
      <c r="F2373" t="s">
        <v>3381</v>
      </c>
      <c r="G2373" t="s">
        <v>1</v>
      </c>
      <c r="H2373" t="s">
        <v>3382</v>
      </c>
      <c r="I2373" t="str">
        <f>IF(A2373="","Pacote",IF(B2373=IFERROR(VLOOKUP(B2373,base!$L$1:$L$20,1,0),""),"Produtos",IF(B2373=IFERROR(VLOOKUP(B2373,base!$K$2:$K$20,1,0),""),"Serviços",IF(B2373="Gorjeta","Gorjeta","Combos"))))</f>
        <v>Serviços</v>
      </c>
      <c r="J2373">
        <f t="shared" si="220"/>
        <v>9</v>
      </c>
      <c r="K2373" s="1" t="str">
        <f t="shared" si="221"/>
        <v>30/05/2025 10:00</v>
      </c>
      <c r="L2373" s="1">
        <f t="shared" si="222"/>
        <v>45807</v>
      </c>
      <c r="M2373" s="1">
        <f t="shared" si="223"/>
        <v>45807</v>
      </c>
      <c r="N2373" s="1"/>
      <c r="O2373" t="str">
        <f t="shared" si="224"/>
        <v>PIX</v>
      </c>
      <c r="P2373" t="s">
        <v>149</v>
      </c>
      <c r="Q2373" t="str">
        <f t="shared" si="225"/>
        <v>Serviços</v>
      </c>
      <c r="R2373" t="str">
        <f t="shared" si="226"/>
        <v>selagem</v>
      </c>
      <c r="T2373" s="14">
        <f t="shared" si="227"/>
        <v>20</v>
      </c>
      <c r="U2373" s="14" t="str">
        <f t="shared" si="228"/>
        <v/>
      </c>
      <c r="V2373" s="14"/>
      <c r="W2373" t="str">
        <f>IF(A2373=$A$1707,base!$I$3,IF(A2373=$A$1709,base!$I$2,IF(Receitas!A2373=Receitas!$A$1701,base!$I$4,"")))</f>
        <v>Gustavo de Castro</v>
      </c>
      <c r="X2373" t="str">
        <f t="shared" si="229"/>
        <v>wellington Lima</v>
      </c>
    </row>
    <row r="2374" spans="1:24">
      <c r="A2374" t="s">
        <v>519</v>
      </c>
      <c r="B2374" t="s">
        <v>352</v>
      </c>
      <c r="C2374" t="s">
        <v>3380</v>
      </c>
      <c r="D2374" s="14">
        <v>20</v>
      </c>
      <c r="E2374" t="s">
        <v>1604</v>
      </c>
      <c r="F2374" t="s">
        <v>3381</v>
      </c>
      <c r="G2374" t="s">
        <v>1</v>
      </c>
      <c r="H2374" t="s">
        <v>3382</v>
      </c>
      <c r="I2374" t="str">
        <f>IF(A2374="","Pacote",IF(B2374=IFERROR(VLOOKUP(B2374,base!$L$1:$L$20,1,0),""),"Produtos",IF(B2374=IFERROR(VLOOKUP(B2374,base!$K$2:$K$20,1,0),""),"Serviços",IF(B2374="Gorjeta","Gorjeta","Combos"))))</f>
        <v>Combos</v>
      </c>
      <c r="J2374">
        <f t="shared" si="220"/>
        <v>9</v>
      </c>
      <c r="K2374" s="1" t="str">
        <f t="shared" si="221"/>
        <v>30/05/2025 10:00</v>
      </c>
      <c r="L2374" s="1">
        <f t="shared" si="222"/>
        <v>45807</v>
      </c>
      <c r="M2374" s="1">
        <f t="shared" si="223"/>
        <v>45807</v>
      </c>
      <c r="N2374" s="1"/>
      <c r="O2374" t="str">
        <f t="shared" si="224"/>
        <v>PIX</v>
      </c>
      <c r="P2374" t="s">
        <v>149</v>
      </c>
      <c r="Q2374" t="str">
        <f t="shared" si="225"/>
        <v>Combos</v>
      </c>
      <c r="R2374" t="str">
        <f t="shared" si="226"/>
        <v>Combo ( depilação nariz e orelha )</v>
      </c>
      <c r="T2374" s="14">
        <f t="shared" si="227"/>
        <v>20</v>
      </c>
      <c r="U2374" s="14" t="str">
        <f t="shared" si="228"/>
        <v/>
      </c>
      <c r="V2374" s="14"/>
      <c r="W2374" t="str">
        <f>IF(A2374=$A$1707,base!$I$3,IF(A2374=$A$1709,base!$I$2,IF(Receitas!A2374=Receitas!$A$1701,base!$I$4,"")))</f>
        <v>Gustavo de Castro</v>
      </c>
      <c r="X2374" t="str">
        <f t="shared" si="229"/>
        <v>wellington Lima</v>
      </c>
    </row>
    <row r="2375" spans="1:24">
      <c r="A2375" t="s">
        <v>519</v>
      </c>
      <c r="B2375" t="s">
        <v>3316</v>
      </c>
      <c r="C2375" t="s">
        <v>3380</v>
      </c>
      <c r="D2375" s="14">
        <v>18</v>
      </c>
      <c r="E2375" t="s">
        <v>1604</v>
      </c>
      <c r="F2375" t="s">
        <v>3381</v>
      </c>
      <c r="G2375" t="s">
        <v>1</v>
      </c>
      <c r="H2375" t="s">
        <v>3382</v>
      </c>
      <c r="I2375" t="str">
        <f>IF(A2375="","Pacote",IF(B2375=IFERROR(VLOOKUP(B2375,base!$L$1:$L$20,1,0),""),"Produtos",IF(B2375=IFERROR(VLOOKUP(B2375,base!$K$2:$K$20,1,0),""),"Serviços",IF(B2375="Gorjeta","Gorjeta","Combos"))))</f>
        <v>Produtos</v>
      </c>
      <c r="J2375">
        <f t="shared" si="220"/>
        <v>7.2</v>
      </c>
      <c r="K2375" s="1" t="str">
        <f t="shared" si="221"/>
        <v>30/05/2025 10:00</v>
      </c>
      <c r="L2375" s="1">
        <f t="shared" si="222"/>
        <v>45807</v>
      </c>
      <c r="M2375" s="1">
        <f t="shared" si="223"/>
        <v>45807</v>
      </c>
      <c r="N2375" s="1"/>
      <c r="O2375" t="str">
        <f t="shared" si="224"/>
        <v>PIX</v>
      </c>
      <c r="P2375" t="s">
        <v>149</v>
      </c>
      <c r="Q2375" t="str">
        <f t="shared" si="225"/>
        <v>Produtos</v>
      </c>
      <c r="R2375" t="str">
        <f t="shared" si="226"/>
        <v>pasta caramelo Fox 80g</v>
      </c>
      <c r="T2375" s="14">
        <f t="shared" si="227"/>
        <v>18</v>
      </c>
      <c r="U2375" s="14" t="str">
        <f t="shared" si="228"/>
        <v/>
      </c>
      <c r="V2375" s="14"/>
      <c r="W2375" t="str">
        <f>IF(A2375=$A$1707,base!$I$3,IF(A2375=$A$1709,base!$I$2,IF(Receitas!A2375=Receitas!$A$1701,base!$I$4,"")))</f>
        <v>Gustavo de Castro</v>
      </c>
      <c r="X2375" t="str">
        <f t="shared" si="229"/>
        <v>wellington Lima</v>
      </c>
    </row>
    <row r="2376" spans="1:24">
      <c r="A2376" t="s">
        <v>519</v>
      </c>
      <c r="B2376" t="s">
        <v>163</v>
      </c>
      <c r="C2376" t="s">
        <v>3383</v>
      </c>
      <c r="D2376" s="14">
        <v>35</v>
      </c>
      <c r="E2376" s="14">
        <v>45</v>
      </c>
      <c r="F2376" t="s">
        <v>3384</v>
      </c>
      <c r="G2376" t="s">
        <v>1</v>
      </c>
      <c r="H2376" t="s">
        <v>14</v>
      </c>
      <c r="I2376" t="str">
        <f>IF(A2376="","Pacote",IF(B2376=IFERROR(VLOOKUP(B2376,base!$L$1:$L$20,1,0),""),"Produtos",IF(B2376=IFERROR(VLOOKUP(B2376,base!$K$2:$K$20,1,0),""),"Serviços",IF(B2376="Gorjeta","Gorjeta","Combos"))))</f>
        <v>Serviços</v>
      </c>
      <c r="J2376">
        <f t="shared" si="220"/>
        <v>15.75</v>
      </c>
      <c r="K2376" s="1" t="str">
        <f t="shared" si="221"/>
        <v>30/05/2025 15:00</v>
      </c>
      <c r="L2376" s="1">
        <f t="shared" si="222"/>
        <v>45807</v>
      </c>
      <c r="M2376" s="1">
        <f t="shared" si="223"/>
        <v>45807</v>
      </c>
      <c r="N2376" s="1"/>
      <c r="O2376" t="str">
        <f t="shared" si="224"/>
        <v>PIX</v>
      </c>
      <c r="P2376" t="s">
        <v>149</v>
      </c>
      <c r="Q2376" t="str">
        <f t="shared" si="225"/>
        <v>Serviços</v>
      </c>
      <c r="R2376" t="str">
        <f t="shared" si="226"/>
        <v>Corte</v>
      </c>
      <c r="T2376" s="14">
        <f t="shared" si="227"/>
        <v>35</v>
      </c>
      <c r="U2376" s="14">
        <f t="shared" si="228"/>
        <v>45</v>
      </c>
      <c r="V2376" s="14"/>
      <c r="W2376" t="str">
        <f>IF(A2376=$A$1707,base!$I$3,IF(A2376=$A$1709,base!$I$2,IF(Receitas!A2376=Receitas!$A$1701,base!$I$4,"")))</f>
        <v>Gustavo de Castro</v>
      </c>
      <c r="X2376" t="str">
        <f t="shared" si="229"/>
        <v>Jackson carneiro Ramos</v>
      </c>
    </row>
    <row r="2377" spans="1:24">
      <c r="A2377" t="s">
        <v>519</v>
      </c>
      <c r="B2377" t="s">
        <v>167</v>
      </c>
      <c r="C2377" t="s">
        <v>3383</v>
      </c>
      <c r="D2377" s="14">
        <v>10</v>
      </c>
      <c r="E2377" t="s">
        <v>1604</v>
      </c>
      <c r="F2377" t="s">
        <v>3384</v>
      </c>
      <c r="G2377" t="s">
        <v>1</v>
      </c>
      <c r="H2377" t="s">
        <v>14</v>
      </c>
      <c r="I2377" t="str">
        <f>IF(A2377="","Pacote",IF(B2377=IFERROR(VLOOKUP(B2377,base!$L$1:$L$20,1,0),""),"Produtos",IF(B2377=IFERROR(VLOOKUP(B2377,base!$K$2:$K$20,1,0),""),"Serviços",IF(B2377="Gorjeta","Gorjeta","Combos"))))</f>
        <v>Serviços</v>
      </c>
      <c r="J2377">
        <f t="shared" si="220"/>
        <v>4.5</v>
      </c>
      <c r="K2377" s="1" t="str">
        <f t="shared" si="221"/>
        <v>30/05/2025 15:00</v>
      </c>
      <c r="L2377" s="1">
        <f t="shared" si="222"/>
        <v>45807</v>
      </c>
      <c r="M2377" s="1">
        <f t="shared" si="223"/>
        <v>45807</v>
      </c>
      <c r="N2377" s="1"/>
      <c r="O2377" t="str">
        <f t="shared" si="224"/>
        <v>PIX</v>
      </c>
      <c r="P2377" t="s">
        <v>149</v>
      </c>
      <c r="Q2377" t="str">
        <f t="shared" si="225"/>
        <v>Serviços</v>
      </c>
      <c r="R2377" t="str">
        <f t="shared" si="226"/>
        <v>Sobrancelha</v>
      </c>
      <c r="T2377" s="14">
        <f t="shared" si="227"/>
        <v>10</v>
      </c>
      <c r="U2377" s="14" t="str">
        <f t="shared" si="228"/>
        <v/>
      </c>
      <c r="V2377" s="14"/>
      <c r="W2377" t="str">
        <f>IF(A2377=$A$1707,base!$I$3,IF(A2377=$A$1709,base!$I$2,IF(Receitas!A2377=Receitas!$A$1701,base!$I$4,"")))</f>
        <v>Gustavo de Castro</v>
      </c>
      <c r="X2377" t="str">
        <f t="shared" si="229"/>
        <v>Jackson carneiro Ramos</v>
      </c>
    </row>
    <row r="2378" spans="1:24">
      <c r="A2378" t="s">
        <v>252</v>
      </c>
      <c r="B2378" t="s">
        <v>163</v>
      </c>
      <c r="C2378" t="s">
        <v>3385</v>
      </c>
      <c r="D2378" s="14">
        <v>35</v>
      </c>
      <c r="E2378" s="14">
        <v>65</v>
      </c>
      <c r="F2378" t="s">
        <v>3386</v>
      </c>
      <c r="G2378" t="s">
        <v>1</v>
      </c>
      <c r="H2378" t="s">
        <v>18</v>
      </c>
      <c r="I2378" t="str">
        <f>IF(A2378="","Pacote",IF(B2378=IFERROR(VLOOKUP(B2378,base!$L$1:$L$20,1,0),""),"Produtos",IF(B2378=IFERROR(VLOOKUP(B2378,base!$K$2:$K$20,1,0),""),"Serviços",IF(B2378="Gorjeta","Gorjeta","Combos"))))</f>
        <v>Serviços</v>
      </c>
      <c r="J2378">
        <f t="shared" si="220"/>
        <v>15.75</v>
      </c>
      <c r="K2378" s="1" t="str">
        <f t="shared" si="221"/>
        <v>30/05/2025 18:30</v>
      </c>
      <c r="L2378" s="1">
        <f t="shared" si="222"/>
        <v>45807</v>
      </c>
      <c r="M2378" s="1">
        <f t="shared" si="223"/>
        <v>45807</v>
      </c>
      <c r="N2378" s="1"/>
      <c r="O2378" t="str">
        <f t="shared" si="224"/>
        <v>PIX</v>
      </c>
      <c r="P2378" t="s">
        <v>149</v>
      </c>
      <c r="Q2378" t="str">
        <f t="shared" si="225"/>
        <v>Serviços</v>
      </c>
      <c r="R2378" t="str">
        <f t="shared" si="226"/>
        <v>Corte</v>
      </c>
      <c r="T2378" s="14">
        <f t="shared" si="227"/>
        <v>35</v>
      </c>
      <c r="U2378" s="14">
        <f t="shared" si="228"/>
        <v>65</v>
      </c>
      <c r="V2378" s="14"/>
      <c r="W2378" t="str">
        <f>IF(A2378=$A$1707,base!$I$3,IF(A2378=$A$1709,base!$I$2,IF(Receitas!A2378=Receitas!$A$1701,base!$I$4,"")))</f>
        <v>Christian Magon</v>
      </c>
      <c r="X2378" t="str">
        <f t="shared" si="229"/>
        <v>Igor Ferreira</v>
      </c>
    </row>
    <row r="2379" spans="1:24">
      <c r="A2379" t="s">
        <v>252</v>
      </c>
      <c r="B2379" t="s">
        <v>166</v>
      </c>
      <c r="C2379" t="s">
        <v>3385</v>
      </c>
      <c r="D2379" s="14">
        <v>20</v>
      </c>
      <c r="E2379" t="s">
        <v>1604</v>
      </c>
      <c r="F2379" t="s">
        <v>3386</v>
      </c>
      <c r="G2379" t="s">
        <v>1</v>
      </c>
      <c r="H2379" t="s">
        <v>18</v>
      </c>
      <c r="I2379" t="str">
        <f>IF(A2379="","Pacote",IF(B2379=IFERROR(VLOOKUP(B2379,base!$L$1:$L$20,1,0),""),"Produtos",IF(B2379=IFERROR(VLOOKUP(B2379,base!$K$2:$K$20,1,0),""),"Serviços",IF(B2379="Gorjeta","Gorjeta","Combos"))))</f>
        <v>Serviços</v>
      </c>
      <c r="J2379">
        <f t="shared" si="220"/>
        <v>9</v>
      </c>
      <c r="K2379" s="1" t="str">
        <f t="shared" si="221"/>
        <v>30/05/2025 18:30</v>
      </c>
      <c r="L2379" s="1">
        <f t="shared" si="222"/>
        <v>45807</v>
      </c>
      <c r="M2379" s="1">
        <f t="shared" si="223"/>
        <v>45807</v>
      </c>
      <c r="N2379" s="1"/>
      <c r="O2379" t="str">
        <f t="shared" si="224"/>
        <v>PIX</v>
      </c>
      <c r="P2379" t="s">
        <v>149</v>
      </c>
      <c r="Q2379" t="str">
        <f t="shared" si="225"/>
        <v>Serviços</v>
      </c>
      <c r="R2379" t="str">
        <f t="shared" si="226"/>
        <v>Pigmentação</v>
      </c>
      <c r="T2379" s="14">
        <f t="shared" si="227"/>
        <v>20</v>
      </c>
      <c r="U2379" s="14" t="str">
        <f t="shared" si="228"/>
        <v/>
      </c>
      <c r="V2379" s="14"/>
      <c r="W2379" t="str">
        <f>IF(A2379=$A$1707,base!$I$3,IF(A2379=$A$1709,base!$I$2,IF(Receitas!A2379=Receitas!$A$1701,base!$I$4,"")))</f>
        <v>Christian Magon</v>
      </c>
      <c r="X2379" t="str">
        <f t="shared" si="229"/>
        <v>Igor Ferreira</v>
      </c>
    </row>
    <row r="2380" spans="1:24">
      <c r="A2380" t="s">
        <v>252</v>
      </c>
      <c r="B2380" t="s">
        <v>167</v>
      </c>
      <c r="C2380" t="s">
        <v>3385</v>
      </c>
      <c r="D2380" s="14">
        <v>10</v>
      </c>
      <c r="E2380" t="s">
        <v>1604</v>
      </c>
      <c r="F2380" t="s">
        <v>3386</v>
      </c>
      <c r="G2380" t="s">
        <v>1</v>
      </c>
      <c r="H2380" t="s">
        <v>18</v>
      </c>
      <c r="I2380" t="str">
        <f>IF(A2380="","Pacote",IF(B2380=IFERROR(VLOOKUP(B2380,base!$L$1:$L$20,1,0),""),"Produtos",IF(B2380=IFERROR(VLOOKUP(B2380,base!$K$2:$K$20,1,0),""),"Serviços",IF(B2380="Gorjeta","Gorjeta","Combos"))))</f>
        <v>Serviços</v>
      </c>
      <c r="J2380">
        <f t="shared" si="220"/>
        <v>4.5</v>
      </c>
      <c r="K2380" s="1" t="str">
        <f t="shared" si="221"/>
        <v>30/05/2025 18:30</v>
      </c>
      <c r="L2380" s="1">
        <f t="shared" si="222"/>
        <v>45807</v>
      </c>
      <c r="M2380" s="1">
        <f t="shared" si="223"/>
        <v>45807</v>
      </c>
      <c r="N2380" s="1"/>
      <c r="O2380" t="str">
        <f t="shared" si="224"/>
        <v>PIX</v>
      </c>
      <c r="P2380" t="s">
        <v>149</v>
      </c>
      <c r="Q2380" t="str">
        <f t="shared" si="225"/>
        <v>Serviços</v>
      </c>
      <c r="R2380" t="str">
        <f t="shared" si="226"/>
        <v>Sobrancelha</v>
      </c>
      <c r="T2380" s="14">
        <f t="shared" si="227"/>
        <v>10</v>
      </c>
      <c r="U2380" s="14" t="str">
        <f t="shared" si="228"/>
        <v/>
      </c>
      <c r="V2380" s="14"/>
      <c r="W2380" t="str">
        <f>IF(A2380=$A$1707,base!$I$3,IF(A2380=$A$1709,base!$I$2,IF(Receitas!A2380=Receitas!$A$1701,base!$I$4,"")))</f>
        <v>Christian Magon</v>
      </c>
      <c r="X2380" t="str">
        <f t="shared" si="229"/>
        <v>Igor Ferreira</v>
      </c>
    </row>
    <row r="2381" spans="1:24">
      <c r="A2381" t="s">
        <v>519</v>
      </c>
      <c r="B2381" t="s">
        <v>163</v>
      </c>
      <c r="C2381" t="s">
        <v>3387</v>
      </c>
      <c r="D2381" s="14">
        <v>35</v>
      </c>
      <c r="E2381" s="14">
        <v>35</v>
      </c>
      <c r="F2381" t="s">
        <v>3388</v>
      </c>
      <c r="G2381" t="s">
        <v>2</v>
      </c>
      <c r="H2381" t="s">
        <v>278</v>
      </c>
      <c r="I2381" t="str">
        <f>IF(A2381="","Pacote",IF(B2381=IFERROR(VLOOKUP(B2381,base!$L$1:$L$20,1,0),""),"Produtos",IF(B2381=IFERROR(VLOOKUP(B2381,base!$K$2:$K$20,1,0),""),"Serviços",IF(B2381="Gorjeta","Gorjeta","Combos"))))</f>
        <v>Serviços</v>
      </c>
      <c r="J2381">
        <f t="shared" si="220"/>
        <v>15.75</v>
      </c>
      <c r="K2381" s="1" t="str">
        <f t="shared" si="221"/>
        <v>30/05/2025 10:30</v>
      </c>
      <c r="L2381" s="1">
        <f t="shared" si="222"/>
        <v>45807</v>
      </c>
      <c r="M2381" s="1">
        <f t="shared" si="223"/>
        <v>45807</v>
      </c>
      <c r="N2381" s="1"/>
      <c r="O2381" t="str">
        <f t="shared" si="224"/>
        <v>Dinheiro</v>
      </c>
      <c r="P2381" t="s">
        <v>149</v>
      </c>
      <c r="Q2381" t="str">
        <f t="shared" si="225"/>
        <v>Serviços</v>
      </c>
      <c r="R2381" t="str">
        <f t="shared" si="226"/>
        <v>Corte</v>
      </c>
      <c r="T2381" s="14">
        <f t="shared" si="227"/>
        <v>35</v>
      </c>
      <c r="U2381" s="14">
        <f t="shared" si="228"/>
        <v>35</v>
      </c>
      <c r="V2381" s="14"/>
      <c r="W2381" t="str">
        <f>IF(A2381=$A$1707,base!$I$3,IF(A2381=$A$1709,base!$I$2,IF(Receitas!A2381=Receitas!$A$1701,base!$I$4,"")))</f>
        <v>Gustavo de Castro</v>
      </c>
      <c r="X2381" t="str">
        <f t="shared" si="229"/>
        <v>Jorge Luiz pereira</v>
      </c>
    </row>
    <row r="2382" spans="1:24">
      <c r="A2382" t="s">
        <v>519</v>
      </c>
      <c r="B2382" t="s">
        <v>163</v>
      </c>
      <c r="C2382" t="s">
        <v>3389</v>
      </c>
      <c r="D2382" s="14">
        <v>35</v>
      </c>
      <c r="E2382" s="14">
        <v>35</v>
      </c>
      <c r="F2382" t="s">
        <v>3390</v>
      </c>
      <c r="G2382" t="s">
        <v>310</v>
      </c>
      <c r="H2382" t="s">
        <v>71</v>
      </c>
      <c r="I2382" t="str">
        <f>IF(A2382="","Pacote",IF(B2382=IFERROR(VLOOKUP(B2382,base!$L$1:$L$20,1,0),""),"Produtos",IF(B2382=IFERROR(VLOOKUP(B2382,base!$K$2:$K$20,1,0),""),"Serviços",IF(B2382="Gorjeta","Gorjeta","Combos"))))</f>
        <v>Serviços</v>
      </c>
      <c r="J2382">
        <f t="shared" si="220"/>
        <v>15.75</v>
      </c>
      <c r="K2382" s="1" t="str">
        <f t="shared" si="221"/>
        <v>30/05/2025 11:30</v>
      </c>
      <c r="L2382" s="1">
        <f t="shared" si="222"/>
        <v>45807</v>
      </c>
      <c r="M2382" s="1">
        <f t="shared" si="223"/>
        <v>45807</v>
      </c>
      <c r="N2382" s="1"/>
      <c r="O2382" t="str">
        <f t="shared" si="224"/>
        <v>Cartão de Débito</v>
      </c>
      <c r="P2382" t="s">
        <v>149</v>
      </c>
      <c r="Q2382" t="str">
        <f t="shared" si="225"/>
        <v>Serviços</v>
      </c>
      <c r="R2382" t="str">
        <f t="shared" si="226"/>
        <v>Corte</v>
      </c>
      <c r="T2382" s="14">
        <f t="shared" si="227"/>
        <v>35</v>
      </c>
      <c r="U2382" s="14">
        <f t="shared" si="228"/>
        <v>35</v>
      </c>
      <c r="V2382" s="14"/>
      <c r="W2382" t="str">
        <f>IF(A2382=$A$1707,base!$I$3,IF(A2382=$A$1709,base!$I$2,IF(Receitas!A2382=Receitas!$A$1701,base!$I$4,"")))</f>
        <v>Gustavo de Castro</v>
      </c>
      <c r="X2382" t="str">
        <f t="shared" si="229"/>
        <v>Fellipe Maia</v>
      </c>
    </row>
    <row r="2383" spans="1:24">
      <c r="A2383" t="s">
        <v>536</v>
      </c>
      <c r="B2383" t="s">
        <v>163</v>
      </c>
      <c r="C2383" t="s">
        <v>3391</v>
      </c>
      <c r="D2383" s="14">
        <v>30</v>
      </c>
      <c r="E2383" s="14">
        <v>0</v>
      </c>
      <c r="F2383" t="s">
        <v>3392</v>
      </c>
      <c r="G2383" t="s">
        <v>1</v>
      </c>
      <c r="H2383" t="s">
        <v>1348</v>
      </c>
      <c r="I2383" t="str">
        <f>IF(A2383="","Pacote",IF(B2383=IFERROR(VLOOKUP(B2383,base!$L$1:$L$20,1,0),""),"Produtos",IF(B2383=IFERROR(VLOOKUP(B2383,base!$K$2:$K$20,1,0),""),"Serviços",IF(B2383="Gorjeta","Gorjeta","Combos"))))</f>
        <v>Serviços</v>
      </c>
      <c r="J2383">
        <f t="shared" si="220"/>
        <v>13.5</v>
      </c>
      <c r="K2383" s="1" t="str">
        <f t="shared" si="221"/>
        <v>30/05/2025 18:00</v>
      </c>
      <c r="L2383" s="1">
        <f t="shared" si="222"/>
        <v>45807</v>
      </c>
      <c r="M2383" s="1">
        <f t="shared" si="223"/>
        <v>45807</v>
      </c>
      <c r="N2383" s="1"/>
      <c r="O2383" t="str">
        <f t="shared" si="224"/>
        <v>PIX</v>
      </c>
      <c r="P2383" t="s">
        <v>149</v>
      </c>
      <c r="Q2383" t="str">
        <f t="shared" si="225"/>
        <v>Serviços</v>
      </c>
      <c r="R2383" t="str">
        <f t="shared" si="226"/>
        <v>Corte</v>
      </c>
      <c r="T2383" s="14">
        <f t="shared" si="227"/>
        <v>30</v>
      </c>
      <c r="U2383" s="14">
        <f t="shared" si="228"/>
        <v>0</v>
      </c>
      <c r="V2383" s="14"/>
      <c r="W2383" t="str">
        <f>IF(A2383=$A$1707,base!$I$3,IF(A2383=$A$1709,base!$I$2,IF(Receitas!A2383=Receitas!$A$1701,base!$I$4,"")))</f>
        <v>PATRICK CARDOSO</v>
      </c>
      <c r="X2383" t="str">
        <f t="shared" si="229"/>
        <v>Jeremias Bastos</v>
      </c>
    </row>
    <row r="2384" spans="1:24">
      <c r="A2384" t="s">
        <v>252</v>
      </c>
      <c r="B2384" t="s">
        <v>163</v>
      </c>
      <c r="C2384" t="s">
        <v>3393</v>
      </c>
      <c r="D2384" s="14">
        <v>35</v>
      </c>
      <c r="E2384" s="14">
        <v>35</v>
      </c>
      <c r="F2384" t="s">
        <v>3388</v>
      </c>
      <c r="G2384" t="s">
        <v>1</v>
      </c>
      <c r="H2384" t="s">
        <v>10</v>
      </c>
      <c r="I2384" t="str">
        <f>IF(A2384="","Pacote",IF(B2384=IFERROR(VLOOKUP(B2384,base!$L$1:$L$20,1,0),""),"Produtos",IF(B2384=IFERROR(VLOOKUP(B2384,base!$K$2:$K$20,1,0),""),"Serviços",IF(B2384="Gorjeta","Gorjeta","Combos"))))</f>
        <v>Serviços</v>
      </c>
      <c r="J2384">
        <f t="shared" si="220"/>
        <v>15.75</v>
      </c>
      <c r="K2384" s="1" t="str">
        <f t="shared" si="221"/>
        <v>30/05/2025 10:30</v>
      </c>
      <c r="L2384" s="1">
        <f t="shared" si="222"/>
        <v>45807</v>
      </c>
      <c r="M2384" s="1">
        <f t="shared" si="223"/>
        <v>45807</v>
      </c>
      <c r="N2384" s="1"/>
      <c r="O2384" t="str">
        <f t="shared" si="224"/>
        <v>PIX</v>
      </c>
      <c r="P2384" t="s">
        <v>149</v>
      </c>
      <c r="Q2384" t="str">
        <f t="shared" si="225"/>
        <v>Serviços</v>
      </c>
      <c r="R2384" t="str">
        <f t="shared" si="226"/>
        <v>Corte</v>
      </c>
      <c r="T2384" s="14">
        <f t="shared" si="227"/>
        <v>35</v>
      </c>
      <c r="U2384" s="14">
        <f t="shared" si="228"/>
        <v>35</v>
      </c>
      <c r="V2384" s="14"/>
      <c r="W2384" t="str">
        <f>IF(A2384=$A$1707,base!$I$3,IF(A2384=$A$1709,base!$I$2,IF(Receitas!A2384=Receitas!$A$1701,base!$I$4,"")))</f>
        <v>Christian Magon</v>
      </c>
      <c r="X2384" t="str">
        <f t="shared" si="229"/>
        <v>Valcir Pedro</v>
      </c>
    </row>
    <row r="2385" spans="1:24">
      <c r="A2385" t="s">
        <v>252</v>
      </c>
      <c r="B2385" t="s">
        <v>163</v>
      </c>
      <c r="C2385" t="s">
        <v>3394</v>
      </c>
      <c r="D2385" s="14">
        <v>35</v>
      </c>
      <c r="E2385" s="14">
        <v>60</v>
      </c>
      <c r="F2385" t="s">
        <v>3395</v>
      </c>
      <c r="G2385" t="s">
        <v>354</v>
      </c>
      <c r="H2385" t="s">
        <v>3396</v>
      </c>
      <c r="I2385" t="str">
        <f>IF(A2385="","Pacote",IF(B2385=IFERROR(VLOOKUP(B2385,base!$L$1:$L$20,1,0),""),"Produtos",IF(B2385=IFERROR(VLOOKUP(B2385,base!$K$2:$K$20,1,0),""),"Serviços",IF(B2385="Gorjeta","Gorjeta","Combos"))))</f>
        <v>Serviços</v>
      </c>
      <c r="J2385">
        <f t="shared" si="220"/>
        <v>15.75</v>
      </c>
      <c r="K2385" s="1" t="str">
        <f t="shared" si="221"/>
        <v>30/05/2025 12:30</v>
      </c>
      <c r="L2385" s="1">
        <f t="shared" si="222"/>
        <v>45807</v>
      </c>
      <c r="M2385" s="1">
        <f t="shared" si="223"/>
        <v>45807</v>
      </c>
      <c r="N2385" s="1"/>
      <c r="O2385" t="str">
        <f t="shared" si="224"/>
        <v>Cartão de Crédito</v>
      </c>
      <c r="P2385" t="s">
        <v>149</v>
      </c>
      <c r="Q2385" t="str">
        <f t="shared" si="225"/>
        <v>Serviços</v>
      </c>
      <c r="R2385" t="str">
        <f t="shared" si="226"/>
        <v>Corte</v>
      </c>
      <c r="T2385" s="14">
        <f t="shared" si="227"/>
        <v>35</v>
      </c>
      <c r="U2385" s="14">
        <f t="shared" si="228"/>
        <v>60</v>
      </c>
      <c r="V2385" s="14"/>
      <c r="W2385" t="str">
        <f>IF(A2385=$A$1707,base!$I$3,IF(A2385=$A$1709,base!$I$2,IF(Receitas!A2385=Receitas!$A$1701,base!$I$4,"")))</f>
        <v>Christian Magon</v>
      </c>
      <c r="X2385" t="str">
        <f t="shared" si="229"/>
        <v>alander nascimento</v>
      </c>
    </row>
    <row r="2386" spans="1:24">
      <c r="A2386" t="s">
        <v>252</v>
      </c>
      <c r="B2386" t="s">
        <v>167</v>
      </c>
      <c r="C2386" t="s">
        <v>3394</v>
      </c>
      <c r="D2386" s="14">
        <v>10</v>
      </c>
      <c r="E2386" t="s">
        <v>1604</v>
      </c>
      <c r="F2386" t="s">
        <v>3395</v>
      </c>
      <c r="G2386" t="s">
        <v>354</v>
      </c>
      <c r="H2386" t="s">
        <v>3396</v>
      </c>
      <c r="I2386" t="str">
        <f>IF(A2386="","Pacote",IF(B2386=IFERROR(VLOOKUP(B2386,base!$L$1:$L$20,1,0),""),"Produtos",IF(B2386=IFERROR(VLOOKUP(B2386,base!$K$2:$K$20,1,0),""),"Serviços",IF(B2386="Gorjeta","Gorjeta","Combos"))))</f>
        <v>Serviços</v>
      </c>
      <c r="J2386">
        <f t="shared" si="220"/>
        <v>4.5</v>
      </c>
      <c r="K2386" s="1" t="str">
        <f t="shared" si="221"/>
        <v>30/05/2025 12:30</v>
      </c>
      <c r="L2386" s="1">
        <f t="shared" si="222"/>
        <v>45807</v>
      </c>
      <c r="M2386" s="1">
        <f t="shared" si="223"/>
        <v>45807</v>
      </c>
      <c r="N2386" s="1"/>
      <c r="O2386" t="str">
        <f t="shared" si="224"/>
        <v>Cartão de Crédito</v>
      </c>
      <c r="P2386" t="s">
        <v>149</v>
      </c>
      <c r="Q2386" t="str">
        <f t="shared" si="225"/>
        <v>Serviços</v>
      </c>
      <c r="R2386" t="str">
        <f t="shared" si="226"/>
        <v>Sobrancelha</v>
      </c>
      <c r="T2386" s="14">
        <f t="shared" si="227"/>
        <v>10</v>
      </c>
      <c r="U2386" s="14" t="str">
        <f t="shared" si="228"/>
        <v/>
      </c>
      <c r="V2386" s="14"/>
      <c r="W2386" t="str">
        <f>IF(A2386=$A$1707,base!$I$3,IF(A2386=$A$1709,base!$I$2,IF(Receitas!A2386=Receitas!$A$1701,base!$I$4,"")))</f>
        <v>Christian Magon</v>
      </c>
      <c r="X2386" t="str">
        <f t="shared" si="229"/>
        <v>alander nascimento</v>
      </c>
    </row>
    <row r="2387" spans="1:24">
      <c r="A2387" t="s">
        <v>252</v>
      </c>
      <c r="B2387" t="s">
        <v>1187</v>
      </c>
      <c r="C2387" t="s">
        <v>3394</v>
      </c>
      <c r="D2387" s="14">
        <v>15</v>
      </c>
      <c r="E2387" t="s">
        <v>1604</v>
      </c>
      <c r="F2387" t="s">
        <v>3395</v>
      </c>
      <c r="G2387" t="s">
        <v>354</v>
      </c>
      <c r="H2387" t="s">
        <v>3396</v>
      </c>
      <c r="I2387" t="str">
        <f>IF(A2387="","Pacote",IF(B2387=IFERROR(VLOOKUP(B2387,base!$L$1:$L$20,1,0),""),"Produtos",IF(B2387=IFERROR(VLOOKUP(B2387,base!$K$2:$K$20,1,0),""),"Serviços",IF(B2387="Gorjeta","Gorjeta","Combos"))))</f>
        <v>Serviços</v>
      </c>
      <c r="J2387">
        <f t="shared" si="220"/>
        <v>6.75</v>
      </c>
      <c r="K2387" s="1" t="str">
        <f t="shared" si="221"/>
        <v>30/05/2025 12:30</v>
      </c>
      <c r="L2387" s="1">
        <f t="shared" si="222"/>
        <v>45807</v>
      </c>
      <c r="M2387" s="1">
        <f t="shared" si="223"/>
        <v>45807</v>
      </c>
      <c r="N2387" s="1"/>
      <c r="O2387" t="str">
        <f t="shared" si="224"/>
        <v>Cartão de Crédito</v>
      </c>
      <c r="P2387" t="s">
        <v>149</v>
      </c>
      <c r="Q2387" t="str">
        <f t="shared" si="225"/>
        <v>Serviços</v>
      </c>
      <c r="R2387" t="str">
        <f t="shared" si="226"/>
        <v>depilação nariz</v>
      </c>
      <c r="T2387" s="14">
        <f t="shared" si="227"/>
        <v>15</v>
      </c>
      <c r="U2387" s="14" t="str">
        <f t="shared" si="228"/>
        <v/>
      </c>
      <c r="V2387" s="14"/>
      <c r="W2387" t="str">
        <f>IF(A2387=$A$1707,base!$I$3,IF(A2387=$A$1709,base!$I$2,IF(Receitas!A2387=Receitas!$A$1701,base!$I$4,"")))</f>
        <v>Christian Magon</v>
      </c>
      <c r="X2387" t="str">
        <f t="shared" si="229"/>
        <v>alander nascimento</v>
      </c>
    </row>
    <row r="2388" spans="1:24">
      <c r="A2388" t="s">
        <v>519</v>
      </c>
      <c r="B2388" t="s">
        <v>1046</v>
      </c>
      <c r="C2388" t="s">
        <v>3397</v>
      </c>
      <c r="D2388" s="14">
        <v>35</v>
      </c>
      <c r="E2388" s="14">
        <v>35</v>
      </c>
      <c r="F2388" t="s">
        <v>3398</v>
      </c>
      <c r="G2388" t="s">
        <v>1</v>
      </c>
      <c r="H2388" t="s">
        <v>2437</v>
      </c>
      <c r="I2388" t="str">
        <f>IF(A2388="","Pacote",IF(B2388=IFERROR(VLOOKUP(B2388,base!$L$1:$L$20,1,0),""),"Produtos",IF(B2388=IFERROR(VLOOKUP(B2388,base!$K$2:$K$20,1,0),""),"Serviços",IF(B2388="Gorjeta","Gorjeta","Combos"))))</f>
        <v>Serviços</v>
      </c>
      <c r="J2388">
        <f t="shared" si="220"/>
        <v>15.75</v>
      </c>
      <c r="K2388" s="1" t="str">
        <f t="shared" si="221"/>
        <v>30/05/2025 12:50</v>
      </c>
      <c r="L2388" s="1">
        <f t="shared" si="222"/>
        <v>45807</v>
      </c>
      <c r="M2388" s="1">
        <f t="shared" si="223"/>
        <v>45807</v>
      </c>
      <c r="N2388" s="1"/>
      <c r="O2388" t="str">
        <f t="shared" si="224"/>
        <v>PIX</v>
      </c>
      <c r="P2388" t="s">
        <v>149</v>
      </c>
      <c r="Q2388" t="str">
        <f t="shared" si="225"/>
        <v>Serviços</v>
      </c>
      <c r="R2388" t="str">
        <f t="shared" si="226"/>
        <v>Barba</v>
      </c>
      <c r="T2388" s="14">
        <f t="shared" si="227"/>
        <v>35</v>
      </c>
      <c r="U2388" s="14">
        <f t="shared" si="228"/>
        <v>35</v>
      </c>
      <c r="V2388" s="14"/>
      <c r="W2388" t="str">
        <f>IF(A2388=$A$1707,base!$I$3,IF(A2388=$A$1709,base!$I$2,IF(Receitas!A2388=Receitas!$A$1701,base!$I$4,"")))</f>
        <v>Gustavo de Castro</v>
      </c>
      <c r="X2388" t="str">
        <f t="shared" si="229"/>
        <v>marco andre piolho</v>
      </c>
    </row>
    <row r="2389" spans="1:24">
      <c r="A2389" t="s">
        <v>252</v>
      </c>
      <c r="B2389" t="s">
        <v>163</v>
      </c>
      <c r="C2389" t="s">
        <v>3399</v>
      </c>
      <c r="D2389" s="14">
        <v>35</v>
      </c>
      <c r="E2389" s="14">
        <v>35</v>
      </c>
      <c r="F2389" t="s">
        <v>3400</v>
      </c>
      <c r="G2389" t="s">
        <v>354</v>
      </c>
      <c r="H2389" t="s">
        <v>1031</v>
      </c>
      <c r="I2389" t="str">
        <f>IF(A2389="","Pacote",IF(B2389=IFERROR(VLOOKUP(B2389,base!$L$1:$L$20,1,0),""),"Produtos",IF(B2389=IFERROR(VLOOKUP(B2389,base!$K$2:$K$20,1,0),""),"Serviços",IF(B2389="Gorjeta","Gorjeta","Combos"))))</f>
        <v>Serviços</v>
      </c>
      <c r="J2389">
        <f t="shared" si="220"/>
        <v>15.75</v>
      </c>
      <c r="K2389" s="1" t="str">
        <f t="shared" si="221"/>
        <v>30/05/2025 17:00</v>
      </c>
      <c r="L2389" s="1">
        <f t="shared" si="222"/>
        <v>45807</v>
      </c>
      <c r="M2389" s="1">
        <f t="shared" si="223"/>
        <v>45807</v>
      </c>
      <c r="N2389" s="1"/>
      <c r="O2389" t="str">
        <f t="shared" si="224"/>
        <v>Cartão de Crédito</v>
      </c>
      <c r="P2389" t="s">
        <v>149</v>
      </c>
      <c r="Q2389" t="str">
        <f t="shared" si="225"/>
        <v>Serviços</v>
      </c>
      <c r="R2389" t="str">
        <f t="shared" si="226"/>
        <v>Corte</v>
      </c>
      <c r="T2389" s="14">
        <f t="shared" si="227"/>
        <v>35</v>
      </c>
      <c r="U2389" s="14">
        <f t="shared" si="228"/>
        <v>35</v>
      </c>
      <c r="V2389" s="14"/>
      <c r="W2389" t="str">
        <f>IF(A2389=$A$1707,base!$I$3,IF(A2389=$A$1709,base!$I$2,IF(Receitas!A2389=Receitas!$A$1701,base!$I$4,"")))</f>
        <v>Christian Magon</v>
      </c>
      <c r="X2389" t="str">
        <f t="shared" si="229"/>
        <v>Bernardo Porto</v>
      </c>
    </row>
    <row r="2390" spans="1:24">
      <c r="A2390" t="s">
        <v>536</v>
      </c>
      <c r="B2390" t="s">
        <v>163</v>
      </c>
      <c r="C2390" t="s">
        <v>3401</v>
      </c>
      <c r="D2390" s="14">
        <v>35</v>
      </c>
      <c r="E2390" s="14">
        <v>35</v>
      </c>
      <c r="F2390" t="s">
        <v>3372</v>
      </c>
      <c r="G2390" t="s">
        <v>310</v>
      </c>
      <c r="H2390" t="s">
        <v>1768</v>
      </c>
      <c r="I2390" t="str">
        <f>IF(A2390="","Pacote",IF(B2390=IFERROR(VLOOKUP(B2390,base!$L$1:$L$20,1,0),""),"Produtos",IF(B2390=IFERROR(VLOOKUP(B2390,base!$K$2:$K$20,1,0),""),"Serviços",IF(B2390="Gorjeta","Gorjeta","Combos"))))</f>
        <v>Serviços</v>
      </c>
      <c r="J2390">
        <f t="shared" si="220"/>
        <v>15.75</v>
      </c>
      <c r="K2390" s="1" t="str">
        <f t="shared" si="221"/>
        <v>30/05/2025 12:00</v>
      </c>
      <c r="L2390" s="1">
        <f t="shared" si="222"/>
        <v>45807</v>
      </c>
      <c r="M2390" s="1">
        <f t="shared" si="223"/>
        <v>45807</v>
      </c>
      <c r="N2390" s="1"/>
      <c r="O2390" t="str">
        <f t="shared" si="224"/>
        <v>Cartão de Débito</v>
      </c>
      <c r="P2390" t="s">
        <v>149</v>
      </c>
      <c r="Q2390" t="str">
        <f t="shared" si="225"/>
        <v>Serviços</v>
      </c>
      <c r="R2390" t="str">
        <f t="shared" si="226"/>
        <v>Corte</v>
      </c>
      <c r="T2390" s="14">
        <f t="shared" si="227"/>
        <v>35</v>
      </c>
      <c r="U2390" s="14">
        <f t="shared" si="228"/>
        <v>35</v>
      </c>
      <c r="V2390" s="14"/>
      <c r="W2390" t="str">
        <f>IF(A2390=$A$1707,base!$I$3,IF(A2390=$A$1709,base!$I$2,IF(Receitas!A2390=Receitas!$A$1701,base!$I$4,"")))</f>
        <v>PATRICK CARDOSO</v>
      </c>
      <c r="X2390" t="str">
        <f t="shared" si="229"/>
        <v>Paulo Sergio</v>
      </c>
    </row>
    <row r="2391" spans="1:24">
      <c r="A2391" t="s">
        <v>519</v>
      </c>
      <c r="B2391" t="s">
        <v>163</v>
      </c>
      <c r="C2391" t="s">
        <v>3402</v>
      </c>
      <c r="D2391" s="14">
        <v>35</v>
      </c>
      <c r="E2391" s="14">
        <v>50</v>
      </c>
      <c r="F2391" t="s">
        <v>3403</v>
      </c>
      <c r="G2391" t="s">
        <v>1</v>
      </c>
      <c r="H2391" t="s">
        <v>28</v>
      </c>
      <c r="I2391" t="str">
        <f>IF(A2391="","Pacote",IF(B2391=IFERROR(VLOOKUP(B2391,base!$L$1:$L$20,1,0),""),"Produtos",IF(B2391=IFERROR(VLOOKUP(B2391,base!$K$2:$K$20,1,0),""),"Serviços",IF(B2391="Gorjeta","Gorjeta","Combos"))))</f>
        <v>Serviços</v>
      </c>
      <c r="J2391">
        <f t="shared" si="220"/>
        <v>15.75</v>
      </c>
      <c r="K2391" s="1" t="str">
        <f t="shared" si="221"/>
        <v>30/05/2025 19:45</v>
      </c>
      <c r="L2391" s="1">
        <f t="shared" si="222"/>
        <v>45807</v>
      </c>
      <c r="M2391" s="1">
        <f t="shared" si="223"/>
        <v>45807</v>
      </c>
      <c r="N2391" s="1"/>
      <c r="O2391" t="str">
        <f t="shared" si="224"/>
        <v>PIX</v>
      </c>
      <c r="P2391" t="s">
        <v>149</v>
      </c>
      <c r="Q2391" t="str">
        <f t="shared" si="225"/>
        <v>Serviços</v>
      </c>
      <c r="R2391" t="str">
        <f t="shared" si="226"/>
        <v>Corte</v>
      </c>
      <c r="T2391" s="14">
        <f t="shared" si="227"/>
        <v>35</v>
      </c>
      <c r="U2391" s="14">
        <f t="shared" si="228"/>
        <v>50</v>
      </c>
      <c r="V2391" s="14"/>
      <c r="W2391" t="str">
        <f>IF(A2391=$A$1707,base!$I$3,IF(A2391=$A$1709,base!$I$2,IF(Receitas!A2391=Receitas!$A$1701,base!$I$4,"")))</f>
        <v>Gustavo de Castro</v>
      </c>
      <c r="X2391" t="str">
        <f t="shared" si="229"/>
        <v>Huan Fernandes</v>
      </c>
    </row>
    <row r="2392" spans="1:24">
      <c r="A2392" t="s">
        <v>519</v>
      </c>
      <c r="B2392" t="s">
        <v>1046</v>
      </c>
      <c r="C2392" t="s">
        <v>3402</v>
      </c>
      <c r="D2392" s="14">
        <v>15</v>
      </c>
      <c r="E2392" t="s">
        <v>1604</v>
      </c>
      <c r="F2392" t="s">
        <v>3403</v>
      </c>
      <c r="G2392" t="s">
        <v>1</v>
      </c>
      <c r="H2392" t="s">
        <v>28</v>
      </c>
      <c r="I2392" t="str">
        <f>IF(A2392="","Pacote",IF(B2392=IFERROR(VLOOKUP(B2392,base!$L$1:$L$20,1,0),""),"Produtos",IF(B2392=IFERROR(VLOOKUP(B2392,base!$K$2:$K$20,1,0),""),"Serviços",IF(B2392="Gorjeta","Gorjeta","Combos"))))</f>
        <v>Serviços</v>
      </c>
      <c r="J2392">
        <f t="shared" si="220"/>
        <v>6.75</v>
      </c>
      <c r="K2392" s="1" t="str">
        <f t="shared" si="221"/>
        <v>30/05/2025 19:45</v>
      </c>
      <c r="L2392" s="1">
        <f t="shared" si="222"/>
        <v>45807</v>
      </c>
      <c r="M2392" s="1">
        <f t="shared" si="223"/>
        <v>45807</v>
      </c>
      <c r="N2392" s="1"/>
      <c r="O2392" t="str">
        <f t="shared" si="224"/>
        <v>PIX</v>
      </c>
      <c r="P2392" t="s">
        <v>149</v>
      </c>
      <c r="Q2392" t="str">
        <f t="shared" si="225"/>
        <v>Serviços</v>
      </c>
      <c r="R2392" t="str">
        <f t="shared" si="226"/>
        <v>Barba</v>
      </c>
      <c r="T2392" s="14">
        <f t="shared" si="227"/>
        <v>15</v>
      </c>
      <c r="U2392" s="14" t="str">
        <f t="shared" si="228"/>
        <v/>
      </c>
      <c r="V2392" s="14"/>
      <c r="W2392" t="str">
        <f>IF(A2392=$A$1707,base!$I$3,IF(A2392=$A$1709,base!$I$2,IF(Receitas!A2392=Receitas!$A$1701,base!$I$4,"")))</f>
        <v>Gustavo de Castro</v>
      </c>
      <c r="X2392" t="str">
        <f t="shared" si="229"/>
        <v>Huan Fernandes</v>
      </c>
    </row>
    <row r="2393" spans="1:24">
      <c r="A2393" t="s">
        <v>536</v>
      </c>
      <c r="B2393" t="s">
        <v>3362</v>
      </c>
      <c r="C2393" t="s">
        <v>3404</v>
      </c>
      <c r="D2393" s="14">
        <v>20</v>
      </c>
      <c r="E2393" s="14">
        <v>55</v>
      </c>
      <c r="F2393" t="s">
        <v>3405</v>
      </c>
      <c r="G2393" t="s">
        <v>1</v>
      </c>
      <c r="H2393" t="s">
        <v>2229</v>
      </c>
      <c r="I2393" t="str">
        <f>IF(A2393="","Pacote",IF(B2393=IFERROR(VLOOKUP(B2393,base!$L$1:$L$20,1,0),""),"Produtos",IF(B2393=IFERROR(VLOOKUP(B2393,base!$K$2:$K$20,1,0),""),"Serviços",IF(B2393="Gorjeta","Gorjeta","Combos"))))</f>
        <v>Serviços</v>
      </c>
      <c r="J2393">
        <f t="shared" si="220"/>
        <v>9</v>
      </c>
      <c r="K2393" s="1" t="str">
        <f t="shared" si="221"/>
        <v>30/05/2025 13:35</v>
      </c>
      <c r="L2393" s="1">
        <f t="shared" si="222"/>
        <v>45807</v>
      </c>
      <c r="M2393" s="1">
        <f t="shared" si="223"/>
        <v>45807</v>
      </c>
      <c r="N2393" s="1"/>
      <c r="O2393" t="str">
        <f t="shared" si="224"/>
        <v>PIX</v>
      </c>
      <c r="P2393" t="s">
        <v>149</v>
      </c>
      <c r="Q2393" t="str">
        <f t="shared" si="225"/>
        <v>Serviços</v>
      </c>
      <c r="R2393" t="str">
        <f t="shared" si="226"/>
        <v>selagem</v>
      </c>
      <c r="T2393" s="14">
        <f t="shared" si="227"/>
        <v>20</v>
      </c>
      <c r="U2393" s="14">
        <f t="shared" si="228"/>
        <v>55</v>
      </c>
      <c r="V2393" s="14"/>
      <c r="W2393" t="str">
        <f>IF(A2393=$A$1707,base!$I$3,IF(A2393=$A$1709,base!$I$2,IF(Receitas!A2393=Receitas!$A$1701,base!$I$4,"")))</f>
        <v>PATRICK CARDOSO</v>
      </c>
      <c r="X2393" t="str">
        <f t="shared" si="229"/>
        <v>Carlos Eduardo</v>
      </c>
    </row>
    <row r="2394" spans="1:24">
      <c r="A2394" t="s">
        <v>536</v>
      </c>
      <c r="B2394" t="s">
        <v>163</v>
      </c>
      <c r="C2394" t="s">
        <v>3404</v>
      </c>
      <c r="D2394" s="14">
        <v>35</v>
      </c>
      <c r="E2394" t="s">
        <v>1604</v>
      </c>
      <c r="F2394" t="s">
        <v>3405</v>
      </c>
      <c r="G2394" t="s">
        <v>1</v>
      </c>
      <c r="H2394" t="s">
        <v>2229</v>
      </c>
      <c r="I2394" t="str">
        <f>IF(A2394="","Pacote",IF(B2394=IFERROR(VLOOKUP(B2394,base!$L$1:$L$20,1,0),""),"Produtos",IF(B2394=IFERROR(VLOOKUP(B2394,base!$K$2:$K$20,1,0),""),"Serviços",IF(B2394="Gorjeta","Gorjeta","Combos"))))</f>
        <v>Serviços</v>
      </c>
      <c r="J2394">
        <f t="shared" si="220"/>
        <v>15.75</v>
      </c>
      <c r="K2394" s="1" t="str">
        <f t="shared" si="221"/>
        <v>30/05/2025 13:35</v>
      </c>
      <c r="L2394" s="1">
        <f t="shared" si="222"/>
        <v>45807</v>
      </c>
      <c r="M2394" s="1">
        <f t="shared" si="223"/>
        <v>45807</v>
      </c>
      <c r="N2394" s="1"/>
      <c r="O2394" t="str">
        <f t="shared" si="224"/>
        <v>PIX</v>
      </c>
      <c r="P2394" t="s">
        <v>149</v>
      </c>
      <c r="Q2394" t="str">
        <f t="shared" si="225"/>
        <v>Serviços</v>
      </c>
      <c r="R2394" t="str">
        <f t="shared" si="226"/>
        <v>Corte</v>
      </c>
      <c r="T2394" s="14">
        <f t="shared" si="227"/>
        <v>35</v>
      </c>
      <c r="U2394" s="14" t="str">
        <f t="shared" si="228"/>
        <v/>
      </c>
      <c r="V2394" s="14"/>
      <c r="W2394" t="str">
        <f>IF(A2394=$A$1707,base!$I$3,IF(A2394=$A$1709,base!$I$2,IF(Receitas!A2394=Receitas!$A$1701,base!$I$4,"")))</f>
        <v>PATRICK CARDOSO</v>
      </c>
      <c r="X2394" t="str">
        <f t="shared" si="229"/>
        <v>Carlos Eduardo</v>
      </c>
    </row>
    <row r="2395" spans="1:24">
      <c r="A2395" t="s">
        <v>252</v>
      </c>
      <c r="B2395" t="s">
        <v>163</v>
      </c>
      <c r="C2395" t="s">
        <v>3406</v>
      </c>
      <c r="D2395" s="14">
        <v>35</v>
      </c>
      <c r="E2395" s="14">
        <v>63</v>
      </c>
      <c r="F2395" t="s">
        <v>3384</v>
      </c>
      <c r="G2395" t="s">
        <v>354</v>
      </c>
      <c r="H2395" t="s">
        <v>3407</v>
      </c>
      <c r="I2395" t="str">
        <f>IF(A2395="","Pacote",IF(B2395=IFERROR(VLOOKUP(B2395,base!$L$1:$L$20,1,0),""),"Produtos",IF(B2395=IFERROR(VLOOKUP(B2395,base!$K$2:$K$20,1,0),""),"Serviços",IF(B2395="Gorjeta","Gorjeta","Combos"))))</f>
        <v>Serviços</v>
      </c>
      <c r="J2395">
        <f t="shared" si="220"/>
        <v>15.75</v>
      </c>
      <c r="K2395" s="1" t="str">
        <f t="shared" si="221"/>
        <v>30/05/2025 15:00</v>
      </c>
      <c r="L2395" s="1">
        <f t="shared" si="222"/>
        <v>45807</v>
      </c>
      <c r="M2395" s="1">
        <f t="shared" si="223"/>
        <v>45807</v>
      </c>
      <c r="N2395" s="1"/>
      <c r="O2395" t="str">
        <f t="shared" si="224"/>
        <v>Cartão de Crédito</v>
      </c>
      <c r="P2395" t="s">
        <v>149</v>
      </c>
      <c r="Q2395" t="str">
        <f t="shared" si="225"/>
        <v>Serviços</v>
      </c>
      <c r="R2395" t="str">
        <f t="shared" si="226"/>
        <v>Corte</v>
      </c>
      <c r="T2395" s="14">
        <f t="shared" si="227"/>
        <v>35</v>
      </c>
      <c r="U2395" s="14">
        <f t="shared" si="228"/>
        <v>63</v>
      </c>
      <c r="V2395" s="14"/>
      <c r="W2395" t="str">
        <f>IF(A2395=$A$1707,base!$I$3,IF(A2395=$A$1709,base!$I$2,IF(Receitas!A2395=Receitas!$A$1701,base!$I$4,"")))</f>
        <v>Christian Magon</v>
      </c>
      <c r="X2395" t="str">
        <f t="shared" si="229"/>
        <v>daniel alberto</v>
      </c>
    </row>
    <row r="2396" spans="1:24">
      <c r="A2396" t="s">
        <v>252</v>
      </c>
      <c r="B2396" t="s">
        <v>167</v>
      </c>
      <c r="C2396" t="s">
        <v>3406</v>
      </c>
      <c r="D2396" s="14">
        <v>10</v>
      </c>
      <c r="E2396" t="s">
        <v>1604</v>
      </c>
      <c r="F2396" t="s">
        <v>3384</v>
      </c>
      <c r="G2396" t="s">
        <v>354</v>
      </c>
      <c r="H2396" t="s">
        <v>3407</v>
      </c>
      <c r="I2396" t="str">
        <f>IF(A2396="","Pacote",IF(B2396=IFERROR(VLOOKUP(B2396,base!$L$1:$L$20,1,0),""),"Produtos",IF(B2396=IFERROR(VLOOKUP(B2396,base!$K$2:$K$20,1,0),""),"Serviços",IF(B2396="Gorjeta","Gorjeta","Combos"))))</f>
        <v>Serviços</v>
      </c>
      <c r="J2396">
        <f t="shared" si="220"/>
        <v>4.5</v>
      </c>
      <c r="K2396" s="1" t="str">
        <f t="shared" si="221"/>
        <v>30/05/2025 15:00</v>
      </c>
      <c r="L2396" s="1">
        <f t="shared" si="222"/>
        <v>45807</v>
      </c>
      <c r="M2396" s="1">
        <f t="shared" si="223"/>
        <v>45807</v>
      </c>
      <c r="N2396" s="1"/>
      <c r="O2396" t="str">
        <f t="shared" si="224"/>
        <v>Cartão de Crédito</v>
      </c>
      <c r="P2396" t="s">
        <v>149</v>
      </c>
      <c r="Q2396" t="str">
        <f t="shared" si="225"/>
        <v>Serviços</v>
      </c>
      <c r="R2396" t="str">
        <f t="shared" si="226"/>
        <v>Sobrancelha</v>
      </c>
      <c r="T2396" s="14">
        <f t="shared" si="227"/>
        <v>10</v>
      </c>
      <c r="U2396" s="14" t="str">
        <f t="shared" si="228"/>
        <v/>
      </c>
      <c r="V2396" s="14"/>
      <c r="W2396" t="str">
        <f>IF(A2396=$A$1707,base!$I$3,IF(A2396=$A$1709,base!$I$2,IF(Receitas!A2396=Receitas!$A$1701,base!$I$4,"")))</f>
        <v>Christian Magon</v>
      </c>
      <c r="X2396" t="str">
        <f t="shared" si="229"/>
        <v>daniel alberto</v>
      </c>
    </row>
    <row r="2397" spans="1:24">
      <c r="A2397" t="s">
        <v>252</v>
      </c>
      <c r="B2397" t="s">
        <v>2931</v>
      </c>
      <c r="C2397" t="s">
        <v>3406</v>
      </c>
      <c r="D2397" s="14">
        <v>18</v>
      </c>
      <c r="E2397" t="s">
        <v>1604</v>
      </c>
      <c r="F2397" t="s">
        <v>3384</v>
      </c>
      <c r="G2397" t="s">
        <v>354</v>
      </c>
      <c r="H2397" t="s">
        <v>3407</v>
      </c>
      <c r="I2397" t="str">
        <f>IF(A2397="","Pacote",IF(B2397=IFERROR(VLOOKUP(B2397,base!$L$1:$L$20,1,0),""),"Produtos",IF(B2397=IFERROR(VLOOKUP(B2397,base!$K$2:$K$20,1,0),""),"Serviços",IF(B2397="Gorjeta","Gorjeta","Combos"))))</f>
        <v>Produtos</v>
      </c>
      <c r="J2397">
        <f t="shared" si="220"/>
        <v>7.2</v>
      </c>
      <c r="K2397" s="1" t="str">
        <f t="shared" si="221"/>
        <v>30/05/2025 15:00</v>
      </c>
      <c r="L2397" s="1">
        <f t="shared" si="222"/>
        <v>45807</v>
      </c>
      <c r="M2397" s="1">
        <f t="shared" si="223"/>
        <v>45807</v>
      </c>
      <c r="N2397" s="1"/>
      <c r="O2397" t="str">
        <f t="shared" si="224"/>
        <v>Cartão de Crédito</v>
      </c>
      <c r="P2397" t="s">
        <v>149</v>
      </c>
      <c r="Q2397" t="str">
        <f t="shared" si="225"/>
        <v>Produtos</v>
      </c>
      <c r="R2397" t="str">
        <f t="shared" si="226"/>
        <v>Pomada matte 80g</v>
      </c>
      <c r="T2397" s="14">
        <f t="shared" si="227"/>
        <v>18</v>
      </c>
      <c r="U2397" s="14" t="str">
        <f t="shared" si="228"/>
        <v/>
      </c>
      <c r="V2397" s="14"/>
      <c r="W2397" t="str">
        <f>IF(A2397=$A$1707,base!$I$3,IF(A2397=$A$1709,base!$I$2,IF(Receitas!A2397=Receitas!$A$1701,base!$I$4,"")))</f>
        <v>Christian Magon</v>
      </c>
      <c r="X2397" t="str">
        <f t="shared" si="229"/>
        <v>daniel alberto</v>
      </c>
    </row>
    <row r="2398" spans="1:24">
      <c r="A2398" t="s">
        <v>519</v>
      </c>
      <c r="B2398" t="s">
        <v>163</v>
      </c>
      <c r="C2398" t="s">
        <v>3408</v>
      </c>
      <c r="D2398" s="14">
        <v>35</v>
      </c>
      <c r="E2398" s="14">
        <v>53</v>
      </c>
      <c r="F2398" t="s">
        <v>3409</v>
      </c>
      <c r="G2398" t="s">
        <v>1</v>
      </c>
      <c r="H2398" t="s">
        <v>52</v>
      </c>
      <c r="I2398" t="str">
        <f>IF(A2398="","Pacote",IF(B2398=IFERROR(VLOOKUP(B2398,base!$L$1:$L$20,1,0),""),"Produtos",IF(B2398=IFERROR(VLOOKUP(B2398,base!$K$2:$K$20,1,0),""),"Serviços",IF(B2398="Gorjeta","Gorjeta","Combos"))))</f>
        <v>Serviços</v>
      </c>
      <c r="J2398">
        <f t="shared" si="220"/>
        <v>15.75</v>
      </c>
      <c r="K2398" s="1" t="str">
        <f t="shared" si="221"/>
        <v>30/05/2025 15:25</v>
      </c>
      <c r="L2398" s="1">
        <f t="shared" si="222"/>
        <v>45807</v>
      </c>
      <c r="M2398" s="1">
        <f t="shared" si="223"/>
        <v>45807</v>
      </c>
      <c r="N2398" s="1"/>
      <c r="O2398" t="str">
        <f t="shared" si="224"/>
        <v>PIX</v>
      </c>
      <c r="P2398" t="s">
        <v>149</v>
      </c>
      <c r="Q2398" t="str">
        <f t="shared" si="225"/>
        <v>Serviços</v>
      </c>
      <c r="R2398" t="str">
        <f t="shared" si="226"/>
        <v>Corte</v>
      </c>
      <c r="T2398" s="14">
        <f t="shared" si="227"/>
        <v>35</v>
      </c>
      <c r="U2398" s="14">
        <f t="shared" si="228"/>
        <v>53</v>
      </c>
      <c r="V2398" s="14"/>
      <c r="W2398" t="str">
        <f>IF(A2398=$A$1707,base!$I$3,IF(A2398=$A$1709,base!$I$2,IF(Receitas!A2398=Receitas!$A$1701,base!$I$4,"")))</f>
        <v>Gustavo de Castro</v>
      </c>
      <c r="X2398" t="str">
        <f t="shared" si="229"/>
        <v>Felipe rosa</v>
      </c>
    </row>
    <row r="2399" spans="1:24">
      <c r="A2399" t="s">
        <v>519</v>
      </c>
      <c r="B2399" t="s">
        <v>3316</v>
      </c>
      <c r="C2399" t="s">
        <v>3408</v>
      </c>
      <c r="D2399" s="14">
        <v>18</v>
      </c>
      <c r="E2399" t="s">
        <v>1604</v>
      </c>
      <c r="F2399" t="s">
        <v>3409</v>
      </c>
      <c r="G2399" t="s">
        <v>1</v>
      </c>
      <c r="H2399" t="s">
        <v>52</v>
      </c>
      <c r="I2399" t="str">
        <f>IF(A2399="","Pacote",IF(B2399=IFERROR(VLOOKUP(B2399,base!$L$1:$L$20,1,0),""),"Produtos",IF(B2399=IFERROR(VLOOKUP(B2399,base!$K$2:$K$20,1,0),""),"Serviços",IF(B2399="Gorjeta","Gorjeta","Combos"))))</f>
        <v>Produtos</v>
      </c>
      <c r="J2399">
        <f t="shared" si="220"/>
        <v>7.2</v>
      </c>
      <c r="K2399" s="1" t="str">
        <f t="shared" si="221"/>
        <v>30/05/2025 15:25</v>
      </c>
      <c r="L2399" s="1">
        <f t="shared" si="222"/>
        <v>45807</v>
      </c>
      <c r="M2399" s="1">
        <f t="shared" si="223"/>
        <v>45807</v>
      </c>
      <c r="N2399" s="1"/>
      <c r="O2399" t="str">
        <f t="shared" si="224"/>
        <v>PIX</v>
      </c>
      <c r="P2399" t="s">
        <v>149</v>
      </c>
      <c r="Q2399" t="str">
        <f t="shared" si="225"/>
        <v>Produtos</v>
      </c>
      <c r="R2399" t="str">
        <f t="shared" si="226"/>
        <v>pasta caramelo Fox 80g</v>
      </c>
      <c r="T2399" s="14">
        <f t="shared" si="227"/>
        <v>18</v>
      </c>
      <c r="U2399" s="14" t="str">
        <f t="shared" si="228"/>
        <v/>
      </c>
      <c r="V2399" s="14"/>
      <c r="W2399" t="str">
        <f>IF(A2399=$A$1707,base!$I$3,IF(A2399=$A$1709,base!$I$2,IF(Receitas!A2399=Receitas!$A$1701,base!$I$4,"")))</f>
        <v>Gustavo de Castro</v>
      </c>
      <c r="X2399" t="str">
        <f t="shared" si="229"/>
        <v>Felipe rosa</v>
      </c>
    </row>
    <row r="2400" spans="1:24">
      <c r="A2400" t="s">
        <v>519</v>
      </c>
      <c r="B2400" t="s">
        <v>163</v>
      </c>
      <c r="C2400" t="s">
        <v>3410</v>
      </c>
      <c r="D2400" s="14">
        <v>35</v>
      </c>
      <c r="E2400" s="14">
        <v>35</v>
      </c>
      <c r="F2400" t="s">
        <v>3411</v>
      </c>
      <c r="G2400" t="s">
        <v>2</v>
      </c>
      <c r="H2400" t="s">
        <v>1561</v>
      </c>
      <c r="I2400" t="str">
        <f>IF(A2400="","Pacote",IF(B2400=IFERROR(VLOOKUP(B2400,base!$L$1:$L$20,1,0),""),"Produtos",IF(B2400=IFERROR(VLOOKUP(B2400,base!$K$2:$K$20,1,0),""),"Serviços",IF(B2400="Gorjeta","Gorjeta","Combos"))))</f>
        <v>Serviços</v>
      </c>
      <c r="J2400">
        <f t="shared" si="220"/>
        <v>15.75</v>
      </c>
      <c r="K2400" s="1" t="str">
        <f t="shared" si="221"/>
        <v>30/05/2025 16:30</v>
      </c>
      <c r="L2400" s="1">
        <f t="shared" si="222"/>
        <v>45807</v>
      </c>
      <c r="M2400" s="1">
        <f t="shared" si="223"/>
        <v>45807</v>
      </c>
      <c r="N2400" s="1"/>
      <c r="O2400" t="str">
        <f t="shared" si="224"/>
        <v>Dinheiro</v>
      </c>
      <c r="P2400" t="s">
        <v>149</v>
      </c>
      <c r="Q2400" t="str">
        <f t="shared" si="225"/>
        <v>Serviços</v>
      </c>
      <c r="R2400" t="str">
        <f t="shared" si="226"/>
        <v>Corte</v>
      </c>
      <c r="T2400" s="14">
        <f t="shared" si="227"/>
        <v>35</v>
      </c>
      <c r="U2400" s="14">
        <f t="shared" si="228"/>
        <v>35</v>
      </c>
      <c r="V2400" s="14"/>
      <c r="W2400" t="str">
        <f>IF(A2400=$A$1707,base!$I$3,IF(A2400=$A$1709,base!$I$2,IF(Receitas!A2400=Receitas!$A$1701,base!$I$4,"")))</f>
        <v>Gustavo de Castro</v>
      </c>
      <c r="X2400" t="str">
        <f t="shared" si="229"/>
        <v>Eduardo morais</v>
      </c>
    </row>
    <row r="2401" spans="1:24">
      <c r="A2401" t="s">
        <v>519</v>
      </c>
      <c r="B2401" t="s">
        <v>163</v>
      </c>
      <c r="C2401" t="s">
        <v>3412</v>
      </c>
      <c r="D2401" s="14">
        <v>35</v>
      </c>
      <c r="E2401" s="14">
        <v>35</v>
      </c>
      <c r="F2401" t="s">
        <v>3413</v>
      </c>
      <c r="G2401" t="s">
        <v>1</v>
      </c>
      <c r="H2401" t="s">
        <v>3414</v>
      </c>
      <c r="I2401" t="str">
        <f>IF(A2401="","Pacote",IF(B2401=IFERROR(VLOOKUP(B2401,base!$L$1:$L$20,1,0),""),"Produtos",IF(B2401=IFERROR(VLOOKUP(B2401,base!$K$2:$K$20,1,0),""),"Serviços",IF(B2401="Gorjeta","Gorjeta","Combos"))))</f>
        <v>Serviços</v>
      </c>
      <c r="J2401">
        <f t="shared" si="220"/>
        <v>15.75</v>
      </c>
      <c r="K2401" s="1" t="str">
        <f t="shared" si="221"/>
        <v>30/05/2025 16:20</v>
      </c>
      <c r="L2401" s="1">
        <f t="shared" si="222"/>
        <v>45807</v>
      </c>
      <c r="M2401" s="1">
        <f t="shared" si="223"/>
        <v>45807</v>
      </c>
      <c r="N2401" s="1"/>
      <c r="O2401" t="str">
        <f t="shared" si="224"/>
        <v>PIX</v>
      </c>
      <c r="P2401" t="s">
        <v>149</v>
      </c>
      <c r="Q2401" t="str">
        <f t="shared" si="225"/>
        <v>Serviços</v>
      </c>
      <c r="R2401" t="str">
        <f t="shared" si="226"/>
        <v>Corte</v>
      </c>
      <c r="T2401" s="14">
        <f t="shared" si="227"/>
        <v>35</v>
      </c>
      <c r="U2401" s="14">
        <f t="shared" si="228"/>
        <v>35</v>
      </c>
      <c r="V2401" s="14"/>
      <c r="W2401" t="str">
        <f>IF(A2401=$A$1707,base!$I$3,IF(A2401=$A$1709,base!$I$2,IF(Receitas!A2401=Receitas!$A$1701,base!$I$4,"")))</f>
        <v>Gustavo de Castro</v>
      </c>
      <c r="X2401" t="str">
        <f t="shared" si="229"/>
        <v>carlos eduardo</v>
      </c>
    </row>
    <row r="2402" spans="1:24">
      <c r="A2402" t="s">
        <v>519</v>
      </c>
      <c r="B2402" t="s">
        <v>163</v>
      </c>
      <c r="C2402" t="s">
        <v>3415</v>
      </c>
      <c r="D2402" s="14">
        <v>35</v>
      </c>
      <c r="E2402" s="14">
        <v>55</v>
      </c>
      <c r="F2402" t="s">
        <v>3416</v>
      </c>
      <c r="G2402" t="s">
        <v>354</v>
      </c>
      <c r="H2402" t="s">
        <v>281</v>
      </c>
      <c r="I2402" t="str">
        <f>IF(A2402="","Pacote",IF(B2402=IFERROR(VLOOKUP(B2402,base!$L$1:$L$20,1,0),""),"Produtos",IF(B2402=IFERROR(VLOOKUP(B2402,base!$K$2:$K$20,1,0),""),"Serviços",IF(B2402="Gorjeta","Gorjeta","Combos"))))</f>
        <v>Serviços</v>
      </c>
      <c r="J2402">
        <f t="shared" si="220"/>
        <v>15.75</v>
      </c>
      <c r="K2402" s="1" t="str">
        <f t="shared" si="221"/>
        <v>30/05/2025 17:50</v>
      </c>
      <c r="L2402" s="1">
        <f t="shared" si="222"/>
        <v>45807</v>
      </c>
      <c r="M2402" s="1">
        <f t="shared" si="223"/>
        <v>45807</v>
      </c>
      <c r="N2402" s="1"/>
      <c r="O2402" t="str">
        <f t="shared" si="224"/>
        <v>Cartão de Crédito</v>
      </c>
      <c r="P2402" t="s">
        <v>149</v>
      </c>
      <c r="Q2402" t="str">
        <f t="shared" si="225"/>
        <v>Serviços</v>
      </c>
      <c r="R2402" t="str">
        <f t="shared" si="226"/>
        <v>Corte</v>
      </c>
      <c r="T2402" s="14">
        <f t="shared" si="227"/>
        <v>35</v>
      </c>
      <c r="U2402" s="14">
        <f t="shared" si="228"/>
        <v>55</v>
      </c>
      <c r="V2402" s="14"/>
      <c r="W2402" t="str">
        <f>IF(A2402=$A$1707,base!$I$3,IF(A2402=$A$1709,base!$I$2,IF(Receitas!A2402=Receitas!$A$1701,base!$I$4,"")))</f>
        <v>Gustavo de Castro</v>
      </c>
      <c r="X2402" t="str">
        <f t="shared" si="229"/>
        <v>Jonas evangelista</v>
      </c>
    </row>
    <row r="2403" spans="1:24">
      <c r="A2403" t="s">
        <v>519</v>
      </c>
      <c r="B2403" t="s">
        <v>166</v>
      </c>
      <c r="C2403" t="s">
        <v>3415</v>
      </c>
      <c r="D2403" s="14">
        <v>20</v>
      </c>
      <c r="E2403" t="s">
        <v>1604</v>
      </c>
      <c r="F2403" t="s">
        <v>3416</v>
      </c>
      <c r="G2403" t="s">
        <v>354</v>
      </c>
      <c r="H2403" t="s">
        <v>281</v>
      </c>
      <c r="I2403" t="str">
        <f>IF(A2403="","Pacote",IF(B2403=IFERROR(VLOOKUP(B2403,base!$L$1:$L$20,1,0),""),"Produtos",IF(B2403=IFERROR(VLOOKUP(B2403,base!$K$2:$K$20,1,0),""),"Serviços",IF(B2403="Gorjeta","Gorjeta","Combos"))))</f>
        <v>Serviços</v>
      </c>
      <c r="J2403">
        <f t="shared" si="220"/>
        <v>9</v>
      </c>
      <c r="K2403" s="1" t="str">
        <f t="shared" si="221"/>
        <v>30/05/2025 17:50</v>
      </c>
      <c r="L2403" s="1">
        <f t="shared" si="222"/>
        <v>45807</v>
      </c>
      <c r="M2403" s="1">
        <f t="shared" si="223"/>
        <v>45807</v>
      </c>
      <c r="N2403" s="1"/>
      <c r="O2403" t="str">
        <f t="shared" si="224"/>
        <v>Cartão de Crédito</v>
      </c>
      <c r="P2403" t="s">
        <v>149</v>
      </c>
      <c r="Q2403" t="str">
        <f t="shared" si="225"/>
        <v>Serviços</v>
      </c>
      <c r="R2403" t="str">
        <f t="shared" si="226"/>
        <v>Pigmentação</v>
      </c>
      <c r="T2403" s="14">
        <f t="shared" si="227"/>
        <v>20</v>
      </c>
      <c r="U2403" s="14" t="str">
        <f t="shared" si="228"/>
        <v/>
      </c>
      <c r="V2403" s="14"/>
      <c r="W2403" t="str">
        <f>IF(A2403=$A$1707,base!$I$3,IF(A2403=$A$1709,base!$I$2,IF(Receitas!A2403=Receitas!$A$1701,base!$I$4,"")))</f>
        <v>Gustavo de Castro</v>
      </c>
      <c r="X2403" t="str">
        <f t="shared" si="229"/>
        <v>Jonas evangelista</v>
      </c>
    </row>
    <row r="2404" spans="1:24">
      <c r="A2404" t="s">
        <v>536</v>
      </c>
      <c r="B2404" t="s">
        <v>163</v>
      </c>
      <c r="C2404" t="s">
        <v>3417</v>
      </c>
      <c r="D2404" s="14">
        <v>20</v>
      </c>
      <c r="E2404" s="14">
        <v>20</v>
      </c>
      <c r="F2404" t="s">
        <v>3418</v>
      </c>
      <c r="G2404" t="s">
        <v>2</v>
      </c>
      <c r="H2404" t="s">
        <v>3419</v>
      </c>
      <c r="I2404" t="str">
        <f>IF(A2404="","Pacote",IF(B2404=IFERROR(VLOOKUP(B2404,base!$L$1:$L$20,1,0),""),"Produtos",IF(B2404=IFERROR(VLOOKUP(B2404,base!$K$2:$K$20,1,0),""),"Serviços",IF(B2404="Gorjeta","Gorjeta","Combos"))))</f>
        <v>Serviços</v>
      </c>
      <c r="J2404">
        <f t="shared" si="220"/>
        <v>9</v>
      </c>
      <c r="K2404" s="1" t="str">
        <f t="shared" si="221"/>
        <v>30/05/2025 18:05</v>
      </c>
      <c r="L2404" s="1">
        <f t="shared" si="222"/>
        <v>45807</v>
      </c>
      <c r="M2404" s="1">
        <f t="shared" si="223"/>
        <v>45807</v>
      </c>
      <c r="N2404" s="1"/>
      <c r="O2404" t="str">
        <f t="shared" si="224"/>
        <v>Dinheiro</v>
      </c>
      <c r="P2404" t="s">
        <v>149</v>
      </c>
      <c r="Q2404" t="str">
        <f t="shared" si="225"/>
        <v>Serviços</v>
      </c>
      <c r="R2404" t="str">
        <f t="shared" si="226"/>
        <v>Corte</v>
      </c>
      <c r="T2404" s="14">
        <f t="shared" si="227"/>
        <v>20</v>
      </c>
      <c r="U2404" s="14">
        <f t="shared" si="228"/>
        <v>20</v>
      </c>
      <c r="V2404" s="14"/>
      <c r="W2404" t="str">
        <f>IF(A2404=$A$1707,base!$I$3,IF(A2404=$A$1709,base!$I$2,IF(Receitas!A2404=Receitas!$A$1701,base!$I$4,"")))</f>
        <v>PATRICK CARDOSO</v>
      </c>
      <c r="X2404" t="str">
        <f t="shared" si="229"/>
        <v>Valter Ferreira</v>
      </c>
    </row>
    <row r="2405" spans="1:24">
      <c r="A2405" t="s">
        <v>252</v>
      </c>
      <c r="B2405" t="s">
        <v>163</v>
      </c>
      <c r="C2405" t="s">
        <v>3420</v>
      </c>
      <c r="D2405" s="14">
        <v>35</v>
      </c>
      <c r="E2405" s="14">
        <v>35</v>
      </c>
      <c r="F2405" t="s">
        <v>3421</v>
      </c>
      <c r="G2405" t="s">
        <v>2</v>
      </c>
      <c r="H2405" t="s">
        <v>3422</v>
      </c>
      <c r="I2405" t="str">
        <f>IF(A2405="","Pacote",IF(B2405=IFERROR(VLOOKUP(B2405,base!$L$1:$L$20,1,0),""),"Produtos",IF(B2405=IFERROR(VLOOKUP(B2405,base!$K$2:$K$20,1,0),""),"Serviços",IF(B2405="Gorjeta","Gorjeta","Combos"))))</f>
        <v>Serviços</v>
      </c>
      <c r="J2405">
        <f t="shared" si="220"/>
        <v>15.75</v>
      </c>
      <c r="K2405" s="1" t="str">
        <f t="shared" si="221"/>
        <v>30/05/2025 19:15</v>
      </c>
      <c r="L2405" s="1">
        <f t="shared" si="222"/>
        <v>45807</v>
      </c>
      <c r="M2405" s="1">
        <f t="shared" si="223"/>
        <v>45807</v>
      </c>
      <c r="N2405" s="1"/>
      <c r="O2405" t="str">
        <f t="shared" si="224"/>
        <v>Dinheiro</v>
      </c>
      <c r="P2405" t="s">
        <v>149</v>
      </c>
      <c r="Q2405" t="str">
        <f t="shared" si="225"/>
        <v>Serviços</v>
      </c>
      <c r="R2405" t="str">
        <f t="shared" si="226"/>
        <v>Corte</v>
      </c>
      <c r="T2405" s="14">
        <f t="shared" si="227"/>
        <v>35</v>
      </c>
      <c r="U2405" s="14">
        <f t="shared" si="228"/>
        <v>35</v>
      </c>
      <c r="V2405" s="14"/>
      <c r="W2405" t="str">
        <f>IF(A2405=$A$1707,base!$I$3,IF(A2405=$A$1709,base!$I$2,IF(Receitas!A2405=Receitas!$A$1701,base!$I$4,"")))</f>
        <v>Christian Magon</v>
      </c>
      <c r="X2405" t="str">
        <f t="shared" si="229"/>
        <v>davi borges</v>
      </c>
    </row>
    <row r="2406" spans="1:24">
      <c r="A2406" t="s">
        <v>519</v>
      </c>
      <c r="B2406" t="s">
        <v>2825</v>
      </c>
      <c r="C2406" t="s">
        <v>3423</v>
      </c>
      <c r="D2406" s="14">
        <v>20</v>
      </c>
      <c r="E2406" s="14">
        <v>108</v>
      </c>
      <c r="F2406" t="s">
        <v>3424</v>
      </c>
      <c r="G2406" t="s">
        <v>1</v>
      </c>
      <c r="H2406" t="s">
        <v>65</v>
      </c>
      <c r="I2406" t="str">
        <f>IF(A2406="","Pacote",IF(B2406=IFERROR(VLOOKUP(B2406,base!$L$1:$L$20,1,0),""),"Produtos",IF(B2406=IFERROR(VLOOKUP(B2406,base!$K$2:$K$20,1,0),""),"Serviços",IF(B2406="Gorjeta","Gorjeta","Combos"))))</f>
        <v>Serviços</v>
      </c>
      <c r="J2406">
        <f t="shared" si="220"/>
        <v>9</v>
      </c>
      <c r="K2406" s="1" t="str">
        <f t="shared" si="221"/>
        <v>30/05/2025 20:10</v>
      </c>
      <c r="L2406" s="1">
        <f t="shared" si="222"/>
        <v>45807</v>
      </c>
      <c r="M2406" s="1">
        <f t="shared" si="223"/>
        <v>45807</v>
      </c>
      <c r="N2406" s="1"/>
      <c r="O2406" t="str">
        <f t="shared" si="224"/>
        <v>PIX</v>
      </c>
      <c r="P2406" t="s">
        <v>149</v>
      </c>
      <c r="Q2406" t="str">
        <f t="shared" si="225"/>
        <v>Serviços</v>
      </c>
      <c r="R2406" t="str">
        <f t="shared" si="226"/>
        <v>barboterapia</v>
      </c>
      <c r="T2406" s="14">
        <f t="shared" si="227"/>
        <v>20</v>
      </c>
      <c r="U2406" s="14">
        <f t="shared" si="228"/>
        <v>108</v>
      </c>
      <c r="V2406" s="14"/>
      <c r="W2406" t="str">
        <f>IF(A2406=$A$1707,base!$I$3,IF(A2406=$A$1709,base!$I$2,IF(Receitas!A2406=Receitas!$A$1701,base!$I$4,"")))</f>
        <v>Gustavo de Castro</v>
      </c>
      <c r="X2406" t="str">
        <f t="shared" si="229"/>
        <v>David Vinicius Barbosa</v>
      </c>
    </row>
    <row r="2407" spans="1:24">
      <c r="A2407" t="s">
        <v>519</v>
      </c>
      <c r="B2407" t="s">
        <v>163</v>
      </c>
      <c r="C2407" t="s">
        <v>3423</v>
      </c>
      <c r="D2407" s="14">
        <v>35</v>
      </c>
      <c r="E2407" t="s">
        <v>1604</v>
      </c>
      <c r="F2407" t="s">
        <v>3424</v>
      </c>
      <c r="G2407" t="s">
        <v>1</v>
      </c>
      <c r="H2407" t="s">
        <v>65</v>
      </c>
      <c r="I2407" t="str">
        <f>IF(A2407="","Pacote",IF(B2407=IFERROR(VLOOKUP(B2407,base!$L$1:$L$20,1,0),""),"Produtos",IF(B2407=IFERROR(VLOOKUP(B2407,base!$K$2:$K$20,1,0),""),"Serviços",IF(B2407="Gorjeta","Gorjeta","Combos"))))</f>
        <v>Serviços</v>
      </c>
      <c r="J2407">
        <f t="shared" si="220"/>
        <v>15.75</v>
      </c>
      <c r="K2407" s="1" t="str">
        <f t="shared" si="221"/>
        <v>30/05/2025 20:10</v>
      </c>
      <c r="L2407" s="1">
        <f t="shared" si="222"/>
        <v>45807</v>
      </c>
      <c r="M2407" s="1">
        <f t="shared" si="223"/>
        <v>45807</v>
      </c>
      <c r="N2407" s="1"/>
      <c r="O2407" t="str">
        <f t="shared" si="224"/>
        <v>PIX</v>
      </c>
      <c r="P2407" t="s">
        <v>149</v>
      </c>
      <c r="Q2407" t="str">
        <f t="shared" si="225"/>
        <v>Serviços</v>
      </c>
      <c r="R2407" t="str">
        <f t="shared" si="226"/>
        <v>Corte</v>
      </c>
      <c r="T2407" s="14">
        <f t="shared" si="227"/>
        <v>35</v>
      </c>
      <c r="U2407" s="14" t="str">
        <f t="shared" si="228"/>
        <v/>
      </c>
      <c r="V2407" s="14"/>
      <c r="W2407" t="str">
        <f>IF(A2407=$A$1707,base!$I$3,IF(A2407=$A$1709,base!$I$2,IF(Receitas!A2407=Receitas!$A$1701,base!$I$4,"")))</f>
        <v>Gustavo de Castro</v>
      </c>
      <c r="X2407" t="str">
        <f t="shared" si="229"/>
        <v>David Vinicius Barbosa</v>
      </c>
    </row>
    <row r="2408" spans="1:24">
      <c r="A2408" t="s">
        <v>519</v>
      </c>
      <c r="B2408" t="s">
        <v>1046</v>
      </c>
      <c r="C2408" t="s">
        <v>3423</v>
      </c>
      <c r="D2408" s="14">
        <v>15</v>
      </c>
      <c r="E2408" t="s">
        <v>1604</v>
      </c>
      <c r="F2408" t="s">
        <v>3424</v>
      </c>
      <c r="G2408" t="s">
        <v>1</v>
      </c>
      <c r="H2408" t="s">
        <v>65</v>
      </c>
      <c r="I2408" t="str">
        <f>IF(A2408="","Pacote",IF(B2408=IFERROR(VLOOKUP(B2408,base!$L$1:$L$20,1,0),""),"Produtos",IF(B2408=IFERROR(VLOOKUP(B2408,base!$K$2:$K$20,1,0),""),"Serviços",IF(B2408="Gorjeta","Gorjeta","Combos"))))</f>
        <v>Serviços</v>
      </c>
      <c r="J2408">
        <f t="shared" si="220"/>
        <v>6.75</v>
      </c>
      <c r="K2408" s="1" t="str">
        <f t="shared" si="221"/>
        <v>30/05/2025 20:10</v>
      </c>
      <c r="L2408" s="1">
        <f t="shared" si="222"/>
        <v>45807</v>
      </c>
      <c r="M2408" s="1">
        <f t="shared" si="223"/>
        <v>45807</v>
      </c>
      <c r="N2408" s="1"/>
      <c r="O2408" t="str">
        <f t="shared" si="224"/>
        <v>PIX</v>
      </c>
      <c r="P2408" t="s">
        <v>149</v>
      </c>
      <c r="Q2408" t="str">
        <f t="shared" si="225"/>
        <v>Serviços</v>
      </c>
      <c r="R2408" t="str">
        <f t="shared" si="226"/>
        <v>Barba</v>
      </c>
      <c r="T2408" s="14">
        <f t="shared" si="227"/>
        <v>15</v>
      </c>
      <c r="U2408" s="14" t="str">
        <f t="shared" si="228"/>
        <v/>
      </c>
      <c r="V2408" s="14"/>
      <c r="W2408" t="str">
        <f>IF(A2408=$A$1707,base!$I$3,IF(A2408=$A$1709,base!$I$2,IF(Receitas!A2408=Receitas!$A$1701,base!$I$4,"")))</f>
        <v>Gustavo de Castro</v>
      </c>
      <c r="X2408" t="str">
        <f t="shared" si="229"/>
        <v>David Vinicius Barbosa</v>
      </c>
    </row>
    <row r="2409" spans="1:24">
      <c r="A2409" t="s">
        <v>519</v>
      </c>
      <c r="B2409" t="s">
        <v>3362</v>
      </c>
      <c r="C2409" t="s">
        <v>3423</v>
      </c>
      <c r="D2409" s="14">
        <v>20</v>
      </c>
      <c r="E2409" t="s">
        <v>1604</v>
      </c>
      <c r="F2409" t="s">
        <v>3424</v>
      </c>
      <c r="G2409" t="s">
        <v>1</v>
      </c>
      <c r="H2409" t="s">
        <v>65</v>
      </c>
      <c r="I2409" t="str">
        <f>IF(A2409="","Pacote",IF(B2409=IFERROR(VLOOKUP(B2409,base!$L$1:$L$20,1,0),""),"Produtos",IF(B2409=IFERROR(VLOOKUP(B2409,base!$K$2:$K$20,1,0),""),"Serviços",IF(B2409="Gorjeta","Gorjeta","Combos"))))</f>
        <v>Serviços</v>
      </c>
      <c r="J2409">
        <f t="shared" si="220"/>
        <v>9</v>
      </c>
      <c r="K2409" s="1" t="str">
        <f t="shared" si="221"/>
        <v>30/05/2025 20:10</v>
      </c>
      <c r="L2409" s="1">
        <f t="shared" si="222"/>
        <v>45807</v>
      </c>
      <c r="M2409" s="1">
        <f t="shared" si="223"/>
        <v>45807</v>
      </c>
      <c r="N2409" s="1"/>
      <c r="O2409" t="str">
        <f t="shared" si="224"/>
        <v>PIX</v>
      </c>
      <c r="P2409" t="s">
        <v>149</v>
      </c>
      <c r="Q2409" t="str">
        <f t="shared" si="225"/>
        <v>Serviços</v>
      </c>
      <c r="R2409" t="str">
        <f t="shared" si="226"/>
        <v>selagem</v>
      </c>
      <c r="T2409" s="14">
        <f t="shared" si="227"/>
        <v>20</v>
      </c>
      <c r="U2409" s="14" t="str">
        <f t="shared" si="228"/>
        <v/>
      </c>
      <c r="V2409" s="14"/>
      <c r="W2409" t="str">
        <f>IF(A2409=$A$1707,base!$I$3,IF(A2409=$A$1709,base!$I$2,IF(Receitas!A2409=Receitas!$A$1701,base!$I$4,"")))</f>
        <v>Gustavo de Castro</v>
      </c>
      <c r="X2409" t="str">
        <f t="shared" si="229"/>
        <v>David Vinicius Barbosa</v>
      </c>
    </row>
    <row r="2410" spans="1:24">
      <c r="A2410" t="s">
        <v>519</v>
      </c>
      <c r="B2410" t="s">
        <v>2931</v>
      </c>
      <c r="C2410" t="s">
        <v>3423</v>
      </c>
      <c r="D2410" s="14">
        <v>18</v>
      </c>
      <c r="E2410" t="s">
        <v>1604</v>
      </c>
      <c r="F2410" t="s">
        <v>3424</v>
      </c>
      <c r="G2410" t="s">
        <v>1</v>
      </c>
      <c r="H2410" t="s">
        <v>65</v>
      </c>
      <c r="I2410" t="str">
        <f>IF(A2410="","Pacote",IF(B2410=IFERROR(VLOOKUP(B2410,base!$L$1:$L$20,1,0),""),"Produtos",IF(B2410=IFERROR(VLOOKUP(B2410,base!$K$2:$K$20,1,0),""),"Serviços",IF(B2410="Gorjeta","Gorjeta","Combos"))))</f>
        <v>Produtos</v>
      </c>
      <c r="J2410">
        <f t="shared" si="220"/>
        <v>7.2</v>
      </c>
      <c r="K2410" s="1" t="str">
        <f t="shared" si="221"/>
        <v>30/05/2025 20:10</v>
      </c>
      <c r="L2410" s="1">
        <f t="shared" si="222"/>
        <v>45807</v>
      </c>
      <c r="M2410" s="1">
        <f t="shared" si="223"/>
        <v>45807</v>
      </c>
      <c r="N2410" s="1"/>
      <c r="O2410" t="str">
        <f t="shared" si="224"/>
        <v>PIX</v>
      </c>
      <c r="P2410" t="s">
        <v>149</v>
      </c>
      <c r="Q2410" t="str">
        <f t="shared" si="225"/>
        <v>Produtos</v>
      </c>
      <c r="R2410" t="str">
        <f t="shared" si="226"/>
        <v>Pomada matte 80g</v>
      </c>
      <c r="T2410" s="14">
        <f t="shared" si="227"/>
        <v>18</v>
      </c>
      <c r="U2410" s="14" t="str">
        <f t="shared" si="228"/>
        <v/>
      </c>
      <c r="V2410" s="14"/>
      <c r="W2410" t="str">
        <f>IF(A2410=$A$1707,base!$I$3,IF(A2410=$A$1709,base!$I$2,IF(Receitas!A2410=Receitas!$A$1701,base!$I$4,"")))</f>
        <v>Gustavo de Castro</v>
      </c>
      <c r="X2410" t="str">
        <f t="shared" si="229"/>
        <v>David Vinicius Barbosa</v>
      </c>
    </row>
    <row r="2411" spans="1:24">
      <c r="A2411" t="s">
        <v>536</v>
      </c>
      <c r="B2411" t="s">
        <v>163</v>
      </c>
      <c r="C2411" t="s">
        <v>3425</v>
      </c>
      <c r="D2411" s="14">
        <v>35</v>
      </c>
      <c r="E2411" s="14">
        <v>35</v>
      </c>
      <c r="F2411" t="s">
        <v>3426</v>
      </c>
      <c r="G2411" t="s">
        <v>310</v>
      </c>
      <c r="H2411" t="s">
        <v>1138</v>
      </c>
      <c r="I2411" t="str">
        <f>IF(A2411="","Pacote",IF(B2411=IFERROR(VLOOKUP(B2411,base!$L$1:$L$20,1,0),""),"Produtos",IF(B2411=IFERROR(VLOOKUP(B2411,base!$K$2:$K$20,1,0),""),"Serviços",IF(B2411="Gorjeta","Gorjeta","Combos"))))</f>
        <v>Serviços</v>
      </c>
      <c r="J2411">
        <f t="shared" si="220"/>
        <v>15.75</v>
      </c>
      <c r="K2411" s="1" t="str">
        <f t="shared" si="221"/>
        <v>30/05/2025 20:50</v>
      </c>
      <c r="L2411" s="1">
        <f t="shared" si="222"/>
        <v>45807</v>
      </c>
      <c r="M2411" s="1">
        <f t="shared" si="223"/>
        <v>45807</v>
      </c>
      <c r="N2411" s="1"/>
      <c r="O2411" t="str">
        <f t="shared" si="224"/>
        <v>Cartão de Débito</v>
      </c>
      <c r="P2411" t="s">
        <v>149</v>
      </c>
      <c r="Q2411" t="str">
        <f t="shared" si="225"/>
        <v>Serviços</v>
      </c>
      <c r="R2411" t="str">
        <f t="shared" si="226"/>
        <v>Corte</v>
      </c>
      <c r="T2411" s="14">
        <f t="shared" si="227"/>
        <v>35</v>
      </c>
      <c r="U2411" s="14">
        <f t="shared" si="228"/>
        <v>35</v>
      </c>
      <c r="V2411" s="14"/>
      <c r="W2411" t="str">
        <f>IF(A2411=$A$1707,base!$I$3,IF(A2411=$A$1709,base!$I$2,IF(Receitas!A2411=Receitas!$A$1701,base!$I$4,"")))</f>
        <v>PATRICK CARDOSO</v>
      </c>
      <c r="X2411" t="str">
        <f t="shared" si="229"/>
        <v>Isaac pereira dos santos</v>
      </c>
    </row>
    <row r="2412" spans="1:24">
      <c r="A2412" t="s">
        <v>252</v>
      </c>
      <c r="B2412" t="s">
        <v>353</v>
      </c>
      <c r="C2412" t="s">
        <v>3427</v>
      </c>
      <c r="D2412" s="14">
        <v>60</v>
      </c>
      <c r="E2412" s="14">
        <v>55</v>
      </c>
      <c r="F2412" t="s">
        <v>3428</v>
      </c>
      <c r="G2412" t="s">
        <v>1</v>
      </c>
      <c r="H2412" t="s">
        <v>105</v>
      </c>
      <c r="I2412" t="str">
        <f>IF(A2412="","Pacote",IF(B2412=IFERROR(VLOOKUP(B2412,base!$L$1:$L$20,1,0),""),"Produtos",IF(B2412=IFERROR(VLOOKUP(B2412,base!$K$2:$K$20,1,0),""),"Serviços",IF(B2412="Gorjeta","Gorjeta","Combos"))))</f>
        <v>Combos</v>
      </c>
      <c r="J2412">
        <f t="shared" si="220"/>
        <v>27</v>
      </c>
      <c r="K2412" s="1" t="str">
        <f t="shared" si="221"/>
        <v>30/05/2025 21:10</v>
      </c>
      <c r="L2412" s="1">
        <f t="shared" si="222"/>
        <v>45807</v>
      </c>
      <c r="M2412" s="1">
        <f t="shared" si="223"/>
        <v>45807</v>
      </c>
      <c r="N2412" s="1"/>
      <c r="O2412" t="str">
        <f t="shared" si="224"/>
        <v>PIX</v>
      </c>
      <c r="P2412" t="s">
        <v>149</v>
      </c>
      <c r="Q2412" t="str">
        <f t="shared" si="225"/>
        <v>Combos</v>
      </c>
      <c r="R2412" t="str">
        <f t="shared" si="226"/>
        <v>Combo ( Corte + Barba )</v>
      </c>
      <c r="T2412" s="14">
        <f t="shared" si="227"/>
        <v>60</v>
      </c>
      <c r="U2412" s="14">
        <f t="shared" si="228"/>
        <v>55</v>
      </c>
      <c r="V2412" s="14"/>
      <c r="W2412" t="str">
        <f>IF(A2412=$A$1707,base!$I$3,IF(A2412=$A$1709,base!$I$2,IF(Receitas!A2412=Receitas!$A$1701,base!$I$4,"")))</f>
        <v>Christian Magon</v>
      </c>
      <c r="X2412" t="str">
        <f t="shared" si="229"/>
        <v>Rodrigo Alves Ribeiro</v>
      </c>
    </row>
    <row r="2413" spans="1:24">
      <c r="A2413" t="s">
        <v>519</v>
      </c>
      <c r="B2413" t="s">
        <v>353</v>
      </c>
      <c r="C2413" t="s">
        <v>3429</v>
      </c>
      <c r="D2413" s="14">
        <v>60</v>
      </c>
      <c r="E2413" s="14">
        <v>60</v>
      </c>
      <c r="F2413" t="s">
        <v>3428</v>
      </c>
      <c r="G2413" t="s">
        <v>1</v>
      </c>
      <c r="H2413" t="s">
        <v>190</v>
      </c>
      <c r="I2413" t="str">
        <f>IF(A2413="","Pacote",IF(B2413=IFERROR(VLOOKUP(B2413,base!$L$1:$L$20,1,0),""),"Produtos",IF(B2413=IFERROR(VLOOKUP(B2413,base!$K$2:$K$20,1,0),""),"Serviços",IF(B2413="Gorjeta","Gorjeta","Combos"))))</f>
        <v>Combos</v>
      </c>
      <c r="J2413">
        <f t="shared" si="220"/>
        <v>27</v>
      </c>
      <c r="K2413" s="1" t="str">
        <f t="shared" si="221"/>
        <v>30/05/2025 21:10</v>
      </c>
      <c r="L2413" s="1">
        <f t="shared" si="222"/>
        <v>45807</v>
      </c>
      <c r="M2413" s="1">
        <f t="shared" si="223"/>
        <v>45807</v>
      </c>
      <c r="N2413" s="1"/>
      <c r="O2413" t="str">
        <f t="shared" si="224"/>
        <v>PIX</v>
      </c>
      <c r="P2413" t="s">
        <v>149</v>
      </c>
      <c r="Q2413" t="str">
        <f t="shared" si="225"/>
        <v>Combos</v>
      </c>
      <c r="R2413" t="str">
        <f t="shared" si="226"/>
        <v>Combo ( Corte + Barba )</v>
      </c>
      <c r="T2413" s="14">
        <f t="shared" si="227"/>
        <v>60</v>
      </c>
      <c r="U2413" s="14">
        <f t="shared" si="228"/>
        <v>60</v>
      </c>
      <c r="V2413" s="14"/>
      <c r="W2413" t="str">
        <f>IF(A2413=$A$1707,base!$I$3,IF(A2413=$A$1709,base!$I$2,IF(Receitas!A2413=Receitas!$A$1701,base!$I$4,"")))</f>
        <v>Gustavo de Castro</v>
      </c>
      <c r="X2413" t="str">
        <f t="shared" si="229"/>
        <v>WAGNER FELIPE SANTA ROSA OLIVEIRA</v>
      </c>
    </row>
    <row r="2414" spans="1:24" s="25" customFormat="1">
      <c r="A2414" s="25" t="s">
        <v>252</v>
      </c>
      <c r="B2414" s="25" t="s">
        <v>353</v>
      </c>
      <c r="C2414" s="25" t="s">
        <v>3430</v>
      </c>
      <c r="D2414" s="26">
        <v>60</v>
      </c>
      <c r="E2414" s="26">
        <v>50</v>
      </c>
      <c r="F2414" s="25" t="s">
        <v>3431</v>
      </c>
      <c r="G2414" s="25" t="s">
        <v>310</v>
      </c>
      <c r="H2414" s="25" t="s">
        <v>44</v>
      </c>
      <c r="I2414" s="25" t="str">
        <f>IF(A2414="","Pacote",IF(B2414=IFERROR(VLOOKUP(B2414,base!$L$1:$L$20,1,0),""),"Produtos",IF(B2414=IFERROR(VLOOKUP(B2414,base!$K$2:$K$20,1,0),""),"Serviços",IF(B2414="Gorjeta","Gorjeta","Combos"))))</f>
        <v>Combos</v>
      </c>
      <c r="J2414" s="25">
        <f t="shared" si="220"/>
        <v>27</v>
      </c>
      <c r="K2414" s="50" t="str">
        <f t="shared" si="221"/>
        <v>30/05/2025 22:00</v>
      </c>
      <c r="L2414" s="50">
        <f t="shared" si="222"/>
        <v>45807</v>
      </c>
      <c r="M2414" s="50">
        <f t="shared" si="223"/>
        <v>45807</v>
      </c>
      <c r="N2414" s="50"/>
      <c r="O2414" s="25" t="str">
        <f t="shared" si="224"/>
        <v>Cartão de Débito</v>
      </c>
      <c r="P2414" s="25" t="s">
        <v>149</v>
      </c>
      <c r="Q2414" s="25" t="str">
        <f t="shared" si="225"/>
        <v>Combos</v>
      </c>
      <c r="R2414" s="25" t="str">
        <f t="shared" si="226"/>
        <v>Combo ( Corte + Barba )</v>
      </c>
      <c r="T2414" s="26">
        <f t="shared" si="227"/>
        <v>60</v>
      </c>
      <c r="U2414" s="26">
        <f t="shared" si="228"/>
        <v>50</v>
      </c>
      <c r="V2414" s="26"/>
      <c r="W2414" s="25" t="str">
        <f>IF(A2414=$A$1707,base!$I$3,IF(A2414=$A$1709,base!$I$2,IF(Receitas!A2414=Receitas!$A$1701,base!$I$4,"")))</f>
        <v>Christian Magon</v>
      </c>
      <c r="X2414" s="25" t="str">
        <f t="shared" si="229"/>
        <v>Marcio Felipe</v>
      </c>
    </row>
    <row r="2415" spans="1:24">
      <c r="A2415" t="s">
        <v>519</v>
      </c>
      <c r="B2415" t="s">
        <v>163</v>
      </c>
      <c r="C2415" t="s">
        <v>3432</v>
      </c>
      <c r="D2415">
        <v>35</v>
      </c>
      <c r="E2415">
        <v>35</v>
      </c>
      <c r="F2415" t="s">
        <v>3433</v>
      </c>
      <c r="G2415" t="s">
        <v>1</v>
      </c>
      <c r="H2415" t="s">
        <v>3434</v>
      </c>
      <c r="I2415" t="str">
        <f>IF(A2415="","Pacote",IF(B2415=IFERROR(VLOOKUP(B2415,base!$L$1:$L$20,1,0),""),"Produtos",IF(B2415=IFERROR(VLOOKUP(B2415,base!$K$2:$K$20,1,0),""),"Serviços",IF(B2415="Gorjeta","Gorjeta","Combos"))))</f>
        <v>Serviços</v>
      </c>
      <c r="J2415">
        <f t="shared" ref="J2415" si="230">IF(AND(I2415="Serviços",E2415&gt;0),ROUND(D2415*45%,2),IF(I2415="Produtos",ROUND(D2415*40%,2),D2415*45%))</f>
        <v>15.75</v>
      </c>
      <c r="K2415" s="1" t="str">
        <f t="shared" ref="K2415" si="231">F2415</f>
        <v>31/05/2025 14:00</v>
      </c>
      <c r="L2415" s="1">
        <f t="shared" ref="L2415" si="232">DATEVALUE(K2415)</f>
        <v>45808</v>
      </c>
      <c r="M2415" s="1">
        <f t="shared" ref="M2415" si="233">DATEVALUE(K2415)</f>
        <v>45808</v>
      </c>
      <c r="N2415" s="1"/>
      <c r="O2415" t="str">
        <f t="shared" ref="O2415" si="234">G2415</f>
        <v>PIX</v>
      </c>
      <c r="P2415" t="s">
        <v>149</v>
      </c>
      <c r="Q2415" t="str">
        <f t="shared" ref="Q2415" si="235">I2415</f>
        <v>Serviços</v>
      </c>
      <c r="R2415" t="str">
        <f t="shared" ref="R2415" si="236">B2415</f>
        <v>Corte</v>
      </c>
      <c r="T2415" s="14">
        <f t="shared" ref="T2415" si="237">D2415</f>
        <v>35</v>
      </c>
      <c r="U2415" s="14">
        <f t="shared" ref="U2415" si="238">E2415</f>
        <v>35</v>
      </c>
      <c r="V2415" s="14"/>
      <c r="W2415" t="str">
        <f>IF(A2415=$A$1707,base!$I$3,IF(A2415=$A$1709,base!$I$2,IF(Receitas!A2415=Receitas!$A$1701,base!$I$4,"")))</f>
        <v>Gustavo de Castro</v>
      </c>
      <c r="X2415" t="str">
        <f t="shared" ref="X2415" si="239">H2415</f>
        <v>gabriel carvalho</v>
      </c>
    </row>
    <row r="2416" spans="1:24">
      <c r="A2416" t="s">
        <v>519</v>
      </c>
      <c r="B2416" t="s">
        <v>163</v>
      </c>
      <c r="C2416" t="s">
        <v>3435</v>
      </c>
      <c r="D2416">
        <v>35</v>
      </c>
      <c r="E2416">
        <v>70</v>
      </c>
      <c r="F2416" t="s">
        <v>3436</v>
      </c>
      <c r="G2416" t="s">
        <v>1</v>
      </c>
      <c r="H2416" t="s">
        <v>3437</v>
      </c>
      <c r="I2416" t="str">
        <f>IF(A2416="","Pacote",IF(B2416=IFERROR(VLOOKUP(B2416,base!$L$1:$L$20,1,0),""),"Produtos",IF(B2416=IFERROR(VLOOKUP(B2416,base!$K$2:$K$20,1,0),""),"Serviços",IF(B2416="Gorjeta","Gorjeta","Combos"))))</f>
        <v>Serviços</v>
      </c>
      <c r="J2416">
        <f t="shared" ref="J2416:J2455" si="240">IF(AND(I2416="Serviços",E2416&gt;0),ROUND(D2416*45%,2),IF(I2416="Produtos",ROUND(D2416*40%,2),D2416*45%))</f>
        <v>15.75</v>
      </c>
      <c r="K2416" s="1" t="str">
        <f t="shared" ref="K2416:K2455" si="241">F2416</f>
        <v>31/05/2025 09:00</v>
      </c>
      <c r="L2416" s="1">
        <f t="shared" ref="L2416:L2455" si="242">DATEVALUE(K2416)</f>
        <v>45808</v>
      </c>
      <c r="M2416" s="1">
        <f t="shared" ref="M2416:M2455" si="243">DATEVALUE(K2416)</f>
        <v>45808</v>
      </c>
      <c r="N2416" s="1"/>
      <c r="O2416" t="str">
        <f t="shared" ref="O2416:O2455" si="244">G2416</f>
        <v>PIX</v>
      </c>
      <c r="P2416" t="s">
        <v>149</v>
      </c>
      <c r="Q2416" t="str">
        <f t="shared" ref="Q2416:Q2455" si="245">I2416</f>
        <v>Serviços</v>
      </c>
      <c r="R2416" t="str">
        <f t="shared" ref="R2416:R2455" si="246">B2416</f>
        <v>Corte</v>
      </c>
      <c r="T2416" s="14">
        <f t="shared" ref="T2416:T2455" si="247">D2416</f>
        <v>35</v>
      </c>
      <c r="U2416" s="14">
        <f t="shared" ref="U2416:U2455" si="248">E2416</f>
        <v>70</v>
      </c>
      <c r="V2416" s="14"/>
      <c r="W2416" t="str">
        <f>IF(A2416=$A$1707,base!$I$3,IF(A2416=$A$1709,base!$I$2,IF(Receitas!A2416=Receitas!$A$1701,base!$I$4,"")))</f>
        <v>Gustavo de Castro</v>
      </c>
      <c r="X2416" t="str">
        <f t="shared" ref="X2416:X2455" si="249">H2416</f>
        <v>Matheus Cesario</v>
      </c>
    </row>
    <row r="2417" spans="1:24">
      <c r="A2417" t="s">
        <v>519</v>
      </c>
      <c r="B2417" t="s">
        <v>2825</v>
      </c>
      <c r="C2417" t="s">
        <v>3435</v>
      </c>
      <c r="D2417">
        <v>10</v>
      </c>
      <c r="E2417" t="s">
        <v>1604</v>
      </c>
      <c r="F2417" t="s">
        <v>3436</v>
      </c>
      <c r="G2417" t="s">
        <v>1</v>
      </c>
      <c r="H2417" t="s">
        <v>3437</v>
      </c>
      <c r="I2417" t="str">
        <f>IF(A2417="","Pacote",IF(B2417=IFERROR(VLOOKUP(B2417,base!$L$1:$L$20,1,0),""),"Produtos",IF(B2417=IFERROR(VLOOKUP(B2417,base!$K$2:$K$20,1,0),""),"Serviços",IF(B2417="Gorjeta","Gorjeta","Combos"))))</f>
        <v>Serviços</v>
      </c>
      <c r="J2417">
        <f t="shared" si="240"/>
        <v>4.5</v>
      </c>
      <c r="K2417" s="1" t="str">
        <f t="shared" si="241"/>
        <v>31/05/2025 09:00</v>
      </c>
      <c r="L2417" s="1">
        <f t="shared" si="242"/>
        <v>45808</v>
      </c>
      <c r="M2417" s="1">
        <f t="shared" si="243"/>
        <v>45808</v>
      </c>
      <c r="N2417" s="1"/>
      <c r="O2417" t="str">
        <f t="shared" si="244"/>
        <v>PIX</v>
      </c>
      <c r="P2417" t="s">
        <v>149</v>
      </c>
      <c r="Q2417" t="str">
        <f t="shared" si="245"/>
        <v>Serviços</v>
      </c>
      <c r="R2417" t="str">
        <f t="shared" si="246"/>
        <v>barboterapia</v>
      </c>
      <c r="T2417" s="14">
        <f t="shared" si="247"/>
        <v>10</v>
      </c>
      <c r="U2417" s="14" t="str">
        <f t="shared" si="248"/>
        <v/>
      </c>
      <c r="V2417" s="14"/>
      <c r="W2417" t="str">
        <f>IF(A2417=$A$1707,base!$I$3,IF(A2417=$A$1709,base!$I$2,IF(Receitas!A2417=Receitas!$A$1701,base!$I$4,"")))</f>
        <v>Gustavo de Castro</v>
      </c>
      <c r="X2417" t="str">
        <f t="shared" si="249"/>
        <v>Matheus Cesario</v>
      </c>
    </row>
    <row r="2418" spans="1:24">
      <c r="A2418" t="s">
        <v>519</v>
      </c>
      <c r="B2418" t="s">
        <v>1046</v>
      </c>
      <c r="C2418" t="s">
        <v>3435</v>
      </c>
      <c r="D2418">
        <v>25</v>
      </c>
      <c r="E2418" t="s">
        <v>1604</v>
      </c>
      <c r="F2418" t="s">
        <v>3436</v>
      </c>
      <c r="G2418" t="s">
        <v>1</v>
      </c>
      <c r="H2418" t="s">
        <v>3437</v>
      </c>
      <c r="I2418" t="str">
        <f>IF(A2418="","Pacote",IF(B2418=IFERROR(VLOOKUP(B2418,base!$L$1:$L$20,1,0),""),"Produtos",IF(B2418=IFERROR(VLOOKUP(B2418,base!$K$2:$K$20,1,0),""),"Serviços",IF(B2418="Gorjeta","Gorjeta","Combos"))))</f>
        <v>Serviços</v>
      </c>
      <c r="J2418">
        <f t="shared" si="240"/>
        <v>11.25</v>
      </c>
      <c r="K2418" s="1" t="str">
        <f t="shared" si="241"/>
        <v>31/05/2025 09:00</v>
      </c>
      <c r="L2418" s="1">
        <f t="shared" si="242"/>
        <v>45808</v>
      </c>
      <c r="M2418" s="1">
        <f t="shared" si="243"/>
        <v>45808</v>
      </c>
      <c r="N2418" s="1"/>
      <c r="O2418" t="str">
        <f t="shared" si="244"/>
        <v>PIX</v>
      </c>
      <c r="P2418" t="s">
        <v>149</v>
      </c>
      <c r="Q2418" t="str">
        <f t="shared" si="245"/>
        <v>Serviços</v>
      </c>
      <c r="R2418" t="str">
        <f t="shared" si="246"/>
        <v>Barba</v>
      </c>
      <c r="T2418" s="14">
        <f t="shared" si="247"/>
        <v>25</v>
      </c>
      <c r="U2418" s="14" t="str">
        <f t="shared" si="248"/>
        <v/>
      </c>
      <c r="V2418" s="14"/>
      <c r="W2418" t="str">
        <f>IF(A2418=$A$1707,base!$I$3,IF(A2418=$A$1709,base!$I$2,IF(Receitas!A2418=Receitas!$A$1701,base!$I$4,"")))</f>
        <v>Gustavo de Castro</v>
      </c>
      <c r="X2418" t="str">
        <f t="shared" si="249"/>
        <v>Matheus Cesario</v>
      </c>
    </row>
    <row r="2419" spans="1:24">
      <c r="A2419" t="s">
        <v>252</v>
      </c>
      <c r="B2419" t="s">
        <v>163</v>
      </c>
      <c r="C2419" t="s">
        <v>3438</v>
      </c>
      <c r="D2419">
        <v>35</v>
      </c>
      <c r="E2419">
        <v>35</v>
      </c>
      <c r="F2419" t="s">
        <v>3439</v>
      </c>
      <c r="G2419" t="s">
        <v>1</v>
      </c>
      <c r="H2419" t="s">
        <v>22</v>
      </c>
      <c r="I2419" t="str">
        <f>IF(A2419="","Pacote",IF(B2419=IFERROR(VLOOKUP(B2419,base!$L$1:$L$20,1,0),""),"Produtos",IF(B2419=IFERROR(VLOOKUP(B2419,base!$K$2:$K$20,1,0),""),"Serviços",IF(B2419="Gorjeta","Gorjeta","Combos"))))</f>
        <v>Serviços</v>
      </c>
      <c r="J2419">
        <f t="shared" si="240"/>
        <v>15.75</v>
      </c>
      <c r="K2419" s="1" t="str">
        <f t="shared" si="241"/>
        <v>31/05/2025 10:45</v>
      </c>
      <c r="L2419" s="1">
        <f t="shared" si="242"/>
        <v>45808</v>
      </c>
      <c r="M2419" s="1">
        <f t="shared" si="243"/>
        <v>45808</v>
      </c>
      <c r="N2419" s="1"/>
      <c r="O2419" t="str">
        <f t="shared" si="244"/>
        <v>PIX</v>
      </c>
      <c r="P2419" t="s">
        <v>149</v>
      </c>
      <c r="Q2419" t="str">
        <f t="shared" si="245"/>
        <v>Serviços</v>
      </c>
      <c r="R2419" t="str">
        <f t="shared" si="246"/>
        <v>Corte</v>
      </c>
      <c r="T2419" s="14">
        <f t="shared" si="247"/>
        <v>35</v>
      </c>
      <c r="U2419" s="14">
        <f t="shared" si="248"/>
        <v>35</v>
      </c>
      <c r="V2419" s="14"/>
      <c r="W2419" t="str">
        <f>IF(A2419=$A$1707,base!$I$3,IF(A2419=$A$1709,base!$I$2,IF(Receitas!A2419=Receitas!$A$1701,base!$I$4,"")))</f>
        <v>Christian Magon</v>
      </c>
      <c r="X2419" t="str">
        <f t="shared" si="249"/>
        <v>Kauan faleiro rosa</v>
      </c>
    </row>
    <row r="2420" spans="1:24">
      <c r="A2420" t="s">
        <v>519</v>
      </c>
      <c r="B2420" t="s">
        <v>163</v>
      </c>
      <c r="C2420" t="s">
        <v>3440</v>
      </c>
      <c r="D2420">
        <v>40</v>
      </c>
      <c r="E2420">
        <v>40</v>
      </c>
      <c r="F2420" t="s">
        <v>3441</v>
      </c>
      <c r="G2420" t="s">
        <v>2</v>
      </c>
      <c r="H2420" t="s">
        <v>185</v>
      </c>
      <c r="I2420" t="str">
        <f>IF(A2420="","Pacote",IF(B2420=IFERROR(VLOOKUP(B2420,base!$L$1:$L$20,1,0),""),"Produtos",IF(B2420=IFERROR(VLOOKUP(B2420,base!$K$2:$K$20,1,0),""),"Serviços",IF(B2420="Gorjeta","Gorjeta","Combos"))))</f>
        <v>Serviços</v>
      </c>
      <c r="J2420">
        <f t="shared" si="240"/>
        <v>18</v>
      </c>
      <c r="K2420" s="1" t="str">
        <f t="shared" si="241"/>
        <v>31/05/2025 09:30</v>
      </c>
      <c r="L2420" s="1">
        <f t="shared" si="242"/>
        <v>45808</v>
      </c>
      <c r="M2420" s="1">
        <f t="shared" si="243"/>
        <v>45808</v>
      </c>
      <c r="N2420" s="1"/>
      <c r="O2420" t="str">
        <f t="shared" si="244"/>
        <v>Dinheiro</v>
      </c>
      <c r="P2420" t="s">
        <v>149</v>
      </c>
      <c r="Q2420" t="str">
        <f t="shared" si="245"/>
        <v>Serviços</v>
      </c>
      <c r="R2420" t="str">
        <f t="shared" si="246"/>
        <v>Corte</v>
      </c>
      <c r="T2420" s="14">
        <f t="shared" si="247"/>
        <v>40</v>
      </c>
      <c r="U2420" s="14">
        <f t="shared" si="248"/>
        <v>40</v>
      </c>
      <c r="V2420" s="14"/>
      <c r="W2420" t="str">
        <f>IF(A2420=$A$1707,base!$I$3,IF(A2420=$A$1709,base!$I$2,IF(Receitas!A2420=Receitas!$A$1701,base!$I$4,"")))</f>
        <v>Gustavo de Castro</v>
      </c>
      <c r="X2420" t="str">
        <f t="shared" si="249"/>
        <v>Leonardo Lima</v>
      </c>
    </row>
    <row r="2421" spans="1:24">
      <c r="A2421" t="s">
        <v>519</v>
      </c>
      <c r="B2421" t="s">
        <v>163</v>
      </c>
      <c r="C2421" t="s">
        <v>3442</v>
      </c>
      <c r="D2421">
        <v>35</v>
      </c>
      <c r="E2421">
        <v>35</v>
      </c>
      <c r="F2421" t="s">
        <v>3443</v>
      </c>
      <c r="G2421" t="s">
        <v>354</v>
      </c>
      <c r="H2421" t="s">
        <v>1056</v>
      </c>
      <c r="I2421" t="str">
        <f>IF(A2421="","Pacote",IF(B2421=IFERROR(VLOOKUP(B2421,base!$L$1:$L$20,1,0),""),"Produtos",IF(B2421=IFERROR(VLOOKUP(B2421,base!$K$2:$K$20,1,0),""),"Serviços",IF(B2421="Gorjeta","Gorjeta","Combos"))))</f>
        <v>Serviços</v>
      </c>
      <c r="J2421">
        <f t="shared" si="240"/>
        <v>15.75</v>
      </c>
      <c r="K2421" s="1" t="str">
        <f t="shared" si="241"/>
        <v>31/05/2025 10:00</v>
      </c>
      <c r="L2421" s="1">
        <f t="shared" si="242"/>
        <v>45808</v>
      </c>
      <c r="M2421" s="1">
        <f t="shared" si="243"/>
        <v>45808</v>
      </c>
      <c r="N2421" s="1"/>
      <c r="O2421" t="str">
        <f t="shared" si="244"/>
        <v>Cartão de Crédito</v>
      </c>
      <c r="P2421" t="s">
        <v>149</v>
      </c>
      <c r="Q2421" t="str">
        <f t="shared" si="245"/>
        <v>Serviços</v>
      </c>
      <c r="R2421" t="str">
        <f t="shared" si="246"/>
        <v>Corte</v>
      </c>
      <c r="T2421" s="14">
        <f t="shared" si="247"/>
        <v>35</v>
      </c>
      <c r="U2421" s="14">
        <f t="shared" si="248"/>
        <v>35</v>
      </c>
      <c r="V2421" s="14"/>
      <c r="W2421" t="str">
        <f>IF(A2421=$A$1707,base!$I$3,IF(A2421=$A$1709,base!$I$2,IF(Receitas!A2421=Receitas!$A$1701,base!$I$4,"")))</f>
        <v>Gustavo de Castro</v>
      </c>
      <c r="X2421" t="str">
        <f t="shared" si="249"/>
        <v>davi lima de souza</v>
      </c>
    </row>
    <row r="2422" spans="1:24">
      <c r="A2422" t="s">
        <v>252</v>
      </c>
      <c r="B2422" t="s">
        <v>163</v>
      </c>
      <c r="C2422" t="s">
        <v>3444</v>
      </c>
      <c r="D2422">
        <v>35</v>
      </c>
      <c r="E2422">
        <v>35</v>
      </c>
      <c r="F2422" t="s">
        <v>3445</v>
      </c>
      <c r="G2422" t="s">
        <v>1</v>
      </c>
      <c r="H2422" t="s">
        <v>123</v>
      </c>
      <c r="I2422" t="str">
        <f>IF(A2422="","Pacote",IF(B2422=IFERROR(VLOOKUP(B2422,base!$L$1:$L$20,1,0),""),"Produtos",IF(B2422=IFERROR(VLOOKUP(B2422,base!$K$2:$K$20,1,0),""),"Serviços",IF(B2422="Gorjeta","Gorjeta","Combos"))))</f>
        <v>Serviços</v>
      </c>
      <c r="J2422">
        <f t="shared" si="240"/>
        <v>15.75</v>
      </c>
      <c r="K2422" s="1" t="str">
        <f t="shared" si="241"/>
        <v>31/05/2025 13:00</v>
      </c>
      <c r="L2422" s="1">
        <f t="shared" si="242"/>
        <v>45808</v>
      </c>
      <c r="M2422" s="1">
        <f t="shared" si="243"/>
        <v>45808</v>
      </c>
      <c r="N2422" s="1"/>
      <c r="O2422" t="str">
        <f t="shared" si="244"/>
        <v>PIX</v>
      </c>
      <c r="P2422" t="s">
        <v>149</v>
      </c>
      <c r="Q2422" t="str">
        <f t="shared" si="245"/>
        <v>Serviços</v>
      </c>
      <c r="R2422" t="str">
        <f t="shared" si="246"/>
        <v>Corte</v>
      </c>
      <c r="T2422" s="14">
        <f t="shared" si="247"/>
        <v>35</v>
      </c>
      <c r="U2422" s="14">
        <f t="shared" si="248"/>
        <v>35</v>
      </c>
      <c r="V2422" s="14"/>
      <c r="W2422" t="str">
        <f>IF(A2422=$A$1707,base!$I$3,IF(A2422=$A$1709,base!$I$2,IF(Receitas!A2422=Receitas!$A$1701,base!$I$4,"")))</f>
        <v>Christian Magon</v>
      </c>
      <c r="X2422" t="str">
        <f t="shared" si="249"/>
        <v>Dayvison Alves</v>
      </c>
    </row>
    <row r="2423" spans="1:24">
      <c r="A2423" t="s">
        <v>519</v>
      </c>
      <c r="B2423" t="s">
        <v>163</v>
      </c>
      <c r="C2423" t="s">
        <v>3446</v>
      </c>
      <c r="D2423">
        <v>35</v>
      </c>
      <c r="E2423">
        <v>50</v>
      </c>
      <c r="F2423" t="s">
        <v>3447</v>
      </c>
      <c r="G2423" t="s">
        <v>310</v>
      </c>
      <c r="H2423" t="s">
        <v>387</v>
      </c>
      <c r="I2423" t="str">
        <f>IF(A2423="","Pacote",IF(B2423=IFERROR(VLOOKUP(B2423,base!$L$1:$L$20,1,0),""),"Produtos",IF(B2423=IFERROR(VLOOKUP(B2423,base!$K$2:$K$20,1,0),""),"Serviços",IF(B2423="Gorjeta","Gorjeta","Combos"))))</f>
        <v>Serviços</v>
      </c>
      <c r="J2423">
        <f t="shared" si="240"/>
        <v>15.75</v>
      </c>
      <c r="K2423" s="1" t="str">
        <f t="shared" si="241"/>
        <v>31/05/2025 13:30</v>
      </c>
      <c r="L2423" s="1">
        <f t="shared" si="242"/>
        <v>45808</v>
      </c>
      <c r="M2423" s="1">
        <f t="shared" si="243"/>
        <v>45808</v>
      </c>
      <c r="N2423" s="1"/>
      <c r="O2423" t="str">
        <f t="shared" si="244"/>
        <v>Cartão de Débito</v>
      </c>
      <c r="P2423" t="s">
        <v>149</v>
      </c>
      <c r="Q2423" t="str">
        <f t="shared" si="245"/>
        <v>Serviços</v>
      </c>
      <c r="R2423" t="str">
        <f t="shared" si="246"/>
        <v>Corte</v>
      </c>
      <c r="T2423" s="14">
        <f t="shared" si="247"/>
        <v>35</v>
      </c>
      <c r="U2423" s="14">
        <f t="shared" si="248"/>
        <v>50</v>
      </c>
      <c r="V2423" s="14"/>
      <c r="W2423" t="str">
        <f>IF(A2423=$A$1707,base!$I$3,IF(A2423=$A$1709,base!$I$2,IF(Receitas!A2423=Receitas!$A$1701,base!$I$4,"")))</f>
        <v>Gustavo de Castro</v>
      </c>
      <c r="X2423" t="str">
        <f t="shared" si="249"/>
        <v>Matheus Eduardo</v>
      </c>
    </row>
    <row r="2424" spans="1:24">
      <c r="A2424" t="s">
        <v>519</v>
      </c>
      <c r="B2424" t="s">
        <v>1046</v>
      </c>
      <c r="C2424" t="s">
        <v>3446</v>
      </c>
      <c r="D2424">
        <v>15</v>
      </c>
      <c r="E2424" t="s">
        <v>1604</v>
      </c>
      <c r="F2424" t="s">
        <v>3447</v>
      </c>
      <c r="G2424" t="s">
        <v>310</v>
      </c>
      <c r="H2424" t="s">
        <v>387</v>
      </c>
      <c r="I2424" t="str">
        <f>IF(A2424="","Pacote",IF(B2424=IFERROR(VLOOKUP(B2424,base!$L$1:$L$20,1,0),""),"Produtos",IF(B2424=IFERROR(VLOOKUP(B2424,base!$K$2:$K$20,1,0),""),"Serviços",IF(B2424="Gorjeta","Gorjeta","Combos"))))</f>
        <v>Serviços</v>
      </c>
      <c r="J2424">
        <f t="shared" si="240"/>
        <v>6.75</v>
      </c>
      <c r="K2424" s="1" t="str">
        <f t="shared" si="241"/>
        <v>31/05/2025 13:30</v>
      </c>
      <c r="L2424" s="1">
        <f t="shared" si="242"/>
        <v>45808</v>
      </c>
      <c r="M2424" s="1">
        <f t="shared" si="243"/>
        <v>45808</v>
      </c>
      <c r="N2424" s="1"/>
      <c r="O2424" t="str">
        <f t="shared" si="244"/>
        <v>Cartão de Débito</v>
      </c>
      <c r="P2424" t="s">
        <v>149</v>
      </c>
      <c r="Q2424" t="str">
        <f t="shared" si="245"/>
        <v>Serviços</v>
      </c>
      <c r="R2424" t="str">
        <f t="shared" si="246"/>
        <v>Barba</v>
      </c>
      <c r="T2424" s="14">
        <f t="shared" si="247"/>
        <v>15</v>
      </c>
      <c r="U2424" s="14" t="str">
        <f t="shared" si="248"/>
        <v/>
      </c>
      <c r="V2424" s="14"/>
      <c r="W2424" t="str">
        <f>IF(A2424=$A$1707,base!$I$3,IF(A2424=$A$1709,base!$I$2,IF(Receitas!A2424=Receitas!$A$1701,base!$I$4,"")))</f>
        <v>Gustavo de Castro</v>
      </c>
      <c r="X2424" t="str">
        <f t="shared" si="249"/>
        <v>Matheus Eduardo</v>
      </c>
    </row>
    <row r="2425" spans="1:24">
      <c r="A2425" t="s">
        <v>519</v>
      </c>
      <c r="B2425" t="s">
        <v>163</v>
      </c>
      <c r="C2425" t="s">
        <v>3448</v>
      </c>
      <c r="D2425">
        <v>35</v>
      </c>
      <c r="E2425">
        <v>35</v>
      </c>
      <c r="F2425" t="s">
        <v>3449</v>
      </c>
      <c r="G2425" t="s">
        <v>310</v>
      </c>
      <c r="H2425" t="s">
        <v>1306</v>
      </c>
      <c r="I2425" t="str">
        <f>IF(A2425="","Pacote",IF(B2425=IFERROR(VLOOKUP(B2425,base!$L$1:$L$20,1,0),""),"Produtos",IF(B2425=IFERROR(VLOOKUP(B2425,base!$K$2:$K$20,1,0),""),"Serviços",IF(B2425="Gorjeta","Gorjeta","Combos"))))</f>
        <v>Serviços</v>
      </c>
      <c r="J2425">
        <f t="shared" si="240"/>
        <v>15.75</v>
      </c>
      <c r="K2425" s="1" t="str">
        <f t="shared" si="241"/>
        <v>31/05/2025 14:30</v>
      </c>
      <c r="L2425" s="1">
        <f t="shared" si="242"/>
        <v>45808</v>
      </c>
      <c r="M2425" s="1">
        <f t="shared" si="243"/>
        <v>45808</v>
      </c>
      <c r="N2425" s="1"/>
      <c r="O2425" t="str">
        <f t="shared" si="244"/>
        <v>Cartão de Débito</v>
      </c>
      <c r="P2425" t="s">
        <v>149</v>
      </c>
      <c r="Q2425" t="str">
        <f t="shared" si="245"/>
        <v>Serviços</v>
      </c>
      <c r="R2425" t="str">
        <f t="shared" si="246"/>
        <v>Corte</v>
      </c>
      <c r="T2425" s="14">
        <f t="shared" si="247"/>
        <v>35</v>
      </c>
      <c r="U2425" s="14">
        <f t="shared" si="248"/>
        <v>35</v>
      </c>
      <c r="V2425" s="14"/>
      <c r="W2425" t="str">
        <f>IF(A2425=$A$1707,base!$I$3,IF(A2425=$A$1709,base!$I$2,IF(Receitas!A2425=Receitas!$A$1701,base!$I$4,"")))</f>
        <v>Gustavo de Castro</v>
      </c>
      <c r="X2425" t="str">
        <f t="shared" si="249"/>
        <v>LUANA MENDES</v>
      </c>
    </row>
    <row r="2426" spans="1:24">
      <c r="A2426" t="s">
        <v>252</v>
      </c>
      <c r="B2426" t="s">
        <v>163</v>
      </c>
      <c r="C2426" t="s">
        <v>3450</v>
      </c>
      <c r="D2426">
        <v>35</v>
      </c>
      <c r="E2426">
        <v>35</v>
      </c>
      <c r="F2426" t="s">
        <v>3451</v>
      </c>
      <c r="G2426" t="s">
        <v>1</v>
      </c>
      <c r="H2426" t="s">
        <v>864</v>
      </c>
      <c r="I2426" t="str">
        <f>IF(A2426="","Pacote",IF(B2426=IFERROR(VLOOKUP(B2426,base!$L$1:$L$20,1,0),""),"Produtos",IF(B2426=IFERROR(VLOOKUP(B2426,base!$K$2:$K$20,1,0),""),"Serviços",IF(B2426="Gorjeta","Gorjeta","Combos"))))</f>
        <v>Serviços</v>
      </c>
      <c r="J2426">
        <f t="shared" si="240"/>
        <v>15.75</v>
      </c>
      <c r="K2426" s="1" t="str">
        <f t="shared" si="241"/>
        <v>31/05/2025 10:15</v>
      </c>
      <c r="L2426" s="1">
        <f t="shared" si="242"/>
        <v>45808</v>
      </c>
      <c r="M2426" s="1">
        <f t="shared" si="243"/>
        <v>45808</v>
      </c>
      <c r="N2426" s="1"/>
      <c r="O2426" t="str">
        <f t="shared" si="244"/>
        <v>PIX</v>
      </c>
      <c r="P2426" t="s">
        <v>149</v>
      </c>
      <c r="Q2426" t="str">
        <f t="shared" si="245"/>
        <v>Serviços</v>
      </c>
      <c r="R2426" t="str">
        <f t="shared" si="246"/>
        <v>Corte</v>
      </c>
      <c r="T2426" s="14">
        <f t="shared" si="247"/>
        <v>35</v>
      </c>
      <c r="U2426" s="14">
        <f t="shared" si="248"/>
        <v>35</v>
      </c>
      <c r="V2426" s="14"/>
      <c r="W2426" t="str">
        <f>IF(A2426=$A$1707,base!$I$3,IF(A2426=$A$1709,base!$I$2,IF(Receitas!A2426=Receitas!$A$1701,base!$I$4,"")))</f>
        <v>Christian Magon</v>
      </c>
      <c r="X2426" t="str">
        <f t="shared" si="249"/>
        <v>alfierre dos santos</v>
      </c>
    </row>
    <row r="2427" spans="1:24">
      <c r="A2427" t="s">
        <v>536</v>
      </c>
      <c r="B2427" t="s">
        <v>163</v>
      </c>
      <c r="C2427" t="s">
        <v>3452</v>
      </c>
      <c r="D2427">
        <v>35</v>
      </c>
      <c r="E2427">
        <v>35</v>
      </c>
      <c r="F2427" t="s">
        <v>3443</v>
      </c>
      <c r="G2427" t="s">
        <v>1</v>
      </c>
      <c r="H2427" t="s">
        <v>403</v>
      </c>
      <c r="I2427" t="str">
        <f>IF(A2427="","Pacote",IF(B2427=IFERROR(VLOOKUP(B2427,base!$L$1:$L$20,1,0),""),"Produtos",IF(B2427=IFERROR(VLOOKUP(B2427,base!$K$2:$K$20,1,0),""),"Serviços",IF(B2427="Gorjeta","Gorjeta","Combos"))))</f>
        <v>Serviços</v>
      </c>
      <c r="J2427">
        <f t="shared" si="240"/>
        <v>15.75</v>
      </c>
      <c r="K2427" s="1" t="str">
        <f t="shared" si="241"/>
        <v>31/05/2025 10:00</v>
      </c>
      <c r="L2427" s="1">
        <f t="shared" si="242"/>
        <v>45808</v>
      </c>
      <c r="M2427" s="1">
        <f t="shared" si="243"/>
        <v>45808</v>
      </c>
      <c r="N2427" s="1"/>
      <c r="O2427" t="str">
        <f t="shared" si="244"/>
        <v>PIX</v>
      </c>
      <c r="P2427" t="s">
        <v>149</v>
      </c>
      <c r="Q2427" t="str">
        <f t="shared" si="245"/>
        <v>Serviços</v>
      </c>
      <c r="R2427" t="str">
        <f t="shared" si="246"/>
        <v>Corte</v>
      </c>
      <c r="T2427" s="14">
        <f t="shared" si="247"/>
        <v>35</v>
      </c>
      <c r="U2427" s="14">
        <f t="shared" si="248"/>
        <v>35</v>
      </c>
      <c r="V2427" s="14"/>
      <c r="W2427" t="str">
        <f>IF(A2427=$A$1707,base!$I$3,IF(A2427=$A$1709,base!$I$2,IF(Receitas!A2427=Receitas!$A$1701,base!$I$4,"")))</f>
        <v>PATRICK CARDOSO</v>
      </c>
      <c r="X2427" t="str">
        <f t="shared" si="249"/>
        <v>robson dos santos moura</v>
      </c>
    </row>
    <row r="2428" spans="1:24">
      <c r="A2428" t="s">
        <v>536</v>
      </c>
      <c r="B2428" t="s">
        <v>163</v>
      </c>
      <c r="C2428" t="s">
        <v>3453</v>
      </c>
      <c r="D2428">
        <v>35</v>
      </c>
      <c r="E2428">
        <v>35</v>
      </c>
      <c r="F2428" t="s">
        <v>3439</v>
      </c>
      <c r="G2428" t="s">
        <v>310</v>
      </c>
      <c r="H2428" t="s">
        <v>121</v>
      </c>
      <c r="I2428" t="str">
        <f>IF(A2428="","Pacote",IF(B2428=IFERROR(VLOOKUP(B2428,base!$L$1:$L$20,1,0),""),"Produtos",IF(B2428=IFERROR(VLOOKUP(B2428,base!$K$2:$K$20,1,0),""),"Serviços",IF(B2428="Gorjeta","Gorjeta","Combos"))))</f>
        <v>Serviços</v>
      </c>
      <c r="J2428">
        <f t="shared" si="240"/>
        <v>15.75</v>
      </c>
      <c r="K2428" s="1" t="str">
        <f t="shared" si="241"/>
        <v>31/05/2025 10:45</v>
      </c>
      <c r="L2428" s="1">
        <f t="shared" si="242"/>
        <v>45808</v>
      </c>
      <c r="M2428" s="1">
        <f t="shared" si="243"/>
        <v>45808</v>
      </c>
      <c r="N2428" s="1"/>
      <c r="O2428" t="str">
        <f t="shared" si="244"/>
        <v>Cartão de Débito</v>
      </c>
      <c r="P2428" t="s">
        <v>149</v>
      </c>
      <c r="Q2428" t="str">
        <f t="shared" si="245"/>
        <v>Serviços</v>
      </c>
      <c r="R2428" t="str">
        <f t="shared" si="246"/>
        <v>Corte</v>
      </c>
      <c r="T2428" s="14">
        <f t="shared" si="247"/>
        <v>35</v>
      </c>
      <c r="U2428" s="14">
        <f t="shared" si="248"/>
        <v>35</v>
      </c>
      <c r="V2428" s="14"/>
      <c r="W2428" t="str">
        <f>IF(A2428=$A$1707,base!$I$3,IF(A2428=$A$1709,base!$I$2,IF(Receitas!A2428=Receitas!$A$1701,base!$I$4,"")))</f>
        <v>PATRICK CARDOSO</v>
      </c>
      <c r="X2428" t="str">
        <f t="shared" si="249"/>
        <v>Allan Santos</v>
      </c>
    </row>
    <row r="2429" spans="1:24">
      <c r="A2429" t="s">
        <v>519</v>
      </c>
      <c r="B2429" t="s">
        <v>163</v>
      </c>
      <c r="C2429" t="s">
        <v>3454</v>
      </c>
      <c r="D2429">
        <v>35</v>
      </c>
      <c r="E2429">
        <v>55</v>
      </c>
      <c r="F2429" t="s">
        <v>3455</v>
      </c>
      <c r="G2429" t="s">
        <v>1</v>
      </c>
      <c r="H2429" t="s">
        <v>67</v>
      </c>
      <c r="I2429" t="str">
        <f>IF(A2429="","Pacote",IF(B2429=IFERROR(VLOOKUP(B2429,base!$L$1:$L$20,1,0),""),"Produtos",IF(B2429=IFERROR(VLOOKUP(B2429,base!$K$2:$K$20,1,0),""),"Serviços",IF(B2429="Gorjeta","Gorjeta","Combos"))))</f>
        <v>Serviços</v>
      </c>
      <c r="J2429">
        <f t="shared" si="240"/>
        <v>15.75</v>
      </c>
      <c r="K2429" s="1" t="str">
        <f t="shared" si="241"/>
        <v>31/05/2025 12:15</v>
      </c>
      <c r="L2429" s="1">
        <f t="shared" si="242"/>
        <v>45808</v>
      </c>
      <c r="M2429" s="1">
        <f t="shared" si="243"/>
        <v>45808</v>
      </c>
      <c r="N2429" s="1"/>
      <c r="O2429" t="str">
        <f t="shared" si="244"/>
        <v>PIX</v>
      </c>
      <c r="P2429" t="s">
        <v>149</v>
      </c>
      <c r="Q2429" t="str">
        <f t="shared" si="245"/>
        <v>Serviços</v>
      </c>
      <c r="R2429" t="str">
        <f t="shared" si="246"/>
        <v>Corte</v>
      </c>
      <c r="T2429" s="14">
        <f t="shared" si="247"/>
        <v>35</v>
      </c>
      <c r="U2429" s="14">
        <f t="shared" si="248"/>
        <v>55</v>
      </c>
      <c r="V2429" s="14"/>
      <c r="W2429" t="str">
        <f>IF(A2429=$A$1707,base!$I$3,IF(A2429=$A$1709,base!$I$2,IF(Receitas!A2429=Receitas!$A$1701,base!$I$4,"")))</f>
        <v>Gustavo de Castro</v>
      </c>
      <c r="X2429" t="str">
        <f t="shared" si="249"/>
        <v>Felipe de Souza Macedo</v>
      </c>
    </row>
    <row r="2430" spans="1:24">
      <c r="A2430" t="s">
        <v>519</v>
      </c>
      <c r="B2430" t="s">
        <v>166</v>
      </c>
      <c r="C2430" t="s">
        <v>3454</v>
      </c>
      <c r="D2430">
        <v>20</v>
      </c>
      <c r="E2430" t="s">
        <v>1604</v>
      </c>
      <c r="F2430" t="s">
        <v>3455</v>
      </c>
      <c r="G2430" t="s">
        <v>1</v>
      </c>
      <c r="H2430" t="s">
        <v>67</v>
      </c>
      <c r="I2430" t="str">
        <f>IF(A2430="","Pacote",IF(B2430=IFERROR(VLOOKUP(B2430,base!$L$1:$L$20,1,0),""),"Produtos",IF(B2430=IFERROR(VLOOKUP(B2430,base!$K$2:$K$20,1,0),""),"Serviços",IF(B2430="Gorjeta","Gorjeta","Combos"))))</f>
        <v>Serviços</v>
      </c>
      <c r="J2430">
        <f t="shared" si="240"/>
        <v>9</v>
      </c>
      <c r="K2430" s="1" t="str">
        <f t="shared" si="241"/>
        <v>31/05/2025 12:15</v>
      </c>
      <c r="L2430" s="1">
        <f t="shared" si="242"/>
        <v>45808</v>
      </c>
      <c r="M2430" s="1">
        <f t="shared" si="243"/>
        <v>45808</v>
      </c>
      <c r="N2430" s="1"/>
      <c r="O2430" t="str">
        <f t="shared" si="244"/>
        <v>PIX</v>
      </c>
      <c r="P2430" t="s">
        <v>149</v>
      </c>
      <c r="Q2430" t="str">
        <f t="shared" si="245"/>
        <v>Serviços</v>
      </c>
      <c r="R2430" t="str">
        <f t="shared" si="246"/>
        <v>Pigmentação</v>
      </c>
      <c r="T2430" s="14">
        <f t="shared" si="247"/>
        <v>20</v>
      </c>
      <c r="U2430" s="14" t="str">
        <f t="shared" si="248"/>
        <v/>
      </c>
      <c r="V2430" s="14"/>
      <c r="W2430" t="str">
        <f>IF(A2430=$A$1707,base!$I$3,IF(A2430=$A$1709,base!$I$2,IF(Receitas!A2430=Receitas!$A$1701,base!$I$4,"")))</f>
        <v>Gustavo de Castro</v>
      </c>
      <c r="X2430" t="str">
        <f t="shared" si="249"/>
        <v>Felipe de Souza Macedo</v>
      </c>
    </row>
    <row r="2431" spans="1:24">
      <c r="A2431" t="s">
        <v>519</v>
      </c>
      <c r="B2431" t="s">
        <v>353</v>
      </c>
      <c r="C2431" t="s">
        <v>3456</v>
      </c>
      <c r="D2431">
        <v>55</v>
      </c>
      <c r="E2431">
        <v>73</v>
      </c>
      <c r="F2431" t="s">
        <v>3457</v>
      </c>
      <c r="G2431" t="s">
        <v>1</v>
      </c>
      <c r="H2431" t="s">
        <v>88</v>
      </c>
      <c r="I2431" t="str">
        <f>IF(A2431="","Pacote",IF(B2431=IFERROR(VLOOKUP(B2431,base!$L$1:$L$20,1,0),""),"Produtos",IF(B2431=IFERROR(VLOOKUP(B2431,base!$K$2:$K$20,1,0),""),"Serviços",IF(B2431="Gorjeta","Gorjeta","Combos"))))</f>
        <v>Combos</v>
      </c>
      <c r="J2431">
        <f t="shared" si="240"/>
        <v>24.75</v>
      </c>
      <c r="K2431" s="1" t="str">
        <f t="shared" si="241"/>
        <v>31/05/2025 11:15</v>
      </c>
      <c r="L2431" s="1">
        <f t="shared" si="242"/>
        <v>45808</v>
      </c>
      <c r="M2431" s="1">
        <f t="shared" si="243"/>
        <v>45808</v>
      </c>
      <c r="N2431" s="1"/>
      <c r="O2431" t="str">
        <f t="shared" si="244"/>
        <v>PIX</v>
      </c>
      <c r="P2431" t="s">
        <v>149</v>
      </c>
      <c r="Q2431" t="str">
        <f t="shared" si="245"/>
        <v>Combos</v>
      </c>
      <c r="R2431" t="str">
        <f t="shared" si="246"/>
        <v>Combo ( Corte + Barba )</v>
      </c>
      <c r="T2431" s="14">
        <f t="shared" si="247"/>
        <v>55</v>
      </c>
      <c r="U2431" s="14">
        <f t="shared" si="248"/>
        <v>73</v>
      </c>
      <c r="V2431" s="14"/>
      <c r="W2431" t="str">
        <f>IF(A2431=$A$1707,base!$I$3,IF(A2431=$A$1709,base!$I$2,IF(Receitas!A2431=Receitas!$A$1701,base!$I$4,"")))</f>
        <v>Gustavo de Castro</v>
      </c>
      <c r="X2431" t="str">
        <f t="shared" si="249"/>
        <v>Luciano Teixeira Silva</v>
      </c>
    </row>
    <row r="2432" spans="1:24">
      <c r="A2432" t="s">
        <v>519</v>
      </c>
      <c r="B2432" t="s">
        <v>3316</v>
      </c>
      <c r="C2432" t="s">
        <v>3456</v>
      </c>
      <c r="D2432">
        <v>18</v>
      </c>
      <c r="E2432" t="s">
        <v>1604</v>
      </c>
      <c r="F2432" t="s">
        <v>3457</v>
      </c>
      <c r="G2432" t="s">
        <v>1</v>
      </c>
      <c r="H2432" t="s">
        <v>88</v>
      </c>
      <c r="I2432" t="str">
        <f>IF(A2432="","Pacote",IF(B2432=IFERROR(VLOOKUP(B2432,base!$L$1:$L$20,1,0),""),"Produtos",IF(B2432=IFERROR(VLOOKUP(B2432,base!$K$2:$K$20,1,0),""),"Serviços",IF(B2432="Gorjeta","Gorjeta","Combos"))))</f>
        <v>Produtos</v>
      </c>
      <c r="J2432">
        <f t="shared" si="240"/>
        <v>7.2</v>
      </c>
      <c r="K2432" s="1" t="str">
        <f t="shared" si="241"/>
        <v>31/05/2025 11:15</v>
      </c>
      <c r="L2432" s="1">
        <f t="shared" si="242"/>
        <v>45808</v>
      </c>
      <c r="M2432" s="1">
        <f t="shared" si="243"/>
        <v>45808</v>
      </c>
      <c r="N2432" s="1"/>
      <c r="O2432" t="str">
        <f t="shared" si="244"/>
        <v>PIX</v>
      </c>
      <c r="P2432" t="s">
        <v>149</v>
      </c>
      <c r="Q2432" t="str">
        <f t="shared" si="245"/>
        <v>Produtos</v>
      </c>
      <c r="R2432" t="str">
        <f t="shared" si="246"/>
        <v>pasta caramelo Fox 80g</v>
      </c>
      <c r="T2432" s="14">
        <f t="shared" si="247"/>
        <v>18</v>
      </c>
      <c r="U2432" s="14" t="str">
        <f t="shared" si="248"/>
        <v/>
      </c>
      <c r="V2432" s="14"/>
      <c r="W2432" t="str">
        <f>IF(A2432=$A$1707,base!$I$3,IF(A2432=$A$1709,base!$I$2,IF(Receitas!A2432=Receitas!$A$1701,base!$I$4,"")))</f>
        <v>Gustavo de Castro</v>
      </c>
      <c r="X2432" t="str">
        <f t="shared" si="249"/>
        <v>Luciano Teixeira Silva</v>
      </c>
    </row>
    <row r="2433" spans="1:24">
      <c r="A2433" t="s">
        <v>519</v>
      </c>
      <c r="B2433" t="s">
        <v>1046</v>
      </c>
      <c r="C2433" t="s">
        <v>3458</v>
      </c>
      <c r="D2433">
        <v>35</v>
      </c>
      <c r="E2433">
        <v>35</v>
      </c>
      <c r="F2433" t="s">
        <v>3459</v>
      </c>
      <c r="G2433" t="s">
        <v>1</v>
      </c>
      <c r="H2433" t="s">
        <v>2322</v>
      </c>
      <c r="I2433" t="str">
        <f>IF(A2433="","Pacote",IF(B2433=IFERROR(VLOOKUP(B2433,base!$L$1:$L$20,1,0),""),"Produtos",IF(B2433=IFERROR(VLOOKUP(B2433,base!$K$2:$K$20,1,0),""),"Serviços",IF(B2433="Gorjeta","Gorjeta","Combos"))))</f>
        <v>Serviços</v>
      </c>
      <c r="J2433">
        <f t="shared" si="240"/>
        <v>15.75</v>
      </c>
      <c r="K2433" s="1" t="str">
        <f t="shared" si="241"/>
        <v>31/05/2025 15:00</v>
      </c>
      <c r="L2433" s="1">
        <f t="shared" si="242"/>
        <v>45808</v>
      </c>
      <c r="M2433" s="1">
        <f t="shared" si="243"/>
        <v>45808</v>
      </c>
      <c r="N2433" s="1"/>
      <c r="O2433" t="str">
        <f t="shared" si="244"/>
        <v>PIX</v>
      </c>
      <c r="P2433" t="s">
        <v>149</v>
      </c>
      <c r="Q2433" t="str">
        <f t="shared" si="245"/>
        <v>Serviços</v>
      </c>
      <c r="R2433" t="str">
        <f t="shared" si="246"/>
        <v>Barba</v>
      </c>
      <c r="T2433" s="14">
        <f t="shared" si="247"/>
        <v>35</v>
      </c>
      <c r="U2433" s="14">
        <f t="shared" si="248"/>
        <v>35</v>
      </c>
      <c r="V2433" s="14"/>
      <c r="W2433" t="str">
        <f>IF(A2433=$A$1707,base!$I$3,IF(A2433=$A$1709,base!$I$2,IF(Receitas!A2433=Receitas!$A$1701,base!$I$4,"")))</f>
        <v>Gustavo de Castro</v>
      </c>
      <c r="X2433" t="str">
        <f t="shared" si="249"/>
        <v>marcos alexandre</v>
      </c>
    </row>
    <row r="2434" spans="1:24">
      <c r="A2434" t="s">
        <v>536</v>
      </c>
      <c r="B2434" t="s">
        <v>163</v>
      </c>
      <c r="C2434" t="s">
        <v>3460</v>
      </c>
      <c r="D2434">
        <v>35</v>
      </c>
      <c r="E2434">
        <v>35</v>
      </c>
      <c r="F2434" t="s">
        <v>3461</v>
      </c>
      <c r="G2434" t="s">
        <v>1</v>
      </c>
      <c r="H2434" t="s">
        <v>1778</v>
      </c>
      <c r="I2434" t="str">
        <f>IF(A2434="","Pacote",IF(B2434=IFERROR(VLOOKUP(B2434,base!$L$1:$L$20,1,0),""),"Produtos",IF(B2434=IFERROR(VLOOKUP(B2434,base!$K$2:$K$20,1,0),""),"Serviços",IF(B2434="Gorjeta","Gorjeta","Combos"))))</f>
        <v>Serviços</v>
      </c>
      <c r="J2434">
        <f t="shared" si="240"/>
        <v>15.75</v>
      </c>
      <c r="K2434" s="1" t="str">
        <f t="shared" si="241"/>
        <v>31/05/2025 12:25</v>
      </c>
      <c r="L2434" s="1">
        <f t="shared" si="242"/>
        <v>45808</v>
      </c>
      <c r="M2434" s="1">
        <f t="shared" si="243"/>
        <v>45808</v>
      </c>
      <c r="N2434" s="1"/>
      <c r="O2434" t="str">
        <f t="shared" si="244"/>
        <v>PIX</v>
      </c>
      <c r="P2434" t="s">
        <v>149</v>
      </c>
      <c r="Q2434" t="str">
        <f t="shared" si="245"/>
        <v>Serviços</v>
      </c>
      <c r="R2434" t="str">
        <f t="shared" si="246"/>
        <v>Corte</v>
      </c>
      <c r="T2434" s="14">
        <f t="shared" si="247"/>
        <v>35</v>
      </c>
      <c r="U2434" s="14">
        <f t="shared" si="248"/>
        <v>35</v>
      </c>
      <c r="V2434" s="14"/>
      <c r="W2434" t="str">
        <f>IF(A2434=$A$1707,base!$I$3,IF(A2434=$A$1709,base!$I$2,IF(Receitas!A2434=Receitas!$A$1701,base!$I$4,"")))</f>
        <v>PATRICK CARDOSO</v>
      </c>
      <c r="X2434" t="str">
        <f t="shared" si="249"/>
        <v>felipe martins</v>
      </c>
    </row>
    <row r="2435" spans="1:24">
      <c r="A2435" t="s">
        <v>536</v>
      </c>
      <c r="B2435" t="s">
        <v>353</v>
      </c>
      <c r="C2435" t="s">
        <v>3462</v>
      </c>
      <c r="D2435">
        <v>50</v>
      </c>
      <c r="E2435">
        <v>68</v>
      </c>
      <c r="F2435" t="s">
        <v>3449</v>
      </c>
      <c r="G2435" t="s">
        <v>1</v>
      </c>
      <c r="H2435" t="s">
        <v>1499</v>
      </c>
      <c r="I2435" t="str">
        <f>IF(A2435="","Pacote",IF(B2435=IFERROR(VLOOKUP(B2435,base!$L$1:$L$20,1,0),""),"Produtos",IF(B2435=IFERROR(VLOOKUP(B2435,base!$K$2:$K$20,1,0),""),"Serviços",IF(B2435="Gorjeta","Gorjeta","Combos"))))</f>
        <v>Combos</v>
      </c>
      <c r="J2435">
        <f t="shared" si="240"/>
        <v>22.5</v>
      </c>
      <c r="K2435" s="1" t="str">
        <f t="shared" si="241"/>
        <v>31/05/2025 14:30</v>
      </c>
      <c r="L2435" s="1">
        <f t="shared" si="242"/>
        <v>45808</v>
      </c>
      <c r="M2435" s="1">
        <f t="shared" si="243"/>
        <v>45808</v>
      </c>
      <c r="N2435" s="1"/>
      <c r="O2435" t="str">
        <f t="shared" si="244"/>
        <v>PIX</v>
      </c>
      <c r="P2435" t="s">
        <v>149</v>
      </c>
      <c r="Q2435" t="str">
        <f t="shared" si="245"/>
        <v>Combos</v>
      </c>
      <c r="R2435" t="str">
        <f t="shared" si="246"/>
        <v>Combo ( Corte + Barba )</v>
      </c>
      <c r="T2435" s="14">
        <f t="shared" si="247"/>
        <v>50</v>
      </c>
      <c r="U2435" s="14">
        <f t="shared" si="248"/>
        <v>68</v>
      </c>
      <c r="V2435" s="14"/>
      <c r="W2435" t="str">
        <f>IF(A2435=$A$1707,base!$I$3,IF(A2435=$A$1709,base!$I$2,IF(Receitas!A2435=Receitas!$A$1701,base!$I$4,"")))</f>
        <v>PATRICK CARDOSO</v>
      </c>
      <c r="X2435" t="str">
        <f t="shared" si="249"/>
        <v>Kelven Moraes</v>
      </c>
    </row>
    <row r="2436" spans="1:24">
      <c r="A2436" t="s">
        <v>536</v>
      </c>
      <c r="B2436" t="s">
        <v>3316</v>
      </c>
      <c r="C2436" t="s">
        <v>3462</v>
      </c>
      <c r="D2436">
        <v>18</v>
      </c>
      <c r="E2436" t="s">
        <v>1604</v>
      </c>
      <c r="F2436" t="s">
        <v>3449</v>
      </c>
      <c r="G2436" t="s">
        <v>1</v>
      </c>
      <c r="H2436" t="s">
        <v>1499</v>
      </c>
      <c r="I2436" t="str">
        <f>IF(A2436="","Pacote",IF(B2436=IFERROR(VLOOKUP(B2436,base!$L$1:$L$20,1,0),""),"Produtos",IF(B2436=IFERROR(VLOOKUP(B2436,base!$K$2:$K$20,1,0),""),"Serviços",IF(B2436="Gorjeta","Gorjeta","Combos"))))</f>
        <v>Produtos</v>
      </c>
      <c r="J2436">
        <f t="shared" si="240"/>
        <v>7.2</v>
      </c>
      <c r="K2436" s="1" t="str">
        <f t="shared" si="241"/>
        <v>31/05/2025 14:30</v>
      </c>
      <c r="L2436" s="1">
        <f t="shared" si="242"/>
        <v>45808</v>
      </c>
      <c r="M2436" s="1">
        <f t="shared" si="243"/>
        <v>45808</v>
      </c>
      <c r="N2436" s="1"/>
      <c r="O2436" t="str">
        <f t="shared" si="244"/>
        <v>PIX</v>
      </c>
      <c r="P2436" t="s">
        <v>149</v>
      </c>
      <c r="Q2436" t="str">
        <f t="shared" si="245"/>
        <v>Produtos</v>
      </c>
      <c r="R2436" t="str">
        <f t="shared" si="246"/>
        <v>pasta caramelo Fox 80g</v>
      </c>
      <c r="T2436" s="14">
        <f t="shared" si="247"/>
        <v>18</v>
      </c>
      <c r="U2436" s="14" t="str">
        <f t="shared" si="248"/>
        <v/>
      </c>
      <c r="V2436" s="14"/>
      <c r="W2436" t="str">
        <f>IF(A2436=$A$1707,base!$I$3,IF(A2436=$A$1709,base!$I$2,IF(Receitas!A2436=Receitas!$A$1701,base!$I$4,"")))</f>
        <v>PATRICK CARDOSO</v>
      </c>
      <c r="X2436" t="str">
        <f t="shared" si="249"/>
        <v>Kelven Moraes</v>
      </c>
    </row>
    <row r="2437" spans="1:24">
      <c r="A2437" t="s">
        <v>519</v>
      </c>
      <c r="B2437" t="s">
        <v>163</v>
      </c>
      <c r="C2437" t="s">
        <v>3463</v>
      </c>
      <c r="D2437">
        <v>35</v>
      </c>
      <c r="E2437">
        <v>35</v>
      </c>
      <c r="F2437" t="s">
        <v>3464</v>
      </c>
      <c r="G2437" t="s">
        <v>1120</v>
      </c>
      <c r="H2437" t="s">
        <v>282</v>
      </c>
      <c r="I2437" t="str">
        <f>IF(A2437="","Pacote",IF(B2437=IFERROR(VLOOKUP(B2437,base!$L$1:$L$20,1,0),""),"Produtos",IF(B2437=IFERROR(VLOOKUP(B2437,base!$K$2:$K$20,1,0),""),"Serviços",IF(B2437="Gorjeta","Gorjeta","Combos"))))</f>
        <v>Serviços</v>
      </c>
      <c r="J2437">
        <f t="shared" si="240"/>
        <v>15.75</v>
      </c>
      <c r="K2437" s="1" t="str">
        <f t="shared" si="241"/>
        <v>31/05/2025 15:30</v>
      </c>
      <c r="L2437" s="1">
        <f t="shared" si="242"/>
        <v>45808</v>
      </c>
      <c r="M2437" s="1">
        <f t="shared" si="243"/>
        <v>45808</v>
      </c>
      <c r="N2437" s="1"/>
      <c r="O2437" t="str">
        <f t="shared" si="244"/>
        <v>PIX  / Dinheiro</v>
      </c>
      <c r="P2437" t="s">
        <v>149</v>
      </c>
      <c r="Q2437" t="str">
        <f t="shared" si="245"/>
        <v>Serviços</v>
      </c>
      <c r="R2437" t="str">
        <f t="shared" si="246"/>
        <v>Corte</v>
      </c>
      <c r="T2437" s="14">
        <f t="shared" si="247"/>
        <v>35</v>
      </c>
      <c r="U2437" s="14">
        <f t="shared" si="248"/>
        <v>35</v>
      </c>
      <c r="V2437" s="14"/>
      <c r="W2437" t="str">
        <f>IF(A2437=$A$1707,base!$I$3,IF(A2437=$A$1709,base!$I$2,IF(Receitas!A2437=Receitas!$A$1701,base!$I$4,"")))</f>
        <v>Gustavo de Castro</v>
      </c>
      <c r="X2437" t="str">
        <f t="shared" si="249"/>
        <v>Eduardo Menndes</v>
      </c>
    </row>
    <row r="2438" spans="1:24">
      <c r="A2438" t="s">
        <v>252</v>
      </c>
      <c r="B2438" t="s">
        <v>1046</v>
      </c>
      <c r="C2438" t="s">
        <v>3465</v>
      </c>
      <c r="D2438">
        <v>35</v>
      </c>
      <c r="E2438">
        <v>35</v>
      </c>
      <c r="F2438" t="s">
        <v>3459</v>
      </c>
      <c r="G2438" t="s">
        <v>310</v>
      </c>
      <c r="H2438" t="s">
        <v>11</v>
      </c>
      <c r="I2438" t="str">
        <f>IF(A2438="","Pacote",IF(B2438=IFERROR(VLOOKUP(B2438,base!$L$1:$L$20,1,0),""),"Produtos",IF(B2438=IFERROR(VLOOKUP(B2438,base!$K$2:$K$20,1,0),""),"Serviços",IF(B2438="Gorjeta","Gorjeta","Combos"))))</f>
        <v>Serviços</v>
      </c>
      <c r="J2438">
        <f t="shared" si="240"/>
        <v>15.75</v>
      </c>
      <c r="K2438" s="1" t="str">
        <f t="shared" si="241"/>
        <v>31/05/2025 15:00</v>
      </c>
      <c r="L2438" s="1">
        <f t="shared" si="242"/>
        <v>45808</v>
      </c>
      <c r="M2438" s="1">
        <f t="shared" si="243"/>
        <v>45808</v>
      </c>
      <c r="N2438" s="1"/>
      <c r="O2438" t="str">
        <f t="shared" si="244"/>
        <v>Cartão de Débito</v>
      </c>
      <c r="P2438" t="s">
        <v>149</v>
      </c>
      <c r="Q2438" t="str">
        <f t="shared" si="245"/>
        <v>Serviços</v>
      </c>
      <c r="R2438" t="str">
        <f t="shared" si="246"/>
        <v>Barba</v>
      </c>
      <c r="T2438" s="14">
        <f t="shared" si="247"/>
        <v>35</v>
      </c>
      <c r="U2438" s="14">
        <f t="shared" si="248"/>
        <v>35</v>
      </c>
      <c r="V2438" s="14"/>
      <c r="W2438" t="str">
        <f>IF(A2438=$A$1707,base!$I$3,IF(A2438=$A$1709,base!$I$2,IF(Receitas!A2438=Receitas!$A$1701,base!$I$4,"")))</f>
        <v>Christian Magon</v>
      </c>
      <c r="X2438" t="str">
        <f t="shared" si="249"/>
        <v>caio miranda</v>
      </c>
    </row>
    <row r="2439" spans="1:24">
      <c r="A2439" t="s">
        <v>252</v>
      </c>
      <c r="B2439" t="s">
        <v>163</v>
      </c>
      <c r="C2439" t="s">
        <v>3466</v>
      </c>
      <c r="D2439">
        <v>35</v>
      </c>
      <c r="E2439">
        <v>55</v>
      </c>
      <c r="F2439" t="s">
        <v>3467</v>
      </c>
      <c r="G2439" t="s">
        <v>1</v>
      </c>
      <c r="H2439" t="s">
        <v>207</v>
      </c>
      <c r="I2439" t="str">
        <f>IF(A2439="","Pacote",IF(B2439=IFERROR(VLOOKUP(B2439,base!$L$1:$L$20,1,0),""),"Produtos",IF(B2439=IFERROR(VLOOKUP(B2439,base!$K$2:$K$20,1,0),""),"Serviços",IF(B2439="Gorjeta","Gorjeta","Combos"))))</f>
        <v>Serviços</v>
      </c>
      <c r="J2439">
        <f t="shared" si="240"/>
        <v>15.75</v>
      </c>
      <c r="K2439" s="1" t="str">
        <f t="shared" si="241"/>
        <v>31/05/2025 14:25</v>
      </c>
      <c r="L2439" s="1">
        <f t="shared" si="242"/>
        <v>45808</v>
      </c>
      <c r="M2439" s="1">
        <f t="shared" si="243"/>
        <v>45808</v>
      </c>
      <c r="N2439" s="1"/>
      <c r="O2439" t="str">
        <f t="shared" si="244"/>
        <v>PIX</v>
      </c>
      <c r="P2439" t="s">
        <v>149</v>
      </c>
      <c r="Q2439" t="str">
        <f t="shared" si="245"/>
        <v>Serviços</v>
      </c>
      <c r="R2439" t="str">
        <f t="shared" si="246"/>
        <v>Corte</v>
      </c>
      <c r="T2439" s="14">
        <f t="shared" si="247"/>
        <v>35</v>
      </c>
      <c r="U2439" s="14">
        <f t="shared" si="248"/>
        <v>55</v>
      </c>
      <c r="V2439" s="14"/>
      <c r="W2439" t="str">
        <f>IF(A2439=$A$1707,base!$I$3,IF(A2439=$A$1709,base!$I$2,IF(Receitas!A2439=Receitas!$A$1701,base!$I$4,"")))</f>
        <v>Christian Magon</v>
      </c>
      <c r="X2439" t="str">
        <f t="shared" si="249"/>
        <v>Luís Eduardo</v>
      </c>
    </row>
    <row r="2440" spans="1:24">
      <c r="A2440" t="s">
        <v>252</v>
      </c>
      <c r="B2440" t="s">
        <v>3362</v>
      </c>
      <c r="C2440" t="s">
        <v>3466</v>
      </c>
      <c r="D2440">
        <v>20</v>
      </c>
      <c r="E2440" t="s">
        <v>1604</v>
      </c>
      <c r="F2440" t="s">
        <v>3467</v>
      </c>
      <c r="G2440" t="s">
        <v>1</v>
      </c>
      <c r="H2440" t="s">
        <v>207</v>
      </c>
      <c r="I2440" t="str">
        <f>IF(A2440="","Pacote",IF(B2440=IFERROR(VLOOKUP(B2440,base!$L$1:$L$20,1,0),""),"Produtos",IF(B2440=IFERROR(VLOOKUP(B2440,base!$K$2:$K$20,1,0),""),"Serviços",IF(B2440="Gorjeta","Gorjeta","Combos"))))</f>
        <v>Serviços</v>
      </c>
      <c r="J2440">
        <f t="shared" si="240"/>
        <v>9</v>
      </c>
      <c r="K2440" s="1" t="str">
        <f t="shared" si="241"/>
        <v>31/05/2025 14:25</v>
      </c>
      <c r="L2440" s="1">
        <f t="shared" si="242"/>
        <v>45808</v>
      </c>
      <c r="M2440" s="1">
        <f t="shared" si="243"/>
        <v>45808</v>
      </c>
      <c r="N2440" s="1"/>
      <c r="O2440" t="str">
        <f t="shared" si="244"/>
        <v>PIX</v>
      </c>
      <c r="P2440" t="s">
        <v>149</v>
      </c>
      <c r="Q2440" t="str">
        <f t="shared" si="245"/>
        <v>Serviços</v>
      </c>
      <c r="R2440" t="str">
        <f t="shared" si="246"/>
        <v>selagem</v>
      </c>
      <c r="T2440" s="14">
        <f t="shared" si="247"/>
        <v>20</v>
      </c>
      <c r="U2440" s="14" t="str">
        <f t="shared" si="248"/>
        <v/>
      </c>
      <c r="V2440" s="14"/>
      <c r="W2440" t="str">
        <f>IF(A2440=$A$1707,base!$I$3,IF(A2440=$A$1709,base!$I$2,IF(Receitas!A2440=Receitas!$A$1701,base!$I$4,"")))</f>
        <v>Christian Magon</v>
      </c>
      <c r="X2440" t="str">
        <f t="shared" si="249"/>
        <v>Luís Eduardo</v>
      </c>
    </row>
    <row r="2441" spans="1:24">
      <c r="A2441" t="s">
        <v>252</v>
      </c>
      <c r="B2441" t="s">
        <v>163</v>
      </c>
      <c r="C2441" t="s">
        <v>3468</v>
      </c>
      <c r="D2441">
        <v>35</v>
      </c>
      <c r="E2441">
        <v>105</v>
      </c>
      <c r="F2441" t="s">
        <v>3469</v>
      </c>
      <c r="G2441" t="s">
        <v>882</v>
      </c>
      <c r="H2441" t="s">
        <v>16</v>
      </c>
      <c r="I2441" t="str">
        <f>IF(A2441="","Pacote",IF(B2441=IFERROR(VLOOKUP(B2441,base!$L$1:$L$20,1,0),""),"Produtos",IF(B2441=IFERROR(VLOOKUP(B2441,base!$K$2:$K$20,1,0),""),"Serviços",IF(B2441="Gorjeta","Gorjeta","Combos"))))</f>
        <v>Serviços</v>
      </c>
      <c r="J2441">
        <f t="shared" si="240"/>
        <v>15.75</v>
      </c>
      <c r="K2441" s="1" t="str">
        <f t="shared" si="241"/>
        <v>31/05/2025 16:00</v>
      </c>
      <c r="L2441" s="1">
        <f t="shared" si="242"/>
        <v>45808</v>
      </c>
      <c r="M2441" s="1">
        <f t="shared" si="243"/>
        <v>45808</v>
      </c>
      <c r="N2441" s="1"/>
      <c r="O2441" t="str">
        <f t="shared" si="244"/>
        <v>Dinheiro  / PIX</v>
      </c>
      <c r="P2441" t="s">
        <v>149</v>
      </c>
      <c r="Q2441" t="str">
        <f t="shared" si="245"/>
        <v>Serviços</v>
      </c>
      <c r="R2441" t="str">
        <f t="shared" si="246"/>
        <v>Corte</v>
      </c>
      <c r="T2441" s="14">
        <f t="shared" si="247"/>
        <v>35</v>
      </c>
      <c r="U2441" s="14">
        <f t="shared" si="248"/>
        <v>105</v>
      </c>
      <c r="V2441" s="14"/>
      <c r="W2441" t="str">
        <f>IF(A2441=$A$1707,base!$I$3,IF(A2441=$A$1709,base!$I$2,IF(Receitas!A2441=Receitas!$A$1701,base!$I$4,"")))</f>
        <v>Christian Magon</v>
      </c>
      <c r="X2441" t="str">
        <f t="shared" si="249"/>
        <v>Luis Carlos paixão</v>
      </c>
    </row>
    <row r="2442" spans="1:24">
      <c r="A2442" t="s">
        <v>519</v>
      </c>
      <c r="B2442" t="s">
        <v>163</v>
      </c>
      <c r="C2442" t="s">
        <v>3468</v>
      </c>
      <c r="D2442">
        <v>35</v>
      </c>
      <c r="E2442" t="s">
        <v>1604</v>
      </c>
      <c r="F2442" t="s">
        <v>3469</v>
      </c>
      <c r="G2442" t="s">
        <v>882</v>
      </c>
      <c r="H2442" t="s">
        <v>16</v>
      </c>
      <c r="I2442" t="str">
        <f>IF(A2442="","Pacote",IF(B2442=IFERROR(VLOOKUP(B2442,base!$L$1:$L$20,1,0),""),"Produtos",IF(B2442=IFERROR(VLOOKUP(B2442,base!$K$2:$K$20,1,0),""),"Serviços",IF(B2442="Gorjeta","Gorjeta","Combos"))))</f>
        <v>Serviços</v>
      </c>
      <c r="J2442">
        <f t="shared" si="240"/>
        <v>15.75</v>
      </c>
      <c r="K2442" s="1" t="str">
        <f t="shared" si="241"/>
        <v>31/05/2025 16:00</v>
      </c>
      <c r="L2442" s="1">
        <f t="shared" si="242"/>
        <v>45808</v>
      </c>
      <c r="M2442" s="1">
        <f t="shared" si="243"/>
        <v>45808</v>
      </c>
      <c r="N2442" s="1"/>
      <c r="O2442" t="str">
        <f t="shared" si="244"/>
        <v>Dinheiro  / PIX</v>
      </c>
      <c r="P2442" t="s">
        <v>149</v>
      </c>
      <c r="Q2442" t="str">
        <f t="shared" si="245"/>
        <v>Serviços</v>
      </c>
      <c r="R2442" t="str">
        <f t="shared" si="246"/>
        <v>Corte</v>
      </c>
      <c r="T2442" s="14">
        <f t="shared" si="247"/>
        <v>35</v>
      </c>
      <c r="U2442" s="14" t="str">
        <f t="shared" si="248"/>
        <v/>
      </c>
      <c r="V2442" s="14"/>
      <c r="W2442" t="str">
        <f>IF(A2442=$A$1707,base!$I$3,IF(A2442=$A$1709,base!$I$2,IF(Receitas!A2442=Receitas!$A$1701,base!$I$4,"")))</f>
        <v>Gustavo de Castro</v>
      </c>
      <c r="X2442" t="str">
        <f t="shared" si="249"/>
        <v>Luis Carlos paixão</v>
      </c>
    </row>
    <row r="2443" spans="1:24">
      <c r="A2443" t="s">
        <v>536</v>
      </c>
      <c r="B2443" t="s">
        <v>163</v>
      </c>
      <c r="C2443" t="s">
        <v>3468</v>
      </c>
      <c r="D2443">
        <v>35</v>
      </c>
      <c r="E2443" t="s">
        <v>1604</v>
      </c>
      <c r="F2443" t="s">
        <v>3469</v>
      </c>
      <c r="G2443" t="s">
        <v>882</v>
      </c>
      <c r="H2443" t="s">
        <v>16</v>
      </c>
      <c r="I2443" t="str">
        <f>IF(A2443="","Pacote",IF(B2443=IFERROR(VLOOKUP(B2443,base!$L$1:$L$20,1,0),""),"Produtos",IF(B2443=IFERROR(VLOOKUP(B2443,base!$K$2:$K$20,1,0),""),"Serviços",IF(B2443="Gorjeta","Gorjeta","Combos"))))</f>
        <v>Serviços</v>
      </c>
      <c r="J2443">
        <f t="shared" si="240"/>
        <v>15.75</v>
      </c>
      <c r="K2443" s="1" t="str">
        <f t="shared" si="241"/>
        <v>31/05/2025 16:00</v>
      </c>
      <c r="L2443" s="1">
        <f t="shared" si="242"/>
        <v>45808</v>
      </c>
      <c r="M2443" s="1">
        <f t="shared" si="243"/>
        <v>45808</v>
      </c>
      <c r="N2443" s="1"/>
      <c r="O2443" t="str">
        <f t="shared" si="244"/>
        <v>Dinheiro  / PIX</v>
      </c>
      <c r="P2443" t="s">
        <v>149</v>
      </c>
      <c r="Q2443" t="str">
        <f t="shared" si="245"/>
        <v>Serviços</v>
      </c>
      <c r="R2443" t="str">
        <f t="shared" si="246"/>
        <v>Corte</v>
      </c>
      <c r="T2443" s="14">
        <f t="shared" si="247"/>
        <v>35</v>
      </c>
      <c r="U2443" s="14" t="str">
        <f t="shared" si="248"/>
        <v/>
      </c>
      <c r="V2443" s="14"/>
      <c r="W2443" t="str">
        <f>IF(A2443=$A$1707,base!$I$3,IF(A2443=$A$1709,base!$I$2,IF(Receitas!A2443=Receitas!$A$1701,base!$I$4,"")))</f>
        <v>PATRICK CARDOSO</v>
      </c>
      <c r="X2443" t="str">
        <f t="shared" si="249"/>
        <v>Luis Carlos paixão</v>
      </c>
    </row>
    <row r="2444" spans="1:24">
      <c r="A2444" t="s">
        <v>536</v>
      </c>
      <c r="B2444" t="s">
        <v>163</v>
      </c>
      <c r="C2444" t="s">
        <v>3470</v>
      </c>
      <c r="D2444">
        <v>35</v>
      </c>
      <c r="E2444">
        <v>70</v>
      </c>
      <c r="F2444" t="s">
        <v>3471</v>
      </c>
      <c r="G2444" t="s">
        <v>1</v>
      </c>
      <c r="H2444" t="s">
        <v>213</v>
      </c>
      <c r="I2444" t="str">
        <f>IF(A2444="","Pacote",IF(B2444=IFERROR(VLOOKUP(B2444,base!$L$1:$L$20,1,0),""),"Produtos",IF(B2444=IFERROR(VLOOKUP(B2444,base!$K$2:$K$20,1,0),""),"Serviços",IF(B2444="Gorjeta","Gorjeta","Combos"))))</f>
        <v>Serviços</v>
      </c>
      <c r="J2444">
        <f t="shared" si="240"/>
        <v>15.75</v>
      </c>
      <c r="K2444" s="1" t="str">
        <f t="shared" si="241"/>
        <v>31/05/2025 15:45</v>
      </c>
      <c r="L2444" s="1">
        <f t="shared" si="242"/>
        <v>45808</v>
      </c>
      <c r="M2444" s="1">
        <f t="shared" si="243"/>
        <v>45808</v>
      </c>
      <c r="N2444" s="1"/>
      <c r="O2444" t="str">
        <f t="shared" si="244"/>
        <v>PIX</v>
      </c>
      <c r="P2444" t="s">
        <v>149</v>
      </c>
      <c r="Q2444" t="str">
        <f t="shared" si="245"/>
        <v>Serviços</v>
      </c>
      <c r="R2444" t="str">
        <f t="shared" si="246"/>
        <v>Corte</v>
      </c>
      <c r="T2444" s="14">
        <f t="shared" si="247"/>
        <v>35</v>
      </c>
      <c r="U2444" s="14">
        <f t="shared" si="248"/>
        <v>70</v>
      </c>
      <c r="V2444" s="14"/>
      <c r="W2444" t="str">
        <f>IF(A2444=$A$1707,base!$I$3,IF(A2444=$A$1709,base!$I$2,IF(Receitas!A2444=Receitas!$A$1701,base!$I$4,"")))</f>
        <v>PATRICK CARDOSO</v>
      </c>
      <c r="X2444" t="str">
        <f t="shared" si="249"/>
        <v>Rafael borges</v>
      </c>
    </row>
    <row r="2445" spans="1:24">
      <c r="A2445" t="s">
        <v>252</v>
      </c>
      <c r="B2445" t="s">
        <v>1046</v>
      </c>
      <c r="C2445" t="s">
        <v>3470</v>
      </c>
      <c r="D2445">
        <v>35</v>
      </c>
      <c r="E2445" t="s">
        <v>1604</v>
      </c>
      <c r="F2445" t="s">
        <v>3471</v>
      </c>
      <c r="G2445" t="s">
        <v>1</v>
      </c>
      <c r="H2445" t="s">
        <v>213</v>
      </c>
      <c r="I2445" t="str">
        <f>IF(A2445="","Pacote",IF(B2445=IFERROR(VLOOKUP(B2445,base!$L$1:$L$20,1,0),""),"Produtos",IF(B2445=IFERROR(VLOOKUP(B2445,base!$K$2:$K$20,1,0),""),"Serviços",IF(B2445="Gorjeta","Gorjeta","Combos"))))</f>
        <v>Serviços</v>
      </c>
      <c r="J2445">
        <f t="shared" si="240"/>
        <v>15.75</v>
      </c>
      <c r="K2445" s="1" t="str">
        <f t="shared" si="241"/>
        <v>31/05/2025 15:45</v>
      </c>
      <c r="L2445" s="1">
        <f t="shared" si="242"/>
        <v>45808</v>
      </c>
      <c r="M2445" s="1">
        <f t="shared" si="243"/>
        <v>45808</v>
      </c>
      <c r="N2445" s="1"/>
      <c r="O2445" t="str">
        <f t="shared" si="244"/>
        <v>PIX</v>
      </c>
      <c r="P2445" t="s">
        <v>149</v>
      </c>
      <c r="Q2445" t="str">
        <f t="shared" si="245"/>
        <v>Serviços</v>
      </c>
      <c r="R2445" t="str">
        <f t="shared" si="246"/>
        <v>Barba</v>
      </c>
      <c r="T2445" s="14">
        <f t="shared" si="247"/>
        <v>35</v>
      </c>
      <c r="U2445" s="14" t="str">
        <f t="shared" si="248"/>
        <v/>
      </c>
      <c r="V2445" s="14"/>
      <c r="W2445" t="str">
        <f>IF(A2445=$A$1707,base!$I$3,IF(A2445=$A$1709,base!$I$2,IF(Receitas!A2445=Receitas!$A$1701,base!$I$4,"")))</f>
        <v>Christian Magon</v>
      </c>
      <c r="X2445" t="str">
        <f t="shared" si="249"/>
        <v>Rafael borges</v>
      </c>
    </row>
    <row r="2446" spans="1:24">
      <c r="A2446" t="s">
        <v>536</v>
      </c>
      <c r="B2446" t="s">
        <v>163</v>
      </c>
      <c r="C2446" t="s">
        <v>3472</v>
      </c>
      <c r="D2446">
        <v>20</v>
      </c>
      <c r="E2446">
        <v>20</v>
      </c>
      <c r="F2446" t="s">
        <v>3473</v>
      </c>
      <c r="G2446" t="s">
        <v>2</v>
      </c>
      <c r="H2446" t="s">
        <v>208</v>
      </c>
      <c r="I2446" t="str">
        <f>IF(A2446="","Pacote",IF(B2446=IFERROR(VLOOKUP(B2446,base!$L$1:$L$20,1,0),""),"Produtos",IF(B2446=IFERROR(VLOOKUP(B2446,base!$K$2:$K$20,1,0),""),"Serviços",IF(B2446="Gorjeta","Gorjeta","Combos"))))</f>
        <v>Serviços</v>
      </c>
      <c r="J2446">
        <f t="shared" si="240"/>
        <v>9</v>
      </c>
      <c r="K2446" s="1" t="str">
        <f t="shared" si="241"/>
        <v>31/05/2025 16:45</v>
      </c>
      <c r="L2446" s="1">
        <f t="shared" si="242"/>
        <v>45808</v>
      </c>
      <c r="M2446" s="1">
        <f t="shared" si="243"/>
        <v>45808</v>
      </c>
      <c r="N2446" s="1"/>
      <c r="O2446" t="str">
        <f t="shared" si="244"/>
        <v>Dinheiro</v>
      </c>
      <c r="P2446" t="s">
        <v>149</v>
      </c>
      <c r="Q2446" t="str">
        <f t="shared" si="245"/>
        <v>Serviços</v>
      </c>
      <c r="R2446" t="str">
        <f t="shared" si="246"/>
        <v>Corte</v>
      </c>
      <c r="T2446" s="14">
        <f t="shared" si="247"/>
        <v>20</v>
      </c>
      <c r="U2446" s="14">
        <f t="shared" si="248"/>
        <v>20</v>
      </c>
      <c r="V2446" s="14"/>
      <c r="W2446" t="str">
        <f>IF(A2446=$A$1707,base!$I$3,IF(A2446=$A$1709,base!$I$2,IF(Receitas!A2446=Receitas!$A$1701,base!$I$4,"")))</f>
        <v>PATRICK CARDOSO</v>
      </c>
      <c r="X2446" t="str">
        <f t="shared" si="249"/>
        <v>marcelo</v>
      </c>
    </row>
    <row r="2447" spans="1:24">
      <c r="A2447" t="s">
        <v>519</v>
      </c>
      <c r="B2447" t="s">
        <v>163</v>
      </c>
      <c r="C2447" t="s">
        <v>3474</v>
      </c>
      <c r="D2447">
        <v>35</v>
      </c>
      <c r="E2447">
        <v>35</v>
      </c>
      <c r="F2447" t="s">
        <v>3475</v>
      </c>
      <c r="G2447" t="s">
        <v>1</v>
      </c>
      <c r="H2447" t="s">
        <v>40</v>
      </c>
      <c r="I2447" t="str">
        <f>IF(A2447="","Pacote",IF(B2447=IFERROR(VLOOKUP(B2447,base!$L$1:$L$20,1,0),""),"Produtos",IF(B2447=IFERROR(VLOOKUP(B2447,base!$K$2:$K$20,1,0),""),"Serviços",IF(B2447="Gorjeta","Gorjeta","Combos"))))</f>
        <v>Serviços</v>
      </c>
      <c r="J2447">
        <f t="shared" si="240"/>
        <v>15.75</v>
      </c>
      <c r="K2447" s="1" t="str">
        <f t="shared" si="241"/>
        <v>31/05/2025 18:15</v>
      </c>
      <c r="L2447" s="1">
        <f t="shared" si="242"/>
        <v>45808</v>
      </c>
      <c r="M2447" s="1">
        <f t="shared" si="243"/>
        <v>45808</v>
      </c>
      <c r="N2447" s="1"/>
      <c r="O2447" t="str">
        <f t="shared" si="244"/>
        <v>PIX</v>
      </c>
      <c r="P2447" t="s">
        <v>149</v>
      </c>
      <c r="Q2447" t="str">
        <f t="shared" si="245"/>
        <v>Serviços</v>
      </c>
      <c r="R2447" t="str">
        <f t="shared" si="246"/>
        <v>Corte</v>
      </c>
      <c r="T2447" s="14">
        <f t="shared" si="247"/>
        <v>35</v>
      </c>
      <c r="U2447" s="14">
        <f t="shared" si="248"/>
        <v>35</v>
      </c>
      <c r="V2447" s="14"/>
      <c r="W2447" t="str">
        <f>IF(A2447=$A$1707,base!$I$3,IF(A2447=$A$1709,base!$I$2,IF(Receitas!A2447=Receitas!$A$1701,base!$I$4,"")))</f>
        <v>Gustavo de Castro</v>
      </c>
      <c r="X2447" t="str">
        <f t="shared" si="249"/>
        <v>MARLON DE CASTRO FRANCELINO</v>
      </c>
    </row>
    <row r="2448" spans="1:24">
      <c r="A2448" t="s">
        <v>252</v>
      </c>
      <c r="B2448" t="s">
        <v>163</v>
      </c>
      <c r="C2448" t="s">
        <v>3476</v>
      </c>
      <c r="D2448">
        <v>35</v>
      </c>
      <c r="E2448">
        <v>45</v>
      </c>
      <c r="F2448" t="s">
        <v>3477</v>
      </c>
      <c r="G2448" t="s">
        <v>1</v>
      </c>
      <c r="H2448" t="s">
        <v>2305</v>
      </c>
      <c r="I2448" t="str">
        <f>IF(A2448="","Pacote",IF(B2448=IFERROR(VLOOKUP(B2448,base!$L$1:$L$20,1,0),""),"Produtos",IF(B2448=IFERROR(VLOOKUP(B2448,base!$K$2:$K$20,1,0),""),"Serviços",IF(B2448="Gorjeta","Gorjeta","Combos"))))</f>
        <v>Serviços</v>
      </c>
      <c r="J2448">
        <f t="shared" si="240"/>
        <v>15.75</v>
      </c>
      <c r="K2448" s="1" t="str">
        <f t="shared" si="241"/>
        <v>31/05/2025 18:00</v>
      </c>
      <c r="L2448" s="1">
        <f t="shared" si="242"/>
        <v>45808</v>
      </c>
      <c r="M2448" s="1">
        <f t="shared" si="243"/>
        <v>45808</v>
      </c>
      <c r="N2448" s="1"/>
      <c r="O2448" t="str">
        <f t="shared" si="244"/>
        <v>PIX</v>
      </c>
      <c r="P2448" t="s">
        <v>149</v>
      </c>
      <c r="Q2448" t="str">
        <f t="shared" si="245"/>
        <v>Serviços</v>
      </c>
      <c r="R2448" t="str">
        <f t="shared" si="246"/>
        <v>Corte</v>
      </c>
      <c r="T2448" s="14">
        <f t="shared" si="247"/>
        <v>35</v>
      </c>
      <c r="U2448" s="14">
        <f t="shared" si="248"/>
        <v>45</v>
      </c>
      <c r="V2448" s="14"/>
      <c r="W2448" t="str">
        <f>IF(A2448=$A$1707,base!$I$3,IF(A2448=$A$1709,base!$I$2,IF(Receitas!A2448=Receitas!$A$1701,base!$I$4,"")))</f>
        <v>Christian Magon</v>
      </c>
      <c r="X2448" t="str">
        <f t="shared" si="249"/>
        <v>henrique oliveira</v>
      </c>
    </row>
    <row r="2449" spans="1:24">
      <c r="A2449" t="s">
        <v>252</v>
      </c>
      <c r="B2449" t="s">
        <v>167</v>
      </c>
      <c r="C2449" t="s">
        <v>3476</v>
      </c>
      <c r="D2449">
        <v>10</v>
      </c>
      <c r="E2449" t="s">
        <v>1604</v>
      </c>
      <c r="F2449" t="s">
        <v>3477</v>
      </c>
      <c r="G2449" t="s">
        <v>1</v>
      </c>
      <c r="H2449" t="s">
        <v>2305</v>
      </c>
      <c r="I2449" t="str">
        <f>IF(A2449="","Pacote",IF(B2449=IFERROR(VLOOKUP(B2449,base!$L$1:$L$20,1,0),""),"Produtos",IF(B2449=IFERROR(VLOOKUP(B2449,base!$K$2:$K$20,1,0),""),"Serviços",IF(B2449="Gorjeta","Gorjeta","Combos"))))</f>
        <v>Serviços</v>
      </c>
      <c r="J2449">
        <f t="shared" si="240"/>
        <v>4.5</v>
      </c>
      <c r="K2449" s="1" t="str">
        <f t="shared" si="241"/>
        <v>31/05/2025 18:00</v>
      </c>
      <c r="L2449" s="1">
        <f t="shared" si="242"/>
        <v>45808</v>
      </c>
      <c r="M2449" s="1">
        <f t="shared" si="243"/>
        <v>45808</v>
      </c>
      <c r="N2449" s="1"/>
      <c r="O2449" t="str">
        <f t="shared" si="244"/>
        <v>PIX</v>
      </c>
      <c r="P2449" t="s">
        <v>149</v>
      </c>
      <c r="Q2449" t="str">
        <f t="shared" si="245"/>
        <v>Serviços</v>
      </c>
      <c r="R2449" t="str">
        <f t="shared" si="246"/>
        <v>Sobrancelha</v>
      </c>
      <c r="T2449" s="14">
        <f t="shared" si="247"/>
        <v>10</v>
      </c>
      <c r="U2449" s="14" t="str">
        <f t="shared" si="248"/>
        <v/>
      </c>
      <c r="V2449" s="14"/>
      <c r="W2449" t="str">
        <f>IF(A2449=$A$1707,base!$I$3,IF(A2449=$A$1709,base!$I$2,IF(Receitas!A2449=Receitas!$A$1701,base!$I$4,"")))</f>
        <v>Christian Magon</v>
      </c>
      <c r="X2449" t="str">
        <f t="shared" si="249"/>
        <v>henrique oliveira</v>
      </c>
    </row>
    <row r="2450" spans="1:24">
      <c r="A2450" t="s">
        <v>519</v>
      </c>
      <c r="B2450" t="s">
        <v>2825</v>
      </c>
      <c r="C2450" t="s">
        <v>3478</v>
      </c>
      <c r="D2450">
        <v>20</v>
      </c>
      <c r="E2450">
        <v>70</v>
      </c>
      <c r="F2450" t="s">
        <v>3479</v>
      </c>
      <c r="G2450" t="s">
        <v>310</v>
      </c>
      <c r="H2450" t="s">
        <v>95</v>
      </c>
      <c r="I2450" t="str">
        <f>IF(A2450="","Pacote",IF(B2450=IFERROR(VLOOKUP(B2450,base!$L$1:$L$20,1,0),""),"Produtos",IF(B2450=IFERROR(VLOOKUP(B2450,base!$K$2:$K$20,1,0),""),"Serviços",IF(B2450="Gorjeta","Gorjeta","Combos"))))</f>
        <v>Serviços</v>
      </c>
      <c r="J2450">
        <f t="shared" si="240"/>
        <v>9</v>
      </c>
      <c r="K2450" s="1" t="str">
        <f t="shared" si="241"/>
        <v>31/05/2025 18:10</v>
      </c>
      <c r="L2450" s="1">
        <f t="shared" si="242"/>
        <v>45808</v>
      </c>
      <c r="M2450" s="1">
        <f t="shared" si="243"/>
        <v>45808</v>
      </c>
      <c r="N2450" s="1"/>
      <c r="O2450" t="str">
        <f t="shared" si="244"/>
        <v>Cartão de Débito</v>
      </c>
      <c r="P2450" t="s">
        <v>149</v>
      </c>
      <c r="Q2450" t="str">
        <f t="shared" si="245"/>
        <v>Serviços</v>
      </c>
      <c r="R2450" t="str">
        <f t="shared" si="246"/>
        <v>barboterapia</v>
      </c>
      <c r="T2450" s="14">
        <f t="shared" si="247"/>
        <v>20</v>
      </c>
      <c r="U2450" s="14">
        <f t="shared" si="248"/>
        <v>70</v>
      </c>
      <c r="V2450" s="14"/>
      <c r="W2450" t="str">
        <f>IF(A2450=$A$1707,base!$I$3,IF(A2450=$A$1709,base!$I$2,IF(Receitas!A2450=Receitas!$A$1701,base!$I$4,"")))</f>
        <v>Gustavo de Castro</v>
      </c>
      <c r="X2450" t="str">
        <f t="shared" si="249"/>
        <v>Jefferson Bruno</v>
      </c>
    </row>
    <row r="2451" spans="1:24">
      <c r="A2451" t="s">
        <v>519</v>
      </c>
      <c r="B2451" t="s">
        <v>163</v>
      </c>
      <c r="C2451" t="s">
        <v>3478</v>
      </c>
      <c r="D2451">
        <v>35</v>
      </c>
      <c r="E2451" t="s">
        <v>1604</v>
      </c>
      <c r="F2451" t="s">
        <v>3479</v>
      </c>
      <c r="G2451" t="s">
        <v>310</v>
      </c>
      <c r="H2451" t="s">
        <v>95</v>
      </c>
      <c r="I2451" t="str">
        <f>IF(A2451="","Pacote",IF(B2451=IFERROR(VLOOKUP(B2451,base!$L$1:$L$20,1,0),""),"Produtos",IF(B2451=IFERROR(VLOOKUP(B2451,base!$K$2:$K$20,1,0),""),"Serviços",IF(B2451="Gorjeta","Gorjeta","Combos"))))</f>
        <v>Serviços</v>
      </c>
      <c r="J2451">
        <f t="shared" si="240"/>
        <v>15.75</v>
      </c>
      <c r="K2451" s="1" t="str">
        <f t="shared" si="241"/>
        <v>31/05/2025 18:10</v>
      </c>
      <c r="L2451" s="1">
        <f t="shared" si="242"/>
        <v>45808</v>
      </c>
      <c r="M2451" s="1">
        <f t="shared" si="243"/>
        <v>45808</v>
      </c>
      <c r="N2451" s="1"/>
      <c r="O2451" t="str">
        <f t="shared" si="244"/>
        <v>Cartão de Débito</v>
      </c>
      <c r="P2451" t="s">
        <v>149</v>
      </c>
      <c r="Q2451" t="str">
        <f t="shared" si="245"/>
        <v>Serviços</v>
      </c>
      <c r="R2451" t="str">
        <f t="shared" si="246"/>
        <v>Corte</v>
      </c>
      <c r="T2451" s="14">
        <f t="shared" si="247"/>
        <v>35</v>
      </c>
      <c r="U2451" s="14" t="str">
        <f t="shared" si="248"/>
        <v/>
      </c>
      <c r="V2451" s="14"/>
      <c r="W2451" t="str">
        <f>IF(A2451=$A$1707,base!$I$3,IF(A2451=$A$1709,base!$I$2,IF(Receitas!A2451=Receitas!$A$1701,base!$I$4,"")))</f>
        <v>Gustavo de Castro</v>
      </c>
      <c r="X2451" t="str">
        <f t="shared" si="249"/>
        <v>Jefferson Bruno</v>
      </c>
    </row>
    <row r="2452" spans="1:24">
      <c r="A2452" t="s">
        <v>519</v>
      </c>
      <c r="B2452" t="s">
        <v>1046</v>
      </c>
      <c r="C2452" t="s">
        <v>3478</v>
      </c>
      <c r="D2452">
        <v>15</v>
      </c>
      <c r="E2452" t="s">
        <v>1604</v>
      </c>
      <c r="F2452" t="s">
        <v>3479</v>
      </c>
      <c r="G2452" t="s">
        <v>310</v>
      </c>
      <c r="H2452" t="s">
        <v>95</v>
      </c>
      <c r="I2452" t="str">
        <f>IF(A2452="","Pacote",IF(B2452=IFERROR(VLOOKUP(B2452,base!$L$1:$L$20,1,0),""),"Produtos",IF(B2452=IFERROR(VLOOKUP(B2452,base!$K$2:$K$20,1,0),""),"Serviços",IF(B2452="Gorjeta","Gorjeta","Combos"))))</f>
        <v>Serviços</v>
      </c>
      <c r="J2452">
        <f t="shared" si="240"/>
        <v>6.75</v>
      </c>
      <c r="K2452" s="1" t="str">
        <f t="shared" si="241"/>
        <v>31/05/2025 18:10</v>
      </c>
      <c r="L2452" s="1">
        <f t="shared" si="242"/>
        <v>45808</v>
      </c>
      <c r="M2452" s="1">
        <f t="shared" si="243"/>
        <v>45808</v>
      </c>
      <c r="N2452" s="1"/>
      <c r="O2452" t="str">
        <f t="shared" si="244"/>
        <v>Cartão de Débito</v>
      </c>
      <c r="P2452" t="s">
        <v>149</v>
      </c>
      <c r="Q2452" t="str">
        <f t="shared" si="245"/>
        <v>Serviços</v>
      </c>
      <c r="R2452" t="str">
        <f t="shared" si="246"/>
        <v>Barba</v>
      </c>
      <c r="T2452" s="14">
        <f t="shared" si="247"/>
        <v>15</v>
      </c>
      <c r="U2452" s="14" t="str">
        <f t="shared" si="248"/>
        <v/>
      </c>
      <c r="V2452" s="14"/>
      <c r="W2452" t="str">
        <f>IF(A2452=$A$1707,base!$I$3,IF(A2452=$A$1709,base!$I$2,IF(Receitas!A2452=Receitas!$A$1701,base!$I$4,"")))</f>
        <v>Gustavo de Castro</v>
      </c>
      <c r="X2452" t="str">
        <f t="shared" si="249"/>
        <v>Jefferson Bruno</v>
      </c>
    </row>
    <row r="2453" spans="1:24">
      <c r="A2453" t="s">
        <v>536</v>
      </c>
      <c r="B2453" t="s">
        <v>163</v>
      </c>
      <c r="C2453" t="s">
        <v>3480</v>
      </c>
      <c r="D2453">
        <v>35</v>
      </c>
      <c r="E2453">
        <v>45</v>
      </c>
      <c r="F2453" t="s">
        <v>3477</v>
      </c>
      <c r="G2453" t="s">
        <v>310</v>
      </c>
      <c r="H2453" t="s">
        <v>42</v>
      </c>
      <c r="I2453" t="str">
        <f>IF(A2453="","Pacote",IF(B2453=IFERROR(VLOOKUP(B2453,base!$L$1:$L$20,1,0),""),"Produtos",IF(B2453=IFERROR(VLOOKUP(B2453,base!$K$2:$K$20,1,0),""),"Serviços",IF(B2453="Gorjeta","Gorjeta","Combos"))))</f>
        <v>Serviços</v>
      </c>
      <c r="J2453">
        <f t="shared" si="240"/>
        <v>15.75</v>
      </c>
      <c r="K2453" s="1" t="str">
        <f t="shared" si="241"/>
        <v>31/05/2025 18:00</v>
      </c>
      <c r="L2453" s="1">
        <f t="shared" si="242"/>
        <v>45808</v>
      </c>
      <c r="M2453" s="1">
        <f t="shared" si="243"/>
        <v>45808</v>
      </c>
      <c r="N2453" s="1"/>
      <c r="O2453" t="str">
        <f t="shared" si="244"/>
        <v>Cartão de Débito</v>
      </c>
      <c r="P2453" t="s">
        <v>149</v>
      </c>
      <c r="Q2453" t="str">
        <f t="shared" si="245"/>
        <v>Serviços</v>
      </c>
      <c r="R2453" t="str">
        <f t="shared" si="246"/>
        <v>Corte</v>
      </c>
      <c r="T2453" s="14">
        <f t="shared" si="247"/>
        <v>35</v>
      </c>
      <c r="U2453" s="14">
        <f t="shared" si="248"/>
        <v>45</v>
      </c>
      <c r="V2453" s="14"/>
      <c r="W2453" t="str">
        <f>IF(A2453=$A$1707,base!$I$3,IF(A2453=$A$1709,base!$I$2,IF(Receitas!A2453=Receitas!$A$1701,base!$I$4,"")))</f>
        <v>PATRICK CARDOSO</v>
      </c>
      <c r="X2453" t="str">
        <f t="shared" si="249"/>
        <v>Kaua ataide da silva</v>
      </c>
    </row>
    <row r="2454" spans="1:24">
      <c r="A2454" t="s">
        <v>536</v>
      </c>
      <c r="B2454" t="s">
        <v>167</v>
      </c>
      <c r="C2454" t="s">
        <v>3480</v>
      </c>
      <c r="D2454">
        <v>10</v>
      </c>
      <c r="E2454" t="s">
        <v>1604</v>
      </c>
      <c r="F2454" t="s">
        <v>3477</v>
      </c>
      <c r="G2454" t="s">
        <v>310</v>
      </c>
      <c r="H2454" t="s">
        <v>42</v>
      </c>
      <c r="I2454" t="str">
        <f>IF(A2454="","Pacote",IF(B2454=IFERROR(VLOOKUP(B2454,base!$L$1:$L$20,1,0),""),"Produtos",IF(B2454=IFERROR(VLOOKUP(B2454,base!$K$2:$K$20,1,0),""),"Serviços",IF(B2454="Gorjeta","Gorjeta","Combos"))))</f>
        <v>Serviços</v>
      </c>
      <c r="J2454">
        <f t="shared" si="240"/>
        <v>4.5</v>
      </c>
      <c r="K2454" s="1" t="str">
        <f t="shared" si="241"/>
        <v>31/05/2025 18:00</v>
      </c>
      <c r="L2454" s="1">
        <f t="shared" si="242"/>
        <v>45808</v>
      </c>
      <c r="M2454" s="1">
        <f t="shared" si="243"/>
        <v>45808</v>
      </c>
      <c r="N2454" s="1"/>
      <c r="O2454" t="str">
        <f t="shared" si="244"/>
        <v>Cartão de Débito</v>
      </c>
      <c r="P2454" t="s">
        <v>149</v>
      </c>
      <c r="Q2454" t="str">
        <f t="shared" si="245"/>
        <v>Serviços</v>
      </c>
      <c r="R2454" t="str">
        <f t="shared" si="246"/>
        <v>Sobrancelha</v>
      </c>
      <c r="T2454" s="14">
        <f t="shared" si="247"/>
        <v>10</v>
      </c>
      <c r="U2454" s="14" t="str">
        <f t="shared" si="248"/>
        <v/>
      </c>
      <c r="V2454" s="14"/>
      <c r="W2454" t="str">
        <f>IF(A2454=$A$1707,base!$I$3,IF(A2454=$A$1709,base!$I$2,IF(Receitas!A2454=Receitas!$A$1701,base!$I$4,"")))</f>
        <v>PATRICK CARDOSO</v>
      </c>
      <c r="X2454" t="str">
        <f t="shared" si="249"/>
        <v>Kaua ataide da silva</v>
      </c>
    </row>
    <row r="2455" spans="1:24" s="25" customFormat="1">
      <c r="A2455" s="25" t="s">
        <v>252</v>
      </c>
      <c r="B2455" s="25" t="s">
        <v>163</v>
      </c>
      <c r="C2455" s="25" t="s">
        <v>3481</v>
      </c>
      <c r="D2455" s="25">
        <v>35</v>
      </c>
      <c r="E2455" s="25">
        <v>35</v>
      </c>
      <c r="F2455" s="25" t="s">
        <v>3482</v>
      </c>
      <c r="G2455" s="25" t="s">
        <v>1</v>
      </c>
      <c r="H2455" s="25" t="s">
        <v>3483</v>
      </c>
      <c r="I2455" s="25" t="str">
        <f>IF(A2455="","Pacote",IF(B2455=IFERROR(VLOOKUP(B2455,base!$L$1:$L$20,1,0),""),"Produtos",IF(B2455=IFERROR(VLOOKUP(B2455,base!$K$2:$K$20,1,0),""),"Serviços",IF(B2455="Gorjeta","Gorjeta","Combos"))))</f>
        <v>Serviços</v>
      </c>
      <c r="J2455" s="25">
        <f t="shared" si="240"/>
        <v>15.75</v>
      </c>
      <c r="K2455" s="50" t="str">
        <f t="shared" si="241"/>
        <v>31/05/2025 19:00</v>
      </c>
      <c r="L2455" s="50">
        <f t="shared" si="242"/>
        <v>45808</v>
      </c>
      <c r="M2455" s="50">
        <f t="shared" si="243"/>
        <v>45808</v>
      </c>
      <c r="N2455" s="50"/>
      <c r="O2455" s="25" t="str">
        <f t="shared" si="244"/>
        <v>PIX</v>
      </c>
      <c r="P2455" s="25" t="s">
        <v>149</v>
      </c>
      <c r="Q2455" s="25" t="str">
        <f t="shared" si="245"/>
        <v>Serviços</v>
      </c>
      <c r="R2455" s="25" t="str">
        <f t="shared" si="246"/>
        <v>Corte</v>
      </c>
      <c r="T2455" s="26">
        <f t="shared" si="247"/>
        <v>35</v>
      </c>
      <c r="U2455" s="26">
        <f t="shared" si="248"/>
        <v>35</v>
      </c>
      <c r="V2455" s="26"/>
      <c r="W2455" s="25" t="str">
        <f>IF(A2455=$A$1707,base!$I$3,IF(A2455=$A$1709,base!$I$2,IF(Receitas!A2455=Receitas!$A$1701,base!$I$4,"")))</f>
        <v>Christian Magon</v>
      </c>
      <c r="X2455" s="25" t="str">
        <f t="shared" si="249"/>
        <v>ramon carvalho</v>
      </c>
    </row>
    <row r="2456" spans="1:24">
      <c r="A2456" s="79" t="s">
        <v>519</v>
      </c>
      <c r="B2456" s="79" t="s">
        <v>1046</v>
      </c>
      <c r="C2456" s="79" t="s">
        <v>3490</v>
      </c>
      <c r="D2456" s="69">
        <v>35</v>
      </c>
      <c r="E2456" s="69">
        <v>70</v>
      </c>
      <c r="F2456" s="79" t="s">
        <v>3491</v>
      </c>
      <c r="G2456" s="79" t="s">
        <v>882</v>
      </c>
      <c r="H2456" s="79" t="s">
        <v>3141</v>
      </c>
      <c r="I2456" t="str">
        <f>IF(A2456="","Pacote",IF(B2456=IFERROR(VLOOKUP(B2456,base!$L$1:$L$20,1,0),""),"Produtos",IF(B2456=IFERROR(VLOOKUP(B2456,base!$K$2:$K$20,1,0),""),"Serviços",IF(B2456="Gorjeta","Gorjeta","Combos"))))</f>
        <v>Serviços</v>
      </c>
      <c r="J2456">
        <f t="shared" ref="J2456:J2468" si="250">IF(AND(I2456="Serviços",E2456&gt;0),ROUND(D2456*45%,2),IF(I2456="Produtos",ROUND(D2456*40%,2),D2456*45%))</f>
        <v>15.75</v>
      </c>
      <c r="K2456" s="1" t="str">
        <f t="shared" ref="K2456:K2468" si="251">F2456</f>
        <v>02/06/2025 11:45</v>
      </c>
      <c r="L2456" s="1">
        <f t="shared" ref="L2456:L2468" si="252">DATEVALUE(K2456)</f>
        <v>45810</v>
      </c>
      <c r="M2456" s="1">
        <f t="shared" ref="M2456:M2468" si="253">DATEVALUE(K2456)</f>
        <v>45810</v>
      </c>
      <c r="N2456" s="1"/>
      <c r="O2456" t="str">
        <f t="shared" ref="O2456:O2468" si="254">G2456</f>
        <v>Dinheiro  / PIX</v>
      </c>
      <c r="P2456" t="s">
        <v>149</v>
      </c>
      <c r="Q2456" t="str">
        <f t="shared" ref="Q2456:Q2468" si="255">I2456</f>
        <v>Serviços</v>
      </c>
      <c r="R2456" t="str">
        <f t="shared" ref="R2456:R2468" si="256">B2456</f>
        <v>Barba</v>
      </c>
      <c r="T2456" s="14">
        <f t="shared" ref="T2456:T2468" si="257">D2456</f>
        <v>35</v>
      </c>
      <c r="U2456" s="14">
        <f t="shared" ref="U2456:U2468" si="258">E2456</f>
        <v>70</v>
      </c>
      <c r="V2456" s="14"/>
      <c r="W2456" t="str">
        <f>IF(A2456=$A$1707,base!$I$3,IF(A2456=$A$1709,base!$I$2,IF(Receitas!A2456=Receitas!$A$1701,base!$I$4,"")))</f>
        <v>Gustavo de Castro</v>
      </c>
      <c r="X2456" t="str">
        <f t="shared" ref="X2456:X2468" si="259">H2456</f>
        <v>mauricio alves</v>
      </c>
    </row>
    <row r="2457" spans="1:24">
      <c r="A2457" s="79" t="s">
        <v>519</v>
      </c>
      <c r="B2457" s="79" t="s">
        <v>163</v>
      </c>
      <c r="C2457" s="79" t="s">
        <v>3490</v>
      </c>
      <c r="D2457" s="69">
        <v>35</v>
      </c>
      <c r="E2457" s="79" t="s">
        <v>1604</v>
      </c>
      <c r="F2457" s="79" t="s">
        <v>3491</v>
      </c>
      <c r="G2457" s="79" t="s">
        <v>882</v>
      </c>
      <c r="H2457" s="79" t="s">
        <v>3141</v>
      </c>
      <c r="I2457" t="str">
        <f>IF(A2457="","Pacote",IF(B2457=IFERROR(VLOOKUP(B2457,base!$L$1:$L$20,1,0),""),"Produtos",IF(B2457=IFERROR(VLOOKUP(B2457,base!$K$2:$K$20,1,0),""),"Serviços",IF(B2457="Gorjeta","Gorjeta","Combos"))))</f>
        <v>Serviços</v>
      </c>
      <c r="J2457">
        <f t="shared" si="250"/>
        <v>15.75</v>
      </c>
      <c r="K2457" s="1" t="str">
        <f t="shared" si="251"/>
        <v>02/06/2025 11:45</v>
      </c>
      <c r="L2457" s="1">
        <f t="shared" si="252"/>
        <v>45810</v>
      </c>
      <c r="M2457" s="1">
        <f t="shared" si="253"/>
        <v>45810</v>
      </c>
      <c r="N2457" s="1"/>
      <c r="O2457" t="str">
        <f t="shared" si="254"/>
        <v>Dinheiro  / PIX</v>
      </c>
      <c r="P2457" t="s">
        <v>149</v>
      </c>
      <c r="Q2457" t="str">
        <f t="shared" si="255"/>
        <v>Serviços</v>
      </c>
      <c r="R2457" t="str">
        <f t="shared" si="256"/>
        <v>Corte</v>
      </c>
      <c r="T2457" s="14">
        <f t="shared" si="257"/>
        <v>35</v>
      </c>
      <c r="U2457" s="14" t="str">
        <f t="shared" si="258"/>
        <v/>
      </c>
      <c r="V2457" s="14"/>
      <c r="W2457" t="str">
        <f>IF(A2457=$A$1707,base!$I$3,IF(A2457=$A$1709,base!$I$2,IF(Receitas!A2457=Receitas!$A$1701,base!$I$4,"")))</f>
        <v>Gustavo de Castro</v>
      </c>
      <c r="X2457" t="str">
        <f t="shared" si="259"/>
        <v>mauricio alves</v>
      </c>
    </row>
    <row r="2458" spans="1:24">
      <c r="A2458" s="79" t="s">
        <v>519</v>
      </c>
      <c r="B2458" s="79" t="s">
        <v>163</v>
      </c>
      <c r="C2458" s="79" t="s">
        <v>3492</v>
      </c>
      <c r="D2458" s="69">
        <v>35</v>
      </c>
      <c r="E2458" s="69">
        <v>35</v>
      </c>
      <c r="F2458" s="79" t="s">
        <v>3491</v>
      </c>
      <c r="G2458" s="79" t="s">
        <v>1</v>
      </c>
      <c r="H2458" s="79" t="s">
        <v>469</v>
      </c>
      <c r="I2458" t="str">
        <f>IF(A2458="","Pacote",IF(B2458=IFERROR(VLOOKUP(B2458,base!$L$1:$L$20,1,0),""),"Produtos",IF(B2458=IFERROR(VLOOKUP(B2458,base!$K$2:$K$20,1,0),""),"Serviços",IF(B2458="Gorjeta","Gorjeta","Combos"))))</f>
        <v>Serviços</v>
      </c>
      <c r="J2458">
        <f t="shared" si="250"/>
        <v>15.75</v>
      </c>
      <c r="K2458" s="1" t="str">
        <f t="shared" si="251"/>
        <v>02/06/2025 11:45</v>
      </c>
      <c r="L2458" s="1">
        <f t="shared" si="252"/>
        <v>45810</v>
      </c>
      <c r="M2458" s="1">
        <f t="shared" si="253"/>
        <v>45810</v>
      </c>
      <c r="N2458" s="1"/>
      <c r="O2458" t="str">
        <f t="shared" si="254"/>
        <v>PIX</v>
      </c>
      <c r="P2458" t="s">
        <v>149</v>
      </c>
      <c r="Q2458" t="str">
        <f t="shared" si="255"/>
        <v>Serviços</v>
      </c>
      <c r="R2458" t="str">
        <f t="shared" si="256"/>
        <v>Corte</v>
      </c>
      <c r="T2458" s="14">
        <f t="shared" si="257"/>
        <v>35</v>
      </c>
      <c r="U2458" s="14">
        <f t="shared" si="258"/>
        <v>35</v>
      </c>
      <c r="V2458" s="14"/>
      <c r="W2458" t="str">
        <f>IF(A2458=$A$1707,base!$I$3,IF(A2458=$A$1709,base!$I$2,IF(Receitas!A2458=Receitas!$A$1701,base!$I$4,"")))</f>
        <v>Gustavo de Castro</v>
      </c>
      <c r="X2458" t="str">
        <f t="shared" si="259"/>
        <v>andre dantas</v>
      </c>
    </row>
    <row r="2459" spans="1:24">
      <c r="A2459" s="79" t="s">
        <v>519</v>
      </c>
      <c r="B2459" s="79" t="s">
        <v>1046</v>
      </c>
      <c r="C2459" s="79" t="s">
        <v>3493</v>
      </c>
      <c r="D2459" s="69">
        <v>35</v>
      </c>
      <c r="E2459" s="69">
        <v>80</v>
      </c>
      <c r="F2459" s="79" t="s">
        <v>3494</v>
      </c>
      <c r="G2459" s="79" t="s">
        <v>1</v>
      </c>
      <c r="H2459" s="79" t="s">
        <v>2025</v>
      </c>
      <c r="I2459" t="str">
        <f>IF(A2459="","Pacote",IF(B2459=IFERROR(VLOOKUP(B2459,base!$L$1:$L$20,1,0),""),"Produtos",IF(B2459=IFERROR(VLOOKUP(B2459,base!$K$2:$K$20,1,0),""),"Serviços",IF(B2459="Gorjeta","Gorjeta","Combos"))))</f>
        <v>Serviços</v>
      </c>
      <c r="J2459">
        <f t="shared" si="250"/>
        <v>15.75</v>
      </c>
      <c r="K2459" s="1" t="str">
        <f t="shared" si="251"/>
        <v>02/06/2025 16:00</v>
      </c>
      <c r="L2459" s="1">
        <f t="shared" si="252"/>
        <v>45810</v>
      </c>
      <c r="M2459" s="1">
        <f t="shared" si="253"/>
        <v>45810</v>
      </c>
      <c r="N2459" s="1"/>
      <c r="O2459" t="str">
        <f t="shared" si="254"/>
        <v>PIX</v>
      </c>
      <c r="P2459" t="s">
        <v>149</v>
      </c>
      <c r="Q2459" t="str">
        <f t="shared" si="255"/>
        <v>Serviços</v>
      </c>
      <c r="R2459" t="str">
        <f t="shared" si="256"/>
        <v>Barba</v>
      </c>
      <c r="T2459" s="14">
        <f t="shared" si="257"/>
        <v>35</v>
      </c>
      <c r="U2459" s="14">
        <f t="shared" si="258"/>
        <v>80</v>
      </c>
      <c r="V2459" s="14"/>
      <c r="W2459" t="str">
        <f>IF(A2459=$A$1707,base!$I$3,IF(A2459=$A$1709,base!$I$2,IF(Receitas!A2459=Receitas!$A$1701,base!$I$4,"")))</f>
        <v>Gustavo de Castro</v>
      </c>
      <c r="X2459" t="str">
        <f t="shared" si="259"/>
        <v>roney almeida</v>
      </c>
    </row>
    <row r="2460" spans="1:24">
      <c r="A2460" s="79" t="s">
        <v>519</v>
      </c>
      <c r="B2460" s="79" t="s">
        <v>2825</v>
      </c>
      <c r="C2460" s="79" t="s">
        <v>3493</v>
      </c>
      <c r="D2460" s="69">
        <v>10</v>
      </c>
      <c r="E2460" s="79" t="s">
        <v>1604</v>
      </c>
      <c r="F2460" s="79" t="s">
        <v>3494</v>
      </c>
      <c r="G2460" s="79" t="s">
        <v>1</v>
      </c>
      <c r="H2460" s="79" t="s">
        <v>2025</v>
      </c>
      <c r="I2460" t="str">
        <f>IF(A2460="","Pacote",IF(B2460=IFERROR(VLOOKUP(B2460,base!$L$1:$L$20,1,0),""),"Produtos",IF(B2460=IFERROR(VLOOKUP(B2460,base!$K$2:$K$20,1,0),""),"Serviços",IF(B2460="Gorjeta","Gorjeta","Combos"))))</f>
        <v>Serviços</v>
      </c>
      <c r="J2460">
        <f t="shared" si="250"/>
        <v>4.5</v>
      </c>
      <c r="K2460" s="1" t="str">
        <f t="shared" si="251"/>
        <v>02/06/2025 16:00</v>
      </c>
      <c r="L2460" s="1">
        <f t="shared" si="252"/>
        <v>45810</v>
      </c>
      <c r="M2460" s="1">
        <f t="shared" si="253"/>
        <v>45810</v>
      </c>
      <c r="N2460" s="1"/>
      <c r="O2460" t="str">
        <f t="shared" si="254"/>
        <v>PIX</v>
      </c>
      <c r="P2460" t="s">
        <v>149</v>
      </c>
      <c r="Q2460" t="str">
        <f t="shared" si="255"/>
        <v>Serviços</v>
      </c>
      <c r="R2460" t="str">
        <f t="shared" si="256"/>
        <v>barboterapia</v>
      </c>
      <c r="T2460" s="14">
        <f t="shared" si="257"/>
        <v>10</v>
      </c>
      <c r="U2460" s="14" t="str">
        <f t="shared" si="258"/>
        <v/>
      </c>
      <c r="V2460" s="14"/>
      <c r="W2460" t="str">
        <f>IF(A2460=$A$1707,base!$I$3,IF(A2460=$A$1709,base!$I$2,IF(Receitas!A2460=Receitas!$A$1701,base!$I$4,"")))</f>
        <v>Gustavo de Castro</v>
      </c>
      <c r="X2460" t="str">
        <f t="shared" si="259"/>
        <v>roney almeida</v>
      </c>
    </row>
    <row r="2461" spans="1:24">
      <c r="A2461" s="79" t="s">
        <v>519</v>
      </c>
      <c r="B2461" s="79" t="s">
        <v>2731</v>
      </c>
      <c r="C2461" s="79" t="s">
        <v>3493</v>
      </c>
      <c r="D2461" s="69">
        <v>35</v>
      </c>
      <c r="E2461" s="79" t="s">
        <v>1604</v>
      </c>
      <c r="F2461" s="79" t="s">
        <v>3494</v>
      </c>
      <c r="G2461" s="79" t="s">
        <v>1</v>
      </c>
      <c r="H2461" s="79" t="s">
        <v>2025</v>
      </c>
      <c r="I2461" t="str">
        <f>IF(A2461="","Pacote",IF(B2461=IFERROR(VLOOKUP(B2461,base!$L$1:$L$20,1,0),""),"Produtos",IF(B2461=IFERROR(VLOOKUP(B2461,base!$K$2:$K$20,1,0),""),"Serviços",IF(B2461="Gorjeta","Gorjeta","Combos"))))</f>
        <v>Produtos</v>
      </c>
      <c r="J2461">
        <f t="shared" si="250"/>
        <v>14</v>
      </c>
      <c r="K2461" s="1" t="str">
        <f t="shared" si="251"/>
        <v>02/06/2025 16:00</v>
      </c>
      <c r="L2461" s="1">
        <f t="shared" si="252"/>
        <v>45810</v>
      </c>
      <c r="M2461" s="1">
        <f t="shared" si="253"/>
        <v>45810</v>
      </c>
      <c r="N2461" s="1"/>
      <c r="O2461" t="str">
        <f t="shared" si="254"/>
        <v>PIX</v>
      </c>
      <c r="P2461" t="s">
        <v>149</v>
      </c>
      <c r="Q2461" t="str">
        <f t="shared" si="255"/>
        <v>Produtos</v>
      </c>
      <c r="R2461" t="str">
        <f t="shared" si="256"/>
        <v>shampoo anti caspa</v>
      </c>
      <c r="T2461" s="14">
        <f t="shared" si="257"/>
        <v>35</v>
      </c>
      <c r="U2461" s="14" t="str">
        <f t="shared" si="258"/>
        <v/>
      </c>
      <c r="V2461" s="14"/>
      <c r="W2461" t="str">
        <f>IF(A2461=$A$1707,base!$I$3,IF(A2461=$A$1709,base!$I$2,IF(Receitas!A2461=Receitas!$A$1701,base!$I$4,"")))</f>
        <v>Gustavo de Castro</v>
      </c>
      <c r="X2461" t="str">
        <f t="shared" si="259"/>
        <v>roney almeida</v>
      </c>
    </row>
    <row r="2462" spans="1:24">
      <c r="A2462" s="79" t="s">
        <v>519</v>
      </c>
      <c r="B2462" s="79" t="s">
        <v>163</v>
      </c>
      <c r="C2462" s="79" t="s">
        <v>3495</v>
      </c>
      <c r="D2462" s="69">
        <v>35</v>
      </c>
      <c r="E2462" s="69">
        <v>53</v>
      </c>
      <c r="F2462" s="79" t="s">
        <v>3496</v>
      </c>
      <c r="G2462" s="79" t="s">
        <v>1</v>
      </c>
      <c r="H2462" s="79" t="s">
        <v>2060</v>
      </c>
      <c r="I2462" t="str">
        <f>IF(A2462="","Pacote",IF(B2462=IFERROR(VLOOKUP(B2462,base!$L$1:$L$20,1,0),""),"Produtos",IF(B2462=IFERROR(VLOOKUP(B2462,base!$K$2:$K$20,1,0),""),"Serviços",IF(B2462="Gorjeta","Gorjeta","Combos"))))</f>
        <v>Serviços</v>
      </c>
      <c r="J2462">
        <f t="shared" si="250"/>
        <v>15.75</v>
      </c>
      <c r="K2462" s="1" t="str">
        <f t="shared" si="251"/>
        <v>02/06/2025 13:45</v>
      </c>
      <c r="L2462" s="1">
        <f t="shared" si="252"/>
        <v>45810</v>
      </c>
      <c r="M2462" s="1">
        <f t="shared" si="253"/>
        <v>45810</v>
      </c>
      <c r="N2462" s="1"/>
      <c r="O2462" t="str">
        <f t="shared" si="254"/>
        <v>PIX</v>
      </c>
      <c r="P2462" t="s">
        <v>149</v>
      </c>
      <c r="Q2462" t="str">
        <f t="shared" si="255"/>
        <v>Serviços</v>
      </c>
      <c r="R2462" t="str">
        <f t="shared" si="256"/>
        <v>Corte</v>
      </c>
      <c r="T2462" s="14">
        <f t="shared" si="257"/>
        <v>35</v>
      </c>
      <c r="U2462" s="14">
        <f t="shared" si="258"/>
        <v>53</v>
      </c>
      <c r="V2462" s="14"/>
      <c r="W2462" t="str">
        <f>IF(A2462=$A$1707,base!$I$3,IF(A2462=$A$1709,base!$I$2,IF(Receitas!A2462=Receitas!$A$1701,base!$I$4,"")))</f>
        <v>Gustavo de Castro</v>
      </c>
      <c r="X2462" t="str">
        <f t="shared" si="259"/>
        <v>Gabriel</v>
      </c>
    </row>
    <row r="2463" spans="1:24">
      <c r="A2463" s="79" t="s">
        <v>519</v>
      </c>
      <c r="B2463" s="79" t="s">
        <v>3316</v>
      </c>
      <c r="C2463" s="79" t="s">
        <v>3495</v>
      </c>
      <c r="D2463" s="69">
        <v>18</v>
      </c>
      <c r="E2463" s="79" t="s">
        <v>1604</v>
      </c>
      <c r="F2463" s="79" t="s">
        <v>3496</v>
      </c>
      <c r="G2463" s="79" t="s">
        <v>1</v>
      </c>
      <c r="H2463" s="79" t="s">
        <v>2060</v>
      </c>
      <c r="I2463" t="str">
        <f>IF(A2463="","Pacote",IF(B2463=IFERROR(VLOOKUP(B2463,base!$L$1:$L$20,1,0),""),"Produtos",IF(B2463=IFERROR(VLOOKUP(B2463,base!$K$2:$K$20,1,0),""),"Serviços",IF(B2463="Gorjeta","Gorjeta","Combos"))))</f>
        <v>Produtos</v>
      </c>
      <c r="J2463">
        <f t="shared" si="250"/>
        <v>7.2</v>
      </c>
      <c r="K2463" s="1" t="str">
        <f t="shared" si="251"/>
        <v>02/06/2025 13:45</v>
      </c>
      <c r="L2463" s="1">
        <f t="shared" si="252"/>
        <v>45810</v>
      </c>
      <c r="M2463" s="1">
        <f t="shared" si="253"/>
        <v>45810</v>
      </c>
      <c r="N2463" s="1"/>
      <c r="O2463" t="str">
        <f t="shared" si="254"/>
        <v>PIX</v>
      </c>
      <c r="P2463" t="s">
        <v>149</v>
      </c>
      <c r="Q2463" t="str">
        <f t="shared" si="255"/>
        <v>Produtos</v>
      </c>
      <c r="R2463" t="str">
        <f t="shared" si="256"/>
        <v>pasta caramelo Fox 80g</v>
      </c>
      <c r="T2463" s="14">
        <f t="shared" si="257"/>
        <v>18</v>
      </c>
      <c r="U2463" s="14" t="str">
        <f t="shared" si="258"/>
        <v/>
      </c>
      <c r="V2463" s="14"/>
      <c r="W2463" t="str">
        <f>IF(A2463=$A$1707,base!$I$3,IF(A2463=$A$1709,base!$I$2,IF(Receitas!A2463=Receitas!$A$1701,base!$I$4,"")))</f>
        <v>Gustavo de Castro</v>
      </c>
      <c r="X2463" t="str">
        <f t="shared" si="259"/>
        <v>Gabriel</v>
      </c>
    </row>
    <row r="2464" spans="1:24">
      <c r="A2464" s="79" t="s">
        <v>519</v>
      </c>
      <c r="B2464" s="79" t="s">
        <v>163</v>
      </c>
      <c r="C2464" s="79" t="s">
        <v>3497</v>
      </c>
      <c r="D2464" s="69">
        <v>35</v>
      </c>
      <c r="E2464" s="69">
        <v>53</v>
      </c>
      <c r="F2464" s="79" t="s">
        <v>3498</v>
      </c>
      <c r="G2464" s="79" t="s">
        <v>1</v>
      </c>
      <c r="H2464" s="79" t="s">
        <v>3414</v>
      </c>
      <c r="I2464" t="str">
        <f>IF(A2464="","Pacote",IF(B2464=IFERROR(VLOOKUP(B2464,base!$L$1:$L$20,1,0),""),"Produtos",IF(B2464=IFERROR(VLOOKUP(B2464,base!$K$2:$K$20,1,0),""),"Serviços",IF(B2464="Gorjeta","Gorjeta","Combos"))))</f>
        <v>Serviços</v>
      </c>
      <c r="J2464">
        <f t="shared" si="250"/>
        <v>15.75</v>
      </c>
      <c r="K2464" s="1" t="str">
        <f t="shared" si="251"/>
        <v>02/06/2025 15:00</v>
      </c>
      <c r="L2464" s="1">
        <f t="shared" si="252"/>
        <v>45810</v>
      </c>
      <c r="M2464" s="1">
        <f t="shared" si="253"/>
        <v>45810</v>
      </c>
      <c r="N2464" s="1"/>
      <c r="O2464" t="str">
        <f t="shared" si="254"/>
        <v>PIX</v>
      </c>
      <c r="P2464" t="s">
        <v>149</v>
      </c>
      <c r="Q2464" t="str">
        <f t="shared" si="255"/>
        <v>Serviços</v>
      </c>
      <c r="R2464" t="str">
        <f t="shared" si="256"/>
        <v>Corte</v>
      </c>
      <c r="T2464" s="14">
        <f t="shared" si="257"/>
        <v>35</v>
      </c>
      <c r="U2464" s="14">
        <f t="shared" si="258"/>
        <v>53</v>
      </c>
      <c r="V2464" s="14"/>
      <c r="W2464" t="str">
        <f>IF(A2464=$A$1707,base!$I$3,IF(A2464=$A$1709,base!$I$2,IF(Receitas!A2464=Receitas!$A$1701,base!$I$4,"")))</f>
        <v>Gustavo de Castro</v>
      </c>
      <c r="X2464" t="str">
        <f t="shared" si="259"/>
        <v>carlos eduardo</v>
      </c>
    </row>
    <row r="2465" spans="1:24">
      <c r="A2465" s="79" t="s">
        <v>519</v>
      </c>
      <c r="B2465" s="79" t="s">
        <v>3316</v>
      </c>
      <c r="C2465" s="79" t="s">
        <v>3497</v>
      </c>
      <c r="D2465" s="69">
        <v>18</v>
      </c>
      <c r="E2465" s="79" t="s">
        <v>1604</v>
      </c>
      <c r="F2465" s="79" t="s">
        <v>3498</v>
      </c>
      <c r="G2465" s="79" t="s">
        <v>1</v>
      </c>
      <c r="H2465" s="79" t="s">
        <v>3414</v>
      </c>
      <c r="I2465" t="str">
        <f>IF(A2465="","Pacote",IF(B2465=IFERROR(VLOOKUP(B2465,base!$L$1:$L$20,1,0),""),"Produtos",IF(B2465=IFERROR(VLOOKUP(B2465,base!$K$2:$K$20,1,0),""),"Serviços",IF(B2465="Gorjeta","Gorjeta","Combos"))))</f>
        <v>Produtos</v>
      </c>
      <c r="J2465">
        <f t="shared" si="250"/>
        <v>7.2</v>
      </c>
      <c r="K2465" s="1" t="str">
        <f t="shared" si="251"/>
        <v>02/06/2025 15:00</v>
      </c>
      <c r="L2465" s="1">
        <f t="shared" si="252"/>
        <v>45810</v>
      </c>
      <c r="M2465" s="1">
        <f t="shared" si="253"/>
        <v>45810</v>
      </c>
      <c r="N2465" s="1"/>
      <c r="O2465" t="str">
        <f t="shared" si="254"/>
        <v>PIX</v>
      </c>
      <c r="P2465" t="s">
        <v>149</v>
      </c>
      <c r="Q2465" t="str">
        <f t="shared" si="255"/>
        <v>Produtos</v>
      </c>
      <c r="R2465" t="str">
        <f t="shared" si="256"/>
        <v>pasta caramelo Fox 80g</v>
      </c>
      <c r="T2465" s="14">
        <f t="shared" si="257"/>
        <v>18</v>
      </c>
      <c r="U2465" s="14" t="str">
        <f t="shared" si="258"/>
        <v/>
      </c>
      <c r="V2465" s="14"/>
      <c r="W2465" t="str">
        <f>IF(A2465=$A$1707,base!$I$3,IF(A2465=$A$1709,base!$I$2,IF(Receitas!A2465=Receitas!$A$1701,base!$I$4,"")))</f>
        <v>Gustavo de Castro</v>
      </c>
      <c r="X2465" t="str">
        <f t="shared" si="259"/>
        <v>carlos eduardo</v>
      </c>
    </row>
    <row r="2466" spans="1:24">
      <c r="A2466" s="79" t="s">
        <v>519</v>
      </c>
      <c r="B2466" s="79" t="s">
        <v>163</v>
      </c>
      <c r="C2466" s="79" t="s">
        <v>3499</v>
      </c>
      <c r="D2466" s="69">
        <v>35</v>
      </c>
      <c r="E2466" s="69">
        <v>35</v>
      </c>
      <c r="F2466" s="79" t="s">
        <v>3500</v>
      </c>
      <c r="G2466" s="79" t="s">
        <v>1</v>
      </c>
      <c r="H2466" s="79" t="s">
        <v>288</v>
      </c>
      <c r="I2466" t="str">
        <f>IF(A2466="","Pacote",IF(B2466=IFERROR(VLOOKUP(B2466,base!$L$1:$L$20,1,0),""),"Produtos",IF(B2466=IFERROR(VLOOKUP(B2466,base!$K$2:$K$20,1,0),""),"Serviços",IF(B2466="Gorjeta","Gorjeta","Combos"))))</f>
        <v>Serviços</v>
      </c>
      <c r="J2466">
        <f t="shared" si="250"/>
        <v>15.75</v>
      </c>
      <c r="K2466" s="1" t="str">
        <f t="shared" si="251"/>
        <v>02/06/2025 17:15</v>
      </c>
      <c r="L2466" s="1">
        <f t="shared" si="252"/>
        <v>45810</v>
      </c>
      <c r="M2466" s="1">
        <f t="shared" si="253"/>
        <v>45810</v>
      </c>
      <c r="N2466" s="1"/>
      <c r="O2466" t="str">
        <f t="shared" si="254"/>
        <v>PIX</v>
      </c>
      <c r="P2466" t="s">
        <v>149</v>
      </c>
      <c r="Q2466" t="str">
        <f t="shared" si="255"/>
        <v>Serviços</v>
      </c>
      <c r="R2466" t="str">
        <f t="shared" si="256"/>
        <v>Corte</v>
      </c>
      <c r="T2466" s="14">
        <f t="shared" si="257"/>
        <v>35</v>
      </c>
      <c r="U2466" s="14">
        <f t="shared" si="258"/>
        <v>35</v>
      </c>
      <c r="V2466" s="14"/>
      <c r="W2466" t="str">
        <f>IF(A2466=$A$1707,base!$I$3,IF(A2466=$A$1709,base!$I$2,IF(Receitas!A2466=Receitas!$A$1701,base!$I$4,"")))</f>
        <v>Gustavo de Castro</v>
      </c>
      <c r="X2466" t="str">
        <f t="shared" si="259"/>
        <v>Daniel Fernandes Ruas</v>
      </c>
    </row>
    <row r="2467" spans="1:24">
      <c r="A2467" s="79" t="s">
        <v>519</v>
      </c>
      <c r="B2467" s="79" t="s">
        <v>353</v>
      </c>
      <c r="C2467" s="79" t="s">
        <v>3501</v>
      </c>
      <c r="D2467" s="69">
        <v>50</v>
      </c>
      <c r="E2467" s="69">
        <v>50</v>
      </c>
      <c r="F2467" s="79" t="s">
        <v>3503</v>
      </c>
      <c r="G2467" s="79" t="s">
        <v>1</v>
      </c>
      <c r="H2467" s="79" t="s">
        <v>3504</v>
      </c>
      <c r="I2467" t="str">
        <f>IF(A2467="","Pacote",IF(B2467=IFERROR(VLOOKUP(B2467,base!$L$1:$L$20,1,0),""),"Produtos",IF(B2467=IFERROR(VLOOKUP(B2467,base!$K$2:$K$20,1,0),""),"Serviços",IF(B2467="Gorjeta","Gorjeta","Combos"))))</f>
        <v>Combos</v>
      </c>
      <c r="J2467">
        <f t="shared" si="250"/>
        <v>22.5</v>
      </c>
      <c r="K2467" s="1" t="str">
        <f t="shared" si="251"/>
        <v>02/06/2025 17:30</v>
      </c>
      <c r="L2467" s="1">
        <f t="shared" si="252"/>
        <v>45810</v>
      </c>
      <c r="M2467" s="1">
        <f t="shared" si="253"/>
        <v>45810</v>
      </c>
      <c r="N2467" s="1"/>
      <c r="O2467" t="str">
        <f t="shared" si="254"/>
        <v>PIX</v>
      </c>
      <c r="P2467" t="s">
        <v>149</v>
      </c>
      <c r="Q2467" t="str">
        <f t="shared" si="255"/>
        <v>Combos</v>
      </c>
      <c r="R2467" t="str">
        <f t="shared" si="256"/>
        <v>Combo ( Corte + Barba )</v>
      </c>
      <c r="T2467" s="14">
        <f t="shared" si="257"/>
        <v>50</v>
      </c>
      <c r="U2467" s="14">
        <f t="shared" si="258"/>
        <v>50</v>
      </c>
      <c r="V2467" s="14"/>
      <c r="W2467" t="str">
        <f>IF(A2467=$A$1707,base!$I$3,IF(A2467=$A$1709,base!$I$2,IF(Receitas!A2467=Receitas!$A$1701,base!$I$4,"")))</f>
        <v>Gustavo de Castro</v>
      </c>
      <c r="X2467" t="str">
        <f t="shared" si="259"/>
        <v>patrick barbosa</v>
      </c>
    </row>
    <row r="2468" spans="1:24" s="25" customFormat="1">
      <c r="A2468" s="70" t="s">
        <v>519</v>
      </c>
      <c r="B2468" s="70" t="s">
        <v>353</v>
      </c>
      <c r="C2468" s="70" t="s">
        <v>3505</v>
      </c>
      <c r="D2468" s="70" t="s">
        <v>3502</v>
      </c>
      <c r="E2468" s="70" t="s">
        <v>3506</v>
      </c>
      <c r="F2468" s="70" t="s">
        <v>3507</v>
      </c>
      <c r="G2468" s="70" t="s">
        <v>1</v>
      </c>
      <c r="H2468" s="70" t="s">
        <v>1214</v>
      </c>
      <c r="I2468" s="25" t="str">
        <f>IF(A2468="","Pacote",IF(B2468=IFERROR(VLOOKUP(B2468,base!$L$1:$L$20,1,0),""),"Produtos",IF(B2468=IFERROR(VLOOKUP(B2468,base!$K$2:$K$20,1,0),""),"Serviços",IF(B2468="Gorjeta","Gorjeta","Combos"))))</f>
        <v>Combos</v>
      </c>
      <c r="J2468" s="25">
        <f t="shared" si="250"/>
        <v>22.5</v>
      </c>
      <c r="K2468" s="50" t="str">
        <f t="shared" si="251"/>
        <v>02/06/2025 18:55</v>
      </c>
      <c r="L2468" s="50">
        <f t="shared" si="252"/>
        <v>45810</v>
      </c>
      <c r="M2468" s="50">
        <f t="shared" si="253"/>
        <v>45810</v>
      </c>
      <c r="N2468" s="50"/>
      <c r="O2468" s="25" t="str">
        <f t="shared" si="254"/>
        <v>PIX</v>
      </c>
      <c r="P2468" s="25" t="s">
        <v>149</v>
      </c>
      <c r="Q2468" s="25" t="str">
        <f t="shared" si="255"/>
        <v>Combos</v>
      </c>
      <c r="R2468" s="25" t="str">
        <f t="shared" si="256"/>
        <v>Combo ( Corte + Barba )</v>
      </c>
      <c r="T2468" s="26" t="str">
        <f t="shared" si="257"/>
        <v>R$ 50,00</v>
      </c>
      <c r="U2468" s="26" t="str">
        <f t="shared" si="258"/>
        <v>R$ 0,00</v>
      </c>
      <c r="V2468" s="26"/>
      <c r="W2468" s="25" t="str">
        <f>IF(A2468=$A$1707,base!$I$3,IF(A2468=$A$1709,base!$I$2,IF(Receitas!A2468=Receitas!$A$1701,base!$I$4,"")))</f>
        <v>Gustavo de Castro</v>
      </c>
      <c r="X2468" s="25" t="str">
        <f t="shared" si="259"/>
        <v>celso dos santos</v>
      </c>
    </row>
    <row r="2469" spans="1:24">
      <c r="A2469" t="s">
        <v>252</v>
      </c>
      <c r="B2469" t="s">
        <v>163</v>
      </c>
      <c r="C2469" t="s">
        <v>3508</v>
      </c>
      <c r="D2469" s="14">
        <v>35</v>
      </c>
      <c r="E2469" s="14">
        <v>45</v>
      </c>
      <c r="F2469" s="13">
        <v>45811.4375</v>
      </c>
      <c r="G2469" t="s">
        <v>1</v>
      </c>
      <c r="H2469" t="s">
        <v>62</v>
      </c>
      <c r="I2469" t="str">
        <f>IF(A2469="","Pacote",IF(B2469=IFERROR(VLOOKUP(B2469,base!$L$1:$L$20,1,0),""),"Produtos",IF(B2469=IFERROR(VLOOKUP(B2469,base!$K$2:$K$20,1,0),""),"Serviços",IF(B2469="Gorjeta","Gorjeta","Combos"))))</f>
        <v>Serviços</v>
      </c>
      <c r="J2469">
        <f t="shared" ref="J2469:J2496" si="260">IF(AND(I2469="Serviços",E2469&gt;0),ROUND(D2469*45%,2),IF(I2469="Produtos",ROUND(D2469*40%,2),D2469*45%))</f>
        <v>15.75</v>
      </c>
      <c r="K2469" s="1">
        <f t="shared" ref="K2469:K2496" si="261">F2469</f>
        <v>45811.4375</v>
      </c>
      <c r="L2469" s="1">
        <f>K2469</f>
        <v>45811.4375</v>
      </c>
      <c r="M2469" s="1">
        <f>L2469</f>
        <v>45811.4375</v>
      </c>
      <c r="N2469" s="1"/>
      <c r="O2469" t="str">
        <f t="shared" ref="O2469:O2496" si="262">G2469</f>
        <v>PIX</v>
      </c>
      <c r="P2469" t="s">
        <v>149</v>
      </c>
      <c r="Q2469" t="str">
        <f t="shared" ref="Q2469:Q2496" si="263">I2469</f>
        <v>Serviços</v>
      </c>
      <c r="R2469" t="str">
        <f t="shared" ref="R2469:R2496" si="264">B2469</f>
        <v>Corte</v>
      </c>
      <c r="T2469" s="14">
        <f t="shared" ref="T2469:T2496" si="265">D2469</f>
        <v>35</v>
      </c>
      <c r="U2469" s="14">
        <f t="shared" ref="U2469:U2496" si="266">E2469</f>
        <v>45</v>
      </c>
      <c r="V2469" s="14"/>
      <c r="W2469" t="str">
        <f>IF(A2469=$A$1707,base!$I$3,IF(A2469=$A$1709,base!$I$2,IF(Receitas!A2469=Receitas!$A$1701,base!$I$4,"")))</f>
        <v>Christian Magon</v>
      </c>
      <c r="X2469" t="str">
        <f t="shared" ref="X2469:X2496" si="267">H2469</f>
        <v>Bruno Masello</v>
      </c>
    </row>
    <row r="2470" spans="1:24">
      <c r="A2470" t="s">
        <v>252</v>
      </c>
      <c r="B2470" t="s">
        <v>167</v>
      </c>
      <c r="C2470" t="s">
        <v>3508</v>
      </c>
      <c r="D2470" s="14">
        <v>10</v>
      </c>
      <c r="F2470" s="13">
        <v>45811.4375</v>
      </c>
      <c r="G2470" t="s">
        <v>1</v>
      </c>
      <c r="H2470" t="s">
        <v>62</v>
      </c>
      <c r="I2470" t="str">
        <f>IF(A2470="","Pacote",IF(B2470=IFERROR(VLOOKUP(B2470,base!$L$1:$L$20,1,0),""),"Produtos",IF(B2470=IFERROR(VLOOKUP(B2470,base!$K$2:$K$20,1,0),""),"Serviços",IF(B2470="Gorjeta","Gorjeta","Combos"))))</f>
        <v>Serviços</v>
      </c>
      <c r="J2470">
        <f t="shared" si="260"/>
        <v>4.5</v>
      </c>
      <c r="K2470" s="1">
        <f t="shared" si="261"/>
        <v>45811.4375</v>
      </c>
      <c r="L2470" s="1">
        <f t="shared" ref="L2470:M2470" si="268">K2470</f>
        <v>45811.4375</v>
      </c>
      <c r="M2470" s="1">
        <f t="shared" si="268"/>
        <v>45811.4375</v>
      </c>
      <c r="N2470" s="1"/>
      <c r="O2470" t="str">
        <f t="shared" si="262"/>
        <v>PIX</v>
      </c>
      <c r="P2470" t="s">
        <v>149</v>
      </c>
      <c r="Q2470" t="str">
        <f t="shared" si="263"/>
        <v>Serviços</v>
      </c>
      <c r="R2470" t="str">
        <f t="shared" si="264"/>
        <v>Sobrancelha</v>
      </c>
      <c r="T2470" s="14">
        <f t="shared" si="265"/>
        <v>10</v>
      </c>
      <c r="U2470" s="14">
        <f t="shared" si="266"/>
        <v>0</v>
      </c>
      <c r="V2470" s="14"/>
      <c r="W2470" t="str">
        <f>IF(A2470=$A$1707,base!$I$3,IF(A2470=$A$1709,base!$I$2,IF(Receitas!A2470=Receitas!$A$1701,base!$I$4,"")))</f>
        <v>Christian Magon</v>
      </c>
      <c r="X2470" t="str">
        <f t="shared" si="267"/>
        <v>Bruno Masello</v>
      </c>
    </row>
    <row r="2471" spans="1:24">
      <c r="A2471" t="s">
        <v>536</v>
      </c>
      <c r="B2471" t="s">
        <v>2825</v>
      </c>
      <c r="C2471" t="s">
        <v>3509</v>
      </c>
      <c r="D2471" s="14">
        <v>20</v>
      </c>
      <c r="E2471" s="14">
        <v>70</v>
      </c>
      <c r="F2471" s="13">
        <v>45811.427083333336</v>
      </c>
      <c r="G2471" t="s">
        <v>1</v>
      </c>
      <c r="H2471" t="s">
        <v>465</v>
      </c>
      <c r="I2471" t="str">
        <f>IF(A2471="","Pacote",IF(B2471=IFERROR(VLOOKUP(B2471,base!$L$1:$L$20,1,0),""),"Produtos",IF(B2471=IFERROR(VLOOKUP(B2471,base!$K$2:$K$20,1,0),""),"Serviços",IF(B2471="Gorjeta","Gorjeta","Combos"))))</f>
        <v>Serviços</v>
      </c>
      <c r="J2471">
        <f t="shared" si="260"/>
        <v>9</v>
      </c>
      <c r="K2471" s="1">
        <f t="shared" si="261"/>
        <v>45811.427083333336</v>
      </c>
      <c r="L2471" s="1">
        <f t="shared" ref="L2471:M2471" si="269">K2471</f>
        <v>45811.427083333336</v>
      </c>
      <c r="M2471" s="1">
        <f t="shared" si="269"/>
        <v>45811.427083333336</v>
      </c>
      <c r="N2471" s="1"/>
      <c r="O2471" t="str">
        <f t="shared" si="262"/>
        <v>PIX</v>
      </c>
      <c r="P2471" t="s">
        <v>149</v>
      </c>
      <c r="Q2471" t="str">
        <f t="shared" si="263"/>
        <v>Serviços</v>
      </c>
      <c r="R2471" t="str">
        <f t="shared" si="264"/>
        <v>barboterapia</v>
      </c>
      <c r="T2471" s="14">
        <f t="shared" si="265"/>
        <v>20</v>
      </c>
      <c r="U2471" s="14">
        <f t="shared" si="266"/>
        <v>70</v>
      </c>
      <c r="V2471" s="14"/>
      <c r="W2471" t="str">
        <f>IF(A2471=$A$1707,base!$I$3,IF(A2471=$A$1709,base!$I$2,IF(Receitas!A2471=Receitas!$A$1701,base!$I$4,"")))</f>
        <v>PATRICK CARDOSO</v>
      </c>
      <c r="X2471" t="str">
        <f t="shared" si="267"/>
        <v>Pablo Roberto</v>
      </c>
    </row>
    <row r="2472" spans="1:24">
      <c r="A2472" t="s">
        <v>536</v>
      </c>
      <c r="B2472" t="s">
        <v>163</v>
      </c>
      <c r="C2472" t="s">
        <v>3509</v>
      </c>
      <c r="D2472" s="14">
        <v>35</v>
      </c>
      <c r="F2472" s="13">
        <v>45811.427083333336</v>
      </c>
      <c r="G2472" t="s">
        <v>1</v>
      </c>
      <c r="H2472" t="s">
        <v>465</v>
      </c>
      <c r="I2472" t="str">
        <f>IF(A2472="","Pacote",IF(B2472=IFERROR(VLOOKUP(B2472,base!$L$1:$L$20,1,0),""),"Produtos",IF(B2472=IFERROR(VLOOKUP(B2472,base!$K$2:$K$20,1,0),""),"Serviços",IF(B2472="Gorjeta","Gorjeta","Combos"))))</f>
        <v>Serviços</v>
      </c>
      <c r="J2472">
        <f t="shared" si="260"/>
        <v>15.75</v>
      </c>
      <c r="K2472" s="1">
        <f t="shared" si="261"/>
        <v>45811.427083333336</v>
      </c>
      <c r="L2472" s="1">
        <f t="shared" ref="L2472:M2472" si="270">K2472</f>
        <v>45811.427083333336</v>
      </c>
      <c r="M2472" s="1">
        <f t="shared" si="270"/>
        <v>45811.427083333336</v>
      </c>
      <c r="N2472" s="1"/>
      <c r="O2472" t="str">
        <f t="shared" si="262"/>
        <v>PIX</v>
      </c>
      <c r="P2472" t="s">
        <v>149</v>
      </c>
      <c r="Q2472" t="str">
        <f t="shared" si="263"/>
        <v>Serviços</v>
      </c>
      <c r="R2472" t="str">
        <f t="shared" si="264"/>
        <v>Corte</v>
      </c>
      <c r="T2472" s="14">
        <f t="shared" si="265"/>
        <v>35</v>
      </c>
      <c r="U2472" s="14">
        <f t="shared" si="266"/>
        <v>0</v>
      </c>
      <c r="V2472" s="14"/>
      <c r="W2472" t="str">
        <f>IF(A2472=$A$1707,base!$I$3,IF(A2472=$A$1709,base!$I$2,IF(Receitas!A2472=Receitas!$A$1701,base!$I$4,"")))</f>
        <v>PATRICK CARDOSO</v>
      </c>
      <c r="X2472" t="str">
        <f t="shared" si="267"/>
        <v>Pablo Roberto</v>
      </c>
    </row>
    <row r="2473" spans="1:24">
      <c r="A2473" t="s">
        <v>536</v>
      </c>
      <c r="B2473" t="s">
        <v>1046</v>
      </c>
      <c r="C2473" t="s">
        <v>3509</v>
      </c>
      <c r="D2473" s="14">
        <v>15</v>
      </c>
      <c r="F2473" s="13">
        <v>45811.427083333336</v>
      </c>
      <c r="G2473" t="s">
        <v>1</v>
      </c>
      <c r="H2473" t="s">
        <v>465</v>
      </c>
      <c r="I2473" t="str">
        <f>IF(A2473="","Pacote",IF(B2473=IFERROR(VLOOKUP(B2473,base!$L$1:$L$20,1,0),""),"Produtos",IF(B2473=IFERROR(VLOOKUP(B2473,base!$K$2:$K$20,1,0),""),"Serviços",IF(B2473="Gorjeta","Gorjeta","Combos"))))</f>
        <v>Serviços</v>
      </c>
      <c r="J2473">
        <f t="shared" si="260"/>
        <v>6.75</v>
      </c>
      <c r="K2473" s="1">
        <f t="shared" si="261"/>
        <v>45811.427083333336</v>
      </c>
      <c r="L2473" s="1">
        <f t="shared" ref="L2473:M2473" si="271">K2473</f>
        <v>45811.427083333336</v>
      </c>
      <c r="M2473" s="1">
        <f t="shared" si="271"/>
        <v>45811.427083333336</v>
      </c>
      <c r="N2473" s="1"/>
      <c r="O2473" t="str">
        <f t="shared" si="262"/>
        <v>PIX</v>
      </c>
      <c r="P2473" t="s">
        <v>149</v>
      </c>
      <c r="Q2473" t="str">
        <f t="shared" si="263"/>
        <v>Serviços</v>
      </c>
      <c r="R2473" t="str">
        <f t="shared" si="264"/>
        <v>Barba</v>
      </c>
      <c r="T2473" s="14">
        <f t="shared" si="265"/>
        <v>15</v>
      </c>
      <c r="U2473" s="14">
        <f t="shared" si="266"/>
        <v>0</v>
      </c>
      <c r="V2473" s="14"/>
      <c r="W2473" t="str">
        <f>IF(A2473=$A$1707,base!$I$3,IF(A2473=$A$1709,base!$I$2,IF(Receitas!A2473=Receitas!$A$1701,base!$I$4,"")))</f>
        <v>PATRICK CARDOSO</v>
      </c>
      <c r="X2473" t="str">
        <f t="shared" si="267"/>
        <v>Pablo Roberto</v>
      </c>
    </row>
    <row r="2474" spans="1:24">
      <c r="A2474" t="s">
        <v>536</v>
      </c>
      <c r="B2474" t="s">
        <v>2825</v>
      </c>
      <c r="C2474" t="s">
        <v>3510</v>
      </c>
      <c r="D2474" s="14">
        <v>20</v>
      </c>
      <c r="E2474" s="14">
        <v>70</v>
      </c>
      <c r="F2474" s="13">
        <v>45811.604166666664</v>
      </c>
      <c r="G2474" t="s">
        <v>882</v>
      </c>
      <c r="H2474" t="s">
        <v>496</v>
      </c>
      <c r="I2474" t="str">
        <f>IF(A2474="","Pacote",IF(B2474=IFERROR(VLOOKUP(B2474,base!$L$1:$L$20,1,0),""),"Produtos",IF(B2474=IFERROR(VLOOKUP(B2474,base!$K$2:$K$20,1,0),""),"Serviços",IF(B2474="Gorjeta","Gorjeta","Combos"))))</f>
        <v>Serviços</v>
      </c>
      <c r="J2474">
        <f t="shared" si="260"/>
        <v>9</v>
      </c>
      <c r="K2474" s="1">
        <f t="shared" si="261"/>
        <v>45811.604166666664</v>
      </c>
      <c r="L2474" s="1">
        <f t="shared" ref="L2474:M2474" si="272">K2474</f>
        <v>45811.604166666664</v>
      </c>
      <c r="M2474" s="1">
        <f t="shared" si="272"/>
        <v>45811.604166666664</v>
      </c>
      <c r="N2474" s="1"/>
      <c r="O2474" t="str">
        <f t="shared" si="262"/>
        <v>Dinheiro  / PIX</v>
      </c>
      <c r="P2474" t="s">
        <v>149</v>
      </c>
      <c r="Q2474" t="str">
        <f t="shared" si="263"/>
        <v>Serviços</v>
      </c>
      <c r="R2474" t="str">
        <f t="shared" si="264"/>
        <v>barboterapia</v>
      </c>
      <c r="T2474" s="14">
        <f t="shared" si="265"/>
        <v>20</v>
      </c>
      <c r="U2474" s="14">
        <f t="shared" si="266"/>
        <v>70</v>
      </c>
      <c r="V2474" s="14"/>
      <c r="W2474" t="str">
        <f>IF(A2474=$A$1707,base!$I$3,IF(A2474=$A$1709,base!$I$2,IF(Receitas!A2474=Receitas!$A$1701,base!$I$4,"")))</f>
        <v>PATRICK CARDOSO</v>
      </c>
      <c r="X2474" t="str">
        <f t="shared" si="267"/>
        <v>Ronan Lopes</v>
      </c>
    </row>
    <row r="2475" spans="1:24">
      <c r="A2475" t="s">
        <v>536</v>
      </c>
      <c r="B2475" t="s">
        <v>163</v>
      </c>
      <c r="C2475" t="s">
        <v>3510</v>
      </c>
      <c r="D2475" s="14">
        <v>35</v>
      </c>
      <c r="F2475" s="13">
        <v>45811.604166666664</v>
      </c>
      <c r="G2475" t="s">
        <v>882</v>
      </c>
      <c r="H2475" t="s">
        <v>496</v>
      </c>
      <c r="I2475" t="str">
        <f>IF(A2475="","Pacote",IF(B2475=IFERROR(VLOOKUP(B2475,base!$L$1:$L$20,1,0),""),"Produtos",IF(B2475=IFERROR(VLOOKUP(B2475,base!$K$2:$K$20,1,0),""),"Serviços",IF(B2475="Gorjeta","Gorjeta","Combos"))))</f>
        <v>Serviços</v>
      </c>
      <c r="J2475">
        <f t="shared" si="260"/>
        <v>15.75</v>
      </c>
      <c r="K2475" s="1">
        <f t="shared" si="261"/>
        <v>45811.604166666664</v>
      </c>
      <c r="L2475" s="1">
        <f t="shared" ref="L2475:M2475" si="273">K2475</f>
        <v>45811.604166666664</v>
      </c>
      <c r="M2475" s="1">
        <f t="shared" si="273"/>
        <v>45811.604166666664</v>
      </c>
      <c r="N2475" s="1"/>
      <c r="O2475" t="str">
        <f t="shared" si="262"/>
        <v>Dinheiro  / PIX</v>
      </c>
      <c r="P2475" t="s">
        <v>149</v>
      </c>
      <c r="Q2475" t="str">
        <f t="shared" si="263"/>
        <v>Serviços</v>
      </c>
      <c r="R2475" t="str">
        <f t="shared" si="264"/>
        <v>Corte</v>
      </c>
      <c r="T2475" s="14">
        <f t="shared" si="265"/>
        <v>35</v>
      </c>
      <c r="U2475" s="14">
        <f t="shared" si="266"/>
        <v>0</v>
      </c>
      <c r="V2475" s="14"/>
      <c r="W2475" t="str">
        <f>IF(A2475=$A$1707,base!$I$3,IF(A2475=$A$1709,base!$I$2,IF(Receitas!A2475=Receitas!$A$1701,base!$I$4,"")))</f>
        <v>PATRICK CARDOSO</v>
      </c>
      <c r="X2475" t="str">
        <f t="shared" si="267"/>
        <v>Ronan Lopes</v>
      </c>
    </row>
    <row r="2476" spans="1:24">
      <c r="A2476" t="s">
        <v>536</v>
      </c>
      <c r="B2476" t="s">
        <v>1046</v>
      </c>
      <c r="C2476" t="s">
        <v>3510</v>
      </c>
      <c r="D2476" s="14">
        <v>15</v>
      </c>
      <c r="F2476" s="13">
        <v>45811.604166666664</v>
      </c>
      <c r="G2476" t="s">
        <v>882</v>
      </c>
      <c r="H2476" t="s">
        <v>496</v>
      </c>
      <c r="I2476" t="str">
        <f>IF(A2476="","Pacote",IF(B2476=IFERROR(VLOOKUP(B2476,base!$L$1:$L$20,1,0),""),"Produtos",IF(B2476=IFERROR(VLOOKUP(B2476,base!$K$2:$K$20,1,0),""),"Serviços",IF(B2476="Gorjeta","Gorjeta","Combos"))))</f>
        <v>Serviços</v>
      </c>
      <c r="J2476">
        <f t="shared" si="260"/>
        <v>6.75</v>
      </c>
      <c r="K2476" s="1">
        <f t="shared" si="261"/>
        <v>45811.604166666664</v>
      </c>
      <c r="L2476" s="1">
        <f t="shared" ref="L2476:M2476" si="274">K2476</f>
        <v>45811.604166666664</v>
      </c>
      <c r="M2476" s="1">
        <f t="shared" si="274"/>
        <v>45811.604166666664</v>
      </c>
      <c r="N2476" s="1"/>
      <c r="O2476" t="str">
        <f t="shared" si="262"/>
        <v>Dinheiro  / PIX</v>
      </c>
      <c r="P2476" t="s">
        <v>149</v>
      </c>
      <c r="Q2476" t="str">
        <f t="shared" si="263"/>
        <v>Serviços</v>
      </c>
      <c r="R2476" t="str">
        <f t="shared" si="264"/>
        <v>Barba</v>
      </c>
      <c r="T2476" s="14">
        <f t="shared" si="265"/>
        <v>15</v>
      </c>
      <c r="U2476" s="14">
        <f t="shared" si="266"/>
        <v>0</v>
      </c>
      <c r="V2476" s="14"/>
      <c r="W2476" t="str">
        <f>IF(A2476=$A$1707,base!$I$3,IF(A2476=$A$1709,base!$I$2,IF(Receitas!A2476=Receitas!$A$1701,base!$I$4,"")))</f>
        <v>PATRICK CARDOSO</v>
      </c>
      <c r="X2476" t="str">
        <f t="shared" si="267"/>
        <v>Ronan Lopes</v>
      </c>
    </row>
    <row r="2477" spans="1:24">
      <c r="A2477" t="s">
        <v>519</v>
      </c>
      <c r="B2477" t="s">
        <v>163</v>
      </c>
      <c r="C2477" t="s">
        <v>3511</v>
      </c>
      <c r="D2477" s="14">
        <v>35</v>
      </c>
      <c r="E2477" s="14">
        <v>0</v>
      </c>
      <c r="F2477" s="13">
        <v>45811.479166666664</v>
      </c>
      <c r="G2477" t="s">
        <v>1</v>
      </c>
      <c r="H2477" t="s">
        <v>122</v>
      </c>
      <c r="I2477" t="str">
        <f>IF(A2477="","Pacote",IF(B2477=IFERROR(VLOOKUP(B2477,base!$L$1:$L$20,1,0),""),"Produtos",IF(B2477=IFERROR(VLOOKUP(B2477,base!$K$2:$K$20,1,0),""),"Serviços",IF(B2477="Gorjeta","Gorjeta","Combos"))))</f>
        <v>Serviços</v>
      </c>
      <c r="J2477">
        <f t="shared" si="260"/>
        <v>15.75</v>
      </c>
      <c r="K2477" s="1">
        <f t="shared" si="261"/>
        <v>45811.479166666664</v>
      </c>
      <c r="L2477" s="1">
        <f t="shared" ref="L2477:M2477" si="275">K2477</f>
        <v>45811.479166666664</v>
      </c>
      <c r="M2477" s="1">
        <f t="shared" si="275"/>
        <v>45811.479166666664</v>
      </c>
      <c r="N2477" s="1"/>
      <c r="O2477" t="str">
        <f t="shared" si="262"/>
        <v>PIX</v>
      </c>
      <c r="P2477" t="s">
        <v>149</v>
      </c>
      <c r="Q2477" t="str">
        <f t="shared" si="263"/>
        <v>Serviços</v>
      </c>
      <c r="R2477" t="str">
        <f t="shared" si="264"/>
        <v>Corte</v>
      </c>
      <c r="T2477" s="14">
        <f t="shared" si="265"/>
        <v>35</v>
      </c>
      <c r="U2477" s="14">
        <f t="shared" si="266"/>
        <v>0</v>
      </c>
      <c r="V2477" s="14"/>
      <c r="W2477" t="str">
        <f>IF(A2477=$A$1707,base!$I$3,IF(A2477=$A$1709,base!$I$2,IF(Receitas!A2477=Receitas!$A$1701,base!$I$4,"")))</f>
        <v>Gustavo de Castro</v>
      </c>
      <c r="X2477" t="str">
        <f t="shared" si="267"/>
        <v>Paulo Roberto</v>
      </c>
    </row>
    <row r="2478" spans="1:24">
      <c r="A2478" t="s">
        <v>536</v>
      </c>
      <c r="B2478" t="s">
        <v>1046</v>
      </c>
      <c r="C2478" t="s">
        <v>3512</v>
      </c>
      <c r="D2478" s="14">
        <v>25</v>
      </c>
      <c r="E2478" s="14">
        <v>43</v>
      </c>
      <c r="F2478" s="13">
        <v>45811.434027777781</v>
      </c>
      <c r="G2478" t="s">
        <v>1</v>
      </c>
      <c r="H2478" t="s">
        <v>291</v>
      </c>
      <c r="I2478" t="str">
        <f>IF(A2478="","Pacote",IF(B2478=IFERROR(VLOOKUP(B2478,base!$L$1:$L$20,1,0),""),"Produtos",IF(B2478=IFERROR(VLOOKUP(B2478,base!$K$2:$K$20,1,0),""),"Serviços",IF(B2478="Gorjeta","Gorjeta","Combos"))))</f>
        <v>Serviços</v>
      </c>
      <c r="J2478">
        <f t="shared" si="260"/>
        <v>11.25</v>
      </c>
      <c r="K2478" s="1">
        <f t="shared" si="261"/>
        <v>45811.434027777781</v>
      </c>
      <c r="L2478" s="1">
        <f t="shared" ref="L2478:M2478" si="276">K2478</f>
        <v>45811.434027777781</v>
      </c>
      <c r="M2478" s="1">
        <f t="shared" si="276"/>
        <v>45811.434027777781</v>
      </c>
      <c r="N2478" s="1"/>
      <c r="O2478" t="str">
        <f t="shared" si="262"/>
        <v>PIX</v>
      </c>
      <c r="P2478" t="s">
        <v>149</v>
      </c>
      <c r="Q2478" t="str">
        <f t="shared" si="263"/>
        <v>Serviços</v>
      </c>
      <c r="R2478" t="str">
        <f t="shared" si="264"/>
        <v>Barba</v>
      </c>
      <c r="T2478" s="14">
        <f t="shared" si="265"/>
        <v>25</v>
      </c>
      <c r="U2478" s="14">
        <f t="shared" si="266"/>
        <v>43</v>
      </c>
      <c r="V2478" s="14"/>
      <c r="W2478" t="str">
        <f>IF(A2478=$A$1707,base!$I$3,IF(A2478=$A$1709,base!$I$2,IF(Receitas!A2478=Receitas!$A$1701,base!$I$4,"")))</f>
        <v>PATRICK CARDOSO</v>
      </c>
      <c r="X2478" t="str">
        <f t="shared" si="267"/>
        <v>rodolfo de souza rocha</v>
      </c>
    </row>
    <row r="2479" spans="1:24">
      <c r="A2479" t="s">
        <v>536</v>
      </c>
      <c r="B2479" t="s">
        <v>3316</v>
      </c>
      <c r="C2479" t="s">
        <v>3512</v>
      </c>
      <c r="D2479" s="14">
        <v>18</v>
      </c>
      <c r="F2479" s="13">
        <v>45811.434027777781</v>
      </c>
      <c r="G2479" t="s">
        <v>1</v>
      </c>
      <c r="H2479" t="s">
        <v>291</v>
      </c>
      <c r="I2479" t="str">
        <f>IF(A2479="","Pacote",IF(B2479=IFERROR(VLOOKUP(B2479,base!$L$1:$L$20,1,0),""),"Produtos",IF(B2479=IFERROR(VLOOKUP(B2479,base!$K$2:$K$20,1,0),""),"Serviços",IF(B2479="Gorjeta","Gorjeta","Combos"))))</f>
        <v>Produtos</v>
      </c>
      <c r="J2479">
        <f t="shared" si="260"/>
        <v>7.2</v>
      </c>
      <c r="K2479" s="1">
        <f t="shared" si="261"/>
        <v>45811.434027777781</v>
      </c>
      <c r="L2479" s="1">
        <f t="shared" ref="L2479:M2479" si="277">K2479</f>
        <v>45811.434027777781</v>
      </c>
      <c r="M2479" s="1">
        <f t="shared" si="277"/>
        <v>45811.434027777781</v>
      </c>
      <c r="N2479" s="1"/>
      <c r="O2479" t="str">
        <f t="shared" si="262"/>
        <v>PIX</v>
      </c>
      <c r="P2479" t="s">
        <v>149</v>
      </c>
      <c r="Q2479" t="str">
        <f t="shared" si="263"/>
        <v>Produtos</v>
      </c>
      <c r="R2479" t="str">
        <f t="shared" si="264"/>
        <v>pasta caramelo Fox 80g</v>
      </c>
      <c r="T2479" s="14">
        <f t="shared" si="265"/>
        <v>18</v>
      </c>
      <c r="U2479" s="14">
        <f t="shared" si="266"/>
        <v>0</v>
      </c>
      <c r="V2479" s="14"/>
      <c r="W2479" t="str">
        <f>IF(A2479=$A$1707,base!$I$3,IF(A2479=$A$1709,base!$I$2,IF(Receitas!A2479=Receitas!$A$1701,base!$I$4,"")))</f>
        <v>PATRICK CARDOSO</v>
      </c>
      <c r="X2479" t="str">
        <f t="shared" si="267"/>
        <v>rodolfo de souza rocha</v>
      </c>
    </row>
    <row r="2480" spans="1:24">
      <c r="A2480" t="s">
        <v>519</v>
      </c>
      <c r="B2480" t="s">
        <v>163</v>
      </c>
      <c r="C2480" t="s">
        <v>3513</v>
      </c>
      <c r="D2480" s="14">
        <v>35</v>
      </c>
      <c r="E2480" s="14">
        <v>35</v>
      </c>
      <c r="F2480" s="13">
        <v>45811.444444444445</v>
      </c>
      <c r="G2480" t="s">
        <v>2</v>
      </c>
      <c r="H2480" t="s">
        <v>1879</v>
      </c>
      <c r="I2480" t="str">
        <f>IF(A2480="","Pacote",IF(B2480=IFERROR(VLOOKUP(B2480,base!$L$1:$L$20,1,0),""),"Produtos",IF(B2480=IFERROR(VLOOKUP(B2480,base!$K$2:$K$20,1,0),""),"Serviços",IF(B2480="Gorjeta","Gorjeta","Combos"))))</f>
        <v>Serviços</v>
      </c>
      <c r="J2480">
        <f t="shared" si="260"/>
        <v>15.75</v>
      </c>
      <c r="K2480" s="1">
        <f t="shared" si="261"/>
        <v>45811.444444444445</v>
      </c>
      <c r="L2480" s="1">
        <f t="shared" ref="L2480:M2480" si="278">K2480</f>
        <v>45811.444444444445</v>
      </c>
      <c r="M2480" s="1">
        <f t="shared" si="278"/>
        <v>45811.444444444445</v>
      </c>
      <c r="N2480" s="1"/>
      <c r="O2480" t="str">
        <f t="shared" si="262"/>
        <v>Dinheiro</v>
      </c>
      <c r="P2480" t="s">
        <v>149</v>
      </c>
      <c r="Q2480" t="str">
        <f t="shared" si="263"/>
        <v>Serviços</v>
      </c>
      <c r="R2480" t="str">
        <f t="shared" si="264"/>
        <v>Corte</v>
      </c>
      <c r="T2480" s="14">
        <f t="shared" si="265"/>
        <v>35</v>
      </c>
      <c r="U2480" s="14">
        <f t="shared" si="266"/>
        <v>35</v>
      </c>
      <c r="V2480" s="14"/>
      <c r="W2480" t="str">
        <f>IF(A2480=$A$1707,base!$I$3,IF(A2480=$A$1709,base!$I$2,IF(Receitas!A2480=Receitas!$A$1701,base!$I$4,"")))</f>
        <v>Gustavo de Castro</v>
      </c>
      <c r="X2480" t="str">
        <f t="shared" si="267"/>
        <v>gabriel teixeira</v>
      </c>
    </row>
    <row r="2481" spans="1:24">
      <c r="A2481" t="s">
        <v>252</v>
      </c>
      <c r="B2481" t="s">
        <v>163</v>
      </c>
      <c r="C2481" t="s">
        <v>3514</v>
      </c>
      <c r="D2481" s="14">
        <v>35</v>
      </c>
      <c r="E2481" s="14">
        <v>35</v>
      </c>
      <c r="F2481" s="13">
        <v>45811.677083333336</v>
      </c>
      <c r="G2481" t="s">
        <v>354</v>
      </c>
      <c r="H2481" t="s">
        <v>400</v>
      </c>
      <c r="I2481" t="str">
        <f>IF(A2481="","Pacote",IF(B2481=IFERROR(VLOOKUP(B2481,base!$L$1:$L$20,1,0),""),"Produtos",IF(B2481=IFERROR(VLOOKUP(B2481,base!$K$2:$K$20,1,0),""),"Serviços",IF(B2481="Gorjeta","Gorjeta","Combos"))))</f>
        <v>Serviços</v>
      </c>
      <c r="J2481">
        <f t="shared" si="260"/>
        <v>15.75</v>
      </c>
      <c r="K2481" s="1">
        <f t="shared" si="261"/>
        <v>45811.677083333336</v>
      </c>
      <c r="L2481" s="1">
        <f t="shared" ref="L2481:M2481" si="279">K2481</f>
        <v>45811.677083333336</v>
      </c>
      <c r="M2481" s="1">
        <f t="shared" si="279"/>
        <v>45811.677083333336</v>
      </c>
      <c r="N2481" s="1"/>
      <c r="O2481" t="str">
        <f t="shared" si="262"/>
        <v>Cartão de Crédito</v>
      </c>
      <c r="P2481" t="s">
        <v>149</v>
      </c>
      <c r="Q2481" t="str">
        <f t="shared" si="263"/>
        <v>Serviços</v>
      </c>
      <c r="R2481" t="str">
        <f t="shared" si="264"/>
        <v>Corte</v>
      </c>
      <c r="T2481" s="14">
        <f t="shared" si="265"/>
        <v>35</v>
      </c>
      <c r="U2481" s="14">
        <f t="shared" si="266"/>
        <v>35</v>
      </c>
      <c r="V2481" s="14"/>
      <c r="W2481" t="str">
        <f>IF(A2481=$A$1707,base!$I$3,IF(A2481=$A$1709,base!$I$2,IF(Receitas!A2481=Receitas!$A$1701,base!$I$4,"")))</f>
        <v>Christian Magon</v>
      </c>
      <c r="X2481" t="str">
        <f t="shared" si="267"/>
        <v>Luciano Felix</v>
      </c>
    </row>
    <row r="2482" spans="1:24">
      <c r="A2482" t="s">
        <v>519</v>
      </c>
      <c r="B2482" t="s">
        <v>163</v>
      </c>
      <c r="C2482" t="s">
        <v>3515</v>
      </c>
      <c r="D2482" s="14">
        <v>35</v>
      </c>
      <c r="E2482" s="14">
        <v>35</v>
      </c>
      <c r="F2482" s="13">
        <v>45811.729166666664</v>
      </c>
      <c r="G2482" t="s">
        <v>2</v>
      </c>
      <c r="H2482" t="s">
        <v>127</v>
      </c>
      <c r="I2482" t="str">
        <f>IF(A2482="","Pacote",IF(B2482=IFERROR(VLOOKUP(B2482,base!$L$1:$L$20,1,0),""),"Produtos",IF(B2482=IFERROR(VLOOKUP(B2482,base!$K$2:$K$20,1,0),""),"Serviços",IF(B2482="Gorjeta","Gorjeta","Combos"))))</f>
        <v>Serviços</v>
      </c>
      <c r="J2482">
        <f t="shared" si="260"/>
        <v>15.75</v>
      </c>
      <c r="K2482" s="1">
        <f t="shared" si="261"/>
        <v>45811.729166666664</v>
      </c>
      <c r="L2482" s="1">
        <f t="shared" ref="L2482:M2482" si="280">K2482</f>
        <v>45811.729166666664</v>
      </c>
      <c r="M2482" s="1">
        <f t="shared" si="280"/>
        <v>45811.729166666664</v>
      </c>
      <c r="N2482" s="1"/>
      <c r="O2482" t="str">
        <f t="shared" si="262"/>
        <v>Dinheiro</v>
      </c>
      <c r="P2482" t="s">
        <v>149</v>
      </c>
      <c r="Q2482" t="str">
        <f t="shared" si="263"/>
        <v>Serviços</v>
      </c>
      <c r="R2482" t="str">
        <f t="shared" si="264"/>
        <v>Corte</v>
      </c>
      <c r="T2482" s="14">
        <f t="shared" si="265"/>
        <v>35</v>
      </c>
      <c r="U2482" s="14">
        <f t="shared" si="266"/>
        <v>35</v>
      </c>
      <c r="V2482" s="14"/>
      <c r="W2482" t="str">
        <f>IF(A2482=$A$1707,base!$I$3,IF(A2482=$A$1709,base!$I$2,IF(Receitas!A2482=Receitas!$A$1701,base!$I$4,"")))</f>
        <v>Gustavo de Castro</v>
      </c>
      <c r="X2482" t="str">
        <f t="shared" si="267"/>
        <v>Rafael Xavier</v>
      </c>
    </row>
    <row r="2483" spans="1:24">
      <c r="A2483" t="s">
        <v>536</v>
      </c>
      <c r="B2483" t="s">
        <v>163</v>
      </c>
      <c r="C2483" t="s">
        <v>3516</v>
      </c>
      <c r="D2483" s="14">
        <v>35</v>
      </c>
      <c r="E2483" s="14">
        <v>35</v>
      </c>
      <c r="F2483" s="13">
        <v>45811.645833333336</v>
      </c>
      <c r="G2483" t="s">
        <v>1</v>
      </c>
      <c r="H2483" t="s">
        <v>483</v>
      </c>
      <c r="I2483" t="str">
        <f>IF(A2483="","Pacote",IF(B2483=IFERROR(VLOOKUP(B2483,base!$L$1:$L$20,1,0),""),"Produtos",IF(B2483=IFERROR(VLOOKUP(B2483,base!$K$2:$K$20,1,0),""),"Serviços",IF(B2483="Gorjeta","Gorjeta","Combos"))))</f>
        <v>Serviços</v>
      </c>
      <c r="J2483">
        <f t="shared" si="260"/>
        <v>15.75</v>
      </c>
      <c r="K2483" s="1">
        <f t="shared" si="261"/>
        <v>45811.645833333336</v>
      </c>
      <c r="L2483" s="1">
        <f t="shared" ref="L2483:M2483" si="281">K2483</f>
        <v>45811.645833333336</v>
      </c>
      <c r="M2483" s="1">
        <f t="shared" si="281"/>
        <v>45811.645833333336</v>
      </c>
      <c r="N2483" s="1"/>
      <c r="O2483" t="str">
        <f t="shared" si="262"/>
        <v>PIX</v>
      </c>
      <c r="P2483" t="s">
        <v>149</v>
      </c>
      <c r="Q2483" t="str">
        <f t="shared" si="263"/>
        <v>Serviços</v>
      </c>
      <c r="R2483" t="str">
        <f t="shared" si="264"/>
        <v>Corte</v>
      </c>
      <c r="T2483" s="14">
        <f t="shared" si="265"/>
        <v>35</v>
      </c>
      <c r="U2483" s="14">
        <f t="shared" si="266"/>
        <v>35</v>
      </c>
      <c r="V2483" s="14"/>
      <c r="W2483" t="str">
        <f>IF(A2483=$A$1707,base!$I$3,IF(A2483=$A$1709,base!$I$2,IF(Receitas!A2483=Receitas!$A$1701,base!$I$4,"")))</f>
        <v>PATRICK CARDOSO</v>
      </c>
      <c r="X2483" t="str">
        <f t="shared" si="267"/>
        <v>leonardo makluf</v>
      </c>
    </row>
    <row r="2484" spans="1:24">
      <c r="A2484" t="s">
        <v>519</v>
      </c>
      <c r="B2484" t="s">
        <v>163</v>
      </c>
      <c r="C2484" t="s">
        <v>3517</v>
      </c>
      <c r="D2484" s="14">
        <v>35</v>
      </c>
      <c r="E2484" s="14">
        <v>35</v>
      </c>
      <c r="F2484" s="13">
        <v>45811.65625</v>
      </c>
      <c r="G2484" t="s">
        <v>1</v>
      </c>
      <c r="H2484" t="s">
        <v>3518</v>
      </c>
      <c r="I2484" t="str">
        <f>IF(A2484="","Pacote",IF(B2484=IFERROR(VLOOKUP(B2484,base!$L$1:$L$20,1,0),""),"Produtos",IF(B2484=IFERROR(VLOOKUP(B2484,base!$K$2:$K$20,1,0),""),"Serviços",IF(B2484="Gorjeta","Gorjeta","Combos"))))</f>
        <v>Serviços</v>
      </c>
      <c r="J2484">
        <f t="shared" si="260"/>
        <v>15.75</v>
      </c>
      <c r="K2484" s="1">
        <f t="shared" si="261"/>
        <v>45811.65625</v>
      </c>
      <c r="L2484" s="1">
        <f t="shared" ref="L2484:M2484" si="282">K2484</f>
        <v>45811.65625</v>
      </c>
      <c r="M2484" s="1">
        <f t="shared" si="282"/>
        <v>45811.65625</v>
      </c>
      <c r="N2484" s="1"/>
      <c r="O2484" t="str">
        <f t="shared" si="262"/>
        <v>PIX</v>
      </c>
      <c r="P2484" t="s">
        <v>149</v>
      </c>
      <c r="Q2484" t="str">
        <f t="shared" si="263"/>
        <v>Serviços</v>
      </c>
      <c r="R2484" t="str">
        <f t="shared" si="264"/>
        <v>Corte</v>
      </c>
      <c r="T2484" s="14">
        <f t="shared" si="265"/>
        <v>35</v>
      </c>
      <c r="U2484" s="14">
        <f t="shared" si="266"/>
        <v>35</v>
      </c>
      <c r="V2484" s="14"/>
      <c r="W2484" t="str">
        <f>IF(A2484=$A$1707,base!$I$3,IF(A2484=$A$1709,base!$I$2,IF(Receitas!A2484=Receitas!$A$1701,base!$I$4,"")))</f>
        <v>Gustavo de Castro</v>
      </c>
      <c r="X2484" t="str">
        <f t="shared" si="267"/>
        <v>Ruben Júnior</v>
      </c>
    </row>
    <row r="2485" spans="1:24">
      <c r="A2485" t="s">
        <v>536</v>
      </c>
      <c r="B2485" t="s">
        <v>163</v>
      </c>
      <c r="C2485" t="s">
        <v>3519</v>
      </c>
      <c r="D2485" s="14">
        <v>35</v>
      </c>
      <c r="E2485" s="14">
        <v>35</v>
      </c>
      <c r="F2485" s="13">
        <v>45811.618055555555</v>
      </c>
      <c r="G2485" t="s">
        <v>354</v>
      </c>
      <c r="H2485" t="s">
        <v>2657</v>
      </c>
      <c r="I2485" t="str">
        <f>IF(A2485="","Pacote",IF(B2485=IFERROR(VLOOKUP(B2485,base!$L$1:$L$20,1,0),""),"Produtos",IF(B2485=IFERROR(VLOOKUP(B2485,base!$K$2:$K$20,1,0),""),"Serviços",IF(B2485="Gorjeta","Gorjeta","Combos"))))</f>
        <v>Serviços</v>
      </c>
      <c r="J2485">
        <f t="shared" si="260"/>
        <v>15.75</v>
      </c>
      <c r="K2485" s="1">
        <f t="shared" si="261"/>
        <v>45811.618055555555</v>
      </c>
      <c r="L2485" s="1">
        <f t="shared" ref="L2485:M2485" si="283">K2485</f>
        <v>45811.618055555555</v>
      </c>
      <c r="M2485" s="1">
        <f t="shared" si="283"/>
        <v>45811.618055555555</v>
      </c>
      <c r="N2485" s="1"/>
      <c r="O2485" t="str">
        <f t="shared" si="262"/>
        <v>Cartão de Crédito</v>
      </c>
      <c r="P2485" t="s">
        <v>149</v>
      </c>
      <c r="Q2485" t="str">
        <f t="shared" si="263"/>
        <v>Serviços</v>
      </c>
      <c r="R2485" t="str">
        <f t="shared" si="264"/>
        <v>Corte</v>
      </c>
      <c r="T2485" s="14">
        <f t="shared" si="265"/>
        <v>35</v>
      </c>
      <c r="U2485" s="14">
        <f t="shared" si="266"/>
        <v>35</v>
      </c>
      <c r="V2485" s="14"/>
      <c r="W2485" t="str">
        <f>IF(A2485=$A$1707,base!$I$3,IF(A2485=$A$1709,base!$I$2,IF(Receitas!A2485=Receitas!$A$1701,base!$I$4,"")))</f>
        <v>PATRICK CARDOSO</v>
      </c>
      <c r="X2485" t="str">
        <f t="shared" si="267"/>
        <v>Bruno Assis</v>
      </c>
    </row>
    <row r="2486" spans="1:24">
      <c r="A2486" t="s">
        <v>519</v>
      </c>
      <c r="B2486" t="s">
        <v>163</v>
      </c>
      <c r="C2486" t="s">
        <v>3520</v>
      </c>
      <c r="D2486" s="14">
        <v>35</v>
      </c>
      <c r="E2486" s="14">
        <v>35</v>
      </c>
      <c r="F2486" s="13">
        <v>45811.649305555555</v>
      </c>
      <c r="G2486" t="s">
        <v>1</v>
      </c>
      <c r="H2486" t="s">
        <v>3521</v>
      </c>
      <c r="I2486" t="str">
        <f>IF(A2486="","Pacote",IF(B2486=IFERROR(VLOOKUP(B2486,base!$L$1:$L$20,1,0),""),"Produtos",IF(B2486=IFERROR(VLOOKUP(B2486,base!$K$2:$K$20,1,0),""),"Serviços",IF(B2486="Gorjeta","Gorjeta","Combos"))))</f>
        <v>Serviços</v>
      </c>
      <c r="J2486">
        <f t="shared" si="260"/>
        <v>15.75</v>
      </c>
      <c r="K2486" s="1">
        <f t="shared" si="261"/>
        <v>45811.649305555555</v>
      </c>
      <c r="L2486" s="1">
        <f t="shared" ref="L2486:M2486" si="284">K2486</f>
        <v>45811.649305555555</v>
      </c>
      <c r="M2486" s="1">
        <f t="shared" si="284"/>
        <v>45811.649305555555</v>
      </c>
      <c r="N2486" s="1"/>
      <c r="O2486" t="str">
        <f t="shared" si="262"/>
        <v>PIX</v>
      </c>
      <c r="P2486" t="s">
        <v>149</v>
      </c>
      <c r="Q2486" t="str">
        <f t="shared" si="263"/>
        <v>Serviços</v>
      </c>
      <c r="R2486" t="str">
        <f t="shared" si="264"/>
        <v>Corte</v>
      </c>
      <c r="T2486" s="14">
        <f t="shared" si="265"/>
        <v>35</v>
      </c>
      <c r="U2486" s="14">
        <f t="shared" si="266"/>
        <v>35</v>
      </c>
      <c r="V2486" s="14"/>
      <c r="W2486" t="str">
        <f>IF(A2486=$A$1707,base!$I$3,IF(A2486=$A$1709,base!$I$2,IF(Receitas!A2486=Receitas!$A$1701,base!$I$4,"")))</f>
        <v>Gustavo de Castro</v>
      </c>
      <c r="X2486" t="str">
        <f t="shared" si="267"/>
        <v>Luis fernando</v>
      </c>
    </row>
    <row r="2487" spans="1:24">
      <c r="A2487" t="s">
        <v>519</v>
      </c>
      <c r="B2487" t="s">
        <v>163</v>
      </c>
      <c r="C2487" t="s">
        <v>3522</v>
      </c>
      <c r="D2487" s="14">
        <v>35</v>
      </c>
      <c r="E2487" s="14">
        <v>45</v>
      </c>
      <c r="F2487" s="13">
        <v>45811.75</v>
      </c>
      <c r="G2487" t="s">
        <v>1</v>
      </c>
      <c r="H2487" t="s">
        <v>53</v>
      </c>
      <c r="I2487" t="str">
        <f>IF(A2487="","Pacote",IF(B2487=IFERROR(VLOOKUP(B2487,base!$L$1:$L$20,1,0),""),"Produtos",IF(B2487=IFERROR(VLOOKUP(B2487,base!$K$2:$K$20,1,0),""),"Serviços",IF(B2487="Gorjeta","Gorjeta","Combos"))))</f>
        <v>Serviços</v>
      </c>
      <c r="J2487">
        <f t="shared" si="260"/>
        <v>15.75</v>
      </c>
      <c r="K2487" s="1">
        <f t="shared" si="261"/>
        <v>45811.75</v>
      </c>
      <c r="L2487" s="1">
        <f t="shared" ref="L2487:M2487" si="285">K2487</f>
        <v>45811.75</v>
      </c>
      <c r="M2487" s="1">
        <f t="shared" si="285"/>
        <v>45811.75</v>
      </c>
      <c r="N2487" s="1"/>
      <c r="O2487" t="str">
        <f t="shared" si="262"/>
        <v>PIX</v>
      </c>
      <c r="P2487" t="s">
        <v>149</v>
      </c>
      <c r="Q2487" t="str">
        <f t="shared" si="263"/>
        <v>Serviços</v>
      </c>
      <c r="R2487" t="str">
        <f t="shared" si="264"/>
        <v>Corte</v>
      </c>
      <c r="T2487" s="14">
        <f t="shared" si="265"/>
        <v>35</v>
      </c>
      <c r="U2487" s="14">
        <f t="shared" si="266"/>
        <v>45</v>
      </c>
      <c r="V2487" s="14"/>
      <c r="W2487" t="str">
        <f>IF(A2487=$A$1707,base!$I$3,IF(A2487=$A$1709,base!$I$2,IF(Receitas!A2487=Receitas!$A$1701,base!$I$4,"")))</f>
        <v>Gustavo de Castro</v>
      </c>
      <c r="X2487" t="str">
        <f t="shared" si="267"/>
        <v>Ramon Fernandes Da Silva</v>
      </c>
    </row>
    <row r="2488" spans="1:24">
      <c r="A2488" t="s">
        <v>252</v>
      </c>
      <c r="B2488" t="s">
        <v>163</v>
      </c>
      <c r="C2488" t="s">
        <v>3523</v>
      </c>
      <c r="D2488" s="14">
        <v>35</v>
      </c>
      <c r="E2488" s="14">
        <v>80</v>
      </c>
      <c r="F2488" s="13">
        <v>45811.697916666664</v>
      </c>
      <c r="G2488" t="s">
        <v>310</v>
      </c>
      <c r="H2488" t="s">
        <v>499</v>
      </c>
      <c r="I2488" t="str">
        <f>IF(A2488="","Pacote",IF(B2488=IFERROR(VLOOKUP(B2488,base!$L$1:$L$20,1,0),""),"Produtos",IF(B2488=IFERROR(VLOOKUP(B2488,base!$K$2:$K$20,1,0),""),"Serviços",IF(B2488="Gorjeta","Gorjeta","Combos"))))</f>
        <v>Serviços</v>
      </c>
      <c r="J2488">
        <f t="shared" si="260"/>
        <v>15.75</v>
      </c>
      <c r="K2488" s="1">
        <f t="shared" si="261"/>
        <v>45811.697916666664</v>
      </c>
      <c r="L2488" s="1">
        <f t="shared" ref="L2488:M2488" si="286">K2488</f>
        <v>45811.697916666664</v>
      </c>
      <c r="M2488" s="1">
        <f t="shared" si="286"/>
        <v>45811.697916666664</v>
      </c>
      <c r="N2488" s="1"/>
      <c r="O2488" t="str">
        <f t="shared" si="262"/>
        <v>Cartão de Débito</v>
      </c>
      <c r="P2488" t="s">
        <v>149</v>
      </c>
      <c r="Q2488" t="str">
        <f t="shared" si="263"/>
        <v>Serviços</v>
      </c>
      <c r="R2488" t="str">
        <f t="shared" si="264"/>
        <v>Corte</v>
      </c>
      <c r="T2488" s="14">
        <f t="shared" si="265"/>
        <v>35</v>
      </c>
      <c r="U2488" s="14">
        <f t="shared" si="266"/>
        <v>80</v>
      </c>
      <c r="V2488" s="14"/>
      <c r="W2488" t="str">
        <f>IF(A2488=$A$1707,base!$I$3,IF(A2488=$A$1709,base!$I$2,IF(Receitas!A2488=Receitas!$A$1701,base!$I$4,"")))</f>
        <v>Christian Magon</v>
      </c>
      <c r="X2488" t="str">
        <f t="shared" si="267"/>
        <v>israel davy</v>
      </c>
    </row>
    <row r="2489" spans="1:24">
      <c r="A2489" t="s">
        <v>252</v>
      </c>
      <c r="B2489" t="s">
        <v>3061</v>
      </c>
      <c r="C2489" t="s">
        <v>3523</v>
      </c>
      <c r="D2489" s="14">
        <v>45</v>
      </c>
      <c r="F2489" s="13">
        <v>45811.697916666664</v>
      </c>
      <c r="G2489" t="s">
        <v>310</v>
      </c>
      <c r="H2489" t="s">
        <v>499</v>
      </c>
      <c r="I2489" t="str">
        <f>IF(A2489="","Pacote",IF(B2489=IFERROR(VLOOKUP(B2489,base!$L$1:$L$20,1,0),""),"Produtos",IF(B2489=IFERROR(VLOOKUP(B2489,base!$K$2:$K$20,1,0),""),"Serviços",IF(B2489="Gorjeta","Gorjeta","Combos"))))</f>
        <v>Produtos</v>
      </c>
      <c r="J2489">
        <f t="shared" si="260"/>
        <v>18</v>
      </c>
      <c r="K2489" s="1">
        <f t="shared" si="261"/>
        <v>45811.697916666664</v>
      </c>
      <c r="L2489" s="1">
        <f t="shared" ref="L2489:M2489" si="287">K2489</f>
        <v>45811.697916666664</v>
      </c>
      <c r="M2489" s="1">
        <f t="shared" si="287"/>
        <v>45811.697916666664</v>
      </c>
      <c r="N2489" s="1"/>
      <c r="O2489" t="str">
        <f t="shared" si="262"/>
        <v>Cartão de Débito</v>
      </c>
      <c r="P2489" t="s">
        <v>149</v>
      </c>
      <c r="Q2489" t="str">
        <f t="shared" si="263"/>
        <v>Produtos</v>
      </c>
      <c r="R2489" t="str">
        <f t="shared" si="264"/>
        <v>BALM FOX</v>
      </c>
      <c r="T2489" s="14">
        <f t="shared" si="265"/>
        <v>45</v>
      </c>
      <c r="U2489" s="14">
        <f t="shared" si="266"/>
        <v>0</v>
      </c>
      <c r="V2489" s="14"/>
      <c r="W2489" t="str">
        <f>IF(A2489=$A$1707,base!$I$3,IF(A2489=$A$1709,base!$I$2,IF(Receitas!A2489=Receitas!$A$1701,base!$I$4,"")))</f>
        <v>Christian Magon</v>
      </c>
      <c r="X2489" t="str">
        <f t="shared" si="267"/>
        <v>israel davy</v>
      </c>
    </row>
    <row r="2490" spans="1:24">
      <c r="A2490" t="s">
        <v>519</v>
      </c>
      <c r="B2490" t="s">
        <v>163</v>
      </c>
      <c r="C2490" t="s">
        <v>3524</v>
      </c>
      <c r="D2490" s="14">
        <v>35</v>
      </c>
      <c r="E2490" s="14">
        <v>35</v>
      </c>
      <c r="F2490" s="13">
        <v>45811.697916666664</v>
      </c>
      <c r="G2490" t="s">
        <v>1</v>
      </c>
      <c r="H2490" t="s">
        <v>470</v>
      </c>
      <c r="I2490" t="str">
        <f>IF(A2490="","Pacote",IF(B2490=IFERROR(VLOOKUP(B2490,base!$L$1:$L$20,1,0),""),"Produtos",IF(B2490=IFERROR(VLOOKUP(B2490,base!$K$2:$K$20,1,0),""),"Serviços",IF(B2490="Gorjeta","Gorjeta","Combos"))))</f>
        <v>Serviços</v>
      </c>
      <c r="J2490">
        <f t="shared" si="260"/>
        <v>15.75</v>
      </c>
      <c r="K2490" s="1">
        <f t="shared" si="261"/>
        <v>45811.697916666664</v>
      </c>
      <c r="L2490" s="1">
        <f t="shared" ref="L2490:M2490" si="288">K2490</f>
        <v>45811.697916666664</v>
      </c>
      <c r="M2490" s="1">
        <f t="shared" si="288"/>
        <v>45811.697916666664</v>
      </c>
      <c r="N2490" s="1"/>
      <c r="O2490" t="str">
        <f t="shared" si="262"/>
        <v>PIX</v>
      </c>
      <c r="P2490" t="s">
        <v>149</v>
      </c>
      <c r="Q2490" t="str">
        <f t="shared" si="263"/>
        <v>Serviços</v>
      </c>
      <c r="R2490" t="str">
        <f t="shared" si="264"/>
        <v>Corte</v>
      </c>
      <c r="T2490" s="14">
        <f t="shared" si="265"/>
        <v>35</v>
      </c>
      <c r="U2490" s="14">
        <f t="shared" si="266"/>
        <v>35</v>
      </c>
      <c r="V2490" s="14"/>
      <c r="W2490" t="str">
        <f>IF(A2490=$A$1707,base!$I$3,IF(A2490=$A$1709,base!$I$2,IF(Receitas!A2490=Receitas!$A$1701,base!$I$4,"")))</f>
        <v>Gustavo de Castro</v>
      </c>
      <c r="X2490" t="str">
        <f t="shared" si="267"/>
        <v>alan dorneles</v>
      </c>
    </row>
    <row r="2491" spans="1:24">
      <c r="A2491" t="s">
        <v>536</v>
      </c>
      <c r="B2491" t="s">
        <v>163</v>
      </c>
      <c r="C2491" t="s">
        <v>3525</v>
      </c>
      <c r="D2491" s="14">
        <v>35</v>
      </c>
      <c r="E2491" s="14">
        <v>35</v>
      </c>
      <c r="F2491" s="13">
        <v>45811.739583333336</v>
      </c>
      <c r="G2491" t="s">
        <v>1</v>
      </c>
      <c r="H2491" t="s">
        <v>1134</v>
      </c>
      <c r="I2491" t="str">
        <f>IF(A2491="","Pacote",IF(B2491=IFERROR(VLOOKUP(B2491,base!$L$1:$L$20,1,0),""),"Produtos",IF(B2491=IFERROR(VLOOKUP(B2491,base!$K$2:$K$20,1,0),""),"Serviços",IF(B2491="Gorjeta","Gorjeta","Combos"))))</f>
        <v>Serviços</v>
      </c>
      <c r="J2491">
        <f t="shared" si="260"/>
        <v>15.75</v>
      </c>
      <c r="K2491" s="1">
        <f t="shared" si="261"/>
        <v>45811.739583333336</v>
      </c>
      <c r="L2491" s="1">
        <f t="shared" ref="L2491:M2491" si="289">K2491</f>
        <v>45811.739583333336</v>
      </c>
      <c r="M2491" s="1">
        <f t="shared" si="289"/>
        <v>45811.739583333336</v>
      </c>
      <c r="N2491" s="1"/>
      <c r="O2491" t="str">
        <f t="shared" si="262"/>
        <v>PIX</v>
      </c>
      <c r="P2491" t="s">
        <v>149</v>
      </c>
      <c r="Q2491" t="str">
        <f t="shared" si="263"/>
        <v>Serviços</v>
      </c>
      <c r="R2491" t="str">
        <f t="shared" si="264"/>
        <v>Corte</v>
      </c>
      <c r="T2491" s="14">
        <f t="shared" si="265"/>
        <v>35</v>
      </c>
      <c r="U2491" s="14">
        <f t="shared" si="266"/>
        <v>35</v>
      </c>
      <c r="V2491" s="14"/>
      <c r="W2491" t="str">
        <f>IF(A2491=$A$1707,base!$I$3,IF(A2491=$A$1709,base!$I$2,IF(Receitas!A2491=Receitas!$A$1701,base!$I$4,"")))</f>
        <v>PATRICK CARDOSO</v>
      </c>
      <c r="X2491" t="str">
        <f t="shared" si="267"/>
        <v>Douglas Carlos</v>
      </c>
    </row>
    <row r="2492" spans="1:24">
      <c r="A2492" t="s">
        <v>252</v>
      </c>
      <c r="B2492" t="s">
        <v>163</v>
      </c>
      <c r="C2492" t="s">
        <v>3526</v>
      </c>
      <c r="D2492" s="14">
        <v>35</v>
      </c>
      <c r="E2492" s="14">
        <v>50</v>
      </c>
      <c r="F2492" s="13">
        <v>45811.78125</v>
      </c>
      <c r="G2492" t="s">
        <v>1</v>
      </c>
      <c r="H2492" t="s">
        <v>424</v>
      </c>
      <c r="I2492" t="str">
        <f>IF(A2492="","Pacote",IF(B2492=IFERROR(VLOOKUP(B2492,base!$L$1:$L$20,1,0),""),"Produtos",IF(B2492=IFERROR(VLOOKUP(B2492,base!$K$2:$K$20,1,0),""),"Serviços",IF(B2492="Gorjeta","Gorjeta","Combos"))))</f>
        <v>Serviços</v>
      </c>
      <c r="J2492">
        <f t="shared" si="260"/>
        <v>15.75</v>
      </c>
      <c r="K2492" s="1">
        <f t="shared" si="261"/>
        <v>45811.78125</v>
      </c>
      <c r="L2492" s="1">
        <f t="shared" ref="L2492:M2492" si="290">K2492</f>
        <v>45811.78125</v>
      </c>
      <c r="M2492" s="1">
        <f t="shared" si="290"/>
        <v>45811.78125</v>
      </c>
      <c r="N2492" s="1"/>
      <c r="O2492" t="str">
        <f t="shared" si="262"/>
        <v>PIX</v>
      </c>
      <c r="P2492" t="s">
        <v>149</v>
      </c>
      <c r="Q2492" t="str">
        <f t="shared" si="263"/>
        <v>Serviços</v>
      </c>
      <c r="R2492" t="str">
        <f t="shared" si="264"/>
        <v>Corte</v>
      </c>
      <c r="T2492" s="14">
        <f t="shared" si="265"/>
        <v>35</v>
      </c>
      <c r="U2492" s="14">
        <f t="shared" si="266"/>
        <v>50</v>
      </c>
      <c r="V2492" s="14"/>
      <c r="W2492" t="str">
        <f>IF(A2492=$A$1707,base!$I$3,IF(A2492=$A$1709,base!$I$2,IF(Receitas!A2492=Receitas!$A$1701,base!$I$4,"")))</f>
        <v>Christian Magon</v>
      </c>
      <c r="X2492" t="str">
        <f t="shared" si="267"/>
        <v>luciano da costa cruz</v>
      </c>
    </row>
    <row r="2493" spans="1:24">
      <c r="A2493" t="s">
        <v>252</v>
      </c>
      <c r="B2493" t="s">
        <v>1187</v>
      </c>
      <c r="C2493" t="s">
        <v>3526</v>
      </c>
      <c r="D2493" s="14">
        <v>15</v>
      </c>
      <c r="F2493" s="13">
        <v>45811.78125</v>
      </c>
      <c r="G2493" t="s">
        <v>1</v>
      </c>
      <c r="H2493" t="s">
        <v>424</v>
      </c>
      <c r="I2493" t="str">
        <f>IF(A2493="","Pacote",IF(B2493=IFERROR(VLOOKUP(B2493,base!$L$1:$L$20,1,0),""),"Produtos",IF(B2493=IFERROR(VLOOKUP(B2493,base!$K$2:$K$20,1,0),""),"Serviços",IF(B2493="Gorjeta","Gorjeta","Combos"))))</f>
        <v>Serviços</v>
      </c>
      <c r="J2493">
        <f t="shared" si="260"/>
        <v>6.75</v>
      </c>
      <c r="K2493" s="1">
        <f t="shared" si="261"/>
        <v>45811.78125</v>
      </c>
      <c r="L2493" s="1">
        <f t="shared" ref="L2493:M2493" si="291">K2493</f>
        <v>45811.78125</v>
      </c>
      <c r="M2493" s="1">
        <f t="shared" si="291"/>
        <v>45811.78125</v>
      </c>
      <c r="N2493" s="1"/>
      <c r="O2493" t="str">
        <f t="shared" si="262"/>
        <v>PIX</v>
      </c>
      <c r="P2493" t="s">
        <v>149</v>
      </c>
      <c r="Q2493" t="str">
        <f t="shared" si="263"/>
        <v>Serviços</v>
      </c>
      <c r="R2493" t="str">
        <f t="shared" si="264"/>
        <v>depilação nariz</v>
      </c>
      <c r="T2493" s="14">
        <f t="shared" si="265"/>
        <v>15</v>
      </c>
      <c r="U2493" s="14">
        <f t="shared" si="266"/>
        <v>0</v>
      </c>
      <c r="V2493" s="14"/>
      <c r="W2493" t="str">
        <f>IF(A2493=$A$1707,base!$I$3,IF(A2493=$A$1709,base!$I$2,IF(Receitas!A2493=Receitas!$A$1701,base!$I$4,"")))</f>
        <v>Christian Magon</v>
      </c>
      <c r="X2493" t="str">
        <f t="shared" si="267"/>
        <v>luciano da costa cruz</v>
      </c>
    </row>
    <row r="2494" spans="1:24">
      <c r="A2494" t="s">
        <v>536</v>
      </c>
      <c r="B2494" t="s">
        <v>163</v>
      </c>
      <c r="C2494" t="s">
        <v>3527</v>
      </c>
      <c r="D2494" s="14">
        <v>20</v>
      </c>
      <c r="E2494" s="14">
        <v>20</v>
      </c>
      <c r="F2494" s="13">
        <v>45811.788194444445</v>
      </c>
      <c r="G2494" t="s">
        <v>1</v>
      </c>
      <c r="H2494" t="s">
        <v>1006</v>
      </c>
      <c r="I2494" t="str">
        <f>IF(A2494="","Pacote",IF(B2494=IFERROR(VLOOKUP(B2494,base!$L$1:$L$20,1,0),""),"Produtos",IF(B2494=IFERROR(VLOOKUP(B2494,base!$K$2:$K$20,1,0),""),"Serviços",IF(B2494="Gorjeta","Gorjeta","Combos"))))</f>
        <v>Serviços</v>
      </c>
      <c r="J2494">
        <f t="shared" si="260"/>
        <v>9</v>
      </c>
      <c r="K2494" s="1">
        <f t="shared" si="261"/>
        <v>45811.788194444445</v>
      </c>
      <c r="L2494" s="1">
        <f t="shared" ref="L2494:M2494" si="292">K2494</f>
        <v>45811.788194444445</v>
      </c>
      <c r="M2494" s="1">
        <f t="shared" si="292"/>
        <v>45811.788194444445</v>
      </c>
      <c r="N2494" s="1"/>
      <c r="O2494" t="str">
        <f t="shared" si="262"/>
        <v>PIX</v>
      </c>
      <c r="P2494" t="s">
        <v>149</v>
      </c>
      <c r="Q2494" t="str">
        <f t="shared" si="263"/>
        <v>Serviços</v>
      </c>
      <c r="R2494" t="str">
        <f t="shared" si="264"/>
        <v>Corte</v>
      </c>
      <c r="T2494" s="14">
        <f t="shared" si="265"/>
        <v>20</v>
      </c>
      <c r="U2494" s="14">
        <f t="shared" si="266"/>
        <v>20</v>
      </c>
      <c r="V2494" s="14"/>
      <c r="W2494" t="str">
        <f>IF(A2494=$A$1707,base!$I$3,IF(A2494=$A$1709,base!$I$2,IF(Receitas!A2494=Receitas!$A$1701,base!$I$4,"")))</f>
        <v>PATRICK CARDOSO</v>
      </c>
      <c r="X2494" t="str">
        <f t="shared" si="267"/>
        <v>Alexandre Almeida</v>
      </c>
    </row>
    <row r="2495" spans="1:24">
      <c r="A2495" t="s">
        <v>519</v>
      </c>
      <c r="B2495" t="s">
        <v>163</v>
      </c>
      <c r="C2495" t="s">
        <v>3528</v>
      </c>
      <c r="D2495" s="14">
        <v>35</v>
      </c>
      <c r="E2495" s="14">
        <v>35</v>
      </c>
      <c r="F2495" s="13">
        <v>45811.798611111109</v>
      </c>
      <c r="G2495" t="s">
        <v>1</v>
      </c>
      <c r="H2495" t="s">
        <v>187</v>
      </c>
      <c r="I2495" t="str">
        <f>IF(A2495="","Pacote",IF(B2495=IFERROR(VLOOKUP(B2495,base!$L$1:$L$20,1,0),""),"Produtos",IF(B2495=IFERROR(VLOOKUP(B2495,base!$K$2:$K$20,1,0),""),"Serviços",IF(B2495="Gorjeta","Gorjeta","Combos"))))</f>
        <v>Serviços</v>
      </c>
      <c r="J2495">
        <f t="shared" si="260"/>
        <v>15.75</v>
      </c>
      <c r="K2495" s="1">
        <f t="shared" si="261"/>
        <v>45811.798611111109</v>
      </c>
      <c r="L2495" s="1">
        <f t="shared" ref="L2495:M2495" si="293">K2495</f>
        <v>45811.798611111109</v>
      </c>
      <c r="M2495" s="1">
        <f t="shared" si="293"/>
        <v>45811.798611111109</v>
      </c>
      <c r="N2495" s="1"/>
      <c r="O2495" t="str">
        <f t="shared" si="262"/>
        <v>PIX</v>
      </c>
      <c r="P2495" t="s">
        <v>149</v>
      </c>
      <c r="Q2495" t="str">
        <f t="shared" si="263"/>
        <v>Serviços</v>
      </c>
      <c r="R2495" t="str">
        <f t="shared" si="264"/>
        <v>Corte</v>
      </c>
      <c r="T2495" s="14">
        <f t="shared" si="265"/>
        <v>35</v>
      </c>
      <c r="U2495" s="14">
        <f t="shared" si="266"/>
        <v>35</v>
      </c>
      <c r="V2495" s="14"/>
      <c r="W2495" t="str">
        <f>IF(A2495=$A$1707,base!$I$3,IF(A2495=$A$1709,base!$I$2,IF(Receitas!A2495=Receitas!$A$1701,base!$I$4,"")))</f>
        <v>Gustavo de Castro</v>
      </c>
      <c r="X2495" t="str">
        <f t="shared" si="267"/>
        <v>sebastiao joseval</v>
      </c>
    </row>
    <row r="2496" spans="1:24">
      <c r="C2496" t="s">
        <v>3529</v>
      </c>
      <c r="D2496" s="14">
        <v>140</v>
      </c>
      <c r="E2496" s="14">
        <v>140</v>
      </c>
      <c r="F2496" s="13">
        <v>45811.521527777775</v>
      </c>
      <c r="G2496" t="s">
        <v>354</v>
      </c>
      <c r="H2496" t="s">
        <v>122</v>
      </c>
      <c r="I2496" t="str">
        <f>IF(A2496="","Pacote",IF(B2496=IFERROR(VLOOKUP(B2496,base!$L$1:$L$20,1,0),""),"Produtos",IF(B2496=IFERROR(VLOOKUP(B2496,base!$K$2:$K$20,1,0),""),"Serviços",IF(B2496="Gorjeta","Gorjeta","Combos"))))</f>
        <v>Pacote</v>
      </c>
      <c r="J2496">
        <f t="shared" si="260"/>
        <v>63</v>
      </c>
      <c r="K2496" s="1">
        <f t="shared" si="261"/>
        <v>45811.521527777775</v>
      </c>
      <c r="L2496" s="1">
        <f t="shared" ref="L2496:M2496" si="294">K2496</f>
        <v>45811.521527777775</v>
      </c>
      <c r="M2496" s="1">
        <f t="shared" si="294"/>
        <v>45811.521527777775</v>
      </c>
      <c r="N2496" s="1"/>
      <c r="O2496" t="str">
        <f t="shared" si="262"/>
        <v>Cartão de Crédito</v>
      </c>
      <c r="P2496" t="s">
        <v>149</v>
      </c>
      <c r="Q2496" t="str">
        <f t="shared" si="263"/>
        <v>Pacote</v>
      </c>
      <c r="R2496">
        <f t="shared" si="264"/>
        <v>0</v>
      </c>
      <c r="T2496" s="14">
        <f t="shared" si="265"/>
        <v>140</v>
      </c>
      <c r="U2496" s="14">
        <f t="shared" si="266"/>
        <v>140</v>
      </c>
      <c r="V2496" s="14"/>
      <c r="W2496" t="str">
        <f>IF(A2496=$A$1707,base!$I$3,IF(A2496=$A$1709,base!$I$2,IF(Receitas!A2496=Receitas!$A$1701,base!$I$4,"")))</f>
        <v/>
      </c>
      <c r="X2496" t="str">
        <f t="shared" si="267"/>
        <v>Paulo Roberto</v>
      </c>
    </row>
  </sheetData>
  <autoFilter ref="A1:J2164" xr:uid="{81F4A039-69A5-42F4-B599-B64895B688DA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5EA-F779-442B-8862-0614D8E355B2}">
  <dimension ref="A1:Q240"/>
  <sheetViews>
    <sheetView topLeftCell="B169" workbookViewId="0">
      <selection activeCell="I175" sqref="I175:Q176"/>
    </sheetView>
  </sheetViews>
  <sheetFormatPr defaultRowHeight="15"/>
  <cols>
    <col min="1" max="1" width="113.5703125" bestFit="1" customWidth="1"/>
    <col min="2" max="2" width="10.7109375" bestFit="1" customWidth="1"/>
    <col min="3" max="3" width="15.85546875" style="1" bestFit="1" customWidth="1"/>
    <col min="4" max="4" width="15.28515625" bestFit="1" customWidth="1"/>
    <col min="5" max="5" width="10.28515625" bestFit="1" customWidth="1"/>
    <col min="6" max="6" width="10.7109375" bestFit="1" customWidth="1"/>
    <col min="9" max="10" width="10.7109375" bestFit="1" customWidth="1"/>
  </cols>
  <sheetData>
    <row r="1" spans="1:7">
      <c r="A1" t="s">
        <v>178</v>
      </c>
      <c r="B1" t="s">
        <v>944</v>
      </c>
      <c r="C1" s="1" t="s">
        <v>517</v>
      </c>
      <c r="D1" t="s">
        <v>945</v>
      </c>
      <c r="E1" t="s">
        <v>946</v>
      </c>
      <c r="F1" t="s">
        <v>1917</v>
      </c>
    </row>
    <row r="2" spans="1:7">
      <c r="A2" t="s">
        <v>430</v>
      </c>
      <c r="B2" s="14">
        <v>7.9</v>
      </c>
      <c r="C2" s="1">
        <v>45689</v>
      </c>
      <c r="D2" t="s">
        <v>948</v>
      </c>
      <c r="E2" t="s">
        <v>947</v>
      </c>
      <c r="F2" s="1">
        <f t="shared" ref="F2:F33" si="0">C2</f>
        <v>45689</v>
      </c>
      <c r="G2" t="str">
        <f t="shared" ref="G2:G65" si="1">IF(D2="Gastos Fixos","Fixas",IF(D2="Gastos variaveis","Variáveis",IF(D2="Vale","Variáveis",IF(D2="Alimentação","Diretoria",D2))))</f>
        <v>Variáveis</v>
      </c>
    </row>
    <row r="3" spans="1:7">
      <c r="A3" t="s">
        <v>340</v>
      </c>
      <c r="B3" s="14">
        <v>20</v>
      </c>
      <c r="C3" s="1">
        <v>45692.931250000001</v>
      </c>
      <c r="D3" t="s">
        <v>949</v>
      </c>
      <c r="E3" t="s">
        <v>136</v>
      </c>
      <c r="F3" s="1">
        <f t="shared" si="0"/>
        <v>45692.931250000001</v>
      </c>
      <c r="G3" t="str">
        <f t="shared" si="1"/>
        <v>Fixas</v>
      </c>
    </row>
    <row r="4" spans="1:7">
      <c r="A4" t="s">
        <v>431</v>
      </c>
      <c r="B4" s="14">
        <v>231.02</v>
      </c>
      <c r="C4" s="1">
        <v>45695</v>
      </c>
      <c r="D4" t="s">
        <v>146</v>
      </c>
      <c r="E4" t="s">
        <v>947</v>
      </c>
      <c r="F4" s="1">
        <f t="shared" si="0"/>
        <v>45695</v>
      </c>
      <c r="G4" t="str">
        <f t="shared" si="1"/>
        <v>Investimentos</v>
      </c>
    </row>
    <row r="5" spans="1:7">
      <c r="A5" t="s">
        <v>432</v>
      </c>
      <c r="B5" s="14">
        <v>106</v>
      </c>
      <c r="C5" s="1">
        <v>45695</v>
      </c>
      <c r="D5" t="s">
        <v>948</v>
      </c>
      <c r="E5" t="s">
        <v>947</v>
      </c>
      <c r="F5" s="1">
        <f t="shared" si="0"/>
        <v>45695</v>
      </c>
      <c r="G5" t="str">
        <f t="shared" si="1"/>
        <v>Variáveis</v>
      </c>
    </row>
    <row r="6" spans="1:7">
      <c r="A6" t="s">
        <v>433</v>
      </c>
      <c r="B6" s="14">
        <v>9.99</v>
      </c>
      <c r="C6" s="1">
        <v>45695</v>
      </c>
      <c r="D6" t="s">
        <v>948</v>
      </c>
      <c r="E6" t="s">
        <v>947</v>
      </c>
      <c r="F6" s="1">
        <f t="shared" si="0"/>
        <v>45695</v>
      </c>
      <c r="G6" t="str">
        <f t="shared" si="1"/>
        <v>Variáveis</v>
      </c>
    </row>
    <row r="7" spans="1:7">
      <c r="A7" t="s">
        <v>434</v>
      </c>
      <c r="B7" s="14">
        <v>352.19</v>
      </c>
      <c r="C7" s="1">
        <v>45695</v>
      </c>
      <c r="D7" t="s">
        <v>949</v>
      </c>
      <c r="E7" t="s">
        <v>947</v>
      </c>
      <c r="F7" s="1">
        <f t="shared" si="0"/>
        <v>45695</v>
      </c>
      <c r="G7" t="str">
        <f t="shared" si="1"/>
        <v>Fixas</v>
      </c>
    </row>
    <row r="8" spans="1:7">
      <c r="A8" t="s">
        <v>435</v>
      </c>
      <c r="B8" s="14">
        <v>19.899999999999999</v>
      </c>
      <c r="C8" s="1">
        <v>45695</v>
      </c>
      <c r="D8" t="s">
        <v>948</v>
      </c>
      <c r="E8" t="s">
        <v>947</v>
      </c>
      <c r="F8" s="1">
        <f t="shared" si="0"/>
        <v>45695</v>
      </c>
      <c r="G8" t="str">
        <f t="shared" si="1"/>
        <v>Variáveis</v>
      </c>
    </row>
    <row r="9" spans="1:7">
      <c r="A9" t="s">
        <v>436</v>
      </c>
      <c r="B9" s="14">
        <v>200</v>
      </c>
      <c r="C9" s="1">
        <v>45695</v>
      </c>
      <c r="D9" t="s">
        <v>948</v>
      </c>
      <c r="E9" t="s">
        <v>947</v>
      </c>
      <c r="F9" s="1">
        <f t="shared" si="0"/>
        <v>45695</v>
      </c>
      <c r="G9" t="str">
        <f t="shared" si="1"/>
        <v>Variáveis</v>
      </c>
    </row>
    <row r="10" spans="1:7">
      <c r="A10" t="s">
        <v>437</v>
      </c>
      <c r="B10" s="14">
        <v>99</v>
      </c>
      <c r="C10" s="1">
        <v>45695</v>
      </c>
      <c r="D10" t="s">
        <v>950</v>
      </c>
      <c r="E10" t="s">
        <v>947</v>
      </c>
      <c r="F10" s="1">
        <f t="shared" si="0"/>
        <v>45695</v>
      </c>
      <c r="G10" t="str">
        <f t="shared" si="1"/>
        <v>Diretoria</v>
      </c>
    </row>
    <row r="11" spans="1:7">
      <c r="A11" t="s">
        <v>438</v>
      </c>
      <c r="B11" s="14">
        <v>128.62</v>
      </c>
      <c r="C11" s="1">
        <v>45697</v>
      </c>
      <c r="D11" t="s">
        <v>146</v>
      </c>
      <c r="E11" t="s">
        <v>947</v>
      </c>
      <c r="F11" s="1">
        <f t="shared" si="0"/>
        <v>45697</v>
      </c>
      <c r="G11" t="str">
        <f t="shared" si="1"/>
        <v>Investimentos</v>
      </c>
    </row>
    <row r="12" spans="1:7">
      <c r="A12" t="s">
        <v>439</v>
      </c>
      <c r="B12" s="14">
        <v>58</v>
      </c>
      <c r="C12" s="1">
        <v>45699</v>
      </c>
      <c r="D12" t="s">
        <v>948</v>
      </c>
      <c r="E12" t="s">
        <v>947</v>
      </c>
      <c r="F12" s="1">
        <f t="shared" si="0"/>
        <v>45699</v>
      </c>
      <c r="G12" t="str">
        <f t="shared" si="1"/>
        <v>Variáveis</v>
      </c>
    </row>
    <row r="13" spans="1:7">
      <c r="A13" t="s">
        <v>440</v>
      </c>
      <c r="B13" s="14">
        <v>310</v>
      </c>
      <c r="C13" s="1">
        <v>45699</v>
      </c>
      <c r="D13" t="s">
        <v>948</v>
      </c>
      <c r="E13" t="s">
        <v>947</v>
      </c>
      <c r="F13" s="1">
        <f t="shared" si="0"/>
        <v>45699</v>
      </c>
      <c r="G13" t="str">
        <f t="shared" si="1"/>
        <v>Variáveis</v>
      </c>
    </row>
    <row r="14" spans="1:7">
      <c r="A14" t="s">
        <v>441</v>
      </c>
      <c r="B14" s="14">
        <v>96</v>
      </c>
      <c r="C14" s="1">
        <v>45699</v>
      </c>
      <c r="D14" t="s">
        <v>948</v>
      </c>
      <c r="E14" t="s">
        <v>947</v>
      </c>
      <c r="F14" s="1">
        <f t="shared" si="0"/>
        <v>45699</v>
      </c>
      <c r="G14" t="str">
        <f t="shared" si="1"/>
        <v>Variáveis</v>
      </c>
    </row>
    <row r="15" spans="1:7">
      <c r="A15" t="s">
        <v>442</v>
      </c>
      <c r="B15" s="14">
        <v>150</v>
      </c>
      <c r="C15" s="1">
        <v>45699</v>
      </c>
      <c r="D15" t="s">
        <v>948</v>
      </c>
      <c r="E15" t="s">
        <v>947</v>
      </c>
      <c r="F15" s="1">
        <f t="shared" si="0"/>
        <v>45699</v>
      </c>
      <c r="G15" t="str">
        <f t="shared" si="1"/>
        <v>Variáveis</v>
      </c>
    </row>
    <row r="16" spans="1:7">
      <c r="A16" t="s">
        <v>443</v>
      </c>
      <c r="B16" s="14">
        <v>270</v>
      </c>
      <c r="C16" s="1">
        <v>45699</v>
      </c>
      <c r="D16" t="s">
        <v>948</v>
      </c>
      <c r="E16" t="s">
        <v>947</v>
      </c>
      <c r="F16" s="1">
        <f t="shared" si="0"/>
        <v>45699</v>
      </c>
      <c r="G16" t="str">
        <f t="shared" si="1"/>
        <v>Variáveis</v>
      </c>
    </row>
    <row r="17" spans="1:7">
      <c r="A17" t="s">
        <v>143</v>
      </c>
      <c r="B17" s="14">
        <v>100</v>
      </c>
      <c r="C17" s="1">
        <v>45699.590277777781</v>
      </c>
      <c r="D17" t="s">
        <v>949</v>
      </c>
      <c r="E17" t="s">
        <v>136</v>
      </c>
      <c r="F17" s="1">
        <f t="shared" si="0"/>
        <v>45699.590277777781</v>
      </c>
      <c r="G17" t="str">
        <f t="shared" si="1"/>
        <v>Fixas</v>
      </c>
    </row>
    <row r="18" spans="1:7">
      <c r="A18" t="s">
        <v>444</v>
      </c>
      <c r="B18" s="14">
        <v>30</v>
      </c>
      <c r="C18" s="1">
        <v>45699.592361111114</v>
      </c>
      <c r="D18" t="s">
        <v>950</v>
      </c>
      <c r="E18" t="s">
        <v>136</v>
      </c>
      <c r="F18" s="1">
        <f t="shared" si="0"/>
        <v>45699.592361111114</v>
      </c>
      <c r="G18" t="str">
        <f t="shared" si="1"/>
        <v>Diretoria</v>
      </c>
    </row>
    <row r="19" spans="1:7">
      <c r="A19" t="s">
        <v>959</v>
      </c>
      <c r="B19" s="14">
        <v>41.22</v>
      </c>
      <c r="C19" s="1">
        <v>45700.683333333334</v>
      </c>
      <c r="D19" t="s">
        <v>949</v>
      </c>
      <c r="E19" t="s">
        <v>136</v>
      </c>
      <c r="F19" s="1">
        <f t="shared" si="0"/>
        <v>45700.683333333334</v>
      </c>
      <c r="G19" t="str">
        <f t="shared" si="1"/>
        <v>Fixas</v>
      </c>
    </row>
    <row r="20" spans="1:7">
      <c r="A20" t="s">
        <v>960</v>
      </c>
      <c r="B20" s="14">
        <v>30</v>
      </c>
      <c r="C20" s="1">
        <v>45700.685416666667</v>
      </c>
      <c r="D20" t="s">
        <v>948</v>
      </c>
      <c r="E20" t="s">
        <v>136</v>
      </c>
      <c r="F20" s="1">
        <f t="shared" si="0"/>
        <v>45700.685416666667</v>
      </c>
      <c r="G20" t="str">
        <f t="shared" si="1"/>
        <v>Variáveis</v>
      </c>
    </row>
    <row r="21" spans="1:7">
      <c r="A21" t="s">
        <v>961</v>
      </c>
      <c r="B21" s="14">
        <v>60</v>
      </c>
      <c r="C21" s="1">
        <v>45700.686111111114</v>
      </c>
      <c r="D21" t="s">
        <v>949</v>
      </c>
      <c r="E21" t="s">
        <v>136</v>
      </c>
      <c r="F21" s="1">
        <f t="shared" si="0"/>
        <v>45700.686111111114</v>
      </c>
      <c r="G21" t="str">
        <f t="shared" si="1"/>
        <v>Fixas</v>
      </c>
    </row>
    <row r="22" spans="1:7">
      <c r="A22" t="s">
        <v>445</v>
      </c>
      <c r="B22" s="14">
        <v>375.29</v>
      </c>
      <c r="C22" s="1">
        <v>45701</v>
      </c>
      <c r="D22" t="s">
        <v>146</v>
      </c>
      <c r="E22" t="s">
        <v>947</v>
      </c>
      <c r="F22" s="1">
        <f t="shared" si="0"/>
        <v>45701</v>
      </c>
      <c r="G22" t="str">
        <f t="shared" si="1"/>
        <v>Investimentos</v>
      </c>
    </row>
    <row r="23" spans="1:7">
      <c r="A23" t="s">
        <v>962</v>
      </c>
      <c r="B23" s="14">
        <v>56</v>
      </c>
      <c r="C23" s="1">
        <v>45701.57916666667</v>
      </c>
      <c r="D23" t="s">
        <v>948</v>
      </c>
      <c r="E23" t="s">
        <v>136</v>
      </c>
      <c r="F23" s="1">
        <f t="shared" si="0"/>
        <v>45701.57916666667</v>
      </c>
      <c r="G23" t="str">
        <f t="shared" si="1"/>
        <v>Variáveis</v>
      </c>
    </row>
    <row r="24" spans="1:7">
      <c r="A24" t="s">
        <v>954</v>
      </c>
      <c r="B24" s="14">
        <v>1439.15</v>
      </c>
      <c r="C24" s="1">
        <v>45703</v>
      </c>
      <c r="D24" t="s">
        <v>948</v>
      </c>
      <c r="E24" t="s">
        <v>947</v>
      </c>
      <c r="F24" s="1">
        <f t="shared" si="0"/>
        <v>45703</v>
      </c>
      <c r="G24" t="str">
        <f t="shared" si="1"/>
        <v>Variáveis</v>
      </c>
    </row>
    <row r="25" spans="1:7">
      <c r="A25" t="s">
        <v>955</v>
      </c>
      <c r="B25" s="14">
        <v>1801.3</v>
      </c>
      <c r="C25" s="1">
        <v>45703</v>
      </c>
      <c r="D25" t="s">
        <v>948</v>
      </c>
      <c r="E25" t="s">
        <v>947</v>
      </c>
      <c r="F25" s="1">
        <f t="shared" si="0"/>
        <v>45703</v>
      </c>
      <c r="G25" t="str">
        <f t="shared" si="1"/>
        <v>Variáveis</v>
      </c>
    </row>
    <row r="26" spans="1:7">
      <c r="A26" t="s">
        <v>956</v>
      </c>
      <c r="B26" s="14">
        <v>1216.0999999999999</v>
      </c>
      <c r="C26" s="1">
        <v>45703</v>
      </c>
      <c r="D26" t="s">
        <v>948</v>
      </c>
      <c r="E26" t="s">
        <v>947</v>
      </c>
      <c r="F26" s="1">
        <f t="shared" si="0"/>
        <v>45703</v>
      </c>
      <c r="G26" t="str">
        <f t="shared" si="1"/>
        <v>Variáveis</v>
      </c>
    </row>
    <row r="27" spans="1:7">
      <c r="A27" t="s">
        <v>957</v>
      </c>
      <c r="B27" s="14">
        <v>432</v>
      </c>
      <c r="C27" s="1">
        <v>45703</v>
      </c>
      <c r="D27" t="s">
        <v>146</v>
      </c>
      <c r="E27" t="s">
        <v>947</v>
      </c>
      <c r="F27" s="1">
        <f t="shared" si="0"/>
        <v>45703</v>
      </c>
      <c r="G27" t="str">
        <f t="shared" si="1"/>
        <v>Investimentos</v>
      </c>
    </row>
    <row r="28" spans="1:7">
      <c r="A28" t="s">
        <v>963</v>
      </c>
      <c r="B28" s="14">
        <v>5</v>
      </c>
      <c r="C28" s="1">
        <v>45703.423611111109</v>
      </c>
      <c r="D28" t="s">
        <v>949</v>
      </c>
      <c r="E28" t="s">
        <v>136</v>
      </c>
      <c r="F28" s="1">
        <f t="shared" si="0"/>
        <v>45703.423611111109</v>
      </c>
      <c r="G28" t="str">
        <f t="shared" si="1"/>
        <v>Fixas</v>
      </c>
    </row>
    <row r="29" spans="1:7">
      <c r="A29" t="s">
        <v>964</v>
      </c>
      <c r="B29" s="14">
        <v>110</v>
      </c>
      <c r="C29" s="1">
        <v>45703.424305555556</v>
      </c>
      <c r="D29" t="s">
        <v>949</v>
      </c>
      <c r="E29" t="s">
        <v>136</v>
      </c>
      <c r="F29" s="1">
        <f t="shared" si="0"/>
        <v>45703.424305555556</v>
      </c>
      <c r="G29" t="str">
        <f t="shared" si="1"/>
        <v>Fixas</v>
      </c>
    </row>
    <row r="30" spans="1:7">
      <c r="A30" t="s">
        <v>951</v>
      </c>
      <c r="B30" s="14">
        <v>28</v>
      </c>
      <c r="C30" s="1">
        <v>45708</v>
      </c>
      <c r="D30" t="s">
        <v>948</v>
      </c>
      <c r="E30" t="s">
        <v>947</v>
      </c>
      <c r="F30" s="1">
        <f t="shared" si="0"/>
        <v>45708</v>
      </c>
      <c r="G30" t="str">
        <f t="shared" si="1"/>
        <v>Variáveis</v>
      </c>
    </row>
    <row r="31" spans="1:7">
      <c r="A31" t="s">
        <v>952</v>
      </c>
      <c r="B31" s="14">
        <v>28</v>
      </c>
      <c r="C31" s="1">
        <v>45708</v>
      </c>
      <c r="D31" t="s">
        <v>948</v>
      </c>
      <c r="E31" t="s">
        <v>947</v>
      </c>
      <c r="F31" s="1">
        <f t="shared" si="0"/>
        <v>45708</v>
      </c>
      <c r="G31" t="str">
        <f t="shared" si="1"/>
        <v>Variáveis</v>
      </c>
    </row>
    <row r="32" spans="1:7">
      <c r="A32" t="s">
        <v>953</v>
      </c>
      <c r="B32" s="14">
        <v>50</v>
      </c>
      <c r="C32" s="1">
        <v>45708</v>
      </c>
      <c r="D32" t="s">
        <v>948</v>
      </c>
      <c r="E32" t="s">
        <v>947</v>
      </c>
      <c r="F32" s="1">
        <f t="shared" si="0"/>
        <v>45708</v>
      </c>
      <c r="G32" t="str">
        <f t="shared" si="1"/>
        <v>Variáveis</v>
      </c>
    </row>
    <row r="33" spans="1:7">
      <c r="A33" t="s">
        <v>958</v>
      </c>
      <c r="B33" s="14">
        <v>28</v>
      </c>
      <c r="C33" s="1">
        <v>45709</v>
      </c>
      <c r="D33" t="s">
        <v>948</v>
      </c>
      <c r="E33" t="s">
        <v>947</v>
      </c>
      <c r="F33" s="1">
        <f t="shared" si="0"/>
        <v>45709</v>
      </c>
      <c r="G33" t="str">
        <f t="shared" si="1"/>
        <v>Variáveis</v>
      </c>
    </row>
    <row r="34" spans="1:7">
      <c r="A34" t="s">
        <v>965</v>
      </c>
      <c r="B34" s="14">
        <v>174</v>
      </c>
      <c r="C34" s="1">
        <v>45709.620833333334</v>
      </c>
      <c r="D34" t="s">
        <v>950</v>
      </c>
      <c r="E34" t="s">
        <v>136</v>
      </c>
      <c r="F34" s="1">
        <f t="shared" ref="F34:F65" si="2">C34</f>
        <v>45709.620833333334</v>
      </c>
      <c r="G34" t="str">
        <f t="shared" si="1"/>
        <v>Diretoria</v>
      </c>
    </row>
    <row r="35" spans="1:7">
      <c r="A35" t="s">
        <v>966</v>
      </c>
      <c r="B35" s="14">
        <v>82.95</v>
      </c>
      <c r="C35" s="1">
        <v>45709.62222222222</v>
      </c>
      <c r="D35" t="s">
        <v>950</v>
      </c>
      <c r="E35" t="s">
        <v>136</v>
      </c>
      <c r="F35" s="1">
        <f t="shared" si="2"/>
        <v>45709.62222222222</v>
      </c>
      <c r="G35" t="str">
        <f t="shared" si="1"/>
        <v>Diretoria</v>
      </c>
    </row>
    <row r="36" spans="1:7">
      <c r="A36" t="s">
        <v>1241</v>
      </c>
      <c r="B36" s="14">
        <v>20</v>
      </c>
      <c r="C36" s="1">
        <v>45713.705555555556</v>
      </c>
      <c r="D36" t="s">
        <v>949</v>
      </c>
      <c r="E36" t="s">
        <v>136</v>
      </c>
      <c r="F36" s="1">
        <f t="shared" si="2"/>
        <v>45713.705555555556</v>
      </c>
      <c r="G36" t="str">
        <f t="shared" si="1"/>
        <v>Fixas</v>
      </c>
    </row>
    <row r="37" spans="1:7">
      <c r="A37" t="s">
        <v>1242</v>
      </c>
      <c r="B37" s="14">
        <v>24.9</v>
      </c>
      <c r="C37" s="1">
        <v>45713.706250000003</v>
      </c>
      <c r="D37" t="s">
        <v>949</v>
      </c>
      <c r="E37" t="s">
        <v>136</v>
      </c>
      <c r="F37" s="1">
        <f t="shared" si="2"/>
        <v>45713.706250000003</v>
      </c>
      <c r="G37" t="str">
        <f t="shared" si="1"/>
        <v>Fixas</v>
      </c>
    </row>
    <row r="38" spans="1:7">
      <c r="A38" t="s">
        <v>1243</v>
      </c>
      <c r="B38" s="14">
        <v>120</v>
      </c>
      <c r="C38" s="1">
        <v>45713.707638888889</v>
      </c>
      <c r="D38" t="s">
        <v>949</v>
      </c>
      <c r="E38" t="s">
        <v>136</v>
      </c>
      <c r="F38" s="1">
        <f t="shared" si="2"/>
        <v>45713.707638888889</v>
      </c>
      <c r="G38" t="str">
        <f t="shared" si="1"/>
        <v>Fixas</v>
      </c>
    </row>
    <row r="39" spans="1:7">
      <c r="A39" t="s">
        <v>1244</v>
      </c>
      <c r="B39" s="14">
        <v>11.99</v>
      </c>
      <c r="C39" s="1">
        <v>45715.880555555559</v>
      </c>
      <c r="D39" t="s">
        <v>948</v>
      </c>
      <c r="E39" t="s">
        <v>136</v>
      </c>
      <c r="F39" s="1">
        <f t="shared" si="2"/>
        <v>45715.880555555559</v>
      </c>
      <c r="G39" t="str">
        <f t="shared" si="1"/>
        <v>Variáveis</v>
      </c>
    </row>
    <row r="40" spans="1:7">
      <c r="A40" t="s">
        <v>447</v>
      </c>
      <c r="B40" s="14">
        <v>1000</v>
      </c>
      <c r="C40" s="1">
        <v>45716</v>
      </c>
      <c r="D40" t="s">
        <v>146</v>
      </c>
      <c r="E40" t="s">
        <v>947</v>
      </c>
      <c r="F40" s="1">
        <f t="shared" si="2"/>
        <v>45716</v>
      </c>
      <c r="G40" t="str">
        <f t="shared" si="1"/>
        <v>Investimentos</v>
      </c>
    </row>
    <row r="41" spans="1:7">
      <c r="A41" t="s">
        <v>1245</v>
      </c>
      <c r="B41" s="14">
        <v>1000</v>
      </c>
      <c r="C41" s="1">
        <v>45716</v>
      </c>
      <c r="D41" t="s">
        <v>146</v>
      </c>
      <c r="E41" t="s">
        <v>947</v>
      </c>
      <c r="F41" s="1">
        <f t="shared" si="2"/>
        <v>45716</v>
      </c>
      <c r="G41" t="str">
        <f t="shared" si="1"/>
        <v>Investimentos</v>
      </c>
    </row>
    <row r="42" spans="1:7">
      <c r="A42" t="s">
        <v>1246</v>
      </c>
      <c r="B42" s="14">
        <v>1229.3</v>
      </c>
      <c r="C42" s="1">
        <v>45716</v>
      </c>
      <c r="D42" t="s">
        <v>948</v>
      </c>
      <c r="E42" t="s">
        <v>947</v>
      </c>
      <c r="F42" s="1">
        <f t="shared" si="2"/>
        <v>45716</v>
      </c>
      <c r="G42" t="str">
        <f t="shared" si="1"/>
        <v>Variáveis</v>
      </c>
    </row>
    <row r="43" spans="1:7">
      <c r="A43" t="s">
        <v>1247</v>
      </c>
      <c r="B43" s="14">
        <v>1675.5</v>
      </c>
      <c r="C43" s="1">
        <v>45716</v>
      </c>
      <c r="D43" t="s">
        <v>948</v>
      </c>
      <c r="E43" t="s">
        <v>947</v>
      </c>
      <c r="F43" s="1">
        <f t="shared" si="2"/>
        <v>45716</v>
      </c>
      <c r="G43" t="str">
        <f t="shared" si="1"/>
        <v>Variáveis</v>
      </c>
    </row>
    <row r="44" spans="1:7">
      <c r="A44" t="s">
        <v>448</v>
      </c>
      <c r="B44" s="14">
        <v>160</v>
      </c>
      <c r="C44" s="1">
        <v>45716</v>
      </c>
      <c r="D44" t="s">
        <v>146</v>
      </c>
      <c r="E44" t="s">
        <v>947</v>
      </c>
      <c r="F44" s="1">
        <f t="shared" si="2"/>
        <v>45716</v>
      </c>
      <c r="G44" t="str">
        <f t="shared" si="1"/>
        <v>Investimentos</v>
      </c>
    </row>
    <row r="45" spans="1:7">
      <c r="A45" t="s">
        <v>1251</v>
      </c>
      <c r="B45" s="14">
        <v>966.9</v>
      </c>
      <c r="C45" s="1">
        <v>45718</v>
      </c>
      <c r="D45" t="s">
        <v>948</v>
      </c>
      <c r="E45" t="s">
        <v>947</v>
      </c>
      <c r="F45" s="1">
        <f t="shared" si="2"/>
        <v>45718</v>
      </c>
      <c r="G45" t="str">
        <f t="shared" si="1"/>
        <v>Variáveis</v>
      </c>
    </row>
    <row r="46" spans="1:7">
      <c r="A46" t="s">
        <v>1252</v>
      </c>
      <c r="B46" s="14">
        <v>19.899999999999999</v>
      </c>
      <c r="C46" s="1">
        <v>45722</v>
      </c>
      <c r="D46" t="s">
        <v>948</v>
      </c>
      <c r="E46" t="s">
        <v>947</v>
      </c>
      <c r="F46" s="1">
        <f t="shared" si="2"/>
        <v>45722</v>
      </c>
      <c r="G46" t="str">
        <f t="shared" si="1"/>
        <v>Variáveis</v>
      </c>
    </row>
    <row r="47" spans="1:7">
      <c r="A47" t="s">
        <v>1253</v>
      </c>
      <c r="B47" s="14">
        <v>2.9</v>
      </c>
      <c r="C47" s="1">
        <v>45722</v>
      </c>
      <c r="D47" t="s">
        <v>948</v>
      </c>
      <c r="E47" t="s">
        <v>947</v>
      </c>
      <c r="F47" s="1">
        <f t="shared" si="2"/>
        <v>45722</v>
      </c>
      <c r="G47" t="str">
        <f t="shared" si="1"/>
        <v>Variáveis</v>
      </c>
    </row>
    <row r="48" spans="1:7">
      <c r="A48" t="s">
        <v>1254</v>
      </c>
      <c r="B48" s="14">
        <v>61.96</v>
      </c>
      <c r="C48" s="1">
        <v>45722</v>
      </c>
      <c r="D48" t="s">
        <v>948</v>
      </c>
      <c r="E48" t="s">
        <v>947</v>
      </c>
      <c r="F48" s="1">
        <f t="shared" si="2"/>
        <v>45722</v>
      </c>
      <c r="G48" t="str">
        <f t="shared" si="1"/>
        <v>Variáveis</v>
      </c>
    </row>
    <row r="49" spans="1:7">
      <c r="A49" t="s">
        <v>1255</v>
      </c>
      <c r="B49" s="14">
        <v>11.98</v>
      </c>
      <c r="C49" s="1">
        <v>45722</v>
      </c>
      <c r="D49" t="s">
        <v>948</v>
      </c>
      <c r="E49" t="s">
        <v>947</v>
      </c>
      <c r="F49" s="1">
        <f t="shared" si="2"/>
        <v>45722</v>
      </c>
      <c r="G49" t="str">
        <f t="shared" si="1"/>
        <v>Variáveis</v>
      </c>
    </row>
    <row r="50" spans="1:7">
      <c r="A50" t="s">
        <v>1256</v>
      </c>
      <c r="B50" s="14">
        <v>29.96</v>
      </c>
      <c r="C50" s="1">
        <v>45722</v>
      </c>
      <c r="D50" t="s">
        <v>948</v>
      </c>
      <c r="E50" t="s">
        <v>947</v>
      </c>
      <c r="F50" s="1">
        <f t="shared" si="2"/>
        <v>45722</v>
      </c>
      <c r="G50" t="str">
        <f t="shared" si="1"/>
        <v>Variáveis</v>
      </c>
    </row>
    <row r="51" spans="1:7">
      <c r="A51" t="s">
        <v>1257</v>
      </c>
      <c r="B51" s="14">
        <v>9.5399999999999991</v>
      </c>
      <c r="C51" s="1">
        <v>45722</v>
      </c>
      <c r="D51" t="s">
        <v>948</v>
      </c>
      <c r="E51" t="s">
        <v>947</v>
      </c>
      <c r="F51" s="1">
        <f t="shared" si="2"/>
        <v>45722</v>
      </c>
      <c r="G51" t="str">
        <f t="shared" si="1"/>
        <v>Variáveis</v>
      </c>
    </row>
    <row r="52" spans="1:7">
      <c r="A52" t="s">
        <v>1258</v>
      </c>
      <c r="B52" s="14">
        <v>8.48</v>
      </c>
      <c r="C52" s="1">
        <v>45722</v>
      </c>
      <c r="D52" t="s">
        <v>948</v>
      </c>
      <c r="E52" t="s">
        <v>947</v>
      </c>
      <c r="F52" s="1">
        <f t="shared" si="2"/>
        <v>45722</v>
      </c>
      <c r="G52" t="str">
        <f t="shared" si="1"/>
        <v>Variáveis</v>
      </c>
    </row>
    <row r="53" spans="1:7">
      <c r="A53" t="s">
        <v>1259</v>
      </c>
      <c r="B53" s="14">
        <v>100</v>
      </c>
      <c r="C53" s="1">
        <v>45722</v>
      </c>
      <c r="D53" t="s">
        <v>948</v>
      </c>
      <c r="E53" t="s">
        <v>947</v>
      </c>
      <c r="F53" s="1">
        <f t="shared" si="2"/>
        <v>45722</v>
      </c>
      <c r="G53" t="str">
        <f t="shared" si="1"/>
        <v>Variáveis</v>
      </c>
    </row>
    <row r="54" spans="1:7">
      <c r="A54" t="s">
        <v>1260</v>
      </c>
      <c r="B54" s="14">
        <v>36</v>
      </c>
      <c r="C54" s="1">
        <v>45722</v>
      </c>
      <c r="D54" t="s">
        <v>948</v>
      </c>
      <c r="E54" t="s">
        <v>947</v>
      </c>
      <c r="F54" s="1">
        <f t="shared" si="2"/>
        <v>45722</v>
      </c>
      <c r="G54" t="str">
        <f t="shared" si="1"/>
        <v>Variáveis</v>
      </c>
    </row>
    <row r="55" spans="1:7">
      <c r="A55" t="s">
        <v>431</v>
      </c>
      <c r="B55" s="14">
        <v>231.02</v>
      </c>
      <c r="C55" s="1">
        <v>45723</v>
      </c>
      <c r="D55" t="s">
        <v>146</v>
      </c>
      <c r="E55" t="s">
        <v>947</v>
      </c>
      <c r="F55" s="1">
        <f t="shared" si="2"/>
        <v>45723</v>
      </c>
      <c r="G55" t="str">
        <f t="shared" si="1"/>
        <v>Investimentos</v>
      </c>
    </row>
    <row r="56" spans="1:7">
      <c r="A56" t="s">
        <v>1261</v>
      </c>
      <c r="B56" s="14">
        <v>60</v>
      </c>
      <c r="C56" s="1">
        <v>45723</v>
      </c>
      <c r="D56" t="s">
        <v>949</v>
      </c>
      <c r="E56" t="s">
        <v>947</v>
      </c>
      <c r="F56" s="1">
        <f t="shared" si="2"/>
        <v>45723</v>
      </c>
      <c r="G56" t="str">
        <f t="shared" si="1"/>
        <v>Fixas</v>
      </c>
    </row>
    <row r="57" spans="1:7">
      <c r="A57" t="s">
        <v>1262</v>
      </c>
      <c r="B57" s="14">
        <v>500</v>
      </c>
      <c r="C57" s="1">
        <v>45723</v>
      </c>
      <c r="D57" t="s">
        <v>1263</v>
      </c>
      <c r="E57" t="s">
        <v>947</v>
      </c>
      <c r="F57" s="1">
        <f t="shared" si="2"/>
        <v>45723</v>
      </c>
      <c r="G57" t="str">
        <f t="shared" si="1"/>
        <v>Variáveis</v>
      </c>
    </row>
    <row r="58" spans="1:7">
      <c r="A58" t="s">
        <v>438</v>
      </c>
      <c r="B58" s="14">
        <v>128.62</v>
      </c>
      <c r="C58" s="1">
        <v>45725</v>
      </c>
      <c r="D58" t="s">
        <v>146</v>
      </c>
      <c r="E58" t="s">
        <v>947</v>
      </c>
      <c r="F58" s="1">
        <f t="shared" si="2"/>
        <v>45725</v>
      </c>
      <c r="G58" t="str">
        <f t="shared" si="1"/>
        <v>Investimentos</v>
      </c>
    </row>
    <row r="59" spans="1:7">
      <c r="A59" t="s">
        <v>1264</v>
      </c>
      <c r="B59" s="14">
        <v>120</v>
      </c>
      <c r="C59" s="1">
        <v>45725</v>
      </c>
      <c r="D59" t="s">
        <v>948</v>
      </c>
      <c r="E59" t="s">
        <v>947</v>
      </c>
      <c r="F59" s="1">
        <f t="shared" si="2"/>
        <v>45725</v>
      </c>
      <c r="G59" t="str">
        <f t="shared" si="1"/>
        <v>Variáveis</v>
      </c>
    </row>
    <row r="60" spans="1:7">
      <c r="A60" t="s">
        <v>1265</v>
      </c>
      <c r="B60" s="14">
        <v>200</v>
      </c>
      <c r="C60" s="1">
        <v>45725</v>
      </c>
      <c r="D60" t="s">
        <v>948</v>
      </c>
      <c r="E60" t="s">
        <v>947</v>
      </c>
      <c r="F60" s="1">
        <f t="shared" si="2"/>
        <v>45725</v>
      </c>
      <c r="G60" t="str">
        <f t="shared" si="1"/>
        <v>Variáveis</v>
      </c>
    </row>
    <row r="61" spans="1:7">
      <c r="A61" t="s">
        <v>1266</v>
      </c>
      <c r="B61" s="14">
        <v>37</v>
      </c>
      <c r="C61" s="1">
        <v>45726</v>
      </c>
      <c r="D61" t="s">
        <v>948</v>
      </c>
      <c r="E61" t="s">
        <v>947</v>
      </c>
      <c r="F61" s="1">
        <f t="shared" si="2"/>
        <v>45726</v>
      </c>
      <c r="G61" t="str">
        <f t="shared" si="1"/>
        <v>Variáveis</v>
      </c>
    </row>
    <row r="62" spans="1:7">
      <c r="A62" t="s">
        <v>1267</v>
      </c>
      <c r="B62" s="14">
        <v>31</v>
      </c>
      <c r="C62" s="1">
        <v>45726</v>
      </c>
      <c r="D62" t="s">
        <v>950</v>
      </c>
      <c r="E62" t="s">
        <v>947</v>
      </c>
      <c r="F62" s="1">
        <f t="shared" si="2"/>
        <v>45726</v>
      </c>
      <c r="G62" t="str">
        <f t="shared" si="1"/>
        <v>Diretoria</v>
      </c>
    </row>
    <row r="63" spans="1:7">
      <c r="A63" t="s">
        <v>1262</v>
      </c>
      <c r="B63" s="14">
        <v>130</v>
      </c>
      <c r="C63" s="1">
        <v>45726</v>
      </c>
      <c r="D63" t="s">
        <v>1263</v>
      </c>
      <c r="E63" t="s">
        <v>947</v>
      </c>
      <c r="F63" s="1">
        <f t="shared" si="2"/>
        <v>45726</v>
      </c>
      <c r="G63" t="str">
        <f t="shared" si="1"/>
        <v>Variáveis</v>
      </c>
    </row>
    <row r="64" spans="1:7">
      <c r="A64" t="s">
        <v>1268</v>
      </c>
      <c r="B64" s="14">
        <v>86.52</v>
      </c>
      <c r="C64" s="1">
        <v>45726</v>
      </c>
      <c r="D64" t="s">
        <v>949</v>
      </c>
      <c r="E64" t="s">
        <v>947</v>
      </c>
      <c r="F64" s="1">
        <f t="shared" si="2"/>
        <v>45726</v>
      </c>
      <c r="G64" t="str">
        <f t="shared" si="1"/>
        <v>Fixas</v>
      </c>
    </row>
    <row r="65" spans="1:7">
      <c r="A65" s="46" t="s">
        <v>1296</v>
      </c>
      <c r="B65" s="47">
        <v>288</v>
      </c>
      <c r="C65" s="1">
        <v>45727</v>
      </c>
      <c r="D65" s="46" t="s">
        <v>948</v>
      </c>
      <c r="E65" s="46" t="s">
        <v>947</v>
      </c>
      <c r="F65" s="1">
        <f t="shared" si="2"/>
        <v>45727</v>
      </c>
      <c r="G65" t="str">
        <f t="shared" si="1"/>
        <v>Variáveis</v>
      </c>
    </row>
    <row r="66" spans="1:7">
      <c r="A66" s="46" t="s">
        <v>1297</v>
      </c>
      <c r="B66" s="47">
        <v>102</v>
      </c>
      <c r="C66" s="1">
        <v>45727.892361111109</v>
      </c>
      <c r="D66" s="46" t="s">
        <v>1263</v>
      </c>
      <c r="E66" s="46" t="s">
        <v>136</v>
      </c>
      <c r="F66" s="1">
        <f t="shared" ref="F66:F77" si="3">C66</f>
        <v>45727.892361111109</v>
      </c>
      <c r="G66" t="str">
        <f t="shared" ref="G66:G79" si="4">IF(D66="Gastos Fixos","Fixas",IF(D66="Gastos variaveis","Variáveis",IF(D66="Vale","Variáveis",IF(D66="Alimentação","Diretoria",D66))))</f>
        <v>Variáveis</v>
      </c>
    </row>
    <row r="67" spans="1:7">
      <c r="A67" s="46" t="s">
        <v>1298</v>
      </c>
      <c r="B67" s="47">
        <v>288</v>
      </c>
      <c r="C67" s="1">
        <v>45727.959722222222</v>
      </c>
      <c r="D67" s="46" t="s">
        <v>948</v>
      </c>
      <c r="E67" s="46" t="s">
        <v>136</v>
      </c>
      <c r="F67" s="1">
        <f t="shared" si="3"/>
        <v>45727.959722222222</v>
      </c>
      <c r="G67" t="str">
        <f t="shared" si="4"/>
        <v>Variáveis</v>
      </c>
    </row>
    <row r="68" spans="1:7">
      <c r="A68" s="46" t="s">
        <v>445</v>
      </c>
      <c r="B68" s="47">
        <v>375.29</v>
      </c>
      <c r="C68" s="1">
        <v>45729</v>
      </c>
      <c r="D68" s="46" t="s">
        <v>146</v>
      </c>
      <c r="E68" s="46" t="s">
        <v>947</v>
      </c>
      <c r="F68" s="1">
        <f t="shared" si="3"/>
        <v>45729</v>
      </c>
      <c r="G68" t="str">
        <f t="shared" si="4"/>
        <v>Investimentos</v>
      </c>
    </row>
    <row r="69" spans="1:7">
      <c r="A69" s="46" t="s">
        <v>953</v>
      </c>
      <c r="B69" s="47">
        <v>50</v>
      </c>
      <c r="C69" s="1">
        <v>45729</v>
      </c>
      <c r="D69" s="46" t="s">
        <v>948</v>
      </c>
      <c r="E69" s="46" t="s">
        <v>947</v>
      </c>
      <c r="F69" s="1">
        <f t="shared" si="3"/>
        <v>45729</v>
      </c>
      <c r="G69" t="str">
        <f t="shared" si="4"/>
        <v>Variáveis</v>
      </c>
    </row>
    <row r="70" spans="1:7">
      <c r="A70" s="46" t="s">
        <v>1261</v>
      </c>
      <c r="B70" s="47">
        <v>60</v>
      </c>
      <c r="C70" s="1">
        <v>45729</v>
      </c>
      <c r="D70" s="46" t="s">
        <v>949</v>
      </c>
      <c r="E70" s="46" t="s">
        <v>947</v>
      </c>
      <c r="F70" s="1">
        <f t="shared" si="3"/>
        <v>45729</v>
      </c>
      <c r="G70" t="str">
        <f t="shared" si="4"/>
        <v>Fixas</v>
      </c>
    </row>
    <row r="71" spans="1:7">
      <c r="A71" s="46" t="s">
        <v>1299</v>
      </c>
      <c r="B71" s="47">
        <v>150</v>
      </c>
      <c r="C71" s="1">
        <v>45731</v>
      </c>
      <c r="D71" s="46" t="s">
        <v>948</v>
      </c>
      <c r="E71" s="46" t="s">
        <v>947</v>
      </c>
      <c r="F71" s="1">
        <f t="shared" si="3"/>
        <v>45731</v>
      </c>
      <c r="G71" t="str">
        <f t="shared" si="4"/>
        <v>Variáveis</v>
      </c>
    </row>
    <row r="72" spans="1:7">
      <c r="A72" s="46" t="s">
        <v>1261</v>
      </c>
      <c r="B72" s="47">
        <v>60</v>
      </c>
      <c r="C72" s="1">
        <v>45735</v>
      </c>
      <c r="D72" s="46" t="s">
        <v>949</v>
      </c>
      <c r="E72" s="46" t="s">
        <v>947</v>
      </c>
      <c r="F72" s="1">
        <f t="shared" si="3"/>
        <v>45735</v>
      </c>
      <c r="G72" t="str">
        <f t="shared" si="4"/>
        <v>Fixas</v>
      </c>
    </row>
    <row r="73" spans="1:7">
      <c r="A73" s="46" t="s">
        <v>430</v>
      </c>
      <c r="B73" s="47">
        <v>7.9</v>
      </c>
      <c r="C73" s="1">
        <v>45735</v>
      </c>
      <c r="D73" s="46" t="s">
        <v>948</v>
      </c>
      <c r="E73" s="46" t="s">
        <v>947</v>
      </c>
      <c r="F73" s="1">
        <f t="shared" si="3"/>
        <v>45735</v>
      </c>
      <c r="G73" t="str">
        <f t="shared" si="4"/>
        <v>Variáveis</v>
      </c>
    </row>
    <row r="74" spans="1:7">
      <c r="A74" s="46" t="s">
        <v>1252</v>
      </c>
      <c r="B74" s="47">
        <v>19.899999999999999</v>
      </c>
      <c r="C74" s="1">
        <v>45735</v>
      </c>
      <c r="D74" s="46" t="s">
        <v>948</v>
      </c>
      <c r="E74" s="46" t="s">
        <v>947</v>
      </c>
      <c r="F74" s="1">
        <f t="shared" si="3"/>
        <v>45735</v>
      </c>
      <c r="G74" t="str">
        <f t="shared" si="4"/>
        <v>Variáveis</v>
      </c>
    </row>
    <row r="75" spans="1:7">
      <c r="A75" s="46" t="s">
        <v>447</v>
      </c>
      <c r="B75" s="47">
        <v>1000</v>
      </c>
      <c r="C75" s="1">
        <v>45736</v>
      </c>
      <c r="D75" s="46" t="s">
        <v>146</v>
      </c>
      <c r="E75" s="46" t="s">
        <v>947</v>
      </c>
      <c r="F75" s="1">
        <f t="shared" si="3"/>
        <v>45736</v>
      </c>
      <c r="G75" t="str">
        <f t="shared" si="4"/>
        <v>Investimentos</v>
      </c>
    </row>
    <row r="76" spans="1:7">
      <c r="A76" s="46" t="s">
        <v>1300</v>
      </c>
      <c r="B76" s="47">
        <v>120</v>
      </c>
      <c r="C76" s="1">
        <v>45737</v>
      </c>
      <c r="D76" s="46" t="s">
        <v>948</v>
      </c>
      <c r="E76" s="46" t="s">
        <v>947</v>
      </c>
      <c r="F76" s="1">
        <f t="shared" si="3"/>
        <v>45737</v>
      </c>
      <c r="G76" t="str">
        <f t="shared" si="4"/>
        <v>Variáveis</v>
      </c>
    </row>
    <row r="77" spans="1:7">
      <c r="A77" s="46" t="s">
        <v>1301</v>
      </c>
      <c r="B77" s="47">
        <v>103.64</v>
      </c>
      <c r="C77" s="1">
        <v>45737</v>
      </c>
      <c r="D77" s="46" t="s">
        <v>949</v>
      </c>
      <c r="E77" s="46" t="s">
        <v>947</v>
      </c>
      <c r="F77" s="1">
        <f t="shared" si="3"/>
        <v>45737</v>
      </c>
      <c r="G77" t="str">
        <f t="shared" si="4"/>
        <v>Fixas</v>
      </c>
    </row>
    <row r="78" spans="1:7">
      <c r="A78" t="s">
        <v>1909</v>
      </c>
      <c r="B78" s="47">
        <v>210</v>
      </c>
      <c r="C78" s="1" t="s">
        <v>1910</v>
      </c>
      <c r="D78" t="s">
        <v>948</v>
      </c>
      <c r="E78" t="s">
        <v>136</v>
      </c>
      <c r="F78" s="1">
        <f>DATEVALUE(C78)</f>
        <v>45743</v>
      </c>
      <c r="G78" t="str">
        <f t="shared" si="4"/>
        <v>Variáveis</v>
      </c>
    </row>
    <row r="79" spans="1:7">
      <c r="A79" t="s">
        <v>969</v>
      </c>
      <c r="B79" s="47">
        <v>250</v>
      </c>
      <c r="C79" s="1" t="s">
        <v>1913</v>
      </c>
      <c r="D79" t="s">
        <v>948</v>
      </c>
      <c r="E79" t="s">
        <v>136</v>
      </c>
      <c r="F79" s="1">
        <f>DATEVALUE(C79)</f>
        <v>45743</v>
      </c>
      <c r="G79" t="str">
        <f t="shared" si="4"/>
        <v>Variáveis</v>
      </c>
    </row>
    <row r="80" spans="1:7">
      <c r="A80" t="s">
        <v>141</v>
      </c>
      <c r="B80" s="47">
        <v>60</v>
      </c>
      <c r="C80" s="1" t="s">
        <v>1914</v>
      </c>
      <c r="D80" t="s">
        <v>949</v>
      </c>
      <c r="E80" t="s">
        <v>136</v>
      </c>
      <c r="F80" s="1">
        <f>DATEVALUE(C80)</f>
        <v>45743</v>
      </c>
      <c r="G80" t="str">
        <f>IF(D80="Gastos Fixos","Fixas",IF(D80="Gastos variaveis","Variáveis",IF(D80="Vale","Variáveis",IF(D80="Alimentação","Diretoria",D80))))</f>
        <v>Fixas</v>
      </c>
    </row>
    <row r="81" spans="1:7">
      <c r="A81" t="s">
        <v>1911</v>
      </c>
      <c r="B81" s="47">
        <v>56.49</v>
      </c>
      <c r="C81" s="1" t="s">
        <v>1912</v>
      </c>
      <c r="D81" t="s">
        <v>948</v>
      </c>
      <c r="E81" t="s">
        <v>136</v>
      </c>
      <c r="F81" s="1">
        <f>DATEVALUE(C81)</f>
        <v>45744</v>
      </c>
      <c r="G81" t="str">
        <f t="shared" ref="G81:G88" si="5">IF(D81="Gastos Fixos","Fixas",IF(D81="Gastos variaveis","Variáveis",IF(D81="Vale","Variáveis",IF(D81="Alimentação","Diretoria",D81))))</f>
        <v>Variáveis</v>
      </c>
    </row>
    <row r="82" spans="1:7">
      <c r="A82" t="s">
        <v>1915</v>
      </c>
      <c r="B82" s="47">
        <v>11.9</v>
      </c>
      <c r="C82" s="1" t="s">
        <v>1916</v>
      </c>
      <c r="D82" t="s">
        <v>948</v>
      </c>
      <c r="E82" t="s">
        <v>136</v>
      </c>
      <c r="F82" s="1">
        <f>DATEVALUE(C82)</f>
        <v>45744</v>
      </c>
      <c r="G82" t="str">
        <f t="shared" si="5"/>
        <v>Variáveis</v>
      </c>
    </row>
    <row r="83" spans="1:7">
      <c r="A83" s="46" t="s">
        <v>266</v>
      </c>
      <c r="B83" s="47">
        <v>2000</v>
      </c>
      <c r="C83" s="1">
        <v>45747</v>
      </c>
      <c r="D83" s="46" t="s">
        <v>949</v>
      </c>
      <c r="E83" s="46" t="s">
        <v>947</v>
      </c>
      <c r="F83" s="1">
        <f>C83</f>
        <v>45747</v>
      </c>
      <c r="G83" t="str">
        <f t="shared" si="5"/>
        <v>Fixas</v>
      </c>
    </row>
    <row r="84" spans="1:7">
      <c r="A84" t="s">
        <v>1919</v>
      </c>
      <c r="B84" s="14">
        <v>2959.5</v>
      </c>
      <c r="C84" s="1">
        <v>45747</v>
      </c>
      <c r="D84" t="s">
        <v>948</v>
      </c>
      <c r="E84" t="s">
        <v>947</v>
      </c>
      <c r="F84" s="1">
        <f>C84</f>
        <v>45747</v>
      </c>
      <c r="G84" t="str">
        <f t="shared" si="5"/>
        <v>Variáveis</v>
      </c>
    </row>
    <row r="85" spans="1:7">
      <c r="A85" t="s">
        <v>1920</v>
      </c>
      <c r="B85" s="14">
        <v>2105.9</v>
      </c>
      <c r="C85" s="1">
        <v>45747</v>
      </c>
      <c r="D85" t="s">
        <v>948</v>
      </c>
      <c r="E85" t="s">
        <v>947</v>
      </c>
      <c r="F85" s="1">
        <f>C85</f>
        <v>45747</v>
      </c>
      <c r="G85" t="str">
        <f t="shared" si="5"/>
        <v>Variáveis</v>
      </c>
    </row>
    <row r="86" spans="1:7">
      <c r="A86" t="s">
        <v>1921</v>
      </c>
      <c r="B86" s="14">
        <v>2687.05</v>
      </c>
      <c r="C86" s="1">
        <v>45747</v>
      </c>
      <c r="D86" t="s">
        <v>948</v>
      </c>
      <c r="E86" t="s">
        <v>947</v>
      </c>
      <c r="F86" s="1">
        <f>C86</f>
        <v>45747</v>
      </c>
      <c r="G86" t="str">
        <f t="shared" si="5"/>
        <v>Variáveis</v>
      </c>
    </row>
    <row r="87" spans="1:7">
      <c r="A87" t="s">
        <v>1261</v>
      </c>
      <c r="B87" s="4">
        <v>60</v>
      </c>
      <c r="C87" s="1" t="s">
        <v>2364</v>
      </c>
      <c r="D87" t="s">
        <v>949</v>
      </c>
      <c r="E87" t="s">
        <v>947</v>
      </c>
      <c r="F87" s="1">
        <f>DATEVALUE(C87)</f>
        <v>45749</v>
      </c>
      <c r="G87" t="str">
        <f t="shared" si="5"/>
        <v>Fixas</v>
      </c>
    </row>
    <row r="88" spans="1:7">
      <c r="A88" t="s">
        <v>2344</v>
      </c>
      <c r="B88" s="4">
        <v>16.989999999999998</v>
      </c>
      <c r="C88" s="1" t="s">
        <v>2345</v>
      </c>
      <c r="D88" t="s">
        <v>948</v>
      </c>
      <c r="E88" t="s">
        <v>136</v>
      </c>
      <c r="F88" s="1">
        <f>DATEVALUE(C88)</f>
        <v>45751</v>
      </c>
      <c r="G88" t="str">
        <f t="shared" si="5"/>
        <v>Variáveis</v>
      </c>
    </row>
    <row r="89" spans="1:7">
      <c r="A89" t="s">
        <v>2349</v>
      </c>
      <c r="B89" s="4">
        <v>3</v>
      </c>
      <c r="C89" s="1" t="s">
        <v>2345</v>
      </c>
      <c r="D89" t="s">
        <v>948</v>
      </c>
      <c r="E89" t="s">
        <v>136</v>
      </c>
      <c r="F89" s="1">
        <f>DATEVALUE(C89)</f>
        <v>45751</v>
      </c>
      <c r="G89" t="str">
        <f>IF(D89="Gastos Fixos","Fixas",IF(D89="Gastos variaveis","Variáveis",IF(D89="Vale","Variáveis",IF(D89="Alimentação","Diretoria",D89))))</f>
        <v>Variáveis</v>
      </c>
    </row>
    <row r="90" spans="1:7">
      <c r="A90" t="s">
        <v>2365</v>
      </c>
      <c r="B90" s="4">
        <v>35.97</v>
      </c>
      <c r="C90" s="1" t="s">
        <v>2366</v>
      </c>
      <c r="D90" t="s">
        <v>948</v>
      </c>
      <c r="E90" t="s">
        <v>136</v>
      </c>
      <c r="F90" s="1">
        <f>DATEVALUE(C90)</f>
        <v>45751</v>
      </c>
      <c r="G90" t="str">
        <f>IF(D90="Gastos Fixos","Fixas",IF(D90="Gastos variaveis","Variáveis",IF(D90="Vale","Variáveis",IF(D90="Alimentação","Diretoria",D90))))</f>
        <v>Variáveis</v>
      </c>
    </row>
    <row r="91" spans="1:7">
      <c r="A91" t="s">
        <v>431</v>
      </c>
      <c r="B91" s="14">
        <v>231.02</v>
      </c>
      <c r="C91" s="1">
        <v>45754</v>
      </c>
      <c r="D91" t="s">
        <v>146</v>
      </c>
      <c r="E91" t="s">
        <v>947</v>
      </c>
      <c r="F91" s="1">
        <f>C91</f>
        <v>45754</v>
      </c>
      <c r="G91" t="str">
        <f>IF(D91="Gastos Fixos","Fixas",IF(D91="Gastos variaveis","Variáveis",IF(D91="Vale","Variáveis",IF(D91="Alimentação","Diretoria",D91))))</f>
        <v>Investimentos</v>
      </c>
    </row>
    <row r="92" spans="1:7">
      <c r="A92" t="s">
        <v>2341</v>
      </c>
      <c r="B92" s="4">
        <v>28</v>
      </c>
      <c r="C92" s="1" t="s">
        <v>2342</v>
      </c>
      <c r="D92" t="s">
        <v>950</v>
      </c>
      <c r="E92" t="s">
        <v>136</v>
      </c>
      <c r="F92" s="1">
        <f t="shared" ref="F92:F97" si="6">DATEVALUE(C92)</f>
        <v>45754</v>
      </c>
      <c r="G92" t="str">
        <f t="shared" ref="G92:G108" si="7">IF(D92="Gastos Fixos","Fixas",IF(D92="Gastos variaveis","Variáveis",IF(D92="Vale","Variáveis",IF(D92="Alimentação","Diretoria",D92))))</f>
        <v>Diretoria</v>
      </c>
    </row>
    <row r="93" spans="1:7">
      <c r="A93" t="s">
        <v>2348</v>
      </c>
      <c r="B93" s="4">
        <v>120</v>
      </c>
      <c r="C93" s="1" t="s">
        <v>2343</v>
      </c>
      <c r="D93" t="s">
        <v>948</v>
      </c>
      <c r="E93" t="s">
        <v>947</v>
      </c>
      <c r="F93" s="1">
        <f t="shared" si="6"/>
        <v>45754</v>
      </c>
      <c r="G93" t="str">
        <f t="shared" si="7"/>
        <v>Variáveis</v>
      </c>
    </row>
    <row r="94" spans="1:7">
      <c r="A94" t="s">
        <v>959</v>
      </c>
      <c r="B94" s="4">
        <v>55.78</v>
      </c>
      <c r="C94" s="1" t="s">
        <v>2343</v>
      </c>
      <c r="D94" t="s">
        <v>949</v>
      </c>
      <c r="E94" t="s">
        <v>947</v>
      </c>
      <c r="F94" s="1">
        <f t="shared" si="6"/>
        <v>45754</v>
      </c>
      <c r="G94" t="str">
        <f t="shared" si="7"/>
        <v>Fixas</v>
      </c>
    </row>
    <row r="95" spans="1:7">
      <c r="A95" t="s">
        <v>2352</v>
      </c>
      <c r="B95" s="4">
        <v>2.9</v>
      </c>
      <c r="C95" s="1" t="s">
        <v>2353</v>
      </c>
      <c r="D95" t="s">
        <v>2354</v>
      </c>
      <c r="E95" t="s">
        <v>136</v>
      </c>
      <c r="F95" s="1">
        <f t="shared" si="6"/>
        <v>45755</v>
      </c>
      <c r="G95" t="str">
        <f t="shared" si="7"/>
        <v>Não informada</v>
      </c>
    </row>
    <row r="96" spans="1:7">
      <c r="A96" t="s">
        <v>2358</v>
      </c>
      <c r="B96" s="4">
        <v>2.8</v>
      </c>
      <c r="C96" s="1" t="s">
        <v>2359</v>
      </c>
      <c r="D96" t="s">
        <v>2354</v>
      </c>
      <c r="E96" t="s">
        <v>136</v>
      </c>
      <c r="F96" s="1">
        <f t="shared" si="6"/>
        <v>45755</v>
      </c>
      <c r="G96" t="str">
        <f t="shared" si="7"/>
        <v>Não informada</v>
      </c>
    </row>
    <row r="97" spans="1:7">
      <c r="A97" t="s">
        <v>2367</v>
      </c>
      <c r="B97" s="4">
        <v>300</v>
      </c>
      <c r="C97" s="1" t="s">
        <v>2368</v>
      </c>
      <c r="D97" t="s">
        <v>948</v>
      </c>
      <c r="E97" t="s">
        <v>136</v>
      </c>
      <c r="F97" s="1">
        <f t="shared" si="6"/>
        <v>45755</v>
      </c>
      <c r="G97" t="str">
        <f t="shared" si="7"/>
        <v>Variáveis</v>
      </c>
    </row>
    <row r="98" spans="1:7">
      <c r="A98" t="s">
        <v>438</v>
      </c>
      <c r="B98" s="14">
        <v>128.62</v>
      </c>
      <c r="C98" s="1">
        <v>45756</v>
      </c>
      <c r="D98" t="s">
        <v>146</v>
      </c>
      <c r="E98" t="s">
        <v>947</v>
      </c>
      <c r="F98" s="1">
        <f>C98</f>
        <v>45756</v>
      </c>
      <c r="G98" t="str">
        <f t="shared" si="7"/>
        <v>Investimentos</v>
      </c>
    </row>
    <row r="99" spans="1:7">
      <c r="A99" t="s">
        <v>445</v>
      </c>
      <c r="B99" s="14">
        <v>375.29</v>
      </c>
      <c r="C99" s="1">
        <v>45760</v>
      </c>
      <c r="D99" t="s">
        <v>146</v>
      </c>
      <c r="E99" t="s">
        <v>947</v>
      </c>
      <c r="F99" s="1">
        <f>C99</f>
        <v>45760</v>
      </c>
      <c r="G99" t="str">
        <f t="shared" si="7"/>
        <v>Investimentos</v>
      </c>
    </row>
    <row r="100" spans="1:7">
      <c r="A100" t="s">
        <v>2356</v>
      </c>
      <c r="B100" s="4">
        <v>19.899999999999999</v>
      </c>
      <c r="C100" s="1" t="s">
        <v>2357</v>
      </c>
      <c r="D100" t="s">
        <v>948</v>
      </c>
      <c r="E100" t="s">
        <v>136</v>
      </c>
      <c r="F100" s="1">
        <f t="shared" ref="F100:F106" si="8">DATEVALUE(C100)</f>
        <v>45761</v>
      </c>
      <c r="G100" t="str">
        <f t="shared" si="7"/>
        <v>Variáveis</v>
      </c>
    </row>
    <row r="101" spans="1:7">
      <c r="A101" t="s">
        <v>2346</v>
      </c>
      <c r="B101" s="4">
        <v>21.98</v>
      </c>
      <c r="C101" s="1" t="s">
        <v>2347</v>
      </c>
      <c r="D101" t="s">
        <v>948</v>
      </c>
      <c r="E101" t="s">
        <v>136</v>
      </c>
      <c r="F101" s="1">
        <f t="shared" si="8"/>
        <v>45762</v>
      </c>
      <c r="G101" t="str">
        <f t="shared" si="7"/>
        <v>Variáveis</v>
      </c>
    </row>
    <row r="102" spans="1:7">
      <c r="A102" t="s">
        <v>2350</v>
      </c>
      <c r="B102" s="4">
        <v>38.68</v>
      </c>
      <c r="C102" s="1" t="s">
        <v>2351</v>
      </c>
      <c r="D102" t="s">
        <v>948</v>
      </c>
      <c r="E102" t="s">
        <v>136</v>
      </c>
      <c r="F102" s="1">
        <f t="shared" si="8"/>
        <v>45762</v>
      </c>
      <c r="G102" t="str">
        <f t="shared" si="7"/>
        <v>Variáveis</v>
      </c>
    </row>
    <row r="103" spans="1:7">
      <c r="A103" t="s">
        <v>1241</v>
      </c>
      <c r="B103" s="4">
        <v>15</v>
      </c>
      <c r="C103" s="1" t="s">
        <v>2355</v>
      </c>
      <c r="D103" t="s">
        <v>948</v>
      </c>
      <c r="E103" t="s">
        <v>136</v>
      </c>
      <c r="F103" s="1">
        <f t="shared" si="8"/>
        <v>45762</v>
      </c>
      <c r="G103" t="str">
        <f t="shared" si="7"/>
        <v>Variáveis</v>
      </c>
    </row>
    <row r="104" spans="1:7">
      <c r="A104" t="s">
        <v>2360</v>
      </c>
      <c r="B104" s="4">
        <v>10</v>
      </c>
      <c r="C104" s="1" t="s">
        <v>2361</v>
      </c>
      <c r="D104" t="s">
        <v>948</v>
      </c>
      <c r="E104" t="s">
        <v>136</v>
      </c>
      <c r="F104" s="1">
        <f t="shared" si="8"/>
        <v>45762</v>
      </c>
      <c r="G104" t="str">
        <f t="shared" si="7"/>
        <v>Variáveis</v>
      </c>
    </row>
    <row r="105" spans="1:7">
      <c r="A105" t="s">
        <v>2362</v>
      </c>
      <c r="B105" s="4">
        <v>55</v>
      </c>
      <c r="C105" s="1" t="s">
        <v>2363</v>
      </c>
      <c r="D105" t="s">
        <v>948</v>
      </c>
      <c r="E105" t="s">
        <v>136</v>
      </c>
      <c r="F105" s="1">
        <f t="shared" si="8"/>
        <v>45762</v>
      </c>
      <c r="G105" t="str">
        <f t="shared" si="7"/>
        <v>Variáveis</v>
      </c>
    </row>
    <row r="106" spans="1:7">
      <c r="A106" t="s">
        <v>2369</v>
      </c>
      <c r="B106" s="4">
        <v>110.9</v>
      </c>
      <c r="C106" s="1" t="s">
        <v>2347</v>
      </c>
      <c r="D106" t="s">
        <v>948</v>
      </c>
      <c r="E106" t="s">
        <v>136</v>
      </c>
      <c r="F106" s="1">
        <f t="shared" si="8"/>
        <v>45762</v>
      </c>
      <c r="G106" t="str">
        <f t="shared" si="7"/>
        <v>Variáveis</v>
      </c>
    </row>
    <row r="107" spans="1:7">
      <c r="A107" t="s">
        <v>447</v>
      </c>
      <c r="B107" s="14">
        <v>1000</v>
      </c>
      <c r="C107" s="1">
        <v>45767</v>
      </c>
      <c r="D107" t="s">
        <v>146</v>
      </c>
      <c r="E107" t="s">
        <v>947</v>
      </c>
      <c r="F107" s="1">
        <f>C107</f>
        <v>45767</v>
      </c>
      <c r="G107" t="str">
        <f t="shared" si="7"/>
        <v>Investimentos</v>
      </c>
    </row>
    <row r="108" spans="1:7">
      <c r="A108" t="s">
        <v>266</v>
      </c>
      <c r="B108" s="14">
        <v>2000</v>
      </c>
      <c r="C108" s="1">
        <v>45777</v>
      </c>
      <c r="D108" t="s">
        <v>949</v>
      </c>
      <c r="E108" t="s">
        <v>947</v>
      </c>
      <c r="F108" s="1">
        <f>C108</f>
        <v>45777</v>
      </c>
      <c r="G108" t="str">
        <f t="shared" si="7"/>
        <v>Fixas</v>
      </c>
    </row>
    <row r="109" spans="1:7">
      <c r="A109" t="s">
        <v>2501</v>
      </c>
      <c r="B109" s="14">
        <v>1.99</v>
      </c>
      <c r="C109" s="1">
        <v>45763</v>
      </c>
      <c r="D109" t="s">
        <v>948</v>
      </c>
      <c r="E109" t="s">
        <v>947</v>
      </c>
      <c r="F109" s="1">
        <f t="shared" ref="F109:F131" si="9">C109</f>
        <v>45763</v>
      </c>
      <c r="G109" t="str">
        <f t="shared" ref="G109:G131" si="10">IF(D109="Gastos Fixos","Fixas",IF(D109="Gastos variaveis","Variáveis",IF(D109="Vale","Variáveis",IF(D109="Alimentação","Diretoria",D109))))</f>
        <v>Variáveis</v>
      </c>
    </row>
    <row r="110" spans="1:7">
      <c r="A110" t="s">
        <v>2502</v>
      </c>
      <c r="B110" s="14">
        <v>6.99</v>
      </c>
      <c r="C110" s="1">
        <v>45763</v>
      </c>
      <c r="D110" t="s">
        <v>948</v>
      </c>
      <c r="E110" t="s">
        <v>947</v>
      </c>
      <c r="F110" s="1">
        <f t="shared" si="9"/>
        <v>45763</v>
      </c>
      <c r="G110" t="str">
        <f t="shared" si="10"/>
        <v>Variáveis</v>
      </c>
    </row>
    <row r="111" spans="1:7">
      <c r="A111" t="s">
        <v>2503</v>
      </c>
      <c r="B111" s="14">
        <v>10</v>
      </c>
      <c r="C111" s="1">
        <v>45763</v>
      </c>
      <c r="D111" t="s">
        <v>948</v>
      </c>
      <c r="E111" t="s">
        <v>947</v>
      </c>
      <c r="F111" s="1">
        <f t="shared" si="9"/>
        <v>45763</v>
      </c>
      <c r="G111" t="str">
        <f t="shared" si="10"/>
        <v>Variáveis</v>
      </c>
    </row>
    <row r="112" spans="1:7">
      <c r="A112" t="s">
        <v>2504</v>
      </c>
      <c r="B112" s="14">
        <v>255.3</v>
      </c>
      <c r="C112" s="1">
        <v>45763.563888888886</v>
      </c>
      <c r="D112" t="s">
        <v>2354</v>
      </c>
      <c r="E112" t="s">
        <v>136</v>
      </c>
      <c r="F112" s="1">
        <f t="shared" si="9"/>
        <v>45763.563888888886</v>
      </c>
      <c r="G112" t="str">
        <f t="shared" si="10"/>
        <v>Não informada</v>
      </c>
    </row>
    <row r="113" spans="1:7">
      <c r="A113" t="s">
        <v>2505</v>
      </c>
      <c r="B113" s="14">
        <v>67.5</v>
      </c>
      <c r="C113" s="1">
        <v>45763.564583333333</v>
      </c>
      <c r="D113" t="s">
        <v>948</v>
      </c>
      <c r="E113" t="s">
        <v>136</v>
      </c>
      <c r="F113" s="1">
        <f t="shared" si="9"/>
        <v>45763.564583333333</v>
      </c>
      <c r="G113" t="str">
        <f t="shared" si="10"/>
        <v>Variáveis</v>
      </c>
    </row>
    <row r="114" spans="1:7">
      <c r="A114" t="s">
        <v>2506</v>
      </c>
      <c r="B114" s="14">
        <v>238.5</v>
      </c>
      <c r="C114" s="1">
        <v>45763.569444444445</v>
      </c>
      <c r="D114" t="s">
        <v>948</v>
      </c>
      <c r="E114" t="s">
        <v>136</v>
      </c>
      <c r="F114" s="1">
        <f t="shared" si="9"/>
        <v>45763.569444444445</v>
      </c>
      <c r="G114" t="str">
        <f t="shared" si="10"/>
        <v>Variáveis</v>
      </c>
    </row>
    <row r="115" spans="1:7">
      <c r="A115" t="s">
        <v>2507</v>
      </c>
      <c r="B115" s="14">
        <v>149</v>
      </c>
      <c r="C115" s="1">
        <v>45763.572222222225</v>
      </c>
      <c r="D115" t="s">
        <v>2354</v>
      </c>
      <c r="E115" t="s">
        <v>136</v>
      </c>
      <c r="F115" s="1">
        <f t="shared" si="9"/>
        <v>45763.572222222225</v>
      </c>
      <c r="G115" t="str">
        <f t="shared" si="10"/>
        <v>Não informada</v>
      </c>
    </row>
    <row r="116" spans="1:7">
      <c r="A116" t="s">
        <v>2508</v>
      </c>
      <c r="B116" s="14">
        <v>34.5</v>
      </c>
      <c r="C116" s="1">
        <v>45763.573611111111</v>
      </c>
      <c r="D116" t="s">
        <v>948</v>
      </c>
      <c r="E116" t="s">
        <v>136</v>
      </c>
      <c r="F116" s="1">
        <f t="shared" si="9"/>
        <v>45763.573611111111</v>
      </c>
      <c r="G116" t="str">
        <f t="shared" si="10"/>
        <v>Variáveis</v>
      </c>
    </row>
    <row r="117" spans="1:7">
      <c r="A117" t="s">
        <v>2509</v>
      </c>
      <c r="B117" s="14">
        <v>102</v>
      </c>
      <c r="C117" s="1">
        <v>45763.574999999997</v>
      </c>
      <c r="D117" t="s">
        <v>2354</v>
      </c>
      <c r="E117" t="s">
        <v>136</v>
      </c>
      <c r="F117" s="1">
        <f t="shared" si="9"/>
        <v>45763.574999999997</v>
      </c>
      <c r="G117" t="str">
        <f t="shared" si="10"/>
        <v>Não informada</v>
      </c>
    </row>
    <row r="118" spans="1:7">
      <c r="A118" t="s">
        <v>2510</v>
      </c>
      <c r="B118" s="14">
        <v>84.5</v>
      </c>
      <c r="C118" s="1">
        <v>45763.577777777777</v>
      </c>
      <c r="D118" t="s">
        <v>948</v>
      </c>
      <c r="E118" t="s">
        <v>136</v>
      </c>
      <c r="F118" s="1">
        <f t="shared" si="9"/>
        <v>45763.577777777777</v>
      </c>
      <c r="G118" t="str">
        <f t="shared" si="10"/>
        <v>Variáveis</v>
      </c>
    </row>
    <row r="119" spans="1:7">
      <c r="A119" t="s">
        <v>1261</v>
      </c>
      <c r="B119" s="14">
        <v>120</v>
      </c>
      <c r="C119" s="1">
        <v>45764</v>
      </c>
      <c r="D119" t="s">
        <v>949</v>
      </c>
      <c r="E119" t="s">
        <v>947</v>
      </c>
      <c r="F119" s="1">
        <f t="shared" si="9"/>
        <v>45764</v>
      </c>
      <c r="G119" t="str">
        <f t="shared" si="10"/>
        <v>Fixas</v>
      </c>
    </row>
    <row r="120" spans="1:7">
      <c r="A120" t="s">
        <v>2511</v>
      </c>
      <c r="B120" s="14">
        <v>73.14</v>
      </c>
      <c r="C120" s="1">
        <v>45764</v>
      </c>
      <c r="D120" t="s">
        <v>948</v>
      </c>
      <c r="E120" t="s">
        <v>947</v>
      </c>
      <c r="F120" s="1">
        <f t="shared" si="9"/>
        <v>45764</v>
      </c>
      <c r="G120" t="str">
        <f t="shared" si="10"/>
        <v>Variáveis</v>
      </c>
    </row>
    <row r="121" spans="1:7">
      <c r="A121" t="s">
        <v>434</v>
      </c>
      <c r="B121" s="14">
        <v>650</v>
      </c>
      <c r="C121" s="1">
        <v>45764</v>
      </c>
      <c r="D121" t="s">
        <v>949</v>
      </c>
      <c r="E121" t="s">
        <v>947</v>
      </c>
      <c r="F121" s="1">
        <f t="shared" si="9"/>
        <v>45764</v>
      </c>
      <c r="G121" t="str">
        <f t="shared" si="10"/>
        <v>Fixas</v>
      </c>
    </row>
    <row r="122" spans="1:7">
      <c r="A122" t="s">
        <v>2512</v>
      </c>
      <c r="B122" s="14">
        <v>70</v>
      </c>
      <c r="C122" s="1">
        <v>45764</v>
      </c>
      <c r="D122" t="s">
        <v>949</v>
      </c>
      <c r="E122" t="s">
        <v>947</v>
      </c>
      <c r="F122" s="1">
        <f t="shared" si="9"/>
        <v>45764</v>
      </c>
      <c r="G122" t="str">
        <f t="shared" si="10"/>
        <v>Fixas</v>
      </c>
    </row>
    <row r="123" spans="1:7">
      <c r="A123" t="s">
        <v>2513</v>
      </c>
      <c r="B123" s="14">
        <v>200</v>
      </c>
      <c r="C123" s="1">
        <v>45764</v>
      </c>
      <c r="D123" t="s">
        <v>146</v>
      </c>
      <c r="E123" t="s">
        <v>947</v>
      </c>
      <c r="F123" s="1">
        <f t="shared" si="9"/>
        <v>45764</v>
      </c>
      <c r="G123" t="str">
        <f t="shared" si="10"/>
        <v>Investimentos</v>
      </c>
    </row>
    <row r="124" spans="1:7">
      <c r="A124" t="s">
        <v>1300</v>
      </c>
      <c r="B124" s="14">
        <v>120</v>
      </c>
      <c r="C124" s="1">
        <v>45764</v>
      </c>
      <c r="D124" t="s">
        <v>948</v>
      </c>
      <c r="E124" t="s">
        <v>947</v>
      </c>
      <c r="F124" s="1">
        <f t="shared" si="9"/>
        <v>45764</v>
      </c>
      <c r="G124" t="str">
        <f t="shared" si="10"/>
        <v>Variáveis</v>
      </c>
    </row>
    <row r="125" spans="1:7">
      <c r="A125" t="s">
        <v>2514</v>
      </c>
      <c r="B125" s="14">
        <v>25</v>
      </c>
      <c r="C125" s="1">
        <v>45764</v>
      </c>
      <c r="D125" t="s">
        <v>948</v>
      </c>
      <c r="E125" t="s">
        <v>947</v>
      </c>
      <c r="F125" s="1">
        <f t="shared" si="9"/>
        <v>45764</v>
      </c>
      <c r="G125" t="str">
        <f t="shared" si="10"/>
        <v>Variáveis</v>
      </c>
    </row>
    <row r="126" spans="1:7">
      <c r="A126" t="s">
        <v>2515</v>
      </c>
      <c r="B126" s="14">
        <v>11.8</v>
      </c>
      <c r="C126" s="1">
        <v>45769</v>
      </c>
      <c r="D126" t="s">
        <v>948</v>
      </c>
      <c r="E126" t="s">
        <v>947</v>
      </c>
      <c r="F126" s="1">
        <f t="shared" si="9"/>
        <v>45769</v>
      </c>
      <c r="G126" t="str">
        <f t="shared" si="10"/>
        <v>Variáveis</v>
      </c>
    </row>
    <row r="127" spans="1:7">
      <c r="A127" t="s">
        <v>2516</v>
      </c>
      <c r="B127" s="14">
        <v>46.99</v>
      </c>
      <c r="C127" s="1">
        <v>45769</v>
      </c>
      <c r="D127" t="s">
        <v>948</v>
      </c>
      <c r="E127" t="s">
        <v>947</v>
      </c>
      <c r="F127" s="1">
        <f t="shared" si="9"/>
        <v>45769</v>
      </c>
      <c r="G127" t="str">
        <f t="shared" si="10"/>
        <v>Variáveis</v>
      </c>
    </row>
    <row r="128" spans="1:7">
      <c r="A128" t="s">
        <v>2517</v>
      </c>
      <c r="B128" s="14">
        <v>3.99</v>
      </c>
      <c r="C128" s="1">
        <v>45769</v>
      </c>
      <c r="D128" t="s">
        <v>948</v>
      </c>
      <c r="E128" t="s">
        <v>947</v>
      </c>
      <c r="F128" s="1">
        <f t="shared" si="9"/>
        <v>45769</v>
      </c>
      <c r="G128" t="str">
        <f t="shared" si="10"/>
        <v>Variáveis</v>
      </c>
    </row>
    <row r="129" spans="1:17">
      <c r="A129" t="s">
        <v>2518</v>
      </c>
      <c r="B129" s="14">
        <v>20</v>
      </c>
      <c r="C129" s="1">
        <v>45769</v>
      </c>
      <c r="D129" t="s">
        <v>948</v>
      </c>
      <c r="E129" t="s">
        <v>947</v>
      </c>
      <c r="F129" s="1">
        <f t="shared" si="9"/>
        <v>45769</v>
      </c>
      <c r="G129" t="str">
        <f t="shared" si="10"/>
        <v>Variáveis</v>
      </c>
    </row>
    <row r="130" spans="1:17">
      <c r="A130" t="s">
        <v>434</v>
      </c>
      <c r="B130" s="14">
        <v>650</v>
      </c>
      <c r="C130" s="1">
        <v>45769</v>
      </c>
      <c r="D130" t="s">
        <v>949</v>
      </c>
      <c r="E130" t="s">
        <v>947</v>
      </c>
      <c r="F130" s="1">
        <f t="shared" si="9"/>
        <v>45769</v>
      </c>
      <c r="G130" t="str">
        <f t="shared" si="10"/>
        <v>Fixas</v>
      </c>
    </row>
    <row r="131" spans="1:17">
      <c r="A131" t="s">
        <v>2519</v>
      </c>
      <c r="B131" s="14">
        <v>99.74</v>
      </c>
      <c r="C131" s="1">
        <v>45769</v>
      </c>
      <c r="D131" t="s">
        <v>948</v>
      </c>
      <c r="E131" t="s">
        <v>947</v>
      </c>
      <c r="F131" s="1">
        <f t="shared" si="9"/>
        <v>45769</v>
      </c>
      <c r="G131" t="str">
        <f t="shared" si="10"/>
        <v>Variáveis</v>
      </c>
    </row>
    <row r="132" spans="1:17">
      <c r="A132" t="s">
        <v>1301</v>
      </c>
      <c r="B132" s="14">
        <v>57.97</v>
      </c>
      <c r="C132" s="1">
        <v>45771</v>
      </c>
      <c r="D132" t="s">
        <v>949</v>
      </c>
      <c r="E132" t="s">
        <v>947</v>
      </c>
      <c r="F132" s="1">
        <f t="shared" ref="F132:F139" si="11">C132</f>
        <v>45771</v>
      </c>
      <c r="G132" t="str">
        <f t="shared" ref="G132:G140" si="12">IF(D132="Gastos Fixos","Fixas",IF(D132="Gastos variaveis","Variáveis",IF(D132="Vale","Variáveis",IF(D132="Alimentação","Diretoria",D132))))</f>
        <v>Fixas</v>
      </c>
    </row>
    <row r="133" spans="1:17">
      <c r="A133" t="s">
        <v>1252</v>
      </c>
      <c r="B133" s="14">
        <v>29.9</v>
      </c>
      <c r="C133" s="1">
        <v>45771</v>
      </c>
      <c r="D133" t="s">
        <v>948</v>
      </c>
      <c r="E133" t="s">
        <v>947</v>
      </c>
      <c r="F133" s="1">
        <f t="shared" si="11"/>
        <v>45771</v>
      </c>
      <c r="G133" t="str">
        <f t="shared" si="12"/>
        <v>Variáveis</v>
      </c>
    </row>
    <row r="134" spans="1:17">
      <c r="A134" t="s">
        <v>2520</v>
      </c>
      <c r="B134" s="14">
        <v>172.23</v>
      </c>
      <c r="C134" s="1">
        <v>45771</v>
      </c>
      <c r="D134" t="s">
        <v>949</v>
      </c>
      <c r="E134" t="s">
        <v>947</v>
      </c>
      <c r="F134" s="1">
        <f t="shared" si="11"/>
        <v>45771</v>
      </c>
      <c r="G134" t="str">
        <f t="shared" si="12"/>
        <v>Fixas</v>
      </c>
    </row>
    <row r="135" spans="1:17">
      <c r="A135" t="s">
        <v>2521</v>
      </c>
      <c r="B135" s="14">
        <v>57.97</v>
      </c>
      <c r="C135" s="1">
        <v>45771.790277777778</v>
      </c>
      <c r="D135" t="s">
        <v>949</v>
      </c>
      <c r="E135" t="s">
        <v>136</v>
      </c>
      <c r="F135" s="1">
        <f t="shared" si="11"/>
        <v>45771.790277777778</v>
      </c>
      <c r="G135" t="str">
        <f t="shared" si="12"/>
        <v>Fixas</v>
      </c>
    </row>
    <row r="136" spans="1:17">
      <c r="A136" t="s">
        <v>2696</v>
      </c>
      <c r="B136" s="14">
        <v>2767.5</v>
      </c>
      <c r="C136" s="1">
        <v>45777</v>
      </c>
      <c r="D136" t="s">
        <v>948</v>
      </c>
      <c r="E136" t="s">
        <v>947</v>
      </c>
      <c r="F136" s="1">
        <f t="shared" si="11"/>
        <v>45777</v>
      </c>
      <c r="G136" t="str">
        <f t="shared" si="12"/>
        <v>Variáveis</v>
      </c>
    </row>
    <row r="137" spans="1:17">
      <c r="A137" t="s">
        <v>2697</v>
      </c>
      <c r="B137" s="14">
        <v>3951.95</v>
      </c>
      <c r="C137" s="1">
        <v>45777</v>
      </c>
      <c r="D137" t="s">
        <v>948</v>
      </c>
      <c r="E137" t="s">
        <v>947</v>
      </c>
      <c r="F137" s="1">
        <f t="shared" si="11"/>
        <v>45777</v>
      </c>
      <c r="G137" t="str">
        <f t="shared" si="12"/>
        <v>Variáveis</v>
      </c>
    </row>
    <row r="138" spans="1:17">
      <c r="A138" t="s">
        <v>2698</v>
      </c>
      <c r="B138" s="14">
        <v>2166.1</v>
      </c>
      <c r="C138" s="1">
        <v>45777</v>
      </c>
      <c r="D138" t="s">
        <v>948</v>
      </c>
      <c r="E138" t="s">
        <v>947</v>
      </c>
      <c r="F138" s="1">
        <f t="shared" si="11"/>
        <v>45777</v>
      </c>
      <c r="G138" t="str">
        <f t="shared" si="12"/>
        <v>Variáveis</v>
      </c>
    </row>
    <row r="139" spans="1:17" s="25" customFormat="1">
      <c r="A139" s="25" t="s">
        <v>2699</v>
      </c>
      <c r="B139" s="26">
        <v>105.26</v>
      </c>
      <c r="C139" s="50">
        <v>45777.443055555559</v>
      </c>
      <c r="D139" s="25" t="s">
        <v>948</v>
      </c>
      <c r="E139" s="25" t="s">
        <v>136</v>
      </c>
      <c r="F139" s="50">
        <f t="shared" si="11"/>
        <v>45777.443055555559</v>
      </c>
      <c r="G139" s="25" t="str">
        <f t="shared" si="12"/>
        <v>Variáveis</v>
      </c>
    </row>
    <row r="140" spans="1:17">
      <c r="A140" s="12" t="s">
        <v>2959</v>
      </c>
      <c r="B140" s="61">
        <v>39.9</v>
      </c>
      <c r="C140" s="12" t="s">
        <v>2960</v>
      </c>
      <c r="D140" s="12" t="s">
        <v>948</v>
      </c>
      <c r="E140" s="12" t="s">
        <v>947</v>
      </c>
      <c r="F140" s="1">
        <f>DATEVALUE(C140)</f>
        <v>45782</v>
      </c>
      <c r="G140" t="str">
        <f t="shared" si="12"/>
        <v>Variáveis</v>
      </c>
      <c r="I140" s="1">
        <f>F140</f>
        <v>45782</v>
      </c>
      <c r="J140" s="1">
        <f>F140</f>
        <v>45782</v>
      </c>
      <c r="L140" t="str">
        <f>E140</f>
        <v>Financeiro</v>
      </c>
      <c r="M140" t="s">
        <v>137</v>
      </c>
      <c r="N140" t="str">
        <f>G140</f>
        <v>Variáveis</v>
      </c>
      <c r="P140" t="str">
        <f>A140</f>
        <v>Açúcar sachê</v>
      </c>
      <c r="Q140" s="14">
        <f>B140</f>
        <v>39.9</v>
      </c>
    </row>
    <row r="141" spans="1:17">
      <c r="A141" s="12" t="s">
        <v>2961</v>
      </c>
      <c r="B141" s="61">
        <v>20.7</v>
      </c>
      <c r="C141" s="12" t="s">
        <v>2960</v>
      </c>
      <c r="D141" s="12" t="s">
        <v>948</v>
      </c>
      <c r="E141" s="12" t="s">
        <v>947</v>
      </c>
      <c r="F141" s="1">
        <f t="shared" ref="F141:F157" si="13">DATEVALUE(C141)</f>
        <v>45782</v>
      </c>
      <c r="G141" t="str">
        <f t="shared" ref="G141:G152" si="14">IF(D141="Gastos Fixos","Fixas",IF(D141="Gastos variaveis","Variáveis",IF(D141="Vale","Variáveis",IF(D141="Alimentação","Diretoria",D141))))</f>
        <v>Variáveis</v>
      </c>
      <c r="I141" s="1">
        <f t="shared" ref="I141:I160" si="15">F141</f>
        <v>45782</v>
      </c>
      <c r="J141" s="1">
        <f t="shared" ref="J141:J160" si="16">F141</f>
        <v>45782</v>
      </c>
      <c r="L141" t="str">
        <f t="shared" ref="L141:L160" si="17">E141</f>
        <v>Financeiro</v>
      </c>
      <c r="M141" t="s">
        <v>137</v>
      </c>
      <c r="N141" t="str">
        <f t="shared" ref="N141:N160" si="18">G141</f>
        <v>Variáveis</v>
      </c>
      <c r="P141" t="str">
        <f t="shared" ref="P141:P160" si="19">A141</f>
        <v>MP serviços - máscara descartáveis</v>
      </c>
      <c r="Q141" s="14">
        <f t="shared" ref="Q141:Q160" si="20">B141</f>
        <v>20.7</v>
      </c>
    </row>
    <row r="142" spans="1:17">
      <c r="A142" s="12" t="s">
        <v>2962</v>
      </c>
      <c r="B142" s="61">
        <v>11.8</v>
      </c>
      <c r="C142" s="12" t="s">
        <v>2960</v>
      </c>
      <c r="D142" s="12" t="s">
        <v>948</v>
      </c>
      <c r="E142" s="12" t="s">
        <v>947</v>
      </c>
      <c r="F142" s="1">
        <f t="shared" si="13"/>
        <v>45782</v>
      </c>
      <c r="G142" t="str">
        <f t="shared" si="14"/>
        <v>Variáveis</v>
      </c>
      <c r="I142" s="1">
        <f t="shared" si="15"/>
        <v>45782</v>
      </c>
      <c r="J142" s="1">
        <f t="shared" si="16"/>
        <v>45782</v>
      </c>
      <c r="L142" t="str">
        <f t="shared" si="17"/>
        <v>Financeiro</v>
      </c>
      <c r="M142" t="s">
        <v>137</v>
      </c>
      <c r="N142" t="str">
        <f t="shared" si="18"/>
        <v>Variáveis</v>
      </c>
      <c r="P142" t="str">
        <f t="shared" si="19"/>
        <v>MP serviços - palito de pirulito para depilação</v>
      </c>
      <c r="Q142" s="14">
        <f t="shared" si="20"/>
        <v>11.8</v>
      </c>
    </row>
    <row r="143" spans="1:17">
      <c r="A143" s="12" t="s">
        <v>1262</v>
      </c>
      <c r="B143" s="61">
        <v>250</v>
      </c>
      <c r="C143" s="12" t="s">
        <v>2960</v>
      </c>
      <c r="D143" s="12" t="s">
        <v>1263</v>
      </c>
      <c r="E143" s="12" t="s">
        <v>947</v>
      </c>
      <c r="F143" s="1">
        <f t="shared" si="13"/>
        <v>45782</v>
      </c>
      <c r="G143" t="str">
        <f t="shared" si="14"/>
        <v>Variáveis</v>
      </c>
      <c r="I143" s="1">
        <f t="shared" si="15"/>
        <v>45782</v>
      </c>
      <c r="J143" s="1">
        <f t="shared" si="16"/>
        <v>45782</v>
      </c>
      <c r="L143" t="str">
        <f t="shared" si="17"/>
        <v>Financeiro</v>
      </c>
      <c r="M143" t="s">
        <v>137</v>
      </c>
      <c r="N143" t="str">
        <f t="shared" si="18"/>
        <v>Variáveis</v>
      </c>
      <c r="P143" t="str">
        <f t="shared" si="19"/>
        <v>Vale no FINANCEIRO para o profissional GUSTAVO</v>
      </c>
      <c r="Q143" s="14">
        <f t="shared" si="20"/>
        <v>250</v>
      </c>
    </row>
    <row r="144" spans="1:17">
      <c r="A144" s="12" t="s">
        <v>2963</v>
      </c>
      <c r="B144" s="61">
        <v>499</v>
      </c>
      <c r="C144" s="12" t="s">
        <v>2964</v>
      </c>
      <c r="D144" s="12" t="s">
        <v>146</v>
      </c>
      <c r="E144" s="12" t="s">
        <v>947</v>
      </c>
      <c r="F144" s="1">
        <f t="shared" si="13"/>
        <v>45783</v>
      </c>
      <c r="G144" t="str">
        <f t="shared" si="14"/>
        <v>Investimentos</v>
      </c>
      <c r="I144" s="1">
        <f t="shared" si="15"/>
        <v>45783</v>
      </c>
      <c r="J144" s="1">
        <f t="shared" si="16"/>
        <v>45783</v>
      </c>
      <c r="L144" t="str">
        <f t="shared" si="17"/>
        <v>Financeiro</v>
      </c>
      <c r="M144" t="s">
        <v>137</v>
      </c>
      <c r="N144" t="str">
        <f t="shared" si="18"/>
        <v>Investimentos</v>
      </c>
      <c r="P144" t="str">
        <f t="shared" si="19"/>
        <v>Microondas</v>
      </c>
      <c r="Q144" s="14">
        <f t="shared" si="20"/>
        <v>499</v>
      </c>
    </row>
    <row r="145" spans="1:17">
      <c r="A145" s="12" t="s">
        <v>2965</v>
      </c>
      <c r="B145" s="61">
        <v>54.9</v>
      </c>
      <c r="C145" s="12" t="s">
        <v>2964</v>
      </c>
      <c r="D145" s="12" t="s">
        <v>948</v>
      </c>
      <c r="E145" s="12" t="s">
        <v>947</v>
      </c>
      <c r="F145" s="1">
        <f t="shared" si="13"/>
        <v>45783</v>
      </c>
      <c r="G145" t="str">
        <f t="shared" si="14"/>
        <v>Variáveis</v>
      </c>
      <c r="I145" s="1">
        <f t="shared" si="15"/>
        <v>45783</v>
      </c>
      <c r="J145" s="1">
        <f t="shared" si="16"/>
        <v>45783</v>
      </c>
      <c r="L145" t="str">
        <f t="shared" si="17"/>
        <v>Financeiro</v>
      </c>
      <c r="M145" t="s">
        <v>137</v>
      </c>
      <c r="N145" t="str">
        <f t="shared" si="18"/>
        <v>Variáveis</v>
      </c>
      <c r="P145" t="str">
        <f t="shared" si="19"/>
        <v>MP serviços - Esfoliante facial Scrub 280g</v>
      </c>
      <c r="Q145" s="14">
        <f t="shared" si="20"/>
        <v>54.9</v>
      </c>
    </row>
    <row r="146" spans="1:17">
      <c r="A146" s="12" t="s">
        <v>2966</v>
      </c>
      <c r="B146" s="61">
        <v>53.82</v>
      </c>
      <c r="C146" s="12" t="s">
        <v>2964</v>
      </c>
      <c r="D146" s="12" t="s">
        <v>2354</v>
      </c>
      <c r="E146" s="12" t="s">
        <v>947</v>
      </c>
      <c r="F146" s="1">
        <f t="shared" si="13"/>
        <v>45783</v>
      </c>
      <c r="G146" t="str">
        <f t="shared" si="14"/>
        <v>Não informada</v>
      </c>
      <c r="I146" s="1">
        <f t="shared" si="15"/>
        <v>45783</v>
      </c>
      <c r="J146" s="1">
        <f t="shared" si="16"/>
        <v>45783</v>
      </c>
      <c r="L146" t="str">
        <f t="shared" si="17"/>
        <v>Financeiro</v>
      </c>
      <c r="M146" t="s">
        <v>137</v>
      </c>
      <c r="N146" t="str">
        <f t="shared" si="18"/>
        <v>Não informada</v>
      </c>
      <c r="P146" t="str">
        <f t="shared" si="19"/>
        <v>MP serviços - Luva vinil</v>
      </c>
      <c r="Q146" s="14">
        <f t="shared" si="20"/>
        <v>53.82</v>
      </c>
    </row>
    <row r="147" spans="1:17">
      <c r="A147" s="12" t="s">
        <v>2967</v>
      </c>
      <c r="B147" s="61">
        <v>34.9</v>
      </c>
      <c r="C147" s="12" t="s">
        <v>2964</v>
      </c>
      <c r="D147" s="12" t="s">
        <v>2354</v>
      </c>
      <c r="E147" s="12" t="s">
        <v>947</v>
      </c>
      <c r="F147" s="1">
        <f t="shared" si="13"/>
        <v>45783</v>
      </c>
      <c r="G147" t="str">
        <f t="shared" si="14"/>
        <v>Não informada</v>
      </c>
      <c r="I147" s="1">
        <f t="shared" si="15"/>
        <v>45783</v>
      </c>
      <c r="J147" s="1">
        <f t="shared" si="16"/>
        <v>45783</v>
      </c>
      <c r="L147" t="str">
        <f t="shared" si="17"/>
        <v>Financeiro</v>
      </c>
      <c r="M147" t="s">
        <v>137</v>
      </c>
      <c r="N147" t="str">
        <f t="shared" si="18"/>
        <v>Não informada</v>
      </c>
      <c r="P147" t="str">
        <f t="shared" si="19"/>
        <v>MP serviços - Máscara black Peel Off 100ml</v>
      </c>
      <c r="Q147" s="14">
        <f t="shared" si="20"/>
        <v>34.9</v>
      </c>
    </row>
    <row r="148" spans="1:17">
      <c r="A148" s="12" t="s">
        <v>431</v>
      </c>
      <c r="B148" s="61">
        <v>231.02</v>
      </c>
      <c r="C148" s="12" t="s">
        <v>2968</v>
      </c>
      <c r="D148" s="12" t="s">
        <v>146</v>
      </c>
      <c r="E148" s="12" t="s">
        <v>947</v>
      </c>
      <c r="F148" s="1">
        <f t="shared" si="13"/>
        <v>45784</v>
      </c>
      <c r="G148" t="str">
        <f t="shared" si="14"/>
        <v>Investimentos</v>
      </c>
      <c r="I148" s="1">
        <f t="shared" si="15"/>
        <v>45784</v>
      </c>
      <c r="J148" s="1">
        <f t="shared" si="16"/>
        <v>45784</v>
      </c>
      <c r="L148" t="str">
        <f t="shared" si="17"/>
        <v>Financeiro</v>
      </c>
      <c r="M148" t="s">
        <v>137</v>
      </c>
      <c r="N148" t="str">
        <f t="shared" si="18"/>
        <v>Investimentos</v>
      </c>
      <c r="P148" t="str">
        <f t="shared" si="19"/>
        <v>Ar condicionado</v>
      </c>
      <c r="Q148" s="14">
        <f t="shared" si="20"/>
        <v>231.02</v>
      </c>
    </row>
    <row r="149" spans="1:17">
      <c r="A149" s="12" t="s">
        <v>2969</v>
      </c>
      <c r="B149" s="61">
        <v>99.9</v>
      </c>
      <c r="C149" s="12" t="s">
        <v>2968</v>
      </c>
      <c r="D149" s="12" t="s">
        <v>949</v>
      </c>
      <c r="E149" s="12" t="s">
        <v>947</v>
      </c>
      <c r="F149" s="1">
        <f t="shared" si="13"/>
        <v>45784</v>
      </c>
      <c r="G149" t="str">
        <f t="shared" si="14"/>
        <v>Fixas</v>
      </c>
      <c r="I149" s="1">
        <f t="shared" si="15"/>
        <v>45784</v>
      </c>
      <c r="J149" s="1">
        <f t="shared" si="16"/>
        <v>45784</v>
      </c>
      <c r="L149" t="str">
        <f t="shared" si="17"/>
        <v>Financeiro</v>
      </c>
      <c r="M149" t="s">
        <v>137</v>
      </c>
      <c r="N149" t="str">
        <f t="shared" si="18"/>
        <v>Fixas</v>
      </c>
      <c r="P149" t="str">
        <f t="shared" si="19"/>
        <v>Pagamento Appbarber</v>
      </c>
      <c r="Q149" s="14">
        <f t="shared" si="20"/>
        <v>99.9</v>
      </c>
    </row>
    <row r="150" spans="1:17">
      <c r="A150" s="12" t="s">
        <v>2970</v>
      </c>
      <c r="B150" s="61">
        <v>13.5</v>
      </c>
      <c r="C150" s="12" t="s">
        <v>2971</v>
      </c>
      <c r="D150" s="12" t="s">
        <v>2354</v>
      </c>
      <c r="E150" s="12" t="s">
        <v>947</v>
      </c>
      <c r="F150" s="1">
        <f t="shared" si="13"/>
        <v>45785</v>
      </c>
      <c r="G150" t="str">
        <f t="shared" si="14"/>
        <v>Não informada</v>
      </c>
      <c r="I150" s="1">
        <f t="shared" si="15"/>
        <v>45785</v>
      </c>
      <c r="J150" s="1">
        <f t="shared" si="16"/>
        <v>45785</v>
      </c>
      <c r="L150" t="str">
        <f t="shared" si="17"/>
        <v>Financeiro</v>
      </c>
      <c r="M150" t="s">
        <v>137</v>
      </c>
      <c r="N150" t="str">
        <f t="shared" si="18"/>
        <v>Não informada</v>
      </c>
      <c r="P150" t="str">
        <f t="shared" si="19"/>
        <v>Saco de lixo 100ml</v>
      </c>
      <c r="Q150" s="14">
        <f t="shared" si="20"/>
        <v>13.5</v>
      </c>
    </row>
    <row r="151" spans="1:17">
      <c r="A151" s="12" t="s">
        <v>141</v>
      </c>
      <c r="B151" s="61">
        <v>60</v>
      </c>
      <c r="C151" s="12" t="s">
        <v>2971</v>
      </c>
      <c r="D151" s="12" t="s">
        <v>949</v>
      </c>
      <c r="E151" s="12" t="s">
        <v>947</v>
      </c>
      <c r="F151" s="1">
        <f t="shared" si="13"/>
        <v>45785</v>
      </c>
      <c r="G151" t="str">
        <f t="shared" si="14"/>
        <v>Fixas</v>
      </c>
      <c r="I151" s="1">
        <f t="shared" si="15"/>
        <v>45785</v>
      </c>
      <c r="J151" s="1">
        <f t="shared" si="16"/>
        <v>45785</v>
      </c>
      <c r="L151" t="str">
        <f t="shared" si="17"/>
        <v>Financeiro</v>
      </c>
      <c r="M151" t="s">
        <v>137</v>
      </c>
      <c r="N151" t="str">
        <f t="shared" si="18"/>
        <v>Fixas</v>
      </c>
      <c r="P151" t="str">
        <f t="shared" si="19"/>
        <v>Segurança</v>
      </c>
      <c r="Q151" s="14">
        <f t="shared" si="20"/>
        <v>60</v>
      </c>
    </row>
    <row r="152" spans="1:17">
      <c r="A152" s="12" t="s">
        <v>1263</v>
      </c>
      <c r="B152" s="61">
        <v>45</v>
      </c>
      <c r="C152" s="12" t="s">
        <v>2972</v>
      </c>
      <c r="D152" s="12" t="s">
        <v>1263</v>
      </c>
      <c r="E152" s="12" t="s">
        <v>136</v>
      </c>
      <c r="F152" s="1">
        <f t="shared" si="13"/>
        <v>45785</v>
      </c>
      <c r="G152" t="str">
        <f t="shared" si="14"/>
        <v>Variáveis</v>
      </c>
      <c r="I152" s="1">
        <f t="shared" si="15"/>
        <v>45785</v>
      </c>
      <c r="J152" s="1">
        <f t="shared" si="16"/>
        <v>45785</v>
      </c>
      <c r="L152" t="str">
        <f t="shared" si="17"/>
        <v>Caixa</v>
      </c>
      <c r="M152" t="s">
        <v>137</v>
      </c>
      <c r="N152" t="str">
        <f t="shared" si="18"/>
        <v>Variáveis</v>
      </c>
      <c r="P152" t="str">
        <f t="shared" si="19"/>
        <v>VALE</v>
      </c>
      <c r="Q152" s="14">
        <f t="shared" si="20"/>
        <v>45</v>
      </c>
    </row>
    <row r="153" spans="1:17">
      <c r="A153" s="12" t="s">
        <v>438</v>
      </c>
      <c r="B153" s="61">
        <v>128.62</v>
      </c>
      <c r="C153" s="12" t="s">
        <v>2973</v>
      </c>
      <c r="D153" s="12" t="s">
        <v>146</v>
      </c>
      <c r="E153" s="12" t="s">
        <v>947</v>
      </c>
      <c r="F153" s="1">
        <f t="shared" si="13"/>
        <v>45786</v>
      </c>
      <c r="G153" t="str">
        <f>IF(D153="Gastos Fixos","Fixas",IF(D153="Gastos variaveis","Variáveis",IF(D153="Vale","Variáveis",IF(D153="Alimentação","Diretoria",D153))))</f>
        <v>Investimentos</v>
      </c>
      <c r="I153" s="1">
        <f t="shared" si="15"/>
        <v>45786</v>
      </c>
      <c r="J153" s="1">
        <f t="shared" si="16"/>
        <v>45786</v>
      </c>
      <c r="L153" t="str">
        <f t="shared" si="17"/>
        <v>Financeiro</v>
      </c>
      <c r="M153" t="s">
        <v>137</v>
      </c>
      <c r="N153" t="str">
        <f t="shared" si="18"/>
        <v>Investimentos</v>
      </c>
      <c r="P153" t="str">
        <f t="shared" si="19"/>
        <v>Espelho</v>
      </c>
      <c r="Q153" s="14">
        <f t="shared" si="20"/>
        <v>128.62</v>
      </c>
    </row>
    <row r="154" spans="1:17">
      <c r="A154" s="12" t="s">
        <v>2974</v>
      </c>
      <c r="B154" s="61">
        <v>30</v>
      </c>
      <c r="C154" s="12" t="s">
        <v>2975</v>
      </c>
      <c r="D154" s="12" t="s">
        <v>948</v>
      </c>
      <c r="E154" s="12" t="s">
        <v>947</v>
      </c>
      <c r="F154" s="1">
        <f t="shared" si="13"/>
        <v>45788</v>
      </c>
      <c r="G154" t="str">
        <f>IF(D154="Gastos Fixos","Fixas",IF(D154="Gastos variaveis","Variáveis",IF(D154="Vale","Variáveis",IF(D154="Alimentação","Diretoria",D154))))</f>
        <v>Variáveis</v>
      </c>
      <c r="I154" s="1">
        <f>F154</f>
        <v>45788</v>
      </c>
      <c r="J154" s="1">
        <f t="shared" si="16"/>
        <v>45788</v>
      </c>
      <c r="L154" t="str">
        <f t="shared" si="17"/>
        <v>Financeiro</v>
      </c>
      <c r="M154" t="s">
        <v>137</v>
      </c>
      <c r="N154" t="str">
        <f t="shared" si="18"/>
        <v>Variáveis</v>
      </c>
      <c r="P154" t="str">
        <f t="shared" si="19"/>
        <v>MP SERVIÇOS - tinta preta</v>
      </c>
      <c r="Q154" s="14">
        <f t="shared" si="20"/>
        <v>30</v>
      </c>
    </row>
    <row r="155" spans="1:17">
      <c r="A155" s="12" t="s">
        <v>1299</v>
      </c>
      <c r="B155" s="61">
        <v>150</v>
      </c>
      <c r="C155" s="12" t="s">
        <v>2975</v>
      </c>
      <c r="D155" s="12" t="s">
        <v>948</v>
      </c>
      <c r="E155" s="12" t="s">
        <v>947</v>
      </c>
      <c r="F155" s="1">
        <f t="shared" si="13"/>
        <v>45788</v>
      </c>
      <c r="G155" t="str">
        <f>IF(D155="Gastos Fixos","Fixas",IF(D155="Gastos variaveis","Variáveis",IF(D155="Vale","Variáveis",IF(D155="Alimentação","Diretoria",D155))))</f>
        <v>Variáveis</v>
      </c>
      <c r="I155" s="1">
        <f t="shared" si="15"/>
        <v>45788</v>
      </c>
      <c r="J155" s="1">
        <f t="shared" si="16"/>
        <v>45788</v>
      </c>
      <c r="L155" t="str">
        <f t="shared" si="17"/>
        <v>Financeiro</v>
      </c>
      <c r="M155" t="s">
        <v>137</v>
      </c>
      <c r="N155" t="str">
        <f t="shared" si="18"/>
        <v>Variáveis</v>
      </c>
      <c r="P155" t="str">
        <f t="shared" si="19"/>
        <v>trafego pago</v>
      </c>
      <c r="Q155" s="14">
        <f t="shared" si="20"/>
        <v>150</v>
      </c>
    </row>
    <row r="156" spans="1:17">
      <c r="A156" s="12" t="s">
        <v>2976</v>
      </c>
      <c r="B156" s="61">
        <v>120</v>
      </c>
      <c r="C156" s="12" t="s">
        <v>2977</v>
      </c>
      <c r="D156" s="12" t="s">
        <v>948</v>
      </c>
      <c r="E156" s="12" t="s">
        <v>947</v>
      </c>
      <c r="F156" s="1">
        <f t="shared" si="13"/>
        <v>45789</v>
      </c>
      <c r="G156" t="str">
        <f>IF(D156="Gastos Fixos","Fixas",IF(D156="Gastos variaveis","Variáveis",IF(D156="Vale","Variáveis",IF(D156="Alimentação","Diretoria",D156))))</f>
        <v>Variáveis</v>
      </c>
      <c r="I156" s="1">
        <f t="shared" si="15"/>
        <v>45789</v>
      </c>
      <c r="J156" s="1">
        <f t="shared" si="16"/>
        <v>45789</v>
      </c>
      <c r="L156" t="str">
        <f t="shared" si="17"/>
        <v>Financeiro</v>
      </c>
      <c r="M156" t="s">
        <v>137</v>
      </c>
      <c r="N156" t="str">
        <f t="shared" si="18"/>
        <v>Variáveis</v>
      </c>
      <c r="P156" t="str">
        <f t="shared" si="19"/>
        <v>faxina</v>
      </c>
      <c r="Q156" s="14">
        <f t="shared" si="20"/>
        <v>120</v>
      </c>
    </row>
    <row r="157" spans="1:17">
      <c r="A157" s="12" t="s">
        <v>2978</v>
      </c>
      <c r="B157" s="61">
        <v>16</v>
      </c>
      <c r="C157" s="12" t="s">
        <v>2977</v>
      </c>
      <c r="D157" s="12" t="s">
        <v>948</v>
      </c>
      <c r="E157" s="12" t="s">
        <v>947</v>
      </c>
      <c r="F157" s="1">
        <f t="shared" si="13"/>
        <v>45789</v>
      </c>
      <c r="G157" t="str">
        <f t="shared" ref="G157:G161" si="21">IF(D157="Gastos Fixos","Fixas",IF(D157="Gastos variaveis","Variáveis",IF(D157="Vale","Variáveis",IF(D157="Alimentação","Diretoria",D157))))</f>
        <v>Variáveis</v>
      </c>
      <c r="I157" s="1">
        <f t="shared" si="15"/>
        <v>45789</v>
      </c>
      <c r="J157" s="1">
        <f t="shared" si="16"/>
        <v>45789</v>
      </c>
      <c r="L157" t="str">
        <f t="shared" si="17"/>
        <v>Financeiro</v>
      </c>
      <c r="M157" t="s">
        <v>137</v>
      </c>
      <c r="N157" t="str">
        <f t="shared" si="18"/>
        <v>Variáveis</v>
      </c>
      <c r="P157" t="str">
        <f t="shared" si="19"/>
        <v>produto de limpezA</v>
      </c>
      <c r="Q157" s="14">
        <f t="shared" si="20"/>
        <v>16</v>
      </c>
    </row>
    <row r="158" spans="1:17">
      <c r="A158" t="s">
        <v>445</v>
      </c>
      <c r="B158" s="14">
        <v>375.29</v>
      </c>
      <c r="C158" s="1">
        <v>45790</v>
      </c>
      <c r="D158" t="s">
        <v>146</v>
      </c>
      <c r="E158" t="s">
        <v>947</v>
      </c>
      <c r="F158" s="1">
        <f t="shared" ref="F158:F164" si="22">C158</f>
        <v>45790</v>
      </c>
      <c r="G158" t="str">
        <f t="shared" si="21"/>
        <v>Investimentos</v>
      </c>
      <c r="I158" s="1">
        <f t="shared" si="15"/>
        <v>45790</v>
      </c>
      <c r="J158" s="1">
        <f t="shared" si="16"/>
        <v>45790</v>
      </c>
      <c r="L158" t="str">
        <f t="shared" si="17"/>
        <v>Financeiro</v>
      </c>
      <c r="M158" t="s">
        <v>137</v>
      </c>
      <c r="N158" t="str">
        <f t="shared" si="18"/>
        <v>Investimentos</v>
      </c>
      <c r="P158" t="str">
        <f t="shared" si="19"/>
        <v>Parcela 1/6 - Sofa</v>
      </c>
      <c r="Q158" s="14">
        <f t="shared" si="20"/>
        <v>375.29</v>
      </c>
    </row>
    <row r="159" spans="1:17">
      <c r="A159" t="s">
        <v>447</v>
      </c>
      <c r="B159" s="14">
        <v>1000</v>
      </c>
      <c r="C159" s="1">
        <v>45807</v>
      </c>
      <c r="D159" t="s">
        <v>146</v>
      </c>
      <c r="E159" t="s">
        <v>947</v>
      </c>
      <c r="F159" s="1">
        <f t="shared" si="22"/>
        <v>45807</v>
      </c>
      <c r="G159" t="str">
        <f t="shared" si="21"/>
        <v>Investimentos</v>
      </c>
      <c r="I159" s="1">
        <f t="shared" si="15"/>
        <v>45807</v>
      </c>
      <c r="J159" s="1">
        <f t="shared" si="16"/>
        <v>45807</v>
      </c>
      <c r="L159" t="str">
        <f t="shared" si="17"/>
        <v>Financeiro</v>
      </c>
      <c r="M159" t="s">
        <v>137</v>
      </c>
      <c r="N159" t="str">
        <f t="shared" si="18"/>
        <v>Investimentos</v>
      </c>
      <c r="P159" t="str">
        <f t="shared" si="19"/>
        <v>Cadeiras</v>
      </c>
      <c r="Q159" s="14">
        <f t="shared" si="20"/>
        <v>1000</v>
      </c>
    </row>
    <row r="160" spans="1:17">
      <c r="A160" t="s">
        <v>266</v>
      </c>
      <c r="B160" s="14">
        <v>2000</v>
      </c>
      <c r="C160" s="1">
        <v>45807</v>
      </c>
      <c r="D160" t="s">
        <v>949</v>
      </c>
      <c r="E160" t="s">
        <v>947</v>
      </c>
      <c r="F160" s="1">
        <f t="shared" si="22"/>
        <v>45807</v>
      </c>
      <c r="G160" t="str">
        <f t="shared" si="21"/>
        <v>Fixas</v>
      </c>
      <c r="I160" s="1">
        <f t="shared" si="15"/>
        <v>45807</v>
      </c>
      <c r="J160" s="1">
        <f t="shared" si="16"/>
        <v>45807</v>
      </c>
      <c r="L160" t="str">
        <f t="shared" si="17"/>
        <v>Financeiro</v>
      </c>
      <c r="M160" t="s">
        <v>137</v>
      </c>
      <c r="N160" t="str">
        <f t="shared" si="18"/>
        <v>Fixas</v>
      </c>
      <c r="P160" t="str">
        <f t="shared" si="19"/>
        <v>Aluguel</v>
      </c>
      <c r="Q160" s="14">
        <f t="shared" si="20"/>
        <v>2000</v>
      </c>
    </row>
    <row r="161" spans="1:17" s="25" customFormat="1">
      <c r="A161" s="25" t="s">
        <v>1261</v>
      </c>
      <c r="B161" s="26">
        <v>60</v>
      </c>
      <c r="C161" s="50">
        <v>45790</v>
      </c>
      <c r="D161" s="25" t="s">
        <v>948</v>
      </c>
      <c r="E161" s="25" t="s">
        <v>947</v>
      </c>
      <c r="F161" s="50">
        <f t="shared" si="22"/>
        <v>45790</v>
      </c>
      <c r="G161" s="25" t="str">
        <f t="shared" si="21"/>
        <v>Variáveis</v>
      </c>
      <c r="I161" s="50">
        <f>F161</f>
        <v>45790</v>
      </c>
      <c r="J161" s="50">
        <f>F161</f>
        <v>45790</v>
      </c>
      <c r="L161" s="25" t="str">
        <f>E161</f>
        <v>Financeiro</v>
      </c>
      <c r="M161" s="25" t="s">
        <v>137</v>
      </c>
      <c r="N161" s="25" t="str">
        <f>G161</f>
        <v>Variáveis</v>
      </c>
      <c r="P161" s="25" t="str">
        <f t="shared" ref="P161:Q164" si="23">A161</f>
        <v>segurança</v>
      </c>
      <c r="Q161" s="26">
        <f t="shared" si="23"/>
        <v>60</v>
      </c>
    </row>
    <row r="162" spans="1:17">
      <c r="A162" t="s">
        <v>3089</v>
      </c>
      <c r="B162" s="14">
        <v>117</v>
      </c>
      <c r="C162" s="13">
        <v>45790</v>
      </c>
      <c r="D162" s="13" t="s">
        <v>950</v>
      </c>
      <c r="E162" t="s">
        <v>947</v>
      </c>
      <c r="F162" s="1">
        <f t="shared" si="22"/>
        <v>45790</v>
      </c>
      <c r="G162" t="str">
        <f>IF(D162="Gastos Fixos","Fixas",IF(D162="Gastos variaveis","Variáveis",IF(D162="Vale","Variáveis",IF(D162="Alimentação","Diretoria",D162))))</f>
        <v>Diretoria</v>
      </c>
      <c r="I162" s="1">
        <f>F162</f>
        <v>45790</v>
      </c>
      <c r="J162" s="1">
        <f>F162</f>
        <v>45790</v>
      </c>
      <c r="L162" t="str">
        <f>E162</f>
        <v>Financeiro</v>
      </c>
      <c r="M162" t="s">
        <v>137</v>
      </c>
      <c r="N162" t="str">
        <f>G162</f>
        <v>Diretoria</v>
      </c>
      <c r="P162" t="str">
        <f t="shared" si="23"/>
        <v>aniversario patrick</v>
      </c>
      <c r="Q162" s="14">
        <f t="shared" si="23"/>
        <v>117</v>
      </c>
    </row>
    <row r="163" spans="1:17">
      <c r="A163" t="s">
        <v>3090</v>
      </c>
      <c r="B163" s="14">
        <v>7.99</v>
      </c>
      <c r="C163" s="13">
        <v>45790</v>
      </c>
      <c r="D163" s="13" t="s">
        <v>2354</v>
      </c>
      <c r="E163" t="s">
        <v>947</v>
      </c>
      <c r="F163" s="1">
        <f t="shared" si="22"/>
        <v>45790</v>
      </c>
      <c r="G163" t="str">
        <f>IF(D163="Gastos Fixos","Fixas",IF(D163="Gastos variaveis","Variáveis",IF(D163="Vale","Variáveis",IF(D163="Alimentação","Diretoria",D163))))</f>
        <v>Não informada</v>
      </c>
      <c r="I163" s="1">
        <f>F163</f>
        <v>45790</v>
      </c>
      <c r="J163" s="1">
        <f>F163</f>
        <v>45790</v>
      </c>
      <c r="L163" t="str">
        <f>E163</f>
        <v>Financeiro</v>
      </c>
      <c r="M163" t="s">
        <v>137</v>
      </c>
      <c r="N163" t="str">
        <f>G163</f>
        <v>Não informada</v>
      </c>
      <c r="P163" t="str">
        <f t="shared" si="23"/>
        <v>Coca cola zero 2l</v>
      </c>
      <c r="Q163" s="14">
        <f t="shared" si="23"/>
        <v>7.99</v>
      </c>
    </row>
    <row r="164" spans="1:17">
      <c r="A164" t="s">
        <v>2979</v>
      </c>
      <c r="B164" s="14">
        <v>120</v>
      </c>
      <c r="C164" s="13">
        <v>45790</v>
      </c>
      <c r="D164" s="13" t="s">
        <v>948</v>
      </c>
      <c r="E164" t="s">
        <v>947</v>
      </c>
      <c r="F164" s="1">
        <f t="shared" si="22"/>
        <v>45790</v>
      </c>
      <c r="G164" t="str">
        <f>IF(D164="Gastos Fixos","Fixas",IF(D164="Gastos variaveis","Variáveis",IF(D164="Vale","Variáveis",IF(D164="Alimentação","Diretoria",D164))))</f>
        <v>Variáveis</v>
      </c>
      <c r="I164" s="1">
        <f>F164</f>
        <v>45790</v>
      </c>
      <c r="J164" s="1">
        <f>F164</f>
        <v>45790</v>
      </c>
      <c r="L164" t="str">
        <f>E164</f>
        <v>Financeiro</v>
      </c>
      <c r="M164" t="s">
        <v>137</v>
      </c>
      <c r="N164" t="str">
        <f>G164</f>
        <v>Variáveis</v>
      </c>
      <c r="P164" t="str">
        <f t="shared" si="23"/>
        <v>Marketing e Propaganda</v>
      </c>
      <c r="Q164" s="14">
        <f t="shared" si="23"/>
        <v>120</v>
      </c>
    </row>
    <row r="165" spans="1:17">
      <c r="A165" t="s">
        <v>144</v>
      </c>
      <c r="B165" s="14">
        <v>40</v>
      </c>
      <c r="C165" s="13">
        <v>45800</v>
      </c>
      <c r="D165" s="13" t="s">
        <v>2354</v>
      </c>
      <c r="E165" t="s">
        <v>947</v>
      </c>
      <c r="F165" s="1">
        <f t="shared" ref="F165:F166" si="24">C165</f>
        <v>45800</v>
      </c>
      <c r="G165" t="str">
        <f t="shared" ref="G165:G166" si="25">IF(D165="Gastos Fixos","Fixas",IF(D165="Gastos variaveis","Variáveis",IF(D165="Vale","Variáveis",IF(D165="Alimentação","Diretoria",D165))))</f>
        <v>Não informada</v>
      </c>
      <c r="I165" s="1">
        <f t="shared" ref="I165:I166" si="26">F165</f>
        <v>45800</v>
      </c>
      <c r="J165" s="1">
        <f t="shared" ref="J165:J166" si="27">F165</f>
        <v>45800</v>
      </c>
      <c r="L165" t="str">
        <f t="shared" ref="L165:L166" si="28">E165</f>
        <v>Financeiro</v>
      </c>
      <c r="M165" t="s">
        <v>137</v>
      </c>
      <c r="N165" t="str">
        <f t="shared" ref="N165:N166" si="29">G165</f>
        <v>Não informada</v>
      </c>
      <c r="P165" t="str">
        <f t="shared" ref="P165:P166" si="30">A165</f>
        <v>Alimentação</v>
      </c>
      <c r="Q165" s="14">
        <f t="shared" ref="Q165:Q166" si="31">B165</f>
        <v>40</v>
      </c>
    </row>
    <row r="166" spans="1:17">
      <c r="A166" t="s">
        <v>141</v>
      </c>
      <c r="B166" s="14">
        <v>60</v>
      </c>
      <c r="C166" s="13">
        <v>45801</v>
      </c>
      <c r="D166" s="13" t="s">
        <v>2354</v>
      </c>
      <c r="E166" t="s">
        <v>947</v>
      </c>
      <c r="F166" s="1">
        <f t="shared" si="24"/>
        <v>45801</v>
      </c>
      <c r="G166" t="str">
        <f t="shared" si="25"/>
        <v>Não informada</v>
      </c>
      <c r="I166" s="1">
        <f t="shared" si="26"/>
        <v>45801</v>
      </c>
      <c r="J166" s="1">
        <f t="shared" si="27"/>
        <v>45801</v>
      </c>
      <c r="L166" t="str">
        <f t="shared" si="28"/>
        <v>Financeiro</v>
      </c>
      <c r="M166" t="s">
        <v>137</v>
      </c>
      <c r="N166" t="str">
        <f t="shared" si="29"/>
        <v>Não informada</v>
      </c>
      <c r="P166" t="str">
        <f t="shared" si="30"/>
        <v>Segurança</v>
      </c>
      <c r="Q166" s="14">
        <f t="shared" si="31"/>
        <v>60</v>
      </c>
    </row>
    <row r="167" spans="1:17">
      <c r="A167" t="s">
        <v>141</v>
      </c>
      <c r="B167" s="14">
        <v>60</v>
      </c>
      <c r="C167" s="13">
        <v>45801</v>
      </c>
      <c r="D167" s="13" t="s">
        <v>2354</v>
      </c>
      <c r="E167" t="s">
        <v>947</v>
      </c>
      <c r="F167" s="1">
        <f t="shared" ref="F167:F170" si="32">C167</f>
        <v>45801</v>
      </c>
      <c r="G167" t="str">
        <f t="shared" ref="G167:G170" si="33">IF(D167="Gastos Fixos","Fixas",IF(D167="Gastos variaveis","Variáveis",IF(D167="Vale","Variáveis",IF(D167="Alimentação","Diretoria",D167))))</f>
        <v>Não informada</v>
      </c>
      <c r="I167" s="1">
        <f t="shared" ref="I167:I170" si="34">F167</f>
        <v>45801</v>
      </c>
      <c r="J167" s="1">
        <f t="shared" ref="J167:J170" si="35">F167</f>
        <v>45801</v>
      </c>
      <c r="L167" t="str">
        <f t="shared" ref="L167:L170" si="36">E167</f>
        <v>Financeiro</v>
      </c>
      <c r="M167" t="s">
        <v>137</v>
      </c>
      <c r="N167" t="str">
        <f t="shared" ref="N167:N170" si="37">G167</f>
        <v>Não informada</v>
      </c>
      <c r="P167" t="str">
        <f t="shared" ref="P167:P170" si="38">A167</f>
        <v>Segurança</v>
      </c>
      <c r="Q167" s="14">
        <f t="shared" ref="Q167:Q170" si="39">B167</f>
        <v>60</v>
      </c>
    </row>
    <row r="168" spans="1:17">
      <c r="A168" t="s">
        <v>1252</v>
      </c>
      <c r="B168" s="14">
        <v>59.98</v>
      </c>
      <c r="C168" s="13">
        <v>45803</v>
      </c>
      <c r="D168" s="13" t="s">
        <v>948</v>
      </c>
      <c r="E168" t="s">
        <v>947</v>
      </c>
      <c r="F168" s="1">
        <f t="shared" si="32"/>
        <v>45803</v>
      </c>
      <c r="G168" t="str">
        <f t="shared" si="33"/>
        <v>Variáveis</v>
      </c>
      <c r="I168" s="1">
        <f t="shared" si="34"/>
        <v>45803</v>
      </c>
      <c r="J168" s="1">
        <f t="shared" si="35"/>
        <v>45803</v>
      </c>
      <c r="L168" t="str">
        <f t="shared" si="36"/>
        <v>Financeiro</v>
      </c>
      <c r="M168" t="s">
        <v>137</v>
      </c>
      <c r="N168" t="str">
        <f t="shared" si="37"/>
        <v>Variáveis</v>
      </c>
      <c r="P168" t="str">
        <f t="shared" si="38"/>
        <v>MP SERVIÇOS - luva vinil</v>
      </c>
      <c r="Q168" s="14">
        <f t="shared" si="39"/>
        <v>59.98</v>
      </c>
    </row>
    <row r="169" spans="1:17">
      <c r="A169" t="s">
        <v>964</v>
      </c>
      <c r="B169" s="14">
        <v>70</v>
      </c>
      <c r="C169" s="13">
        <v>45807.567361111112</v>
      </c>
      <c r="D169" s="13" t="s">
        <v>948</v>
      </c>
      <c r="E169" t="s">
        <v>136</v>
      </c>
      <c r="F169" s="1">
        <f t="shared" si="32"/>
        <v>45807.567361111112</v>
      </c>
      <c r="G169" t="str">
        <f t="shared" si="33"/>
        <v>Variáveis</v>
      </c>
      <c r="I169" s="1">
        <f t="shared" si="34"/>
        <v>45807.567361111112</v>
      </c>
      <c r="J169" s="1">
        <f t="shared" si="35"/>
        <v>45807.567361111112</v>
      </c>
      <c r="L169" t="str">
        <f t="shared" si="36"/>
        <v>Caixa</v>
      </c>
      <c r="M169" t="s">
        <v>137</v>
      </c>
      <c r="N169" t="str">
        <f t="shared" si="37"/>
        <v>Variáveis</v>
      </c>
      <c r="P169" t="str">
        <f t="shared" si="38"/>
        <v>Limpeza do vidro</v>
      </c>
      <c r="Q169" s="14">
        <f t="shared" si="39"/>
        <v>70</v>
      </c>
    </row>
    <row r="170" spans="1:17" s="25" customFormat="1">
      <c r="A170" s="25" t="s">
        <v>3484</v>
      </c>
      <c r="B170" s="26">
        <v>60</v>
      </c>
      <c r="C170" s="27">
        <v>45807.567361111112</v>
      </c>
      <c r="D170" s="27" t="s">
        <v>949</v>
      </c>
      <c r="E170" s="25" t="s">
        <v>136</v>
      </c>
      <c r="F170" s="50">
        <f t="shared" si="32"/>
        <v>45807.567361111112</v>
      </c>
      <c r="G170" s="25" t="str">
        <f t="shared" si="33"/>
        <v>Fixas</v>
      </c>
      <c r="I170" s="50">
        <f t="shared" si="34"/>
        <v>45807.567361111112</v>
      </c>
      <c r="J170" s="50">
        <f t="shared" si="35"/>
        <v>45807.567361111112</v>
      </c>
      <c r="L170" s="25" t="str">
        <f t="shared" si="36"/>
        <v>Caixa</v>
      </c>
      <c r="M170" s="25" t="s">
        <v>137</v>
      </c>
      <c r="N170" s="25" t="str">
        <f t="shared" si="37"/>
        <v>Fixas</v>
      </c>
      <c r="P170" s="25" t="str">
        <f t="shared" si="38"/>
        <v>Seguranca</v>
      </c>
      <c r="Q170" s="26">
        <f t="shared" si="39"/>
        <v>60</v>
      </c>
    </row>
    <row r="171" spans="1:17">
      <c r="A171" t="s">
        <v>3485</v>
      </c>
      <c r="B171" s="14">
        <v>80</v>
      </c>
      <c r="C171" s="13">
        <v>45808</v>
      </c>
      <c r="D171" s="13" t="s">
        <v>950</v>
      </c>
      <c r="E171" t="s">
        <v>947</v>
      </c>
      <c r="F171" s="1">
        <f t="shared" ref="F171" si="40">C171</f>
        <v>45808</v>
      </c>
      <c r="G171" t="str">
        <f t="shared" ref="G171" si="41">IF(D171="Gastos Fixos","Fixas",IF(D171="Gastos variaveis","Variáveis",IF(D171="Vale","Variáveis",IF(D171="Alimentação","Diretoria",D171))))</f>
        <v>Diretoria</v>
      </c>
      <c r="I171" s="1">
        <f t="shared" ref="I171" si="42">F171</f>
        <v>45808</v>
      </c>
      <c r="J171" s="1">
        <f t="shared" ref="J171" si="43">F171</f>
        <v>45808</v>
      </c>
      <c r="L171" t="str">
        <f t="shared" ref="L171" si="44">E171</f>
        <v>Financeiro</v>
      </c>
      <c r="M171" t="s">
        <v>137</v>
      </c>
      <c r="N171" t="str">
        <f t="shared" ref="N171" si="45">G171</f>
        <v>Diretoria</v>
      </c>
      <c r="P171" t="str">
        <f t="shared" ref="P171" si="46">A171</f>
        <v>pizza</v>
      </c>
      <c r="Q171" s="14">
        <f t="shared" ref="Q171" si="47">B171</f>
        <v>80</v>
      </c>
    </row>
    <row r="172" spans="1:17">
      <c r="A172" t="s">
        <v>3486</v>
      </c>
      <c r="B172" s="14">
        <v>2845.6</v>
      </c>
      <c r="C172" s="13">
        <v>45808</v>
      </c>
      <c r="D172" s="13" t="s">
        <v>948</v>
      </c>
      <c r="E172" t="s">
        <v>947</v>
      </c>
      <c r="F172" s="1">
        <f t="shared" ref="F172:F175" si="48">C172</f>
        <v>45808</v>
      </c>
      <c r="G172" t="str">
        <f t="shared" ref="G172:G175" si="49">IF(D172="Gastos Fixos","Fixas",IF(D172="Gastos variaveis","Variáveis",IF(D172="Vale","Variáveis",IF(D172="Alimentação","Diretoria",D172))))</f>
        <v>Variáveis</v>
      </c>
      <c r="I172" s="1">
        <f t="shared" ref="I172:I175" si="50">F172</f>
        <v>45808</v>
      </c>
      <c r="J172" s="1">
        <f t="shared" ref="J172:J175" si="51">F172</f>
        <v>45808</v>
      </c>
      <c r="L172" t="str">
        <f t="shared" ref="L172:L175" si="52">E172</f>
        <v>Financeiro</v>
      </c>
      <c r="M172" t="s">
        <v>137</v>
      </c>
      <c r="N172" t="str">
        <f t="shared" ref="N172:N175" si="53">G172</f>
        <v>Variáveis</v>
      </c>
      <c r="P172" t="str">
        <f t="shared" ref="P172:P175" si="54">A172</f>
        <v>Pagamento de comissão ao profissional PATRICK CARDOSO PIRES referente ao período : 01/05/2025 até 31/05/2025</v>
      </c>
      <c r="Q172" s="14">
        <f t="shared" ref="Q172:Q175" si="55">B172</f>
        <v>2845.6</v>
      </c>
    </row>
    <row r="173" spans="1:17">
      <c r="A173" t="s">
        <v>3486</v>
      </c>
      <c r="B173" s="14">
        <v>70</v>
      </c>
      <c r="C173" s="13">
        <v>45808</v>
      </c>
      <c r="D173" s="13" t="s">
        <v>948</v>
      </c>
      <c r="E173" t="s">
        <v>947</v>
      </c>
      <c r="F173" s="1">
        <f t="shared" si="48"/>
        <v>45808</v>
      </c>
      <c r="G173" t="str">
        <f t="shared" si="49"/>
        <v>Variáveis</v>
      </c>
      <c r="I173" s="1">
        <f t="shared" si="50"/>
        <v>45808</v>
      </c>
      <c r="J173" s="1">
        <f t="shared" si="51"/>
        <v>45808</v>
      </c>
      <c r="L173" t="str">
        <f t="shared" si="52"/>
        <v>Financeiro</v>
      </c>
      <c r="M173" t="s">
        <v>137</v>
      </c>
      <c r="N173" t="str">
        <f t="shared" si="53"/>
        <v>Variáveis</v>
      </c>
      <c r="P173" t="str">
        <f t="shared" si="54"/>
        <v>Pagamento de comissão ao profissional PATRICK CARDOSO PIRES referente ao período : 01/05/2025 até 31/05/2025</v>
      </c>
      <c r="Q173" s="14">
        <f t="shared" si="55"/>
        <v>70</v>
      </c>
    </row>
    <row r="174" spans="1:17">
      <c r="A174" t="s">
        <v>3487</v>
      </c>
      <c r="B174" s="14">
        <v>4001.8</v>
      </c>
      <c r="C174" s="13">
        <v>45808</v>
      </c>
      <c r="D174" s="13" t="s">
        <v>948</v>
      </c>
      <c r="E174" t="s">
        <v>947</v>
      </c>
      <c r="F174" s="1">
        <f t="shared" si="48"/>
        <v>45808</v>
      </c>
      <c r="G174" t="str">
        <f t="shared" si="49"/>
        <v>Variáveis</v>
      </c>
      <c r="I174" s="1">
        <f t="shared" si="50"/>
        <v>45808</v>
      </c>
      <c r="J174" s="1">
        <f t="shared" si="51"/>
        <v>45808</v>
      </c>
      <c r="L174" t="str">
        <f t="shared" si="52"/>
        <v>Financeiro</v>
      </c>
      <c r="M174" t="s">
        <v>137</v>
      </c>
      <c r="N174" t="str">
        <f t="shared" si="53"/>
        <v>Variáveis</v>
      </c>
      <c r="P174" t="str">
        <f t="shared" si="54"/>
        <v>Pagamento de comissão ao profissional GUSTAVO SANTA ROSA DE CASTRO referente ao período : 01/05/2025 até 31/05/2025</v>
      </c>
      <c r="Q174" s="14">
        <f t="shared" si="55"/>
        <v>4001.8</v>
      </c>
    </row>
    <row r="175" spans="1:17">
      <c r="A175" t="s">
        <v>3488</v>
      </c>
      <c r="B175" s="14">
        <v>3329.3</v>
      </c>
      <c r="C175" s="13">
        <v>45809.563888888886</v>
      </c>
      <c r="D175" s="13" t="s">
        <v>948</v>
      </c>
      <c r="E175" t="s">
        <v>136</v>
      </c>
      <c r="F175" s="1">
        <f t="shared" ref="F175:F176" si="56">C175</f>
        <v>45809.563888888886</v>
      </c>
      <c r="G175" t="str">
        <f t="shared" ref="G175:G176" si="57">IF(D175="Gastos Fixos","Fixas",IF(D175="Gastos variaveis","Variáveis",IF(D175="Vale","Variáveis",IF(D175="Alimentação","Diretoria",D175))))</f>
        <v>Variáveis</v>
      </c>
      <c r="I175" s="1">
        <f t="shared" ref="I175:I176" si="58">F175</f>
        <v>45809.563888888886</v>
      </c>
      <c r="J175" s="1">
        <f t="shared" ref="J175:J176" si="59">F175</f>
        <v>45809.563888888886</v>
      </c>
      <c r="L175" t="str">
        <f t="shared" ref="L175:L176" si="60">E175</f>
        <v>Caixa</v>
      </c>
      <c r="M175" t="s">
        <v>137</v>
      </c>
      <c r="N175" t="str">
        <f t="shared" ref="N175:N176" si="61">G175</f>
        <v>Variáveis</v>
      </c>
      <c r="P175" t="str">
        <f t="shared" ref="P175:P176" si="62">A175</f>
        <v>Pagamento de comissão ao profissional Christian Magon referente ao período : 01/05/2025 até 31/05/2025</v>
      </c>
      <c r="Q175" s="14">
        <f t="shared" ref="Q175:Q176" si="63">B175</f>
        <v>3329.3</v>
      </c>
    </row>
    <row r="176" spans="1:17">
      <c r="A176" t="s">
        <v>3489</v>
      </c>
      <c r="B176" s="14">
        <v>3.99</v>
      </c>
      <c r="C176" s="13">
        <v>45810.79583333333</v>
      </c>
      <c r="D176" s="13" t="s">
        <v>948</v>
      </c>
      <c r="E176" t="s">
        <v>136</v>
      </c>
      <c r="F176" s="1">
        <f t="shared" si="56"/>
        <v>45810.79583333333</v>
      </c>
      <c r="G176" t="str">
        <f t="shared" si="57"/>
        <v>Variáveis</v>
      </c>
      <c r="I176" s="1">
        <f t="shared" si="58"/>
        <v>45810.79583333333</v>
      </c>
      <c r="J176" s="1">
        <f t="shared" si="59"/>
        <v>45810.79583333333</v>
      </c>
      <c r="L176" t="str">
        <f t="shared" si="60"/>
        <v>Caixa</v>
      </c>
      <c r="M176" t="s">
        <v>137</v>
      </c>
      <c r="N176" t="str">
        <f t="shared" si="61"/>
        <v>Variáveis</v>
      </c>
      <c r="P176" t="str">
        <f t="shared" si="62"/>
        <v>pano de chão</v>
      </c>
      <c r="Q176" s="14">
        <f t="shared" si="63"/>
        <v>3.99</v>
      </c>
    </row>
    <row r="177" spans="2:4">
      <c r="B177" s="14"/>
      <c r="C177" s="14"/>
      <c r="D177" s="13"/>
    </row>
    <row r="178" spans="2:4">
      <c r="B178" s="14"/>
      <c r="C178" s="14"/>
      <c r="D178" s="13"/>
    </row>
    <row r="179" spans="2:4">
      <c r="B179" s="14"/>
      <c r="C179" s="14"/>
      <c r="D179" s="13"/>
    </row>
    <row r="180" spans="2:4">
      <c r="B180" s="14"/>
      <c r="C180" s="14"/>
      <c r="D180" s="13"/>
    </row>
    <row r="181" spans="2:4">
      <c r="B181" s="14"/>
      <c r="C181" s="14"/>
      <c r="D181" s="13"/>
    </row>
    <row r="182" spans="2:4">
      <c r="B182" s="14"/>
      <c r="C182" s="14"/>
      <c r="D182" s="13"/>
    </row>
    <row r="183" spans="2:4">
      <c r="B183" s="14"/>
      <c r="C183" s="14"/>
      <c r="D183" s="13"/>
    </row>
    <row r="184" spans="2:4">
      <c r="B184" s="14"/>
      <c r="C184" s="14"/>
      <c r="D184" s="13"/>
    </row>
    <row r="185" spans="2:4">
      <c r="B185" s="14"/>
      <c r="C185" s="14"/>
      <c r="D185" s="13"/>
    </row>
    <row r="186" spans="2:4">
      <c r="B186" s="14"/>
      <c r="C186" s="14"/>
      <c r="D186" s="13"/>
    </row>
    <row r="187" spans="2:4">
      <c r="B187" s="14"/>
      <c r="C187" s="14"/>
      <c r="D187" s="13"/>
    </row>
    <row r="188" spans="2:4">
      <c r="B188" s="14"/>
      <c r="C188" s="14"/>
      <c r="D188" s="13"/>
    </row>
    <row r="189" spans="2:4">
      <c r="B189" s="14"/>
      <c r="C189" s="14"/>
      <c r="D189" s="13"/>
    </row>
    <row r="190" spans="2:4">
      <c r="B190" s="14"/>
      <c r="C190" s="14"/>
      <c r="D190" s="13"/>
    </row>
    <row r="191" spans="2:4">
      <c r="B191" s="14"/>
      <c r="C191" s="14"/>
      <c r="D191" s="13"/>
    </row>
    <row r="192" spans="2:4">
      <c r="B192" s="14"/>
      <c r="C192" s="14"/>
      <c r="D192" s="13"/>
    </row>
    <row r="193" spans="2:4">
      <c r="B193" s="14"/>
      <c r="C193" s="14"/>
      <c r="D193" s="13"/>
    </row>
    <row r="194" spans="2:4">
      <c r="B194" s="14"/>
      <c r="C194" s="14"/>
      <c r="D194" s="13"/>
    </row>
    <row r="195" spans="2:4">
      <c r="B195" s="14"/>
      <c r="C195" s="14"/>
      <c r="D195" s="13"/>
    </row>
    <row r="196" spans="2:4">
      <c r="B196" s="14"/>
      <c r="C196" s="14"/>
      <c r="D196" s="13"/>
    </row>
    <row r="197" spans="2:4">
      <c r="B197" s="14"/>
      <c r="C197" s="14"/>
      <c r="D197" s="13"/>
    </row>
    <row r="198" spans="2:4">
      <c r="B198" s="14"/>
      <c r="C198" s="14"/>
      <c r="D198" s="13"/>
    </row>
    <row r="199" spans="2:4">
      <c r="B199" s="14"/>
      <c r="C199" s="14"/>
      <c r="D199" s="13"/>
    </row>
    <row r="200" spans="2:4">
      <c r="B200" s="14"/>
      <c r="C200" s="14"/>
      <c r="D200" s="13"/>
    </row>
    <row r="201" spans="2:4">
      <c r="B201" s="14"/>
      <c r="C201" s="14"/>
      <c r="D201" s="13"/>
    </row>
    <row r="202" spans="2:4">
      <c r="B202" s="14"/>
      <c r="C202" s="14"/>
      <c r="D202" s="13"/>
    </row>
    <row r="203" spans="2:4">
      <c r="B203" s="14"/>
      <c r="C203" s="14"/>
      <c r="D203" s="13"/>
    </row>
    <row r="204" spans="2:4">
      <c r="B204" s="14"/>
      <c r="C204" s="14"/>
      <c r="D204" s="13"/>
    </row>
    <row r="205" spans="2:4">
      <c r="B205" s="14"/>
      <c r="C205" s="14"/>
      <c r="D205" s="13"/>
    </row>
    <row r="206" spans="2:4">
      <c r="B206" s="14"/>
      <c r="C206" s="14"/>
      <c r="D206" s="13"/>
    </row>
    <row r="207" spans="2:4">
      <c r="B207" s="14"/>
      <c r="C207" s="14"/>
      <c r="D207" s="13"/>
    </row>
    <row r="208" spans="2:4">
      <c r="B208" s="14"/>
      <c r="C208" s="14"/>
      <c r="D208" s="13"/>
    </row>
    <row r="209" spans="2:4">
      <c r="B209" s="14"/>
      <c r="C209" s="14"/>
      <c r="D209" s="13"/>
    </row>
    <row r="210" spans="2:4">
      <c r="B210" s="14"/>
      <c r="C210" s="14"/>
      <c r="D210" s="13"/>
    </row>
    <row r="211" spans="2:4">
      <c r="B211" s="14"/>
      <c r="C211" s="14"/>
      <c r="D211" s="13"/>
    </row>
    <row r="212" spans="2:4">
      <c r="B212" s="14"/>
      <c r="C212" s="14"/>
      <c r="D212" s="13"/>
    </row>
    <row r="213" spans="2:4">
      <c r="B213" s="14"/>
      <c r="C213" s="14"/>
      <c r="D213" s="13"/>
    </row>
    <row r="214" spans="2:4">
      <c r="B214" s="14"/>
      <c r="C214" s="14"/>
      <c r="D214" s="13"/>
    </row>
    <row r="215" spans="2:4">
      <c r="B215" s="14"/>
      <c r="C215" s="14"/>
      <c r="D215" s="13"/>
    </row>
    <row r="216" spans="2:4">
      <c r="B216" s="14"/>
      <c r="C216" s="14"/>
      <c r="D216" s="13"/>
    </row>
    <row r="217" spans="2:4">
      <c r="B217" s="14"/>
      <c r="C217" s="14"/>
      <c r="D217" s="13"/>
    </row>
    <row r="218" spans="2:4">
      <c r="B218" s="14"/>
      <c r="C218" s="14"/>
      <c r="D218" s="13"/>
    </row>
    <row r="219" spans="2:4">
      <c r="B219" s="14"/>
      <c r="C219" s="14"/>
      <c r="D219" s="13"/>
    </row>
    <row r="220" spans="2:4">
      <c r="B220" s="14"/>
      <c r="C220" s="14"/>
      <c r="D220" s="13"/>
    </row>
    <row r="221" spans="2:4">
      <c r="B221" s="14"/>
      <c r="C221" s="14"/>
      <c r="D221" s="13"/>
    </row>
    <row r="222" spans="2:4">
      <c r="B222" s="14"/>
      <c r="C222" s="14"/>
      <c r="D222" s="13"/>
    </row>
    <row r="223" spans="2:4">
      <c r="B223" s="14"/>
      <c r="C223" s="14"/>
      <c r="D223" s="13"/>
    </row>
    <row r="224" spans="2:4">
      <c r="B224" s="14"/>
      <c r="C224" s="14"/>
      <c r="D224" s="13"/>
    </row>
    <row r="225" spans="2:4">
      <c r="B225" s="14"/>
      <c r="C225" s="14"/>
      <c r="D225" s="13"/>
    </row>
    <row r="226" spans="2:4">
      <c r="B226" s="14"/>
      <c r="C226" s="14"/>
      <c r="D226" s="13"/>
    </row>
    <row r="227" spans="2:4">
      <c r="B227" s="14"/>
      <c r="C227" s="14"/>
      <c r="D227" s="13"/>
    </row>
    <row r="228" spans="2:4">
      <c r="B228" s="14"/>
      <c r="C228" s="14"/>
      <c r="D228" s="13"/>
    </row>
    <row r="229" spans="2:4">
      <c r="B229" s="14"/>
      <c r="C229" s="14"/>
      <c r="D229" s="13"/>
    </row>
    <row r="230" spans="2:4">
      <c r="B230" s="14"/>
      <c r="C230" s="14"/>
      <c r="D230" s="13"/>
    </row>
    <row r="231" spans="2:4">
      <c r="B231" s="14"/>
      <c r="C231" s="14"/>
      <c r="D231" s="13"/>
    </row>
    <row r="232" spans="2:4">
      <c r="B232" s="14"/>
      <c r="C232" s="14"/>
      <c r="D232" s="13"/>
    </row>
    <row r="233" spans="2:4">
      <c r="B233" s="14"/>
      <c r="C233" s="14"/>
      <c r="D233" s="13"/>
    </row>
    <row r="234" spans="2:4">
      <c r="B234" s="14"/>
      <c r="C234" s="14"/>
      <c r="D234" s="13"/>
    </row>
    <row r="235" spans="2:4">
      <c r="B235" s="14"/>
      <c r="C235" s="14"/>
      <c r="D235" s="13"/>
    </row>
    <row r="236" spans="2:4">
      <c r="B236" s="14"/>
      <c r="C236" s="14"/>
      <c r="D236" s="13"/>
    </row>
    <row r="237" spans="2:4">
      <c r="B237" s="14"/>
      <c r="C237" s="14"/>
      <c r="D237" s="13"/>
    </row>
    <row r="238" spans="2:4">
      <c r="B238" s="14"/>
      <c r="C238" s="14"/>
      <c r="D238" s="13"/>
    </row>
    <row r="239" spans="2:4">
      <c r="B239" s="14"/>
      <c r="C239" s="14"/>
      <c r="D239" s="13"/>
    </row>
    <row r="240" spans="2:4">
      <c r="B240" s="14"/>
      <c r="C240" s="14"/>
      <c r="D240" s="13"/>
    </row>
  </sheetData>
  <autoFilter ref="A1:F91" xr:uid="{1A1835EA-F779-442B-8862-0614D8E355B2}">
    <sortState xmlns:xlrd2="http://schemas.microsoft.com/office/spreadsheetml/2017/richdata2" ref="A2:F111">
      <sortCondition ref="F1:F91"/>
    </sortState>
  </autoFilter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61E7-0DF5-4217-9E1C-8B482C70ADAF}">
  <dimension ref="B1:O28"/>
  <sheetViews>
    <sheetView showGridLines="0" workbookViewId="0">
      <selection activeCell="Q29" sqref="Q29"/>
    </sheetView>
  </sheetViews>
  <sheetFormatPr defaultRowHeight="15"/>
  <cols>
    <col min="2" max="2" width="27.85546875" customWidth="1"/>
    <col min="3" max="3" width="49.5703125" bestFit="1" customWidth="1"/>
    <col min="5" max="6" width="9.85546875" bestFit="1" customWidth="1"/>
    <col min="7" max="15" width="9.140625" hidden="1" customWidth="1"/>
  </cols>
  <sheetData>
    <row r="1" spans="2:15">
      <c r="C1" s="33">
        <v>25</v>
      </c>
    </row>
    <row r="2" spans="2:15" hidden="1"/>
    <row r="3" spans="2:15">
      <c r="C3" s="30" t="s">
        <v>1295</v>
      </c>
      <c r="D3" s="30" t="s">
        <v>327</v>
      </c>
      <c r="E3" s="30" t="s">
        <v>450</v>
      </c>
      <c r="F3" s="30" t="s">
        <v>451</v>
      </c>
      <c r="G3" s="30" t="s">
        <v>452</v>
      </c>
      <c r="H3" s="30" t="s">
        <v>453</v>
      </c>
      <c r="I3" s="30" t="s">
        <v>454</v>
      </c>
      <c r="J3" s="30" t="s">
        <v>455</v>
      </c>
      <c r="K3" s="30" t="s">
        <v>456</v>
      </c>
      <c r="L3" s="30" t="s">
        <v>457</v>
      </c>
      <c r="M3" s="30" t="s">
        <v>458</v>
      </c>
      <c r="N3" s="30" t="s">
        <v>459</v>
      </c>
      <c r="O3" s="30" t="s">
        <v>460</v>
      </c>
    </row>
    <row r="4" spans="2:15">
      <c r="C4" s="30" t="s">
        <v>178</v>
      </c>
      <c r="D4" s="30" t="str">
        <f>D3&amp;"/"&amp;$C$1</f>
        <v>Jan/25</v>
      </c>
      <c r="E4" s="30" t="str">
        <f>E3&amp;"/"&amp;$C$1</f>
        <v>fev/25</v>
      </c>
      <c r="F4" s="30" t="str">
        <f t="shared" ref="F4:O4" si="0">F3&amp;"/"&amp;$C$1</f>
        <v>mar/25</v>
      </c>
      <c r="G4" s="30" t="str">
        <f t="shared" si="0"/>
        <v>abr/25</v>
      </c>
      <c r="H4" s="30" t="str">
        <f t="shared" si="0"/>
        <v>mai/25</v>
      </c>
      <c r="I4" s="30" t="str">
        <f t="shared" si="0"/>
        <v>jun/25</v>
      </c>
      <c r="J4" s="30" t="str">
        <f t="shared" si="0"/>
        <v>jul/25</v>
      </c>
      <c r="K4" s="30" t="str">
        <f t="shared" si="0"/>
        <v>ago/25</v>
      </c>
      <c r="L4" s="30" t="str">
        <f t="shared" si="0"/>
        <v>set/25</v>
      </c>
      <c r="M4" s="30" t="str">
        <f t="shared" si="0"/>
        <v>out/25</v>
      </c>
      <c r="N4" s="30" t="str">
        <f t="shared" si="0"/>
        <v>nov/25</v>
      </c>
      <c r="O4" s="30" t="str">
        <f t="shared" si="0"/>
        <v>dez/25</v>
      </c>
    </row>
    <row r="5" spans="2:15">
      <c r="C5" s="35" t="s">
        <v>1273</v>
      </c>
      <c r="D5" s="36">
        <f>SUM(D6:D7)</f>
        <v>0</v>
      </c>
      <c r="E5" s="36">
        <f>SUM(E6:E7)</f>
        <v>18929.63</v>
      </c>
      <c r="F5" s="34">
        <f t="shared" ref="F5:O5" si="1">SUM(F6:F7)</f>
        <v>18704.330000000002</v>
      </c>
      <c r="G5" s="32">
        <f t="shared" si="1"/>
        <v>19394</v>
      </c>
      <c r="H5" s="32">
        <f t="shared" si="1"/>
        <v>21074</v>
      </c>
      <c r="I5" s="32">
        <f t="shared" si="1"/>
        <v>1040</v>
      </c>
      <c r="J5" s="32">
        <f t="shared" si="1"/>
        <v>0</v>
      </c>
      <c r="K5" s="32">
        <f t="shared" si="1"/>
        <v>0</v>
      </c>
      <c r="L5" s="32">
        <f t="shared" si="1"/>
        <v>0</v>
      </c>
      <c r="M5" s="32">
        <f t="shared" si="1"/>
        <v>0</v>
      </c>
      <c r="N5" s="32">
        <f t="shared" si="1"/>
        <v>0</v>
      </c>
      <c r="O5" s="32">
        <f t="shared" si="1"/>
        <v>0</v>
      </c>
    </row>
    <row r="6" spans="2:15">
      <c r="B6" t="s">
        <v>342</v>
      </c>
      <c r="C6" s="37" t="s">
        <v>147</v>
      </c>
      <c r="D6" s="36">
        <f>SUMIFS(Registro!$I:$I,Registro!$W:$W,DRE!$B6,Registro!$O:$O,DRE!D$4)</f>
        <v>0</v>
      </c>
      <c r="E6" s="36">
        <f>SUMIFS(Registro!$I:$I,Registro!$W:$W,DRE!$B6,Registro!$O:$O,DRE!E$4)</f>
        <v>18397.63</v>
      </c>
      <c r="F6" s="34">
        <f>SUMIFS(Registro!$I:$I,Registro!$W:$W,DRE!$B6,Registro!$O:$O,DRE!F$4)</f>
        <v>17909.330000000002</v>
      </c>
      <c r="G6" s="32">
        <f>SUMIFS(Registro!$I:$I,Registro!$W:$W,DRE!$B6,Registro!$O:$O,DRE!G$4)</f>
        <v>18559</v>
      </c>
      <c r="H6" s="32">
        <f>SUMIFS(Registro!$I:$I,Registro!$W:$W,DRE!$B6,Registro!$O:$O,DRE!H$4)</f>
        <v>20679</v>
      </c>
      <c r="I6" s="32">
        <f>SUMIFS(Registro!$I:$I,Registro!$W:$W,DRE!$B6,Registro!$O:$O,DRE!I$4)</f>
        <v>1040</v>
      </c>
      <c r="J6" s="32">
        <f>SUMIFS(Registro!$I:$I,Registro!$W:$W,DRE!$B6,Registro!$O:$O,DRE!J$4)</f>
        <v>0</v>
      </c>
      <c r="K6" s="32">
        <f>SUMIFS(Registro!$I:$I,Registro!$W:$W,DRE!$B6,Registro!$O:$O,DRE!K$4)</f>
        <v>0</v>
      </c>
      <c r="L6" s="32">
        <f>SUMIFS(Registro!$I:$I,Registro!$W:$W,DRE!$B6,Registro!$O:$O,DRE!L$4)</f>
        <v>0</v>
      </c>
      <c r="M6" s="32">
        <f>SUMIFS(Registro!$I:$I,Registro!$W:$W,DRE!$B6,Registro!$O:$O,DRE!M$4)</f>
        <v>0</v>
      </c>
      <c r="N6" s="32">
        <f>SUMIFS(Registro!$I:$I,Registro!$W:$W,DRE!$B6,Registro!$O:$O,DRE!N$4)</f>
        <v>0</v>
      </c>
      <c r="O6" s="32">
        <f>SUMIFS(Registro!$I:$I,Registro!$W:$W,DRE!$B6,Registro!$O:$O,DRE!O$4)</f>
        <v>0</v>
      </c>
    </row>
    <row r="7" spans="2:15">
      <c r="B7" t="s">
        <v>341</v>
      </c>
      <c r="C7" s="37" t="s">
        <v>150</v>
      </c>
      <c r="D7" s="36">
        <f>SUMIFS(Registro!$I:$I,Registro!$W:$W,DRE!$B7,Registro!$O:$O,DRE!D$4)</f>
        <v>0</v>
      </c>
      <c r="E7" s="36">
        <f>SUMIFS(Registro!$I:$I,Registro!$W:$W,DRE!$B7,Registro!$O:$O,DRE!E$4)</f>
        <v>532</v>
      </c>
      <c r="F7" s="34">
        <f>SUMIFS(Registro!$I:$I,Registro!$W:$W,DRE!$B7,Registro!$O:$O,DRE!F$4)</f>
        <v>795</v>
      </c>
      <c r="G7" s="32">
        <f>SUMIFS(Registro!$I:$I,Registro!$W:$W,DRE!$B7,Registro!$O:$O,DRE!G$4)</f>
        <v>835</v>
      </c>
      <c r="H7" s="32">
        <f>SUMIFS(Registro!$I:$I,Registro!$W:$W,DRE!$B7,Registro!$O:$O,DRE!H$4)</f>
        <v>395</v>
      </c>
      <c r="I7" s="32">
        <f>SUMIFS(Registro!$I:$I,Registro!$W:$W,DRE!$B7,Registro!$O:$O,DRE!I$4)</f>
        <v>0</v>
      </c>
      <c r="J7" s="32">
        <f>SUMIFS(Registro!$I:$I,Registro!$W:$W,DRE!$B7,Registro!$O:$O,DRE!J$4)</f>
        <v>0</v>
      </c>
      <c r="K7" s="32">
        <f>SUMIFS(Registro!$I:$I,Registro!$W:$W,DRE!$B7,Registro!$O:$O,DRE!K$4)</f>
        <v>0</v>
      </c>
      <c r="L7" s="32">
        <f>SUMIFS(Registro!$I:$I,Registro!$W:$W,DRE!$B7,Registro!$O:$O,DRE!L$4)</f>
        <v>0</v>
      </c>
      <c r="M7" s="32">
        <f>SUMIFS(Registro!$I:$I,Registro!$W:$W,DRE!$B7,Registro!$O:$O,DRE!M$4)</f>
        <v>0</v>
      </c>
      <c r="N7" s="32">
        <f>SUMIFS(Registro!$I:$I,Registro!$W:$W,DRE!$B7,Registro!$O:$O,DRE!N$4)</f>
        <v>0</v>
      </c>
      <c r="O7" s="32">
        <f>SUMIFS(Registro!$I:$I,Registro!$W:$W,DRE!$B7,Registro!$O:$O,DRE!O$4)</f>
        <v>0</v>
      </c>
    </row>
    <row r="8" spans="2:15">
      <c r="C8" s="38" t="s">
        <v>1275</v>
      </c>
      <c r="D8" s="36">
        <f>SUM(D9:D10)</f>
        <v>0</v>
      </c>
      <c r="E8" s="36">
        <f>SUM(E9:E10)</f>
        <v>0</v>
      </c>
      <c r="F8" s="34">
        <f>SUM(F9:F10)</f>
        <v>0</v>
      </c>
      <c r="G8" s="32">
        <f t="shared" ref="G8:O8" si="2">SUM(G9:G10)</f>
        <v>0</v>
      </c>
      <c r="H8" s="32">
        <f t="shared" si="2"/>
        <v>0</v>
      </c>
      <c r="I8" s="32">
        <f t="shared" si="2"/>
        <v>0</v>
      </c>
      <c r="J8" s="32">
        <f t="shared" si="2"/>
        <v>0</v>
      </c>
      <c r="K8" s="32">
        <f t="shared" si="2"/>
        <v>0</v>
      </c>
      <c r="L8" s="32">
        <f t="shared" si="2"/>
        <v>0</v>
      </c>
      <c r="M8" s="32">
        <f t="shared" si="2"/>
        <v>0</v>
      </c>
      <c r="N8" s="32">
        <f t="shared" si="2"/>
        <v>0</v>
      </c>
      <c r="O8" s="32">
        <f t="shared" si="2"/>
        <v>0</v>
      </c>
    </row>
    <row r="9" spans="2:15">
      <c r="C9" s="37" t="s">
        <v>1282</v>
      </c>
      <c r="D9" s="36">
        <f>-SUMIFS(Registro!$I:$I,Registro!$W:$W,DRE!$B9,Registro!$O:$O,DRE!D$4)</f>
        <v>0</v>
      </c>
      <c r="E9" s="36">
        <f>-SUMIFS(Registro!$I:$I,Registro!$W:$W,DRE!$B9,Registro!$O:$O,DRE!E$4)</f>
        <v>0</v>
      </c>
      <c r="F9" s="34">
        <f>-SUMIFS(Registro!$I:$I,Registro!$W:$W,DRE!$B9,Registro!$O:$O,DRE!F$4)</f>
        <v>0</v>
      </c>
      <c r="G9" s="32">
        <f>-SUMIFS(Registro!$I:$I,Registro!$W:$W,DRE!$B9,Registro!$O:$O,DRE!G$4)</f>
        <v>0</v>
      </c>
      <c r="H9" s="32">
        <f>-SUMIFS(Registro!$I:$I,Registro!$W:$W,DRE!$B9,Registro!$O:$O,DRE!H$4)</f>
        <v>0</v>
      </c>
      <c r="I9" s="32">
        <f>-SUMIFS(Registro!$I:$I,Registro!$W:$W,DRE!$B9,Registro!$O:$O,DRE!I$4)</f>
        <v>0</v>
      </c>
      <c r="J9" s="32">
        <f>-SUMIFS(Registro!$I:$I,Registro!$W:$W,DRE!$B9,Registro!$O:$O,DRE!J$4)</f>
        <v>0</v>
      </c>
      <c r="K9" s="32">
        <f>-SUMIFS(Registro!$I:$I,Registro!$W:$W,DRE!$B9,Registro!$O:$O,DRE!K$4)</f>
        <v>0</v>
      </c>
      <c r="L9" s="32">
        <f>-SUMIFS(Registro!$I:$I,Registro!$W:$W,DRE!$B9,Registro!$O:$O,DRE!L$4)</f>
        <v>0</v>
      </c>
      <c r="M9" s="32">
        <f>-SUMIFS(Registro!$I:$I,Registro!$W:$W,DRE!$B9,Registro!$O:$O,DRE!M$4)</f>
        <v>0</v>
      </c>
      <c r="N9" s="32">
        <f>-SUMIFS(Registro!$I:$I,Registro!$W:$W,DRE!$B9,Registro!$O:$O,DRE!N$4)</f>
        <v>0</v>
      </c>
      <c r="O9" s="32">
        <f>-SUMIFS(Registro!$I:$I,Registro!$W:$W,DRE!$B9,Registro!$O:$O,DRE!O$4)</f>
        <v>0</v>
      </c>
    </row>
    <row r="10" spans="2:15">
      <c r="C10" s="37" t="s">
        <v>1283</v>
      </c>
      <c r="D10" s="36">
        <f>-SUMIFS(Registro!$I:$I,Registro!$W:$W,DRE!$B10,Registro!$O:$O,DRE!D$4)</f>
        <v>0</v>
      </c>
      <c r="E10" s="36">
        <f>-SUMIFS(Registro!$I:$I,Registro!$W:$W,DRE!$B10,Registro!$O:$O,DRE!E$4)</f>
        <v>0</v>
      </c>
      <c r="F10" s="34">
        <f>-SUMIFS(Registro!$I:$I,Registro!$W:$W,DRE!$B10,Registro!$O:$O,DRE!F$4)</f>
        <v>0</v>
      </c>
      <c r="G10" s="32">
        <f>-SUMIFS(Registro!$I:$I,Registro!$W:$W,DRE!$B10,Registro!$O:$O,DRE!G$4)</f>
        <v>0</v>
      </c>
      <c r="H10" s="32">
        <f>-SUMIFS(Registro!$I:$I,Registro!$W:$W,DRE!$B10,Registro!$O:$O,DRE!H$4)</f>
        <v>0</v>
      </c>
      <c r="I10" s="32">
        <f>-SUMIFS(Registro!$I:$I,Registro!$W:$W,DRE!$B10,Registro!$O:$O,DRE!I$4)</f>
        <v>0</v>
      </c>
      <c r="J10" s="32">
        <f>-SUMIFS(Registro!$I:$I,Registro!$W:$W,DRE!$B10,Registro!$O:$O,DRE!J$4)</f>
        <v>0</v>
      </c>
      <c r="K10" s="32">
        <f>-SUMIFS(Registro!$I:$I,Registro!$W:$W,DRE!$B10,Registro!$O:$O,DRE!K$4)</f>
        <v>0</v>
      </c>
      <c r="L10" s="32">
        <f>-SUMIFS(Registro!$I:$I,Registro!$W:$W,DRE!$B10,Registro!$O:$O,DRE!L$4)</f>
        <v>0</v>
      </c>
      <c r="M10" s="32">
        <f>-SUMIFS(Registro!$I:$I,Registro!$W:$W,DRE!$B10,Registro!$O:$O,DRE!M$4)</f>
        <v>0</v>
      </c>
      <c r="N10" s="32">
        <f>-SUMIFS(Registro!$I:$I,Registro!$W:$W,DRE!$B10,Registro!$O:$O,DRE!N$4)</f>
        <v>0</v>
      </c>
      <c r="O10" s="32">
        <f>-SUMIFS(Registro!$I:$I,Registro!$W:$W,DRE!$B10,Registro!$O:$O,DRE!O$4)</f>
        <v>0</v>
      </c>
    </row>
    <row r="11" spans="2:15">
      <c r="C11" s="38" t="s">
        <v>1274</v>
      </c>
      <c r="D11" s="36">
        <f>D5+D8</f>
        <v>0</v>
      </c>
      <c r="E11" s="36">
        <f>E5+E8</f>
        <v>18929.63</v>
      </c>
      <c r="F11" s="34">
        <f>F5+F8</f>
        <v>18704.330000000002</v>
      </c>
      <c r="G11" s="32">
        <f t="shared" ref="G11:O11" si="3">G5+G8</f>
        <v>19394</v>
      </c>
      <c r="H11" s="32">
        <f t="shared" si="3"/>
        <v>21074</v>
      </c>
      <c r="I11" s="32">
        <f t="shared" si="3"/>
        <v>1040</v>
      </c>
      <c r="J11" s="32">
        <f t="shared" si="3"/>
        <v>0</v>
      </c>
      <c r="K11" s="32">
        <f t="shared" si="3"/>
        <v>0</v>
      </c>
      <c r="L11" s="32">
        <f t="shared" si="3"/>
        <v>0</v>
      </c>
      <c r="M11" s="32">
        <f t="shared" si="3"/>
        <v>0</v>
      </c>
      <c r="N11" s="32">
        <f t="shared" si="3"/>
        <v>0</v>
      </c>
      <c r="O11" s="32">
        <f t="shared" si="3"/>
        <v>0</v>
      </c>
    </row>
    <row r="12" spans="2:15">
      <c r="C12" s="35" t="s">
        <v>1272</v>
      </c>
      <c r="D12" s="36">
        <f>SUM(D13:D14)</f>
        <v>0</v>
      </c>
      <c r="E12" s="36">
        <f>SUM(E13:E14)</f>
        <v>-11609.039999999999</v>
      </c>
      <c r="F12" s="34">
        <f>SUM(F13:F14)</f>
        <v>-11227.25</v>
      </c>
      <c r="G12" s="32">
        <f t="shared" ref="G12:O12" si="4">SUM(G13:G14)</f>
        <v>-12724.23</v>
      </c>
      <c r="H12" s="32">
        <f t="shared" si="4"/>
        <v>-14579.300000000001</v>
      </c>
      <c r="I12" s="32">
        <f t="shared" si="4"/>
        <v>0</v>
      </c>
      <c r="J12" s="32">
        <f t="shared" si="4"/>
        <v>0</v>
      </c>
      <c r="K12" s="32">
        <f t="shared" si="4"/>
        <v>0</v>
      </c>
      <c r="L12" s="32">
        <f t="shared" si="4"/>
        <v>0</v>
      </c>
      <c r="M12" s="32">
        <f t="shared" si="4"/>
        <v>0</v>
      </c>
      <c r="N12" s="32">
        <f t="shared" si="4"/>
        <v>0</v>
      </c>
      <c r="O12" s="32">
        <f t="shared" si="4"/>
        <v>0</v>
      </c>
    </row>
    <row r="13" spans="2:15">
      <c r="B13" t="s">
        <v>1293</v>
      </c>
      <c r="C13" s="35" t="s">
        <v>1270</v>
      </c>
      <c r="D13" s="36">
        <f>-SUMIFS(Registro!$I:$I,Registro!$W:$W,DRE!$B13,Registro!$O:$O,DRE!D$4)</f>
        <v>0</v>
      </c>
      <c r="E13" s="36">
        <f>-SUMIFS(Registro!$I:$I,Registro!$W:$W,DRE!$B13,Registro!$O:$O,DRE!E$4)</f>
        <v>-884</v>
      </c>
      <c r="F13" s="34">
        <f>-SUMIFS(Registro!$I:$I,Registro!$W:$W,DRE!$B13,Registro!$O:$O,DRE!F$4)</f>
        <v>0</v>
      </c>
      <c r="G13" s="32">
        <f>-SUMIFS(Registro!$I:$I,Registro!$W:$W,DRE!$B13,Registro!$O:$O,DRE!G$4)</f>
        <v>-931.3</v>
      </c>
      <c r="H13" s="32">
        <f>-SUMIFS(Registro!$I:$I,Registro!$W:$W,DRE!$B13,Registro!$O:$O,DRE!H$4)</f>
        <v>-444.9</v>
      </c>
      <c r="I13" s="32">
        <f>-SUMIFS(Registro!$I:$I,Registro!$W:$W,DRE!$B13,Registro!$O:$O,DRE!I$4)</f>
        <v>0</v>
      </c>
      <c r="J13" s="32">
        <f>-SUMIFS(Registro!$I:$I,Registro!$W:$W,DRE!$B13,Registro!$O:$O,DRE!J$4)</f>
        <v>0</v>
      </c>
      <c r="K13" s="32">
        <f>-SUMIFS(Registro!$I:$I,Registro!$W:$W,DRE!$B13,Registro!$O:$O,DRE!K$4)</f>
        <v>0</v>
      </c>
      <c r="L13" s="32">
        <f>-SUMIFS(Registro!$I:$I,Registro!$W:$W,DRE!$B13,Registro!$O:$O,DRE!L$4)</f>
        <v>0</v>
      </c>
      <c r="M13" s="32">
        <f>-SUMIFS(Registro!$I:$I,Registro!$W:$W,DRE!$B13,Registro!$O:$O,DRE!M$4)</f>
        <v>0</v>
      </c>
      <c r="N13" s="32">
        <f>-SUMIFS(Registro!$I:$I,Registro!$W:$W,DRE!$B13,Registro!$O:$O,DRE!N$4)</f>
        <v>0</v>
      </c>
      <c r="O13" s="32">
        <f>-SUMIFS(Registro!$I:$I,Registro!$W:$W,DRE!$B13,Registro!$O:$O,DRE!O$4)</f>
        <v>0</v>
      </c>
    </row>
    <row r="14" spans="2:15">
      <c r="B14" t="s">
        <v>1290</v>
      </c>
      <c r="C14" s="35" t="s">
        <v>1271</v>
      </c>
      <c r="D14" s="36">
        <f>-SUMIFS(Registro!$I:$I,Registro!$W:$W,DRE!$B14,Registro!$O:$O,DRE!D$4)</f>
        <v>0</v>
      </c>
      <c r="E14" s="36">
        <f>-SUMIFS(Registro!$I:$I,Registro!$W:$W,DRE!$B14,Registro!$O:$O,DRE!E$4)</f>
        <v>-10725.039999999999</v>
      </c>
      <c r="F14" s="34">
        <f>-SUMIFS(Registro!$I:$I,Registro!$W:$W,DRE!$B14,Registro!$O:$O,DRE!F$4)</f>
        <v>-11227.25</v>
      </c>
      <c r="G14" s="32">
        <f>-SUMIFS(Registro!$I:$I,Registro!$W:$W,DRE!$B14,Registro!$O:$O,DRE!G$4)</f>
        <v>-11792.93</v>
      </c>
      <c r="H14" s="32">
        <f>-SUMIFS(Registro!$I:$I,Registro!$W:$W,DRE!$B14,Registro!$O:$O,DRE!H$4)</f>
        <v>-14134.400000000001</v>
      </c>
      <c r="I14" s="32">
        <f>-SUMIFS(Registro!$I:$I,Registro!$W:$W,DRE!$B14,Registro!$O:$O,DRE!I$4)</f>
        <v>0</v>
      </c>
      <c r="J14" s="32">
        <f>-SUMIFS(Registro!$I:$I,Registro!$W:$W,DRE!$B14,Registro!$O:$O,DRE!J$4)</f>
        <v>0</v>
      </c>
      <c r="K14" s="32">
        <f>-SUMIFS(Registro!$I:$I,Registro!$W:$W,DRE!$B14,Registro!$O:$O,DRE!K$4)</f>
        <v>0</v>
      </c>
      <c r="L14" s="32">
        <f>-SUMIFS(Registro!$I:$I,Registro!$W:$W,DRE!$B14,Registro!$O:$O,DRE!L$4)</f>
        <v>0</v>
      </c>
      <c r="M14" s="32">
        <f>-SUMIFS(Registro!$I:$I,Registro!$W:$W,DRE!$B14,Registro!$O:$O,DRE!M$4)</f>
        <v>0</v>
      </c>
      <c r="N14" s="32">
        <f>-SUMIFS(Registro!$I:$I,Registro!$W:$W,DRE!$B14,Registro!$O:$O,DRE!N$4)</f>
        <v>0</v>
      </c>
      <c r="O14" s="32">
        <f>-SUMIFS(Registro!$I:$I,Registro!$W:$W,DRE!$B14,Registro!$O:$O,DRE!O$4)</f>
        <v>0</v>
      </c>
    </row>
    <row r="15" spans="2:15">
      <c r="C15" s="35" t="s">
        <v>1276</v>
      </c>
      <c r="D15" s="36">
        <f>SUM(D11,D12)</f>
        <v>0</v>
      </c>
      <c r="E15" s="36">
        <f>SUM(E11,E12)</f>
        <v>7320.590000000002</v>
      </c>
      <c r="F15" s="34">
        <f>SUM(F11,F12)</f>
        <v>7477.0800000000017</v>
      </c>
      <c r="G15" s="32">
        <f t="shared" ref="G15:O15" si="5">SUM(G11,G12)</f>
        <v>6669.77</v>
      </c>
      <c r="H15" s="32">
        <f t="shared" si="5"/>
        <v>6494.6999999999989</v>
      </c>
      <c r="I15" s="32">
        <f t="shared" si="5"/>
        <v>1040</v>
      </c>
      <c r="J15" s="32">
        <f t="shared" si="5"/>
        <v>0</v>
      </c>
      <c r="K15" s="32">
        <f t="shared" si="5"/>
        <v>0</v>
      </c>
      <c r="L15" s="32">
        <f t="shared" si="5"/>
        <v>0</v>
      </c>
      <c r="M15" s="32">
        <f t="shared" si="5"/>
        <v>0</v>
      </c>
      <c r="N15" s="32">
        <f t="shared" si="5"/>
        <v>0</v>
      </c>
      <c r="O15" s="32">
        <f t="shared" si="5"/>
        <v>0</v>
      </c>
    </row>
    <row r="16" spans="2:15">
      <c r="C16" s="35" t="s">
        <v>137</v>
      </c>
      <c r="D16" s="36">
        <f>SUM(D17:D20)</f>
        <v>0</v>
      </c>
      <c r="E16" s="36">
        <f>SUM(E17:E20)</f>
        <v>-4763.0884999999998</v>
      </c>
      <c r="F16" s="34">
        <f>SUM(F17:F20)</f>
        <v>-3199.4700000000003</v>
      </c>
      <c r="G16" s="32">
        <f t="shared" ref="G16:O16" si="6">SUM(G17:G20)</f>
        <v>-4759.1588000000002</v>
      </c>
      <c r="H16" s="32">
        <f t="shared" si="6"/>
        <v>-3617.9960000000001</v>
      </c>
      <c r="I16" s="32">
        <f t="shared" si="6"/>
        <v>-11.317</v>
      </c>
      <c r="J16" s="32">
        <f t="shared" si="6"/>
        <v>0</v>
      </c>
      <c r="K16" s="32">
        <f t="shared" si="6"/>
        <v>0</v>
      </c>
      <c r="L16" s="32">
        <f t="shared" si="6"/>
        <v>0</v>
      </c>
      <c r="M16" s="32">
        <f t="shared" si="6"/>
        <v>0</v>
      </c>
      <c r="N16" s="32">
        <f t="shared" si="6"/>
        <v>0</v>
      </c>
      <c r="O16" s="32">
        <f t="shared" si="6"/>
        <v>0</v>
      </c>
    </row>
    <row r="17" spans="2:15">
      <c r="B17" t="s">
        <v>343</v>
      </c>
      <c r="C17" s="37" t="s">
        <v>343</v>
      </c>
      <c r="D17" s="36">
        <f>-SUMIFS(Registro!$I:$I,Registro!$W:$W,DRE!$B17,Registro!$O:$O,DRE!D$4)</f>
        <v>0</v>
      </c>
      <c r="E17" s="36">
        <f>-SUMIFS(Registro!$I:$I,Registro!$W:$W,DRE!$B17,Registro!$O:$O,DRE!E$4)</f>
        <v>-3128.9300000000003</v>
      </c>
      <c r="F17" s="34">
        <f>-SUMIFS(Registro!$I:$I,Registro!$W:$W,DRE!$B17,Registro!$O:$O,DRE!F$4)</f>
        <v>-2280.83</v>
      </c>
      <c r="G17" s="32">
        <f>-SUMIFS(Registro!$I:$I,Registro!$W:$W,DRE!$B17,Registro!$O:$O,DRE!G$4)</f>
        <v>-1983.6100000000001</v>
      </c>
      <c r="H17" s="32">
        <f>-SUMIFS(Registro!$I:$I,Registro!$W:$W,DRE!$B17,Registro!$O:$O,DRE!H$4)</f>
        <v>-2233.9300000000003</v>
      </c>
      <c r="I17" s="32">
        <f>-SUMIFS(Registro!$I:$I,Registro!$W:$W,DRE!$B17,Registro!$O:$O,DRE!I$4)</f>
        <v>0</v>
      </c>
      <c r="J17" s="32">
        <f>-SUMIFS(Registro!$I:$I,Registro!$W:$W,DRE!$B17,Registro!$O:$O,DRE!J$4)</f>
        <v>0</v>
      </c>
      <c r="K17" s="32">
        <f>-SUMIFS(Registro!$I:$I,Registro!$W:$W,DRE!$B17,Registro!$O:$O,DRE!K$4)</f>
        <v>0</v>
      </c>
      <c r="L17" s="32">
        <f>-SUMIFS(Registro!$I:$I,Registro!$W:$W,DRE!$B17,Registro!$O:$O,DRE!L$4)</f>
        <v>0</v>
      </c>
      <c r="M17" s="32">
        <f>-SUMIFS(Registro!$I:$I,Registro!$W:$W,DRE!$B17,Registro!$O:$O,DRE!M$4)</f>
        <v>0</v>
      </c>
      <c r="N17" s="32">
        <f>-SUMIFS(Registro!$I:$I,Registro!$W:$W,DRE!$B17,Registro!$O:$O,DRE!N$4)</f>
        <v>0</v>
      </c>
      <c r="O17" s="32">
        <f>-SUMIFS(Registro!$I:$I,Registro!$W:$W,DRE!$B17,Registro!$O:$O,DRE!O$4)</f>
        <v>0</v>
      </c>
    </row>
    <row r="18" spans="2:15">
      <c r="B18" t="s">
        <v>347</v>
      </c>
      <c r="C18" s="37" t="s">
        <v>347</v>
      </c>
      <c r="D18" s="36">
        <f>-SUMIFS(Registro!$I:$I,Registro!$W:$W,DRE!$B18,Registro!$O:$O,DRE!D$4)-SUMIFS(Registro!$X:$X,Registro!$E:$E,"Receitas",Registro!$O:$O,DRE!D$4)</f>
        <v>0</v>
      </c>
      <c r="E18" s="36">
        <f>-SUMIFS(Registro!$I:$I,Registro!$W:$W,DRE!$B18,Registro!$O:$O,DRE!E$4)-SUMIFS(Registro!$X:$X,Registro!$E:$E,"Receitas",Registro!$O:$O,DRE!E$4)</f>
        <v>-462.80850000000004</v>
      </c>
      <c r="F18" s="34">
        <f>-SUMIFS(Registro!$I:$I,Registro!$W:$W,DRE!$B18,Registro!$O:$O,DRE!F$4)-SUMIFS(Registro!$X:$X,Registro!$E:$E,"Receitas",Registro!$O:$O,DRE!F$4)</f>
        <v>-793.01</v>
      </c>
      <c r="G18" s="32">
        <f>-SUMIFS(Registro!$I:$I,Registro!$W:$W,DRE!$B18,Registro!$O:$O,DRE!G$4)-SUMIFS(Registro!$X:$X,Registro!$E:$E,"Receitas",Registro!$O:$O,DRE!G$4)</f>
        <v>-811.10879999999997</v>
      </c>
      <c r="H18" s="32">
        <f>-SUMIFS(Registro!$I:$I,Registro!$W:$W,DRE!$B18,Registro!$O:$O,DRE!H$4)-SUMIFS(Registro!$X:$X,Registro!$E:$E,"Receitas",Registro!$O:$O,DRE!H$4)</f>
        <v>-675.08599999999979</v>
      </c>
      <c r="I18" s="32">
        <f>-SUMIFS(Registro!$I:$I,Registro!$W:$W,DRE!$B18,Registro!$O:$O,DRE!I$4)-SUMIFS(Registro!$X:$X,Registro!$E:$E,"Receitas",Registro!$O:$O,DRE!I$4)</f>
        <v>-11.317</v>
      </c>
      <c r="J18" s="32">
        <f>-SUMIFS(Registro!$I:$I,Registro!$W:$W,DRE!$B18,Registro!$O:$O,DRE!J$4)-SUMIFS(Registro!$X:$X,Registro!$E:$E,"Receitas",Registro!$O:$O,DRE!J$4)</f>
        <v>0</v>
      </c>
      <c r="K18" s="32">
        <f>-SUMIFS(Registro!$I:$I,Registro!$W:$W,DRE!$B18,Registro!$O:$O,DRE!K$4)-SUMIFS(Registro!$X:$X,Registro!$E:$E,"Receitas",Registro!$O:$O,DRE!K$4)</f>
        <v>0</v>
      </c>
      <c r="L18" s="32">
        <f>-SUMIFS(Registro!$I:$I,Registro!$W:$W,DRE!$B18,Registro!$O:$O,DRE!L$4)-SUMIFS(Registro!$X:$X,Registro!$E:$E,"Receitas",Registro!$O:$O,DRE!L$4)</f>
        <v>0</v>
      </c>
      <c r="M18" s="32">
        <f>-SUMIFS(Registro!$I:$I,Registro!$W:$W,DRE!$B18,Registro!$O:$O,DRE!M$4)-SUMIFS(Registro!$X:$X,Registro!$E:$E,"Receitas",Registro!$O:$O,DRE!M$4)</f>
        <v>0</v>
      </c>
      <c r="N18" s="32">
        <f>-SUMIFS(Registro!$I:$I,Registro!$W:$W,DRE!$B18,Registro!$O:$O,DRE!N$4)-SUMIFS(Registro!$X:$X,Registro!$E:$E,"Receitas",Registro!$O:$O,DRE!N$4)</f>
        <v>0</v>
      </c>
      <c r="O18" s="32">
        <f>-SUMIFS(Registro!$I:$I,Registro!$W:$W,DRE!$B18,Registro!$O:$O,DRE!O$4)-SUMIFS(Registro!$X:$X,Registro!$E:$E,"Receitas",Registro!$O:$O,DRE!O$4)</f>
        <v>0</v>
      </c>
    </row>
    <row r="19" spans="2:15">
      <c r="B19" t="s">
        <v>345</v>
      </c>
      <c r="C19" s="37" t="s">
        <v>345</v>
      </c>
      <c r="D19" s="36">
        <f>-SUMIFS(Registro!$I:$I,Registro!$W:$W,DRE!$B19,Registro!$O:$O,DRE!D$4)</f>
        <v>0</v>
      </c>
      <c r="E19" s="36">
        <f>-SUMIFS(Registro!$I:$I,Registro!$W:$W,DRE!$B19,Registro!$O:$O,DRE!E$4)</f>
        <v>-1194.3499999999999</v>
      </c>
      <c r="F19" s="34">
        <f>-SUMIFS(Registro!$I:$I,Registro!$W:$W,DRE!$B19,Registro!$O:$O,DRE!F$4)</f>
        <v>-191.13</v>
      </c>
      <c r="G19" s="32">
        <f>-SUMIFS(Registro!$I:$I,Registro!$W:$W,DRE!$B19,Registro!$O:$O,DRE!G$4)</f>
        <v>-2021.44</v>
      </c>
      <c r="H19" s="32">
        <f>-SUMIFS(Registro!$I:$I,Registro!$W:$W,DRE!$B19,Registro!$O:$O,DRE!H$4)</f>
        <v>-879.98</v>
      </c>
      <c r="I19" s="32">
        <f>-SUMIFS(Registro!$I:$I,Registro!$W:$W,DRE!$B19,Registro!$O:$O,DRE!I$4)</f>
        <v>0</v>
      </c>
      <c r="J19" s="32">
        <f>-SUMIFS(Registro!$I:$I,Registro!$W:$W,DRE!$B19,Registro!$O:$O,DRE!J$4)</f>
        <v>0</v>
      </c>
      <c r="K19" s="32">
        <f>-SUMIFS(Registro!$I:$I,Registro!$W:$W,DRE!$B19,Registro!$O:$O,DRE!K$4)</f>
        <v>0</v>
      </c>
      <c r="L19" s="32">
        <f>-SUMIFS(Registro!$I:$I,Registro!$W:$W,DRE!$B19,Registro!$O:$O,DRE!L$4)</f>
        <v>0</v>
      </c>
      <c r="M19" s="32">
        <f>-SUMIFS(Registro!$I:$I,Registro!$W:$W,DRE!$B19,Registro!$O:$O,DRE!M$4)</f>
        <v>0</v>
      </c>
      <c r="N19" s="32">
        <f>-SUMIFS(Registro!$I:$I,Registro!$W:$W,DRE!$B19,Registro!$O:$O,DRE!N$4)</f>
        <v>0</v>
      </c>
      <c r="O19" s="32">
        <f>-SUMIFS(Registro!$I:$I,Registro!$W:$W,DRE!$B19,Registro!$O:$O,DRE!O$4)</f>
        <v>0</v>
      </c>
    </row>
    <row r="20" spans="2:15">
      <c r="B20" t="s">
        <v>1288</v>
      </c>
      <c r="C20" s="37" t="s">
        <v>1288</v>
      </c>
      <c r="D20" s="36">
        <f>SUMIFS(Registro!$I:$I,Registro!$W:$W,DRE!$B20,Registro!$O:$O,DRE!D$4)</f>
        <v>0</v>
      </c>
      <c r="E20" s="36">
        <f>SUMIFS(Registro!$I:$I,Registro!$W:$W,DRE!$B20,Registro!$O:$O,DRE!E$4)</f>
        <v>23</v>
      </c>
      <c r="F20" s="34">
        <f>SUMIFS(Registro!$I:$I,Registro!$W:$W,DRE!$B20,Registro!$O:$O,DRE!F$4)</f>
        <v>65.5</v>
      </c>
      <c r="G20" s="32">
        <f>SUMIFS(Registro!$I:$I,Registro!$W:$W,DRE!$B20,Registro!$O:$O,DRE!G$4)</f>
        <v>57</v>
      </c>
      <c r="H20" s="32">
        <f>SUMIFS(Registro!$I:$I,Registro!$W:$W,DRE!$B20,Registro!$O:$O,DRE!H$4)</f>
        <v>171</v>
      </c>
      <c r="I20" s="32">
        <f>SUMIFS(Registro!$I:$I,Registro!$W:$W,DRE!$B20,Registro!$O:$O,DRE!I$4)</f>
        <v>0</v>
      </c>
      <c r="J20" s="32">
        <f>SUMIFS(Registro!$I:$I,Registro!$W:$W,DRE!$B20,Registro!$O:$O,DRE!J$4)</f>
        <v>0</v>
      </c>
      <c r="K20" s="32">
        <f>SUMIFS(Registro!$I:$I,Registro!$W:$W,DRE!$B20,Registro!$O:$O,DRE!K$4)</f>
        <v>0</v>
      </c>
      <c r="L20" s="32">
        <f>SUMIFS(Registro!$I:$I,Registro!$W:$W,DRE!$B20,Registro!$O:$O,DRE!L$4)</f>
        <v>0</v>
      </c>
      <c r="M20" s="32">
        <f>SUMIFS(Registro!$I:$I,Registro!$W:$W,DRE!$B20,Registro!$O:$O,DRE!M$4)</f>
        <v>0</v>
      </c>
      <c r="N20" s="32">
        <f>SUMIFS(Registro!$I:$I,Registro!$W:$W,DRE!$B20,Registro!$O:$O,DRE!N$4)</f>
        <v>0</v>
      </c>
      <c r="O20" s="32">
        <f>SUMIFS(Registro!$I:$I,Registro!$W:$W,DRE!$B20,Registro!$O:$O,DRE!O$4)</f>
        <v>0</v>
      </c>
    </row>
    <row r="21" spans="2:15">
      <c r="C21" s="35" t="s">
        <v>1284</v>
      </c>
      <c r="D21" s="36">
        <f>D15+D16</f>
        <v>0</v>
      </c>
      <c r="E21" s="36">
        <f>E15+E16</f>
        <v>2557.5015000000021</v>
      </c>
      <c r="F21" s="34">
        <f>F15+F16</f>
        <v>4277.6100000000015</v>
      </c>
      <c r="G21" s="32">
        <f t="shared" ref="G21:O21" si="7">G15+G16</f>
        <v>1910.6112000000003</v>
      </c>
      <c r="H21" s="32">
        <f t="shared" si="7"/>
        <v>2876.7039999999988</v>
      </c>
      <c r="I21" s="32">
        <f t="shared" si="7"/>
        <v>1028.683</v>
      </c>
      <c r="J21" s="32">
        <f t="shared" si="7"/>
        <v>0</v>
      </c>
      <c r="K21" s="32">
        <f t="shared" si="7"/>
        <v>0</v>
      </c>
      <c r="L21" s="32">
        <f t="shared" si="7"/>
        <v>0</v>
      </c>
      <c r="M21" s="32">
        <f t="shared" si="7"/>
        <v>0</v>
      </c>
      <c r="N21" s="32">
        <f t="shared" si="7"/>
        <v>0</v>
      </c>
      <c r="O21" s="32">
        <f t="shared" si="7"/>
        <v>0</v>
      </c>
    </row>
    <row r="22" spans="2:15">
      <c r="C22" s="35" t="s">
        <v>1277</v>
      </c>
      <c r="D22" s="36">
        <f>SUM(D23:D24)</f>
        <v>0</v>
      </c>
      <c r="E22" s="36">
        <f>SUM(E23:E24)</f>
        <v>0</v>
      </c>
      <c r="F22" s="34">
        <f>SUM(F23:F24)</f>
        <v>0</v>
      </c>
      <c r="G22" s="32">
        <f t="shared" ref="G22:O22" si="8">SUM(G23:G24)</f>
        <v>0</v>
      </c>
      <c r="H22" s="32">
        <f t="shared" si="8"/>
        <v>0</v>
      </c>
      <c r="I22" s="32">
        <f t="shared" si="8"/>
        <v>0</v>
      </c>
      <c r="J22" s="32">
        <f t="shared" si="8"/>
        <v>0</v>
      </c>
      <c r="K22" s="32">
        <f t="shared" si="8"/>
        <v>0</v>
      </c>
      <c r="L22" s="32">
        <f t="shared" si="8"/>
        <v>0</v>
      </c>
      <c r="M22" s="32">
        <f t="shared" si="8"/>
        <v>0</v>
      </c>
      <c r="N22" s="32">
        <f t="shared" si="8"/>
        <v>0</v>
      </c>
      <c r="O22" s="32">
        <f t="shared" si="8"/>
        <v>0</v>
      </c>
    </row>
    <row r="23" spans="2:15">
      <c r="C23" s="37" t="s">
        <v>1278</v>
      </c>
      <c r="D23" s="36">
        <f>-SUMIFS(Registro!$I:$I,Registro!$W:$W,DRE!$B23,Registro!$O:$O,DRE!D$4)</f>
        <v>0</v>
      </c>
      <c r="E23" s="36">
        <f>-SUMIFS(Registro!$I:$I,Registro!$W:$W,DRE!$B23,Registro!$O:$O,DRE!E$4)</f>
        <v>0</v>
      </c>
      <c r="F23" s="34">
        <f>-SUMIFS(Registro!$I:$I,Registro!$W:$W,DRE!$B23,Registro!$O:$O,DRE!F$4)</f>
        <v>0</v>
      </c>
      <c r="G23" s="32">
        <f>-SUMIFS(Registro!$I:$I,Registro!$W:$W,DRE!$B23,Registro!$O:$O,DRE!G$4)</f>
        <v>0</v>
      </c>
      <c r="H23" s="32">
        <f>-SUMIFS(Registro!$I:$I,Registro!$W:$W,DRE!$B23,Registro!$O:$O,DRE!H$4)</f>
        <v>0</v>
      </c>
      <c r="I23" s="32">
        <f>-SUMIFS(Registro!$I:$I,Registro!$W:$W,DRE!$B23,Registro!$O:$O,DRE!I$4)</f>
        <v>0</v>
      </c>
      <c r="J23" s="32">
        <f>-SUMIFS(Registro!$I:$I,Registro!$W:$W,DRE!$B23,Registro!$O:$O,DRE!J$4)</f>
        <v>0</v>
      </c>
      <c r="K23" s="32">
        <f>-SUMIFS(Registro!$I:$I,Registro!$W:$W,DRE!$B23,Registro!$O:$O,DRE!K$4)</f>
        <v>0</v>
      </c>
      <c r="L23" s="32">
        <f>-SUMIFS(Registro!$I:$I,Registro!$W:$W,DRE!$B23,Registro!$O:$O,DRE!L$4)</f>
        <v>0</v>
      </c>
      <c r="M23" s="32">
        <f>-SUMIFS(Registro!$I:$I,Registro!$W:$W,DRE!$B23,Registro!$O:$O,DRE!M$4)</f>
        <v>0</v>
      </c>
      <c r="N23" s="32">
        <f>-SUMIFS(Registro!$I:$I,Registro!$W:$W,DRE!$B23,Registro!$O:$O,DRE!N$4)</f>
        <v>0</v>
      </c>
      <c r="O23" s="32">
        <f>-SUMIFS(Registro!$I:$I,Registro!$W:$W,DRE!$B23,Registro!$O:$O,DRE!O$4)</f>
        <v>0</v>
      </c>
    </row>
    <row r="24" spans="2:15">
      <c r="B24" t="s">
        <v>1291</v>
      </c>
      <c r="C24" s="37" t="s">
        <v>1279</v>
      </c>
      <c r="D24" s="36">
        <f>-SUMIFS(Registro!$I:$I,Registro!$W:$W,DRE!$B24,Registro!$O:$O,DRE!D$4)</f>
        <v>0</v>
      </c>
      <c r="E24" s="36">
        <f>-SUMIFS(Registro!$I:$I,Registro!$W:$W,DRE!$B24,Registro!$O:$O,DRE!E$4)</f>
        <v>0</v>
      </c>
      <c r="F24" s="34">
        <f>-SUMIFS(Registro!$I:$I,Registro!$W:$W,DRE!$B24,Registro!$O:$O,DRE!F$4)</f>
        <v>0</v>
      </c>
      <c r="G24" s="32">
        <f>-SUMIFS(Registro!$I:$I,Registro!$W:$W,DRE!$B24,Registro!$O:$O,DRE!G$4)</f>
        <v>0</v>
      </c>
      <c r="H24" s="32">
        <f>-SUMIFS(Registro!$I:$I,Registro!$W:$W,DRE!$B24,Registro!$O:$O,DRE!H$4)</f>
        <v>0</v>
      </c>
      <c r="I24" s="32">
        <f>-SUMIFS(Registro!$I:$I,Registro!$W:$W,DRE!$B24,Registro!$O:$O,DRE!I$4)</f>
        <v>0</v>
      </c>
      <c r="J24" s="32">
        <f>-SUMIFS(Registro!$I:$I,Registro!$W:$W,DRE!$B24,Registro!$O:$O,DRE!J$4)</f>
        <v>0</v>
      </c>
      <c r="K24" s="32">
        <f>-SUMIFS(Registro!$I:$I,Registro!$W:$W,DRE!$B24,Registro!$O:$O,DRE!K$4)</f>
        <v>0</v>
      </c>
      <c r="L24" s="32">
        <f>-SUMIFS(Registro!$I:$I,Registro!$W:$W,DRE!$B24,Registro!$O:$O,DRE!L$4)</f>
        <v>0</v>
      </c>
      <c r="M24" s="32">
        <f>-SUMIFS(Registro!$I:$I,Registro!$W:$W,DRE!$B24,Registro!$O:$O,DRE!M$4)</f>
        <v>0</v>
      </c>
      <c r="N24" s="32">
        <f>-SUMIFS(Registro!$I:$I,Registro!$W:$W,DRE!$B24,Registro!$O:$O,DRE!N$4)</f>
        <v>0</v>
      </c>
      <c r="O24" s="32">
        <f>-SUMIFS(Registro!$I:$I,Registro!$W:$W,DRE!$B24,Registro!$O:$O,DRE!O$4)</f>
        <v>0</v>
      </c>
    </row>
    <row r="25" spans="2:15">
      <c r="C25" s="35" t="s">
        <v>1280</v>
      </c>
      <c r="D25" s="36">
        <f>D21+D22</f>
        <v>0</v>
      </c>
      <c r="E25" s="36">
        <f>E21+E22</f>
        <v>2557.5015000000021</v>
      </c>
      <c r="F25" s="34">
        <f>F21+F22</f>
        <v>4277.6100000000015</v>
      </c>
      <c r="G25" s="32">
        <f t="shared" ref="G25:O25" si="9">G21+G22</f>
        <v>1910.6112000000003</v>
      </c>
      <c r="H25" s="32">
        <f t="shared" si="9"/>
        <v>2876.7039999999988</v>
      </c>
      <c r="I25" s="32">
        <f t="shared" si="9"/>
        <v>1028.683</v>
      </c>
      <c r="J25" s="32">
        <f t="shared" si="9"/>
        <v>0</v>
      </c>
      <c r="K25" s="32">
        <f t="shared" si="9"/>
        <v>0</v>
      </c>
      <c r="L25" s="32">
        <f t="shared" si="9"/>
        <v>0</v>
      </c>
      <c r="M25" s="32">
        <f t="shared" si="9"/>
        <v>0</v>
      </c>
      <c r="N25" s="32">
        <f t="shared" si="9"/>
        <v>0</v>
      </c>
      <c r="O25" s="32">
        <f t="shared" si="9"/>
        <v>0</v>
      </c>
    </row>
    <row r="26" spans="2:15">
      <c r="B26" t="s">
        <v>1292</v>
      </c>
      <c r="C26" s="37" t="s">
        <v>1292</v>
      </c>
      <c r="D26" s="36">
        <f>-SUMIFS(Registro!$I:$I,Registro!$W:$W,DRE!$B26,Registro!$O:$O,DRE!D$4)</f>
        <v>0</v>
      </c>
      <c r="E26" s="36">
        <f>-SUMIFS(Registro!$I:$I,Registro!$W:$W,DRE!$B26,Registro!$O:$O,DRE!E$4)</f>
        <v>0</v>
      </c>
      <c r="F26" s="34">
        <f>-SUMIFS(Registro!$I:$I,Registro!$W:$W,DRE!$B26,Registro!$O:$O,DRE!F$4)</f>
        <v>-86.52</v>
      </c>
      <c r="G26" s="32">
        <f>-SUMIFS(Registro!$I:$I,Registro!$W:$W,DRE!$B26,Registro!$O:$O,DRE!G$4)</f>
        <v>-172.23</v>
      </c>
      <c r="H26" s="32">
        <f>-SUMIFS(Registro!$I:$I,Registro!$W:$W,DRE!$B26,Registro!$O:$O,DRE!H$4)</f>
        <v>0</v>
      </c>
      <c r="I26" s="32">
        <f>-SUMIFS(Registro!$I:$I,Registro!$W:$W,DRE!$B26,Registro!$O:$O,DRE!I$4)</f>
        <v>0</v>
      </c>
      <c r="J26" s="32">
        <f>-SUMIFS(Registro!$I:$I,Registro!$W:$W,DRE!$B26,Registro!$O:$O,DRE!J$4)</f>
        <v>0</v>
      </c>
      <c r="K26" s="32">
        <f>-SUMIFS(Registro!$I:$I,Registro!$W:$W,DRE!$B26,Registro!$O:$O,DRE!K$4)</f>
        <v>0</v>
      </c>
      <c r="L26" s="32">
        <f>-SUMIFS(Registro!$I:$I,Registro!$W:$W,DRE!$B26,Registro!$O:$O,DRE!L$4)</f>
        <v>0</v>
      </c>
      <c r="M26" s="32">
        <f>-SUMIFS(Registro!$I:$I,Registro!$W:$W,DRE!$B26,Registro!$O:$O,DRE!M$4)</f>
        <v>0</v>
      </c>
      <c r="N26" s="32">
        <f>-SUMIFS(Registro!$I:$I,Registro!$W:$W,DRE!$B26,Registro!$O:$O,DRE!N$4)</f>
        <v>0</v>
      </c>
      <c r="O26" s="32">
        <f>-SUMIFS(Registro!$I:$I,Registro!$W:$W,DRE!$B26,Registro!$O:$O,DRE!O$4)</f>
        <v>0</v>
      </c>
    </row>
    <row r="27" spans="2:15">
      <c r="C27" s="37"/>
      <c r="D27" s="36"/>
      <c r="E27" s="36"/>
      <c r="F27" s="34"/>
      <c r="G27" s="32"/>
      <c r="H27" s="32"/>
      <c r="I27" s="32"/>
      <c r="J27" s="32"/>
      <c r="K27" s="32"/>
      <c r="L27" s="32"/>
      <c r="M27" s="32"/>
      <c r="N27" s="32"/>
      <c r="O27" s="32"/>
    </row>
    <row r="28" spans="2:15">
      <c r="C28" s="35" t="s">
        <v>1281</v>
      </c>
      <c r="D28" s="36">
        <f>D26+D25</f>
        <v>0</v>
      </c>
      <c r="E28" s="36">
        <f>E26+E25</f>
        <v>2557.5015000000021</v>
      </c>
      <c r="F28" s="34">
        <f>F26+F25</f>
        <v>4191.0900000000011</v>
      </c>
      <c r="G28" s="32">
        <f t="shared" ref="G28:O28" si="10">G26+G25</f>
        <v>1738.3812000000003</v>
      </c>
      <c r="H28" s="32">
        <f t="shared" si="10"/>
        <v>2876.7039999999988</v>
      </c>
      <c r="I28" s="32">
        <f t="shared" si="10"/>
        <v>1028.683</v>
      </c>
      <c r="J28" s="32">
        <f t="shared" si="10"/>
        <v>0</v>
      </c>
      <c r="K28" s="32">
        <f t="shared" si="10"/>
        <v>0</v>
      </c>
      <c r="L28" s="32">
        <f t="shared" si="10"/>
        <v>0</v>
      </c>
      <c r="M28" s="32">
        <f t="shared" si="10"/>
        <v>0</v>
      </c>
      <c r="N28" s="32">
        <f t="shared" si="10"/>
        <v>0</v>
      </c>
      <c r="O28" s="32">
        <f t="shared" si="10"/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4 Y P D W q p h s d 2 k A A A A 9 g A A A B I A H A B D b 2 5 m a W c v U G F j a 2 F n Z S 5 4 b W w g o h g A K K A U A A A A A A A A A A A A A A A A A A A A A A A A A A A A h Y 9 B D o I w F E S v Q r q n h a q J I Z + S 6 F Y S o 4 l x 2 5 R a G q E Q W i x 3 c + G R v I I Y R d 2 5 n D d v M X O / 3 i A b 6 i q 4 y M 7 q x q Q o x h E K p B F N o Y 1 K U e 9 O 4 R J l D L Z c n L m S w S g b m w y 2 S F H p X J s Q 4 r 3 H f o a b T h E a R T E 5 5 p u 9 K G X N 0 U f W / + V Q G + u 4 E R I x O L z G M I r j O c V 0 M W 4 C M k H I t f k K d O y e 7 Q + E d V + 5 v p O s d e F q B 2 S K Q N 4 f 2 A N Q S w M E F A A C A A g A 4 Y P D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D w 1 q f 9 E a F n w E A A P Y C A A A T A B w A R m 9 y b X V s Y X M v U 2 V j d G l v b j E u b S C i G A A o o B Q A A A A A A A A A A A A A A A A A A A A A A A A A A A C F U k 1 r G z E Q v R v 8 H 4 R 6 s W E x B E o P D T 6 k 6 4 a G 5 u D W T n v w m j K 7 m t Q i k s a V Z o u D 8 Y 8 p O e T U X 7 F / r L P r f B W 7 d C 9 a v f d m 9 J 5 G C S u 2 F N R s v 5 6 c 9 n v 9 X l p B R K O m D s K J G i u H 3 O 8 p + c 4 p M A r w f l O h G 3 2 l e F M S 3 Q z O r c N R 3 n K B 0 0 D n b 4 u r h D E V l x Q j B P U Z b z 0 F U 0 y o q r 1 I K K l 5 h B L c i g q p S r V j i h a S b P w a w s p C E b F C y w I 9 / o w 2 L m 3 0 M F O h d i 5 T H G s c Z n t T n c t v s x U i i 7 X O 4 n Z x w e j H u q N 0 9 t E G M 9 a d Q i 9 3 i w k w L B + K X + k c S m z u W z N J T S N 5 + m k N J S 2 t 5 l B K r g 5 j / I B g J N P g x W m Z W j y Q Z 8 7 N K n A Q 0 7 h 1 t h w + d Z / b N a k z x x j B 0 H N T y R / S N U W f k 6 t 9 m N + u M Q 3 + 6 S X b b r V s r 2 1 K M i J w W i 5 A K h T j h n e Z 2 u o 2 7 Q E 4 w V R F 2 9 w 3 d 3 T A f Q F H U V 0 F y 8 2 v a J / 4 U P s S 4 7 P i C P 6 J j a A X g d + 8 H r W 2 X 7 S T 8 U E w o C 6 b 3 z 9 q M f 4 / 3 b t Y 8 x F R O 5 7 H g w 0 w s v V 7 Y g r f o X s / B 3 F y Z w X H v / D d s N + z 4 f g c T v 8 A U E s B A i 0 A F A A C A A g A 4 Y P D W q p h s d 2 k A A A A 9 g A A A B I A A A A A A A A A A A A A A A A A A A A A A E N v b m Z p Z y 9 Q Y W N r Y W d l L n h t b F B L A Q I t A B Q A A g A I A O G D w 1 o P y u m r p A A A A O k A A A A T A A A A A A A A A A A A A A A A A P A A A A B b Q 2 9 u d G V u d F 9 U e X B l c 1 0 u e G 1 s U E s B A i 0 A F A A C A A g A 4 Y P D W p / 0 R o W f A Q A A 9 g I A A B M A A A A A A A A A A A A A A A A A 4 Q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A 8 A A A A A A A A q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x h b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T F m O W R m M C 0 y N T R k L T Q y Y 2 Q t O T V k O S 1 j Y z F k O W I w M z I 2 Y T c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M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1 Q x O T o z M T o w M i 4 4 M j k 0 N T Y z W i I g L z 4 8 R W 5 0 c n k g V H l w Z T 0 i R m l s b E N v b H V t b l R 5 c G V z I i B W Y W x 1 Z T 0 i c 0 J n W U d C U V V E Q X d N S E J n W T 0 i I C 8 + P E V u d H J 5 I F R 5 c G U 9 I k Z p b G x D b 2 x 1 b W 5 O Y W 1 l c y I g V m F s d W U 9 I n N b J n F 1 b 3 Q 7 U H J v Z m l z c 2 l v b m F s J n F 1 b 3 Q 7 L C Z x d W 9 0 O 0 l 0 Z W 0 m c X V v d D s s J n F 1 b 3 Q 7 R G V z Y 3 J p w 6 f D o 2 8 m c X V v d D s s J n F 1 b 3 Q 7 V m F s b 3 I g V W 5 p d M O h c m l v J n F 1 b 3 Q 7 L C Z x d W 9 0 O 1 Z h b G 9 y J n F 1 b 3 Q 7 L C Z x d W 9 0 O 1 F 0 Z C Z x d W 9 0 O y w m c X V v d D t W Y W x v c i B D b 2 1 h b m R h I E z D r X F 1 a W R v J n F 1 b 3 Q 7 L C Z x d W 9 0 O 1 Z h b G 9 y I E N v b W F u Z G E g Q n J 1 d G 8 m c X V v d D s s J n F 1 b 3 Q 7 R G F 0 Y S Z x d W 9 0 O y w m c X V v d D t Q Y W d h b W V u d G 8 m c X V v d D s s J n F 1 b 3 Q 7 Q 2 x p Z W 5 0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W 4 x L 1 R p c G 8 g Q W x 0 Z X J h Z G 8 u e 1 B y b 2 Z p c 3 N p b 2 5 h b C w w f S Z x d W 9 0 O y w m c X V v d D t T Z W N 0 a W 9 u M S 9 Q b G F u M S 9 U a X B v I E F s d G V y Y W R v L n t J d G V t L D F 9 J n F 1 b 3 Q 7 L C Z x d W 9 0 O 1 N l Y 3 R p b 2 4 x L 1 B s Y W 4 x L 1 R p c G 8 g Q W x 0 Z X J h Z G 8 u e 0 R l c 2 N y a c O n w 6 N v L D J 9 J n F 1 b 3 Q 7 L C Z x d W 9 0 O 1 N l Y 3 R p b 2 4 x L 1 B s Y W 4 x L 1 R p c G 8 g Q W x 0 Z X J h Z G 8 u e 1 Z h b G 9 y I F V u a X T D o X J p b y w z f S Z x d W 9 0 O y w m c X V v d D t T Z W N 0 a W 9 u M S 9 Q b G F u M S 9 U a X B v I E F s d G V y Y W R v L n t W Y W x v c i w 0 f S Z x d W 9 0 O y w m c X V v d D t T Z W N 0 a W 9 u M S 9 Q b G F u M S 9 U a X B v I E F s d G V y Y W R v L n t R d G Q s N X 0 m c X V v d D s s J n F 1 b 3 Q 7 U 2 V j d G l v b j E v U G x h b j E v V G l w b y B B b H R l c m F k b y 5 7 V m F s b 3 I g Q 2 9 t Y W 5 k Y S B M w 6 1 x d W l k b y w 2 f S Z x d W 9 0 O y w m c X V v d D t T Z W N 0 a W 9 u M S 9 Q b G F u M S 9 U a X B v I E F s d G V y Y W R v L n t W Y W x v c i B D b 2 1 h b m R h I E J y d X R v L D d 9 J n F 1 b 3 Q 7 L C Z x d W 9 0 O 1 N l Y 3 R p b 2 4 x L 1 B s Y W 4 x L 1 R p c G 8 g Q W x 0 Z X J h Z G 8 u e 0 R h d G E s O H 0 m c X V v d D s s J n F 1 b 3 Q 7 U 2 V j d G l v b j E v U G x h b j E v V G l w b y B B b H R l c m F k b y 5 7 U G F n Y W 1 l b n R v L D l 9 J n F 1 b 3 Q 7 L C Z x d W 9 0 O 1 N l Y 3 R p b 2 4 x L 1 B s Y W 4 x L 1 R p c G 8 g Q W x 0 Z X J h Z G 8 u e 0 N s a W V u d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b G F u M S 9 U a X B v I E F s d G V y Y W R v L n t Q c m 9 m a X N z a W 9 u Y W w s M H 0 m c X V v d D s s J n F 1 b 3 Q 7 U 2 V j d G l v b j E v U G x h b j E v V G l w b y B B b H R l c m F k b y 5 7 S X R l b S w x f S Z x d W 9 0 O y w m c X V v d D t T Z W N 0 a W 9 u M S 9 Q b G F u M S 9 U a X B v I E F s d G V y Y W R v L n t E Z X N j c m n D p 8 O j b y w y f S Z x d W 9 0 O y w m c X V v d D t T Z W N 0 a W 9 u M S 9 Q b G F u M S 9 U a X B v I E F s d G V y Y W R v L n t W Y W x v c i B V b m l 0 w 6 F y a W 8 s M 3 0 m c X V v d D s s J n F 1 b 3 Q 7 U 2 V j d G l v b j E v U G x h b j E v V G l w b y B B b H R l c m F k b y 5 7 V m F s b 3 I s N H 0 m c X V v d D s s J n F 1 b 3 Q 7 U 2 V j d G l v b j E v U G x h b j E v V G l w b y B B b H R l c m F k b y 5 7 U X R k L D V 9 J n F 1 b 3 Q 7 L C Z x d W 9 0 O 1 N l Y 3 R p b 2 4 x L 1 B s Y W 4 x L 1 R p c G 8 g Q W x 0 Z X J h Z G 8 u e 1 Z h b G 9 y I E N v b W F u Z G E g T M O t c X V p Z G 8 s N n 0 m c X V v d D s s J n F 1 b 3 Q 7 U 2 V j d G l v b j E v U G x h b j E v V G l w b y B B b H R l c m F k b y 5 7 V m F s b 3 I g Q 2 9 t Y W 5 k Y S B C c n V 0 b y w 3 f S Z x d W 9 0 O y w m c X V v d D t T Z W N 0 a W 9 u M S 9 Q b G F u M S 9 U a X B v I E F s d G V y Y W R v L n t E Y X R h L D h 9 J n F 1 b 3 Q 7 L C Z x d W 9 0 O 1 N l Y 3 R p b 2 4 x L 1 B s Y W 4 x L 1 R p c G 8 g Q W x 0 Z X J h Z G 8 u e 1 B h Z 2 F t Z W 5 0 b y w 5 f S Z x d W 9 0 O y w m c X V v d D t T Z W N 0 a W 9 u M S 9 Q b G F u M S 9 U a X B v I E F s d G V y Y W R v L n t D b G l l b n R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b j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M S 9 Q b G F u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4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M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t m 9 2 Y Y T n E C s / i k h l h l i x w A A A A A C A A A A A A A Q Z g A A A A E A A C A A A A D 4 I 2 k r o 4 3 e C Z n z t B T N y B a S u k C n i A Z J J Z y R B r w l 9 c 7 O 3 g A A A A A O g A A A A A I A A C A A A A A J m G g j g w q c g N J m l M 8 9 U U v l X s G n s 3 w x d P / I t a F + 1 v 0 k W F A A A A B S s q Q 8 f 0 d C g I 8 Q I e p S p M 0 C q e T o L u a S B X M D w T m A F z 7 r R f t k O 5 T W Q a 4 P y 8 J S k 5 V k N R k U V 1 Q S E 0 u L F L S c S 8 L P c w i j F T T d t v 0 1 I / s W P z C d e 8 K w k U A A A A A x k 1 u U 2 R c D O 9 4 U C 3 G E m t E b h F N G J S S c A M V G k t Y L X U M f x x U A i c P y H 6 y l j 4 f l 6 s V l 3 J g X u W 0 / a t A x d d Q Y Q h J s K K V U < / D a t a M a s h u p > 
</file>

<file path=customXml/itemProps1.xml><?xml version="1.0" encoding="utf-8"?>
<ds:datastoreItem xmlns:ds="http://schemas.openxmlformats.org/officeDocument/2006/customXml" ds:itemID="{14DA7F4E-B6C9-4D17-A392-26C9A46A31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22</vt:i4>
      </vt:variant>
    </vt:vector>
  </HeadingPairs>
  <TitlesOfParts>
    <vt:vector size="32" baseType="lpstr">
      <vt:lpstr>base</vt:lpstr>
      <vt:lpstr>Plano de Contas</vt:lpstr>
      <vt:lpstr>Serviços</vt:lpstr>
      <vt:lpstr>Produtos</vt:lpstr>
      <vt:lpstr>Registro</vt:lpstr>
      <vt:lpstr>Análise - Caixa</vt:lpstr>
      <vt:lpstr>Receitas</vt:lpstr>
      <vt:lpstr>Despesas</vt:lpstr>
      <vt:lpstr>DRE</vt:lpstr>
      <vt:lpstr>Planejamento</vt:lpstr>
      <vt:lpstr>Ajustes</vt:lpstr>
      <vt:lpstr>caixa</vt:lpstr>
      <vt:lpstr>Clientes</vt:lpstr>
      <vt:lpstr>Combos</vt:lpstr>
      <vt:lpstr>comissão</vt:lpstr>
      <vt:lpstr>Crédito_de_Cliente</vt:lpstr>
      <vt:lpstr>Despesas</vt:lpstr>
      <vt:lpstr>Diretoria</vt:lpstr>
      <vt:lpstr>Empréstimos</vt:lpstr>
      <vt:lpstr>Fixas</vt:lpstr>
      <vt:lpstr>Investimentos</vt:lpstr>
      <vt:lpstr>itaú</vt:lpstr>
      <vt:lpstr>Lucros</vt:lpstr>
      <vt:lpstr>Pacotes</vt:lpstr>
      <vt:lpstr>Produtos</vt:lpstr>
      <vt:lpstr>Receitas</vt:lpstr>
      <vt:lpstr>Serviços</vt:lpstr>
      <vt:lpstr>Planejamento!tipo</vt:lpstr>
      <vt:lpstr>tipo</vt:lpstr>
      <vt:lpstr>tipo_cliente</vt:lpstr>
      <vt:lpstr>TON</vt:lpstr>
      <vt:lpstr>Variáveis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L'orran Reymond</dc:creator>
  <cp:lastModifiedBy>L'orran Reymond</cp:lastModifiedBy>
  <cp:lastPrinted>2025-05-15T14:30:19Z</cp:lastPrinted>
  <dcterms:created xsi:type="dcterms:W3CDTF">2024-11-23T18:38:36Z</dcterms:created>
  <dcterms:modified xsi:type="dcterms:W3CDTF">2025-06-03T22:31:43Z</dcterms:modified>
</cp:coreProperties>
</file>