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7B9AB65E-7BFA-4861-9746-508996D374D9}" xr6:coauthVersionLast="47" xr6:coauthVersionMax="47" xr10:uidLastSave="{00000000-0000-0000-0000-000000000000}"/>
  <bookViews>
    <workbookView xWindow="-103" yWindow="-103" windowWidth="22149" windowHeight="11949" tabRatio="675" firstSheet="1" activeTab="8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statistics" sheetId="3" r:id="rId9"/>
    <sheet name="paragon" sheetId="4" r:id="rId10"/>
    <sheet name="highlander" sheetId="16" r:id="rId11"/>
    <sheet name="druid" sheetId="18" r:id="rId12"/>
    <sheet name="oracle" sheetId="17" r:id="rId13"/>
    <sheet name="avatar" sheetId="19" r:id="rId14"/>
    <sheet name="shadow" sheetId="20" r:id="rId15"/>
    <sheet name="lightbringer" sheetId="21" r:id="rId16"/>
    <sheet name="avenger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X11" i="22"/>
  <c r="X10" i="22"/>
  <c r="X9" i="22"/>
  <c r="X8" i="22"/>
  <c r="X7" i="22"/>
  <c r="X6" i="22"/>
  <c r="X5" i="22"/>
  <c r="X4" i="22"/>
  <c r="X3" i="22"/>
  <c r="X2" i="22"/>
  <c r="V9" i="21"/>
  <c r="V8" i="21"/>
  <c r="V7" i="21"/>
  <c r="V6" i="21"/>
  <c r="V5" i="21"/>
  <c r="V4" i="21"/>
  <c r="V3" i="21"/>
  <c r="V2" i="21"/>
  <c r="V9" i="20"/>
  <c r="V8" i="20"/>
  <c r="V7" i="20"/>
  <c r="V6" i="20"/>
  <c r="V5" i="20"/>
  <c r="V4" i="20"/>
  <c r="V3" i="20"/>
  <c r="V2" i="20"/>
  <c r="V9" i="19"/>
  <c r="V8" i="19"/>
  <c r="V7" i="19"/>
  <c r="V6" i="19"/>
  <c r="V5" i="19"/>
  <c r="V4" i="19"/>
  <c r="V3" i="19"/>
  <c r="V2" i="19"/>
  <c r="V9" i="17"/>
  <c r="V8" i="17"/>
  <c r="V7" i="17"/>
  <c r="V6" i="17"/>
  <c r="V5" i="17"/>
  <c r="V4" i="17"/>
  <c r="V3" i="17"/>
  <c r="V2" i="17"/>
  <c r="V9" i="18"/>
  <c r="V8" i="18"/>
  <c r="V7" i="18"/>
  <c r="V6" i="18"/>
  <c r="V5" i="18"/>
  <c r="V4" i="18"/>
  <c r="V3" i="18"/>
  <c r="V2" i="18"/>
  <c r="V9" i="16"/>
  <c r="X11" i="4"/>
  <c r="V8" i="16"/>
  <c r="V7" i="16"/>
  <c r="V6" i="16"/>
  <c r="V5" i="16"/>
  <c r="V4" i="16"/>
  <c r="V3" i="16"/>
  <c r="V2" i="16"/>
  <c r="X10" i="4"/>
  <c r="X9" i="4"/>
  <c r="X8" i="4"/>
  <c r="O7" i="24"/>
  <c r="O6" i="24"/>
  <c r="O5" i="24"/>
  <c r="O3" i="24"/>
  <c r="O2" i="24"/>
  <c r="O1" i="24"/>
  <c r="K3" i="24"/>
  <c r="K4" i="24"/>
  <c r="K5" i="24"/>
  <c r="K6" i="24"/>
  <c r="K7" i="24"/>
  <c r="K8" i="24"/>
  <c r="K9" i="24"/>
  <c r="K10" i="24"/>
  <c r="J3" i="24"/>
  <c r="J4" i="24"/>
  <c r="J5" i="24"/>
  <c r="J6" i="24"/>
  <c r="J7" i="24"/>
  <c r="J8" i="24"/>
  <c r="J9" i="24"/>
  <c r="J10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G32" i="24" s="1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G42" i="24" l="1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P60" i="22" s="1"/>
  <c r="N57" i="22"/>
  <c r="M57" i="22"/>
  <c r="O57" i="22" s="1"/>
  <c r="N56" i="22"/>
  <c r="M56" i="22"/>
  <c r="N55" i="22"/>
  <c r="M55" i="22"/>
  <c r="O55" i="22" s="1"/>
  <c r="N52" i="22"/>
  <c r="M52" i="22"/>
  <c r="N51" i="22"/>
  <c r="M51" i="22"/>
  <c r="N50" i="22"/>
  <c r="M50" i="22"/>
  <c r="P50" i="22" s="1"/>
  <c r="N47" i="22"/>
  <c r="M47" i="22"/>
  <c r="O47" i="22" s="1"/>
  <c r="N46" i="22"/>
  <c r="M46" i="22"/>
  <c r="N45" i="22"/>
  <c r="M45" i="22"/>
  <c r="N41" i="22"/>
  <c r="M41" i="22"/>
  <c r="P41" i="22" s="1"/>
  <c r="N40" i="22"/>
  <c r="M40" i="22"/>
  <c r="N39" i="22"/>
  <c r="M39" i="22"/>
  <c r="P39" i="22" s="1"/>
  <c r="N36" i="22"/>
  <c r="M36" i="22"/>
  <c r="N35" i="22"/>
  <c r="M35" i="22"/>
  <c r="P35" i="22" s="1"/>
  <c r="N34" i="22"/>
  <c r="M34" i="22"/>
  <c r="O34" i="22" s="1"/>
  <c r="N31" i="22"/>
  <c r="M31" i="22"/>
  <c r="P31" i="22" s="1"/>
  <c r="N30" i="22"/>
  <c r="M30" i="22"/>
  <c r="N29" i="22"/>
  <c r="M29" i="22"/>
  <c r="P29" i="22" s="1"/>
  <c r="N26" i="22"/>
  <c r="M26" i="22"/>
  <c r="O26" i="22" s="1"/>
  <c r="N25" i="22"/>
  <c r="M25" i="22"/>
  <c r="P25" i="22" s="1"/>
  <c r="N24" i="22"/>
  <c r="M24" i="22"/>
  <c r="P24" i="22" s="1"/>
  <c r="N20" i="22"/>
  <c r="C20" i="22" s="1"/>
  <c r="M20" i="22"/>
  <c r="N19" i="22"/>
  <c r="M19" i="22"/>
  <c r="N18" i="22"/>
  <c r="M18" i="22"/>
  <c r="N15" i="22"/>
  <c r="M15" i="22"/>
  <c r="N14" i="22"/>
  <c r="C14" i="22" s="1"/>
  <c r="M14" i="22"/>
  <c r="N13" i="22"/>
  <c r="M13" i="22"/>
  <c r="N10" i="22"/>
  <c r="M10" i="22"/>
  <c r="N9" i="22"/>
  <c r="M9" i="22"/>
  <c r="N8" i="22"/>
  <c r="C8" i="22" s="1"/>
  <c r="M8" i="22"/>
  <c r="N5" i="22"/>
  <c r="M5" i="22"/>
  <c r="N4" i="22"/>
  <c r="M4" i="22"/>
  <c r="P4" i="22" s="1"/>
  <c r="N3" i="22"/>
  <c r="M3" i="22"/>
  <c r="P3" i="22" s="1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O46" i="21" s="1"/>
  <c r="M45" i="21"/>
  <c r="L45" i="21"/>
  <c r="M41" i="21"/>
  <c r="L41" i="21"/>
  <c r="O41" i="21" s="1"/>
  <c r="M40" i="21"/>
  <c r="L40" i="21"/>
  <c r="O40" i="21" s="1"/>
  <c r="M39" i="21"/>
  <c r="L39" i="21"/>
  <c r="O39" i="21" s="1"/>
  <c r="M36" i="21"/>
  <c r="L36" i="21"/>
  <c r="M35" i="21"/>
  <c r="L35" i="21"/>
  <c r="O35" i="21" s="1"/>
  <c r="M34" i="21"/>
  <c r="L34" i="21"/>
  <c r="O34" i="21" s="1"/>
  <c r="M31" i="21"/>
  <c r="L31" i="21"/>
  <c r="O31" i="21" s="1"/>
  <c r="M30" i="21"/>
  <c r="L30" i="21"/>
  <c r="O30" i="21" s="1"/>
  <c r="M29" i="21"/>
  <c r="L29" i="21"/>
  <c r="O29" i="21" s="1"/>
  <c r="M26" i="21"/>
  <c r="L26" i="21"/>
  <c r="O26" i="21" s="1"/>
  <c r="M25" i="21"/>
  <c r="L25" i="21"/>
  <c r="M24" i="21"/>
  <c r="L24" i="21"/>
  <c r="O24" i="21" s="1"/>
  <c r="M20" i="21"/>
  <c r="L20" i="21"/>
  <c r="M19" i="21"/>
  <c r="L19" i="21"/>
  <c r="N18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O5" i="21" s="1"/>
  <c r="M4" i="21"/>
  <c r="L4" i="21"/>
  <c r="O4" i="21" s="1"/>
  <c r="M3" i="21"/>
  <c r="L3" i="21"/>
  <c r="O3" i="21" s="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O61" i="20" s="1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O40" i="20" s="1"/>
  <c r="M39" i="20"/>
  <c r="L39" i="20"/>
  <c r="O39" i="20" s="1"/>
  <c r="M36" i="20"/>
  <c r="L36" i="20"/>
  <c r="O36" i="20" s="1"/>
  <c r="M35" i="20"/>
  <c r="L35" i="20"/>
  <c r="O35" i="20" s="1"/>
  <c r="M34" i="20"/>
  <c r="L34" i="20"/>
  <c r="O34" i="20" s="1"/>
  <c r="M31" i="20"/>
  <c r="L31" i="20"/>
  <c r="O31" i="20" s="1"/>
  <c r="M30" i="20"/>
  <c r="L30" i="20"/>
  <c r="O30" i="20" s="1"/>
  <c r="M29" i="20"/>
  <c r="L29" i="20"/>
  <c r="O29" i="20" s="1"/>
  <c r="O26" i="20"/>
  <c r="M26" i="20"/>
  <c r="L26" i="20"/>
  <c r="N26" i="20" s="1"/>
  <c r="M25" i="20"/>
  <c r="L25" i="20"/>
  <c r="O25" i="20" s="1"/>
  <c r="M24" i="20"/>
  <c r="L24" i="20"/>
  <c r="N24" i="20" s="1"/>
  <c r="M20" i="20"/>
  <c r="L20" i="20"/>
  <c r="M19" i="20"/>
  <c r="L19" i="20"/>
  <c r="M18" i="20"/>
  <c r="L18" i="20"/>
  <c r="M15" i="20"/>
  <c r="L15" i="20"/>
  <c r="O15" i="20" s="1"/>
  <c r="M14" i="20"/>
  <c r="L14" i="20"/>
  <c r="O14" i="20" s="1"/>
  <c r="M13" i="20"/>
  <c r="L13" i="20"/>
  <c r="N13" i="20" s="1"/>
  <c r="M10" i="20"/>
  <c r="L10" i="20"/>
  <c r="O10" i="20" s="1"/>
  <c r="M9" i="20"/>
  <c r="L9" i="20"/>
  <c r="O9" i="20" s="1"/>
  <c r="M8" i="20"/>
  <c r="L8" i="20"/>
  <c r="O8" i="20" s="1"/>
  <c r="M5" i="20"/>
  <c r="L5" i="20"/>
  <c r="O5" i="20" s="1"/>
  <c r="M4" i="20"/>
  <c r="L4" i="20"/>
  <c r="O4" i="20" s="1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O61" i="19" s="1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O51" i="19" s="1"/>
  <c r="M50" i="19"/>
  <c r="L50" i="19"/>
  <c r="O50" i="19" s="1"/>
  <c r="M47" i="19"/>
  <c r="C5" i="19" s="1"/>
  <c r="L47" i="19"/>
  <c r="O47" i="19" s="1"/>
  <c r="M46" i="19"/>
  <c r="L46" i="19"/>
  <c r="M45" i="19"/>
  <c r="L45" i="19"/>
  <c r="O45" i="19" s="1"/>
  <c r="M41" i="19"/>
  <c r="L41" i="19"/>
  <c r="O41" i="19" s="1"/>
  <c r="M40" i="19"/>
  <c r="L40" i="19"/>
  <c r="O40" i="19" s="1"/>
  <c r="M39" i="19"/>
  <c r="L39" i="19"/>
  <c r="O39" i="19" s="1"/>
  <c r="M36" i="19"/>
  <c r="L36" i="19"/>
  <c r="O36" i="19" s="1"/>
  <c r="M35" i="19"/>
  <c r="L35" i="19"/>
  <c r="O35" i="19" s="1"/>
  <c r="M34" i="19"/>
  <c r="L34" i="19"/>
  <c r="O34" i="19" s="1"/>
  <c r="M31" i="19"/>
  <c r="L31" i="19"/>
  <c r="O31" i="19" s="1"/>
  <c r="M30" i="19"/>
  <c r="L30" i="19"/>
  <c r="O30" i="19" s="1"/>
  <c r="M29" i="19"/>
  <c r="L29" i="19"/>
  <c r="O29" i="19" s="1"/>
  <c r="M26" i="19"/>
  <c r="L26" i="19"/>
  <c r="O26" i="19" s="1"/>
  <c r="M25" i="19"/>
  <c r="L25" i="19"/>
  <c r="N24" i="19" s="1"/>
  <c r="M24" i="19"/>
  <c r="L24" i="19"/>
  <c r="O24" i="19" s="1"/>
  <c r="M20" i="19"/>
  <c r="C20" i="19" s="1"/>
  <c r="L20" i="19"/>
  <c r="M19" i="19"/>
  <c r="L19" i="19"/>
  <c r="M18" i="19"/>
  <c r="L18" i="19"/>
  <c r="M15" i="19"/>
  <c r="L15" i="19"/>
  <c r="N15" i="19" s="1"/>
  <c r="M14" i="19"/>
  <c r="L14" i="19"/>
  <c r="O14" i="19" s="1"/>
  <c r="M13" i="19"/>
  <c r="L13" i="19"/>
  <c r="M10" i="19"/>
  <c r="L10" i="19"/>
  <c r="O10" i="19" s="1"/>
  <c r="M9" i="19"/>
  <c r="C9" i="19" s="1"/>
  <c r="L9" i="19"/>
  <c r="O9" i="19" s="1"/>
  <c r="M8" i="19"/>
  <c r="L8" i="19"/>
  <c r="M5" i="19"/>
  <c r="L5" i="19"/>
  <c r="M4" i="19"/>
  <c r="L4" i="19"/>
  <c r="O4" i="19" s="1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O60" i="18" s="1"/>
  <c r="M57" i="18"/>
  <c r="L57" i="18"/>
  <c r="M56" i="18"/>
  <c r="L56" i="18"/>
  <c r="M55" i="18"/>
  <c r="L55" i="18"/>
  <c r="M52" i="18"/>
  <c r="L52" i="18"/>
  <c r="O52" i="18" s="1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O40" i="18" s="1"/>
  <c r="M39" i="18"/>
  <c r="L39" i="18"/>
  <c r="O39" i="18" s="1"/>
  <c r="M36" i="18"/>
  <c r="L36" i="18"/>
  <c r="O36" i="18" s="1"/>
  <c r="M35" i="18"/>
  <c r="L35" i="18"/>
  <c r="O35" i="18" s="1"/>
  <c r="M34" i="18"/>
  <c r="L34" i="18"/>
  <c r="O34" i="18" s="1"/>
  <c r="M31" i="18"/>
  <c r="L31" i="18"/>
  <c r="O31" i="18" s="1"/>
  <c r="M30" i="18"/>
  <c r="L30" i="18"/>
  <c r="O30" i="18" s="1"/>
  <c r="M29" i="18"/>
  <c r="L29" i="18"/>
  <c r="N30" i="18" s="1"/>
  <c r="M26" i="18"/>
  <c r="L26" i="18"/>
  <c r="O26" i="18" s="1"/>
  <c r="M25" i="18"/>
  <c r="L25" i="18"/>
  <c r="O25" i="18" s="1"/>
  <c r="M24" i="18"/>
  <c r="L24" i="18"/>
  <c r="O24" i="18" s="1"/>
  <c r="M20" i="18"/>
  <c r="L20" i="18"/>
  <c r="M19" i="18"/>
  <c r="L19" i="18"/>
  <c r="B19" i="18" s="1"/>
  <c r="M18" i="18"/>
  <c r="C18" i="18" s="1"/>
  <c r="L18" i="18"/>
  <c r="M15" i="18"/>
  <c r="C15" i="18" s="1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O4" i="18" s="1"/>
  <c r="M3" i="18"/>
  <c r="L3" i="18"/>
  <c r="N3" i="18" s="1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O57" i="17" s="1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O46" i="17" s="1"/>
  <c r="M45" i="17"/>
  <c r="L45" i="17"/>
  <c r="M41" i="17"/>
  <c r="L41" i="17"/>
  <c r="O41" i="17" s="1"/>
  <c r="M40" i="17"/>
  <c r="L40" i="17"/>
  <c r="O40" i="17" s="1"/>
  <c r="M39" i="17"/>
  <c r="L39" i="17"/>
  <c r="N40" i="17" s="1"/>
  <c r="M36" i="17"/>
  <c r="L36" i="17"/>
  <c r="O36" i="17" s="1"/>
  <c r="M35" i="17"/>
  <c r="L35" i="17"/>
  <c r="M34" i="17"/>
  <c r="L34" i="17"/>
  <c r="O34" i="17" s="1"/>
  <c r="M31" i="17"/>
  <c r="L31" i="17"/>
  <c r="M30" i="17"/>
  <c r="L30" i="17"/>
  <c r="O30" i="17" s="1"/>
  <c r="M29" i="17"/>
  <c r="L29" i="17"/>
  <c r="O29" i="17" s="1"/>
  <c r="M26" i="17"/>
  <c r="L26" i="17"/>
  <c r="O26" i="17" s="1"/>
  <c r="M25" i="17"/>
  <c r="L25" i="17"/>
  <c r="O25" i="17" s="1"/>
  <c r="M24" i="17"/>
  <c r="L24" i="17"/>
  <c r="O24" i="17" s="1"/>
  <c r="M20" i="17"/>
  <c r="L20" i="17"/>
  <c r="M19" i="17"/>
  <c r="L19" i="17"/>
  <c r="M18" i="17"/>
  <c r="L18" i="17"/>
  <c r="N20" i="17" s="1"/>
  <c r="M15" i="17"/>
  <c r="L15" i="17"/>
  <c r="M14" i="17"/>
  <c r="L14" i="17"/>
  <c r="M13" i="17"/>
  <c r="L13" i="17"/>
  <c r="M10" i="17"/>
  <c r="L10" i="17"/>
  <c r="M9" i="17"/>
  <c r="L9" i="17"/>
  <c r="N9" i="17" s="1"/>
  <c r="M8" i="17"/>
  <c r="L8" i="17"/>
  <c r="M5" i="17"/>
  <c r="L5" i="17"/>
  <c r="M4" i="17"/>
  <c r="L4" i="17"/>
  <c r="O4" i="17" s="1"/>
  <c r="M3" i="17"/>
  <c r="L3" i="17"/>
  <c r="N3" i="17" s="1"/>
  <c r="P10" i="2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O51" i="16" s="1"/>
  <c r="M50" i="16"/>
  <c r="L50" i="16"/>
  <c r="M47" i="16"/>
  <c r="L47" i="16"/>
  <c r="M46" i="16"/>
  <c r="L46" i="16"/>
  <c r="M45" i="16"/>
  <c r="L45" i="16"/>
  <c r="O45" i="16" s="1"/>
  <c r="M41" i="16"/>
  <c r="L41" i="16"/>
  <c r="O41" i="16" s="1"/>
  <c r="M40" i="16"/>
  <c r="L40" i="16"/>
  <c r="M39" i="16"/>
  <c r="L39" i="16"/>
  <c r="O39" i="16" s="1"/>
  <c r="M36" i="16"/>
  <c r="L36" i="16"/>
  <c r="M35" i="16"/>
  <c r="L35" i="16"/>
  <c r="O35" i="16" s="1"/>
  <c r="M34" i="16"/>
  <c r="L34" i="16"/>
  <c r="M31" i="16"/>
  <c r="L31" i="16"/>
  <c r="O31" i="16" s="1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C8" i="16" s="1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P50" i="4" s="1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G3" i="12" s="1"/>
  <c r="C4" i="12"/>
  <c r="C5" i="12"/>
  <c r="C6" i="12"/>
  <c r="C7" i="12"/>
  <c r="C8" i="12"/>
  <c r="G8" i="12" s="1"/>
  <c r="C9" i="12"/>
  <c r="G9" i="12" s="1"/>
  <c r="C10" i="12"/>
  <c r="G10" i="12" s="1"/>
  <c r="C11" i="12"/>
  <c r="G11" i="12" s="1"/>
  <c r="C12" i="12"/>
  <c r="C13" i="12"/>
  <c r="C14" i="12"/>
  <c r="C15" i="12"/>
  <c r="C16" i="12"/>
  <c r="G16" i="12" s="1"/>
  <c r="C17" i="12"/>
  <c r="G17" i="12" s="1"/>
  <c r="C18" i="12"/>
  <c r="G18" i="12" s="1"/>
  <c r="C19" i="12"/>
  <c r="G19" i="12" s="1"/>
  <c r="C20" i="12"/>
  <c r="C21" i="12"/>
  <c r="C22" i="12"/>
  <c r="C23" i="12"/>
  <c r="C24" i="12"/>
  <c r="G24" i="12" s="1"/>
  <c r="C25" i="12"/>
  <c r="G25" i="12" s="1"/>
  <c r="C26" i="12"/>
  <c r="G26" i="12" s="1"/>
  <c r="C27" i="12"/>
  <c r="G27" i="12" s="1"/>
  <c r="C28" i="12"/>
  <c r="C29" i="12"/>
  <c r="C30" i="12"/>
  <c r="C31" i="12"/>
  <c r="C32" i="12"/>
  <c r="G32" i="12" s="1"/>
  <c r="C33" i="12"/>
  <c r="G33" i="12" s="1"/>
  <c r="C34" i="12"/>
  <c r="G34" i="12" s="1"/>
  <c r="C35" i="12"/>
  <c r="G35" i="12" s="1"/>
  <c r="C36" i="12"/>
  <c r="C37" i="12"/>
  <c r="C38" i="12"/>
  <c r="C39" i="12"/>
  <c r="C40" i="12"/>
  <c r="G40" i="12" s="1"/>
  <c r="C41" i="12"/>
  <c r="G41" i="12" s="1"/>
  <c r="C42" i="12"/>
  <c r="G42" i="12" s="1"/>
  <c r="C43" i="12"/>
  <c r="G43" i="12" s="1"/>
  <c r="C44" i="12"/>
  <c r="C45" i="12"/>
  <c r="C46" i="12"/>
  <c r="C47" i="12"/>
  <c r="C48" i="12"/>
  <c r="G48" i="12" s="1"/>
  <c r="C49" i="12"/>
  <c r="G49" i="12" s="1"/>
  <c r="C50" i="12"/>
  <c r="G50" i="12" s="1"/>
  <c r="C51" i="12"/>
  <c r="G51" i="12" s="1"/>
  <c r="C52" i="12"/>
  <c r="C53" i="12"/>
  <c r="C54" i="12"/>
  <c r="C55" i="12"/>
  <c r="C56" i="12"/>
  <c r="G56" i="12" s="1"/>
  <c r="C57" i="12"/>
  <c r="G57" i="12" s="1"/>
  <c r="C58" i="12"/>
  <c r="G58" i="12" s="1"/>
  <c r="C59" i="12"/>
  <c r="G59" i="12" s="1"/>
  <c r="C60" i="12"/>
  <c r="C61" i="12"/>
  <c r="C62" i="12"/>
  <c r="C63" i="12"/>
  <c r="C64" i="12"/>
  <c r="G64" i="12" s="1"/>
  <c r="C65" i="12"/>
  <c r="G65" i="12" s="1"/>
  <c r="C66" i="12"/>
  <c r="G66" i="12" s="1"/>
  <c r="C67" i="12"/>
  <c r="G67" i="12" s="1"/>
  <c r="C68" i="12"/>
  <c r="C69" i="12"/>
  <c r="C70" i="12"/>
  <c r="C71" i="12"/>
  <c r="C72" i="12"/>
  <c r="G72" i="12" s="1"/>
  <c r="C73" i="12"/>
  <c r="G73" i="12" s="1"/>
  <c r="C74" i="12"/>
  <c r="G74" i="12" s="1"/>
  <c r="C75" i="12"/>
  <c r="G75" i="12" s="1"/>
  <c r="C76" i="12"/>
  <c r="C77" i="12"/>
  <c r="C78" i="12"/>
  <c r="C79" i="12"/>
  <c r="C80" i="12"/>
  <c r="G80" i="12" s="1"/>
  <c r="C81" i="12"/>
  <c r="G81" i="12" s="1"/>
  <c r="C82" i="12"/>
  <c r="G82" i="12" s="1"/>
  <c r="C83" i="12"/>
  <c r="G83" i="12" s="1"/>
  <c r="C84" i="12"/>
  <c r="C85" i="12"/>
  <c r="C86" i="12"/>
  <c r="C87" i="12"/>
  <c r="C88" i="12"/>
  <c r="G88" i="12" s="1"/>
  <c r="C89" i="12"/>
  <c r="G89" i="12" s="1"/>
  <c r="C90" i="12"/>
  <c r="G90" i="12" s="1"/>
  <c r="C91" i="12"/>
  <c r="G91" i="12" s="1"/>
  <c r="C92" i="12"/>
  <c r="C93" i="12"/>
  <c r="C94" i="12"/>
  <c r="C95" i="12"/>
  <c r="C96" i="12"/>
  <c r="G96" i="12" s="1"/>
  <c r="C97" i="12"/>
  <c r="G97" i="12" s="1"/>
  <c r="C98" i="12"/>
  <c r="G98" i="12" s="1"/>
  <c r="C99" i="12"/>
  <c r="G99" i="12" s="1"/>
  <c r="C100" i="12"/>
  <c r="C101" i="12"/>
  <c r="C102" i="12"/>
  <c r="C103" i="12"/>
  <c r="C104" i="12"/>
  <c r="G104" i="12" s="1"/>
  <c r="C105" i="12"/>
  <c r="G105" i="12" s="1"/>
  <c r="C106" i="12"/>
  <c r="G106" i="12" s="1"/>
  <c r="C107" i="12"/>
  <c r="G107" i="12" s="1"/>
  <c r="C108" i="12"/>
  <c r="C109" i="12"/>
  <c r="C110" i="12"/>
  <c r="C111" i="12"/>
  <c r="C112" i="12"/>
  <c r="G112" i="12" s="1"/>
  <c r="C113" i="12"/>
  <c r="G113" i="12" s="1"/>
  <c r="C114" i="12"/>
  <c r="G114" i="12" s="1"/>
  <c r="C115" i="12"/>
  <c r="G115" i="12" s="1"/>
  <c r="C116" i="12"/>
  <c r="C117" i="12"/>
  <c r="C118" i="12"/>
  <c r="C119" i="12"/>
  <c r="C120" i="12"/>
  <c r="G120" i="12" s="1"/>
  <c r="C121" i="12"/>
  <c r="G121" i="12" s="1"/>
  <c r="C122" i="12"/>
  <c r="G122" i="12" s="1"/>
  <c r="C123" i="12"/>
  <c r="G123" i="12" s="1"/>
  <c r="C124" i="12"/>
  <c r="C125" i="12"/>
  <c r="C126" i="12"/>
  <c r="C127" i="12"/>
  <c r="C128" i="12"/>
  <c r="G128" i="12" s="1"/>
  <c r="C129" i="12"/>
  <c r="G129" i="12" s="1"/>
  <c r="C130" i="12"/>
  <c r="G130" i="12" s="1"/>
  <c r="C131" i="12"/>
  <c r="G131" i="12" s="1"/>
  <c r="C132" i="12"/>
  <c r="C133" i="12"/>
  <c r="C134" i="12"/>
  <c r="C135" i="12"/>
  <c r="C136" i="12"/>
  <c r="G136" i="12" s="1"/>
  <c r="C137" i="12"/>
  <c r="G137" i="12" s="1"/>
  <c r="C138" i="12"/>
  <c r="G138" i="12" s="1"/>
  <c r="C139" i="12"/>
  <c r="G139" i="12" s="1"/>
  <c r="C140" i="12"/>
  <c r="C141" i="12"/>
  <c r="C142" i="12"/>
  <c r="C143" i="12"/>
  <c r="C144" i="12"/>
  <c r="G144" i="12" s="1"/>
  <c r="C145" i="12"/>
  <c r="G145" i="12" s="1"/>
  <c r="C146" i="12"/>
  <c r="G146" i="12" s="1"/>
  <c r="C147" i="12"/>
  <c r="G147" i="12" s="1"/>
  <c r="C148" i="12"/>
  <c r="C149" i="12"/>
  <c r="C150" i="12"/>
  <c r="C151" i="12"/>
  <c r="C152" i="12"/>
  <c r="G152" i="12" s="1"/>
  <c r="C153" i="12"/>
  <c r="G153" i="12" s="1"/>
  <c r="C154" i="12"/>
  <c r="G154" i="12" s="1"/>
  <c r="C155" i="12"/>
  <c r="G155" i="12" s="1"/>
  <c r="C156" i="12"/>
  <c r="C157" i="12"/>
  <c r="C158" i="12"/>
  <c r="C159" i="12"/>
  <c r="C160" i="12"/>
  <c r="G160" i="12" s="1"/>
  <c r="C161" i="12"/>
  <c r="G161" i="12" s="1"/>
  <c r="C162" i="12"/>
  <c r="G162" i="12" s="1"/>
  <c r="C163" i="12"/>
  <c r="G163" i="12" s="1"/>
  <c r="C164" i="12"/>
  <c r="C165" i="12"/>
  <c r="C166" i="12"/>
  <c r="C167" i="12"/>
  <c r="C168" i="12"/>
  <c r="C169" i="12"/>
  <c r="G169" i="12" s="1"/>
  <c r="C170" i="12"/>
  <c r="G170" i="12" s="1"/>
  <c r="C171" i="12"/>
  <c r="G171" i="12" s="1"/>
  <c r="C172" i="12"/>
  <c r="C173" i="12"/>
  <c r="C174" i="12"/>
  <c r="C175" i="12"/>
  <c r="C176" i="12"/>
  <c r="G176" i="12" s="1"/>
  <c r="C177" i="12"/>
  <c r="G177" i="12" s="1"/>
  <c r="C178" i="12"/>
  <c r="G178" i="12" s="1"/>
  <c r="C179" i="12"/>
  <c r="G179" i="12" s="1"/>
  <c r="C180" i="12"/>
  <c r="C181" i="12"/>
  <c r="C182" i="12"/>
  <c r="C183" i="12"/>
  <c r="C184" i="12"/>
  <c r="G184" i="12" s="1"/>
  <c r="C185" i="12"/>
  <c r="G185" i="12" s="1"/>
  <c r="C186" i="12"/>
  <c r="G186" i="12" s="1"/>
  <c r="C187" i="12"/>
  <c r="G187" i="12" s="1"/>
  <c r="C188" i="12"/>
  <c r="C189" i="12"/>
  <c r="C190" i="12"/>
  <c r="C191" i="12"/>
  <c r="C192" i="12"/>
  <c r="G192" i="12" s="1"/>
  <c r="C193" i="12"/>
  <c r="G193" i="12" s="1"/>
  <c r="C194" i="12"/>
  <c r="G194" i="12" s="1"/>
  <c r="C195" i="12"/>
  <c r="G195" i="12" s="1"/>
  <c r="C196" i="12"/>
  <c r="C197" i="12"/>
  <c r="C198" i="12"/>
  <c r="C199" i="12"/>
  <c r="C200" i="12"/>
  <c r="G200" i="12" s="1"/>
  <c r="C201" i="12"/>
  <c r="G201" i="12" s="1"/>
  <c r="C202" i="12"/>
  <c r="G202" i="12" s="1"/>
  <c r="C203" i="12"/>
  <c r="C204" i="12"/>
  <c r="C205" i="12"/>
  <c r="C206" i="12"/>
  <c r="C207" i="12"/>
  <c r="C208" i="12"/>
  <c r="G208" i="12" s="1"/>
  <c r="C209" i="12"/>
  <c r="G209" i="12" s="1"/>
  <c r="C210" i="12"/>
  <c r="C211" i="12"/>
  <c r="C212" i="12"/>
  <c r="P7" i="2"/>
  <c r="P3" i="2"/>
  <c r="P5" i="2"/>
  <c r="P1" i="2"/>
  <c r="P6" i="2"/>
  <c r="P9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36" i="16" l="1"/>
  <c r="H3" i="16"/>
  <c r="I3" i="16"/>
  <c r="B10" i="4"/>
  <c r="C19" i="4"/>
  <c r="P20" i="4"/>
  <c r="P19" i="4"/>
  <c r="H5" i="4"/>
  <c r="C4" i="4"/>
  <c r="C8" i="4"/>
  <c r="B19" i="4"/>
  <c r="E19" i="4" s="1"/>
  <c r="I5" i="4"/>
  <c r="B5" i="4"/>
  <c r="B3" i="4"/>
  <c r="B15" i="4"/>
  <c r="B18" i="4"/>
  <c r="I4" i="4"/>
  <c r="X4" i="4" s="1"/>
  <c r="C14" i="4"/>
  <c r="C3" i="4"/>
  <c r="B14" i="4"/>
  <c r="C20" i="4"/>
  <c r="I3" i="4"/>
  <c r="J5" i="4"/>
  <c r="B9" i="4"/>
  <c r="C15" i="4"/>
  <c r="C18" i="4"/>
  <c r="J4" i="4"/>
  <c r="J3" i="4"/>
  <c r="B4" i="4"/>
  <c r="C10" i="4"/>
  <c r="C13" i="4"/>
  <c r="H4" i="4"/>
  <c r="C5" i="4"/>
  <c r="C9" i="4"/>
  <c r="H3" i="4"/>
  <c r="O46" i="20"/>
  <c r="O45" i="18"/>
  <c r="O51" i="18"/>
  <c r="O57" i="18"/>
  <c r="O45" i="21"/>
  <c r="O51" i="21"/>
  <c r="O57" i="21"/>
  <c r="C8" i="17"/>
  <c r="C13" i="18"/>
  <c r="O46" i="19"/>
  <c r="O52" i="19"/>
  <c r="N55" i="19"/>
  <c r="N51" i="20"/>
  <c r="O57" i="20"/>
  <c r="C8" i="21"/>
  <c r="C14" i="21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C13" i="19"/>
  <c r="C19" i="21"/>
  <c r="C10" i="22"/>
  <c r="I10" i="15"/>
  <c r="P61" i="4"/>
  <c r="O52" i="16"/>
  <c r="O50" i="17"/>
  <c r="O56" i="17"/>
  <c r="O57" i="19"/>
  <c r="O55" i="20"/>
  <c r="C20" i="18"/>
  <c r="O51" i="17"/>
  <c r="O61" i="21"/>
  <c r="P46" i="22"/>
  <c r="P52" i="22"/>
  <c r="I5" i="15"/>
  <c r="O57" i="16"/>
  <c r="C4" i="17"/>
  <c r="O52" i="17"/>
  <c r="O60" i="17"/>
  <c r="B19" i="21"/>
  <c r="O47" i="21"/>
  <c r="O55" i="21"/>
  <c r="C9" i="22"/>
  <c r="C15" i="22"/>
  <c r="P45" i="22"/>
  <c r="P51" i="22"/>
  <c r="I6" i="15"/>
  <c r="I3" i="15"/>
  <c r="N47" i="20"/>
  <c r="O61" i="22"/>
  <c r="I8" i="15"/>
  <c r="I7" i="15"/>
  <c r="O45" i="17"/>
  <c r="O47" i="18"/>
  <c r="O55" i="18"/>
  <c r="O61" i="18"/>
  <c r="C8" i="20"/>
  <c r="O50" i="20"/>
  <c r="B14" i="22"/>
  <c r="E14" i="22" s="1"/>
  <c r="P47" i="22"/>
  <c r="O60" i="19"/>
  <c r="N55" i="20"/>
  <c r="N57" i="21"/>
  <c r="P56" i="22"/>
  <c r="P62" i="22"/>
  <c r="I4" i="15"/>
  <c r="N45" i="17"/>
  <c r="O50" i="18"/>
  <c r="O56" i="18"/>
  <c r="O55" i="19"/>
  <c r="C15" i="20"/>
  <c r="O51" i="20"/>
  <c r="O56" i="20"/>
  <c r="O62" i="20"/>
  <c r="O45" i="22"/>
  <c r="B19" i="22"/>
  <c r="C19" i="22"/>
  <c r="B18" i="22"/>
  <c r="C18" i="22"/>
  <c r="O40" i="22"/>
  <c r="P40" i="22"/>
  <c r="B20" i="22"/>
  <c r="E20" i="22" s="1"/>
  <c r="C13" i="22"/>
  <c r="B15" i="22"/>
  <c r="P34" i="22"/>
  <c r="O36" i="22"/>
  <c r="B13" i="22"/>
  <c r="P36" i="22"/>
  <c r="B10" i="22"/>
  <c r="O30" i="22"/>
  <c r="B9" i="22"/>
  <c r="E9" i="22" s="1"/>
  <c r="P30" i="22"/>
  <c r="B8" i="22"/>
  <c r="O46" i="22"/>
  <c r="B5" i="22"/>
  <c r="O25" i="22"/>
  <c r="O24" i="22"/>
  <c r="P26" i="22"/>
  <c r="C4" i="22"/>
  <c r="P5" i="22"/>
  <c r="B4" i="22"/>
  <c r="J5" i="22"/>
  <c r="J4" i="22"/>
  <c r="J3" i="22"/>
  <c r="I3" i="22"/>
  <c r="H5" i="22"/>
  <c r="H4" i="22"/>
  <c r="H3" i="22"/>
  <c r="I4" i="22"/>
  <c r="I5" i="22"/>
  <c r="C5" i="22"/>
  <c r="O5" i="22"/>
  <c r="O51" i="22"/>
  <c r="P55" i="22"/>
  <c r="P57" i="22"/>
  <c r="P61" i="22"/>
  <c r="B3" i="22"/>
  <c r="O8" i="22"/>
  <c r="O9" i="22"/>
  <c r="O10" i="22"/>
  <c r="O13" i="22"/>
  <c r="O14" i="22"/>
  <c r="O15" i="22"/>
  <c r="O18" i="22"/>
  <c r="O19" i="22"/>
  <c r="O20" i="22"/>
  <c r="O4" i="22"/>
  <c r="C3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I4" i="21"/>
  <c r="I5" i="21"/>
  <c r="I3" i="21"/>
  <c r="H5" i="21"/>
  <c r="H4" i="21"/>
  <c r="H3" i="21"/>
  <c r="B20" i="21"/>
  <c r="O60" i="21"/>
  <c r="C18" i="21"/>
  <c r="N61" i="21"/>
  <c r="C20" i="21"/>
  <c r="B18" i="21"/>
  <c r="N20" i="21"/>
  <c r="N19" i="21"/>
  <c r="C13" i="21"/>
  <c r="N55" i="21"/>
  <c r="B13" i="21"/>
  <c r="B14" i="21"/>
  <c r="B15" i="21"/>
  <c r="C15" i="21"/>
  <c r="O36" i="21"/>
  <c r="C10" i="21"/>
  <c r="C9" i="21"/>
  <c r="N51" i="21"/>
  <c r="B8" i="21"/>
  <c r="B9" i="21"/>
  <c r="B10" i="21"/>
  <c r="C5" i="21"/>
  <c r="N24" i="21"/>
  <c r="C4" i="21"/>
  <c r="C3" i="21"/>
  <c r="B3" i="21"/>
  <c r="B5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B4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I5" i="20"/>
  <c r="I4" i="20"/>
  <c r="I3" i="20"/>
  <c r="H4" i="20"/>
  <c r="H5" i="20"/>
  <c r="H3" i="20"/>
  <c r="C18" i="20"/>
  <c r="C19" i="20"/>
  <c r="N61" i="20"/>
  <c r="B18" i="20"/>
  <c r="B19" i="20"/>
  <c r="B20" i="20"/>
  <c r="C20" i="20"/>
  <c r="N19" i="20"/>
  <c r="O19" i="20"/>
  <c r="N18" i="20"/>
  <c r="N20" i="20"/>
  <c r="O18" i="20"/>
  <c r="O20" i="20"/>
  <c r="N57" i="20"/>
  <c r="C13" i="20"/>
  <c r="C14" i="20"/>
  <c r="N14" i="20"/>
  <c r="O13" i="20"/>
  <c r="N15" i="20"/>
  <c r="C9" i="20"/>
  <c r="C10" i="20"/>
  <c r="N9" i="20"/>
  <c r="N10" i="20"/>
  <c r="N8" i="20"/>
  <c r="O47" i="20"/>
  <c r="C4" i="20"/>
  <c r="C3" i="20"/>
  <c r="C5" i="20"/>
  <c r="O24" i="20"/>
  <c r="O3" i="20"/>
  <c r="N3" i="20"/>
  <c r="B5" i="20"/>
  <c r="B3" i="20"/>
  <c r="N5" i="20"/>
  <c r="N29" i="20"/>
  <c r="N31" i="20"/>
  <c r="N35" i="20"/>
  <c r="N39" i="20"/>
  <c r="N41" i="20"/>
  <c r="B4" i="20"/>
  <c r="N4" i="20"/>
  <c r="B8" i="20"/>
  <c r="B9" i="20"/>
  <c r="B10" i="20"/>
  <c r="B13" i="20"/>
  <c r="B14" i="20"/>
  <c r="B15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I4" i="19"/>
  <c r="I5" i="19"/>
  <c r="I3" i="19"/>
  <c r="H4" i="19"/>
  <c r="H5" i="19"/>
  <c r="H3" i="19"/>
  <c r="B18" i="19"/>
  <c r="C18" i="19"/>
  <c r="N61" i="19"/>
  <c r="B19" i="19"/>
  <c r="C19" i="19"/>
  <c r="B20" i="19"/>
  <c r="O18" i="19"/>
  <c r="O20" i="19"/>
  <c r="N19" i="19"/>
  <c r="O19" i="19"/>
  <c r="N18" i="19"/>
  <c r="N20" i="19"/>
  <c r="C15" i="19"/>
  <c r="N57" i="19"/>
  <c r="C14" i="19"/>
  <c r="O13" i="19"/>
  <c r="N13" i="19"/>
  <c r="N14" i="19"/>
  <c r="O15" i="19"/>
  <c r="C8" i="19"/>
  <c r="N51" i="19"/>
  <c r="C10" i="19"/>
  <c r="O8" i="19"/>
  <c r="N46" i="19"/>
  <c r="B5" i="19"/>
  <c r="E5" i="19" s="1"/>
  <c r="C4" i="19"/>
  <c r="C3" i="19"/>
  <c r="O5" i="19"/>
  <c r="B3" i="19"/>
  <c r="N3" i="19"/>
  <c r="N5" i="19"/>
  <c r="N29" i="19"/>
  <c r="N31" i="19"/>
  <c r="N35" i="19"/>
  <c r="N39" i="19"/>
  <c r="N41" i="19"/>
  <c r="N47" i="19"/>
  <c r="N8" i="19"/>
  <c r="N9" i="19"/>
  <c r="N10" i="19"/>
  <c r="B4" i="19"/>
  <c r="N4" i="19"/>
  <c r="B8" i="19"/>
  <c r="B9" i="19"/>
  <c r="B10" i="19"/>
  <c r="B13" i="19"/>
  <c r="B14" i="19"/>
  <c r="B15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I4" i="18"/>
  <c r="I5" i="18"/>
  <c r="I3" i="18"/>
  <c r="H4" i="18"/>
  <c r="H5" i="18"/>
  <c r="H3" i="18"/>
  <c r="C19" i="18"/>
  <c r="E19" i="18" s="1"/>
  <c r="N41" i="18"/>
  <c r="B18" i="18"/>
  <c r="N39" i="18"/>
  <c r="B20" i="18"/>
  <c r="N40" i="18"/>
  <c r="B14" i="18"/>
  <c r="C14" i="18"/>
  <c r="N35" i="18"/>
  <c r="B15" i="18"/>
  <c r="E15" i="18" s="1"/>
  <c r="N36" i="18"/>
  <c r="B13" i="18"/>
  <c r="N34" i="18"/>
  <c r="C9" i="18"/>
  <c r="N31" i="18"/>
  <c r="B8" i="18"/>
  <c r="N29" i="18"/>
  <c r="C8" i="18"/>
  <c r="O29" i="18"/>
  <c r="B10" i="18"/>
  <c r="C10" i="18"/>
  <c r="B9" i="18"/>
  <c r="N45" i="18"/>
  <c r="C4" i="18"/>
  <c r="C3" i="18"/>
  <c r="C5" i="18"/>
  <c r="O3" i="18"/>
  <c r="N4" i="18"/>
  <c r="B5" i="18"/>
  <c r="B3" i="18"/>
  <c r="B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I4" i="17"/>
  <c r="I5" i="17"/>
  <c r="I3" i="17"/>
  <c r="H4" i="17"/>
  <c r="H5" i="17"/>
  <c r="H3" i="17"/>
  <c r="N62" i="17"/>
  <c r="C18" i="17"/>
  <c r="C19" i="17"/>
  <c r="B19" i="17"/>
  <c r="B20" i="17"/>
  <c r="C20" i="17"/>
  <c r="B13" i="17"/>
  <c r="C13" i="17"/>
  <c r="N56" i="17"/>
  <c r="O35" i="17"/>
  <c r="C14" i="17"/>
  <c r="B15" i="17"/>
  <c r="C15" i="17"/>
  <c r="N14" i="17"/>
  <c r="N52" i="17"/>
  <c r="N50" i="17"/>
  <c r="B8" i="17"/>
  <c r="O31" i="17"/>
  <c r="C9" i="17"/>
  <c r="B10" i="17"/>
  <c r="C10" i="17"/>
  <c r="N24" i="17"/>
  <c r="C3" i="17"/>
  <c r="C5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B3" i="17"/>
  <c r="B5" i="17"/>
  <c r="O8" i="17"/>
  <c r="O9" i="17"/>
  <c r="O10" i="17"/>
  <c r="O13" i="17"/>
  <c r="O14" i="17"/>
  <c r="O15" i="17"/>
  <c r="O18" i="17"/>
  <c r="O19" i="17"/>
  <c r="O20" i="17"/>
  <c r="B4" i="17"/>
  <c r="N4" i="17"/>
  <c r="B9" i="17"/>
  <c r="B14" i="17"/>
  <c r="B18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I5" i="16"/>
  <c r="C19" i="16"/>
  <c r="B20" i="16"/>
  <c r="C20" i="16"/>
  <c r="C13" i="16"/>
  <c r="C14" i="16"/>
  <c r="B8" i="16"/>
  <c r="E8" i="16" s="1"/>
  <c r="H4" i="16"/>
  <c r="B8" i="4"/>
  <c r="D8" i="4" s="1"/>
  <c r="P47" i="4"/>
  <c r="B20" i="4"/>
  <c r="O46" i="16"/>
  <c r="O55" i="16"/>
  <c r="O61" i="16"/>
  <c r="P56" i="4"/>
  <c r="O55" i="4"/>
  <c r="B13" i="4"/>
  <c r="C10" i="16"/>
  <c r="C18" i="16"/>
  <c r="B13" i="16"/>
  <c r="N40" i="16"/>
  <c r="O34" i="16"/>
  <c r="O60" i="16"/>
  <c r="O26" i="16"/>
  <c r="O30" i="16"/>
  <c r="N47" i="16"/>
  <c r="B19" i="16"/>
  <c r="O40" i="16"/>
  <c r="N36" i="16"/>
  <c r="B14" i="16"/>
  <c r="N34" i="16"/>
  <c r="O24" i="16"/>
  <c r="N30" i="16"/>
  <c r="I4" i="16"/>
  <c r="B9" i="16"/>
  <c r="B15" i="16"/>
  <c r="N31" i="16"/>
  <c r="N35" i="16"/>
  <c r="N39" i="16"/>
  <c r="N41" i="16"/>
  <c r="C9" i="16"/>
  <c r="C15" i="16"/>
  <c r="C3" i="16"/>
  <c r="N29" i="16"/>
  <c r="B10" i="16"/>
  <c r="B18" i="16"/>
  <c r="O29" i="16"/>
  <c r="H5" i="16"/>
  <c r="N25" i="16"/>
  <c r="B3" i="16"/>
  <c r="C4" i="16"/>
  <c r="N26" i="16"/>
  <c r="N3" i="16"/>
  <c r="N5" i="16"/>
  <c r="B4" i="16"/>
  <c r="O5" i="16"/>
  <c r="C5" i="16"/>
  <c r="O8" i="16"/>
  <c r="O9" i="16"/>
  <c r="O10" i="16"/>
  <c r="O13" i="16"/>
  <c r="O14" i="16"/>
  <c r="O15" i="16"/>
  <c r="O18" i="16"/>
  <c r="O19" i="16"/>
  <c r="O20" i="16"/>
  <c r="B5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K14" i="12" s="1"/>
  <c r="G148" i="12"/>
  <c r="G140" i="12"/>
  <c r="K13" i="12" s="1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K5" i="12" s="1"/>
  <c r="G28" i="12"/>
  <c r="G20" i="12"/>
  <c r="G12" i="12"/>
  <c r="G4" i="12"/>
  <c r="L30" i="12"/>
  <c r="L25" i="12"/>
  <c r="L12" i="12"/>
  <c r="L16" i="12"/>
  <c r="L24" i="12"/>
  <c r="L7" i="12"/>
  <c r="G207" i="12"/>
  <c r="K24" i="12" s="1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E10" i="4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X6" i="4" l="1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J10" i="15" s="1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J7" i="15" s="1"/>
  <c r="H3" i="15"/>
  <c r="J3" i="15" s="1"/>
  <c r="H8" i="15"/>
  <c r="J8" i="15" s="1"/>
  <c r="H6" i="15"/>
  <c r="J6" i="15" s="1"/>
  <c r="H4" i="15"/>
  <c r="J4" i="15" s="1"/>
  <c r="H5" i="15"/>
  <c r="J5" i="15" s="1"/>
  <c r="H9" i="15"/>
  <c r="J9" i="15" s="1"/>
  <c r="K15" i="12"/>
  <c r="K22" i="12"/>
  <c r="K9" i="12"/>
  <c r="M9" i="12" s="1"/>
  <c r="K26" i="12"/>
  <c r="M26" i="12" s="1"/>
  <c r="K7" i="12"/>
  <c r="M7" i="12" s="1"/>
  <c r="M24" i="12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M22" i="12"/>
  <c r="K19" i="12"/>
  <c r="K4" i="12"/>
  <c r="M4" i="12" s="1"/>
  <c r="M14" i="12"/>
  <c r="M13" i="12"/>
  <c r="K25" i="12"/>
  <c r="M25" i="12" s="1"/>
  <c r="K6" i="12"/>
  <c r="M6" i="12" s="1"/>
  <c r="K12" i="12"/>
  <c r="M12" i="12" s="1"/>
  <c r="K20" i="12"/>
  <c r="M20" i="12" s="1"/>
  <c r="K3" i="12"/>
  <c r="M3" i="12" s="1"/>
  <c r="M15" i="12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M5" i="12"/>
  <c r="K28" i="12"/>
  <c r="M28" i="12" s="1"/>
  <c r="K10" i="12"/>
  <c r="M10" i="12" s="1"/>
  <c r="K29" i="12"/>
  <c r="M29" i="12" s="1"/>
  <c r="M19" i="12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<sst xmlns="http://schemas.openxmlformats.org/spreadsheetml/2006/main" count="9096" uniqueCount="687">
  <si>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</si>
  <si>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</si>
  <si>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</si>
  <si>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</si>
  <si>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</si>
  <si>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</si>
  <si>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</si>
  <si>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</si>
  <si>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</si>
  <si>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</si>
  <si>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</si>
  <si>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</si>
  <si>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</si>
  <si>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</si>
  <si>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</si>
  <si>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</si>
  <si>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</si>
  <si>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</si>
  <si>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</si>
  <si>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</si>
  <si>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</si>
  <si>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</si>
  <si>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</si>
  <si>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</si>
  <si>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</si>
  <si>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</si>
  <si>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</si>
  <si>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</si>
  <si>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</si>
  <si>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</si>
  <si>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</si>
  <si>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</si>
  <si>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</si>
  <si>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</si>
  <si>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</si>
  <si>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</si>
  <si>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</si>
  <si>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</si>
  <si>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</si>
  <si>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</si>
  <si>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</si>
  <si>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</si>
  <si>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</si>
  <si>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</si>
  <si>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</si>
  <si>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</si>
  <si>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</si>
  <si>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</si>
  <si>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</si>
  <si>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</si>
  <si>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</si>
  <si>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</si>
  <si>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</si>
  <si>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</si>
  <si>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</si>
  <si>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</si>
  <si>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</si>
  <si>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</si>
  <si>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</si>
  <si>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</si>
  <si>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</si>
  <si>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</si>
  <si>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</si>
  <si>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</si>
  <si>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</si>
  <si>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</si>
  <si>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</si>
  <si>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</si>
  <si>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</si>
  <si>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</si>
  <si>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</si>
  <si>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</si>
  <si>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</si>
  <si>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</si>
  <si>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</si>
  <si>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</si>
  <si>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</si>
  <si>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</si>
  <si>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</si>
  <si>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</si>
  <si>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</si>
  <si>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</si>
  <si>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</si>
  <si>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</si>
  <si>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</si>
  <si>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</si>
  <si>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</si>
  <si>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</si>
  <si>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</si>
  <si>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</si>
  <si>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</si>
  <si>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</si>
  <si>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</si>
  <si>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</si>
  <si>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</si>
  <si>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</si>
  <si>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</si>
  <si>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</si>
  <si>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</si>
  <si>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</si>
  <si>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</si>
  <si>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</si>
  <si>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</si>
  <si>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</si>
  <si>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</si>
  <si>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</si>
  <si>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</si>
  <si>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</si>
  <si>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</si>
  <si>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</si>
  <si>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</si>
  <si>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</si>
  <si>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</si>
  <si>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</si>
  <si>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</si>
  <si>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</si>
  <si>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</si>
  <si>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</si>
  <si>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</si>
  <si>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</si>
  <si>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</si>
  <si>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</si>
  <si>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</si>
  <si>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</si>
  <si>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</si>
  <si>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</si>
  <si>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</si>
  <si>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</si>
  <si>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</si>
  <si>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</si>
  <si>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</si>
  <si>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</si>
  <si>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</si>
  <si>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</si>
  <si>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</si>
  <si>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</si>
  <si>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</si>
  <si>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</si>
  <si>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</si>
  <si>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</si>
  <si>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</si>
  <si>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</si>
  <si>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</si>
  <si>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</si>
  <si>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</si>
  <si>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</si>
  <si>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</si>
  <si>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</si>
  <si>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</si>
  <si>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</si>
  <si>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</si>
  <si>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</si>
  <si>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</si>
  <si>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</si>
  <si>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</si>
  <si>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</si>
  <si>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</si>
  <si>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</si>
  <si>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</si>
  <si>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</si>
  <si>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</si>
  <si>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</si>
  <si>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</si>
  <si>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</si>
  <si>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</si>
  <si>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</si>
  <si>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</si>
  <si>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</si>
  <si>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</si>
  <si>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</si>
  <si>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</si>
  <si>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</si>
  <si>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</si>
  <si>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</si>
  <si>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</si>
  <si>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setup</t>
  </si>
  <si>
    <t>97b88130-84ae-11ec-a4fe-b3fa17f32ee6</t>
  </si>
  <si>
    <t>339fd8e0-84ba-11ec-a4fe-b3fa17f32ee6</t>
  </si>
  <si>
    <t>6ba8fa30-84c6-11ec-a4fe-b3fa17f32ee6</t>
  </si>
  <si>
    <t>f7c51980-84d6-11ec-a4fe-b3fa17f32ee6</t>
  </si>
  <si>
    <t>ff109610-84ef-11ec-a4fe-b3fa17f32ee6</t>
  </si>
  <si>
    <t>00c44a70-84f9-11ec-a4fe-b3fa17f32ee6</t>
  </si>
  <si>
    <t>df1d7e00-8507-11ec-a4fe-b3fa17f32ee6</t>
  </si>
  <si>
    <t>eb9b93f0-8512-11ec-a4fe-b3fa17f32ee6</t>
  </si>
  <si>
    <t>c9710ad0-851c-11ec-a4fe-b3fa17f32ee6</t>
  </si>
  <si>
    <t>de070c80-8529-11ec-a4fe-b3fa17f32ee6</t>
  </si>
  <si>
    <t>f3ccc3b0-857a-11ec-bbd9-377f45fb9f6f</t>
  </si>
  <si>
    <t>7bad4710-8589-11ec-bbd9-377f45fb9f6f</t>
  </si>
  <si>
    <t>d7ec1080-859b-11ec-bbd9-377f45fb9f6f</t>
  </si>
  <si>
    <t>72c4de60-85a7-11ec-bbd9-377f45fb9f6f</t>
  </si>
  <si>
    <t>9e485990-85b1-11ec-bbd9-377f45fb9f6f</t>
  </si>
  <si>
    <t>2aa89ce0-85b9-11ec-bbd9-377f45fb9f6f</t>
  </si>
  <si>
    <t>e53dc3f0-85c3-11ec-bbd9-377f45fb9f6f</t>
  </si>
  <si>
    <t>9bf6a8f0-85d3-11ec-bbd9-377f45fb9f6f</t>
  </si>
  <si>
    <t>ef258450-85de-11ec-bbd9-377f45fb9f6f</t>
  </si>
  <si>
    <t>dc16a390-85ec-11ec-bbd9-377f45fb9f6f</t>
  </si>
  <si>
    <t>792e8c00-85f8-11ec-bbd9-377f45fb9f6f</t>
  </si>
  <si>
    <t>55ac7e00-8656-11ec-a4c2-d165ca8e85c0</t>
  </si>
  <si>
    <t>c3aebfa0-865e-11ec-a4c2-d165ca8e85c0</t>
  </si>
  <si>
    <t>058d8670-8666-11ec-a4c2-d165ca8e85c0</t>
  </si>
  <si>
    <t>96687840-8674-11ec-a4c2-d165ca8e85c0</t>
  </si>
  <si>
    <t>8b224970-8692-11ec-a4c2-d165ca8e85c0</t>
  </si>
  <si>
    <t>6c7e4e00-86a7-11ec-a4c2-d165ca8e85c0</t>
  </si>
  <si>
    <t>8a04e500-86b2-11ec-a4c2-d165ca8e85c0</t>
  </si>
  <si>
    <t>102e90a0-86c1-11ec-a4c2-d165ca8e85c0</t>
  </si>
  <si>
    <t>876f8920-872b-11ec-a147-63ec2db1a992</t>
  </si>
  <si>
    <t>415f84a0-8738-11ec-a147-63ec2db1a992</t>
  </si>
  <si>
    <t>1ecf82f0-8742-11ec-a147-63ec2db1a992</t>
  </si>
  <si>
    <t>08294770-874c-11ec-a147-63ec2db1a992</t>
  </si>
  <si>
    <t>bdf9cc70-8754-11ec-a147-63ec2db1a992</t>
  </si>
  <si>
    <t>94dd6100-875c-11ec-a147-63ec2db1a992</t>
  </si>
  <si>
    <t>1b989e40-876b-11ec-a147-63ec2db1a992</t>
  </si>
  <si>
    <t>180f4810-8779-11ec-a147-63ec2db1a992</t>
  </si>
  <si>
    <t>44c88420-8783-11ec-a147-63ec2db1a992</t>
  </si>
  <si>
    <t>53196930-87d9-11ec-9009-73fa0d5104d3</t>
  </si>
  <si>
    <t>c05e9b60-87ec-11ec-9f56-dd32e02eaaab</t>
  </si>
  <si>
    <t>cd3cbd90-87f5-11ec-9f56-dd32e02eaaab</t>
  </si>
  <si>
    <t>2e192f30-8801-11ec-9f56-dd32e02eaaab</t>
  </si>
  <si>
    <t>f19d16d0-8809-11ec-9f56-dd32e02eaaab</t>
  </si>
  <si>
    <t>2409f9c0-881f-11ec-9f56-dd32e02eaaab</t>
  </si>
  <si>
    <t>abf4a130-882b-11ec-9f56-dd32e02eaaab</t>
  </si>
  <si>
    <t>cb4721c0-883a-11ec-9f56-dd32e02eaaab</t>
  </si>
  <si>
    <t>fdf71740-8846-11ec-9f56-dd32e02eaaab</t>
  </si>
  <si>
    <t>09ed8270-8859-11ec-9f56-dd32e02eaaab</t>
  </si>
  <si>
    <t>4910ccc0-88a2-11ec-a97b-eb63dfd8c0e4</t>
  </si>
  <si>
    <t>a8090320-88af-11ec-a97b-eb63dfd8c0e4</t>
  </si>
  <si>
    <t>aa6e13e0-88bd-11ec-a97b-eb63dfd8c0e4</t>
  </si>
  <si>
    <t>5799e430-88c9-11ec-a97b-eb63dfd8c0e4</t>
  </si>
  <si>
    <t>393c1a80-88d3-11ec-a97b-eb63dfd8c0e4</t>
  </si>
  <si>
    <t>e0bd3f70-88e5-11ec-a97b-eb63dfd8c0e4</t>
  </si>
  <si>
    <t>6c40c510-88f2-11ec-a97b-eb63dfd8c0e4</t>
  </si>
  <si>
    <t>39e8aa30-88ff-11ec-a97b-eb63dfd8c0e4</t>
  </si>
  <si>
    <t>170e66d0-890e-11ec-a97b-eb63dfd8c0e4</t>
  </si>
  <si>
    <t>29de9970-8917-11ec-a97b-eb63dfd8c0e4</t>
  </si>
  <si>
    <t>2d1739b0-89dc-11ec-93b4-654e3380da14</t>
  </si>
  <si>
    <t>f8521e30-8a2f-11ec-83c2-6901608be166</t>
  </si>
  <si>
    <t>2b2fd310-8a3f-11ec-83c2-6901608be166</t>
  </si>
  <si>
    <t>7d546a60-8a4a-11ec-83c2-6901608be166</t>
  </si>
  <si>
    <t>7cc9ff80-8a5c-11ec-83c2-6901608be166</t>
  </si>
  <si>
    <t>e649ff40-8a62-11ec-83c2-6901608be166</t>
  </si>
  <si>
    <t>46949450-8a72-11ec-83c2-6901608be166</t>
  </si>
  <si>
    <t>931218d0-8a7b-11ec-83c2-6901608be166</t>
  </si>
  <si>
    <t>e7ab8e70-8a8b-11ec-83c2-6901608be166</t>
  </si>
  <si>
    <t>e9325150-8a92-11ec-83c2-6901608be166</t>
  </si>
  <si>
    <t>e74bef00-8a9b-11ec-83c2-6901608be166</t>
  </si>
  <si>
    <t>e1f92370-8aa9-11ec-83c2-6901608be166</t>
  </si>
  <si>
    <t>24791730-8afc-11ec-8b73-41c037553de6</t>
  </si>
  <si>
    <t>f7ac08c0-8b64-11ec-8ebd-11bb6d90ff8b</t>
  </si>
  <si>
    <t>7b0a0e10-8b6f-11ec-8ebd-11bb6d90ff8b</t>
  </si>
  <si>
    <t>78606db0-8b76-11ec-8ebd-11bb6d90ff8b</t>
  </si>
  <si>
    <t>c4e33b00-8bcf-11ec-9345-91ec0ebcbcf9</t>
  </si>
  <si>
    <t>af475480-8be2-11ec-9345-91ec0ebcbcf9</t>
  </si>
  <si>
    <t>f8e1dd50-8beb-11ec-9345-91ec0ebcbcf9</t>
  </si>
  <si>
    <t>5d5d4ad0-8bfb-11ec-9345-91ec0ebcbcf9</t>
  </si>
  <si>
    <t>a6643110-8c02-11ec-9345-91ec0ebcbcf9</t>
  </si>
  <si>
    <t>63576c60-8c0d-11ec-9345-91ec0ebcbcf9</t>
  </si>
  <si>
    <t>ae7cc4d0-8c1f-11ec-9345-91ec0ebcbcf9</t>
  </si>
  <si>
    <t>e469e380-8ca5-11ec-a3db-016466e550a0</t>
  </si>
  <si>
    <t>a956d000-8cb9-11ec-a3db-016466e550a0</t>
  </si>
  <si>
    <t>c6dcf500-8cc8-11ec-a3db-016466e550a0</t>
  </si>
  <si>
    <t>b94eeb50-8ce1-11ec-a3db-016466e550a0</t>
  </si>
  <si>
    <t>0668bd90-8cf0-11ec-a3db-016466e550a0</t>
  </si>
  <si>
    <t>18069fd0-8cfb-11ec-a3db-016466e550a0</t>
  </si>
  <si>
    <t>441b8f70-8e1f-11ec-b64f-c55dbd76e745</t>
  </si>
  <si>
    <t>22f23d20-8e3e-11ec-b64f-c55dbd76e745</t>
  </si>
  <si>
    <t>c98c1380-8e49-11ec-b64f-c55dbd76e745</t>
  </si>
  <si>
    <t>61db6240-8e53-11ec-b64f-c55dbd76e745</t>
  </si>
  <si>
    <t>a8d95190-8474-11ec-98e6-bb4b7c4abf3b</t>
  </si>
  <si>
    <t>290dfe30-8491-11ec-98e6-bb4b7c4abf3b</t>
  </si>
  <si>
    <t>9c1ece10-8499-11ec-98e6-bb4b7c4abf3b</t>
  </si>
  <si>
    <t>557ebb60-84a2-11ec-98e6-bb4b7c4abf3b</t>
  </si>
  <si>
    <t>7ea55ad0-84ac-11ec-98e6-bb4b7c4abf3b</t>
  </si>
  <si>
    <t>f03a8300-84bb-11ec-98e6-bb4b7c4abf3b</t>
  </si>
  <si>
    <t>2d54ced0-84c1-11ec-98e6-bb4b7c4abf3b</t>
  </si>
  <si>
    <t>7e71c7e0-84d1-11ec-98e6-bb4b7c4abf3b</t>
  </si>
  <si>
    <t>9a294760-84e0-11ec-98e6-bb4b7c4abf3b</t>
  </si>
  <si>
    <t>b5129e40-84eb-11ec-98e6-bb4b7c4abf3b</t>
  </si>
  <si>
    <t>8134dfb0-84f6-11ec-98e6-bb4b7c4abf3b</t>
  </si>
  <si>
    <t>32e48da0-8506-11ec-98e6-bb4b7c4abf3b</t>
  </si>
  <si>
    <t>85c86400-8516-11ec-98e6-bb4b7c4abf3b</t>
  </si>
  <si>
    <t>9a5bb880-8521-11ec-98e6-bb4b7c4abf3b</t>
  </si>
  <si>
    <t>a7825460-8535-11ec-98e6-bb4b7c4abf3b</t>
  </si>
  <si>
    <t>d56e1d00-853f-11ec-98e6-bb4b7c4abf3b</t>
  </si>
  <si>
    <t>246a0f00-8549-11ec-98e6-bb4b7c4abf3b</t>
  </si>
  <si>
    <t>c9d8c0f0-8556-11ec-98e6-bb4b7c4abf3b</t>
  </si>
  <si>
    <t>42439510-8561-11ec-98e6-bb4b7c4abf3b</t>
  </si>
  <si>
    <t>6efcf830-856b-11ec-98e6-bb4b7c4abf3b</t>
  </si>
  <si>
    <t>707e7900-8574-11ec-98e6-bb4b7c4abf3b</t>
  </si>
  <si>
    <t>85164f70-8581-11ec-98e6-bb4b7c4abf3b</t>
  </si>
  <si>
    <t>b3027b50-858d-11ec-98e6-bb4b7c4abf3b</t>
  </si>
  <si>
    <t>ab92a050-8594-11ec-98e6-bb4b7c4abf3b</t>
  </si>
  <si>
    <t>95d9f4f0-85a5-11ec-98e6-bb4b7c4abf3b</t>
  </si>
  <si>
    <t>7e5cc0c0-85b7-11ec-8918-fb5115b3dae2</t>
  </si>
  <si>
    <t>af8b3470-85c5-11ec-8918-fb5115b3dae2</t>
  </si>
  <si>
    <t>2331dee0-85d2-11ec-8918-fb5115b3dae2</t>
  </si>
  <si>
    <t>9d664f70-85dc-11ec-8918-fb5115b3dae2</t>
  </si>
  <si>
    <t>9befd7e0-85e3-11ec-8918-fb5115b3dae2</t>
  </si>
  <si>
    <t>27b4c590-85eb-11ec-8918-fb5115b3dae2</t>
  </si>
  <si>
    <t>baa7c620-85f2-11ec-8918-fb5115b3dae2</t>
  </si>
  <si>
    <t>8cc65890-85fa-11ec-8918-fb5115b3dae2</t>
  </si>
  <si>
    <t>ae28f8a0-8602-11ec-8918-fb5115b3dae2</t>
  </si>
  <si>
    <t>5c89a2a0-8612-11ec-8918-fb5115b3dae2</t>
  </si>
  <si>
    <t>0ff4ab40-8619-11ec-8918-fb5115b3dae2</t>
  </si>
  <si>
    <t>df6ea660-8627-11ec-8918-fb5115b3dae2</t>
  </si>
  <si>
    <t>bd755480-8633-11ec-8918-fb5115b3dae2</t>
  </si>
  <si>
    <t>53652f70-863d-11ec-8918-fb5115b3dae2</t>
  </si>
  <si>
    <t>29acbd00-8643-11ec-8918-fb5115b3dae2</t>
  </si>
  <si>
    <t>30dced90-8655-11ec-8918-fb5115b3dae2</t>
  </si>
  <si>
    <t>a05617c0-865d-11ec-8918-fb5115b3dae2</t>
  </si>
  <si>
    <t>7f495680-866e-11ec-8918-fb5115b3dae2</t>
  </si>
  <si>
    <t>e589cc90-867d-11ec-8918-fb5115b3dae2</t>
  </si>
  <si>
    <t>027a4140-868d-11ec-8918-fb5115b3dae2</t>
  </si>
  <si>
    <t>acff5a90-86a3-11ec-8918-fb5115b3dae2</t>
  </si>
  <si>
    <t>ec32d350-86b1-11ec-8918-fb5115b3dae2</t>
  </si>
  <si>
    <t>acbf9e30-86be-11ec-8918-fb5115b3dae2</t>
  </si>
  <si>
    <t>3b826290-86c6-11ec-8918-fb5115b3dae2</t>
  </si>
  <si>
    <t>0d084960-86cc-11ec-8918-fb5115b3dae2</t>
  </si>
  <si>
    <t>d9302260-86d1-11ec-8918-fb5115b3dae2</t>
  </si>
  <si>
    <t>67f3d120-86d9-11ec-8918-fb5115b3dae2</t>
  </si>
  <si>
    <t>65e155c0-86e2-11ec-8918-fb5115b3dae2</t>
  </si>
  <si>
    <t>a42d1cb0-86e7-11ec-8918-fb5115b3dae2</t>
  </si>
  <si>
    <t>a8ad4ca0-86f2-11ec-8918-fb5115b3dae2</t>
  </si>
  <si>
    <t>f6ccab30-8704-11ec-8918-fb5115b3dae2</t>
  </si>
  <si>
    <t>1ebdb0d0-870f-11ec-8918-fb5115b3dae2</t>
  </si>
  <si>
    <t>e244cff0-871b-11ec-8918-fb5115b3dae2</t>
  </si>
  <si>
    <t>1aed1aa0-872c-11ec-8918-fb5115b3dae2</t>
  </si>
  <si>
    <t>4fffb840-8738-11ec-8918-fb5115b3dae2</t>
  </si>
  <si>
    <t>3bc365f0-8744-11ec-8918-fb5115b3dae2</t>
  </si>
  <si>
    <t>11722400-874c-11ec-8918-fb5115b3dae2</t>
  </si>
  <si>
    <t>5bace470-8755-11ec-8918-fb5115b3dae2</t>
  </si>
  <si>
    <t>9ff07640-875c-11ec-8918-fb5115b3dae2</t>
  </si>
  <si>
    <t>0a5d7f00-876c-11ec-8918-fb5115b3dae2</t>
  </si>
  <si>
    <t>97a88160-877c-11ec-8918-fb5115b3dae2</t>
  </si>
  <si>
    <t>ee69f960-8787-11ec-8918-fb5115b3dae2</t>
  </si>
  <si>
    <t>89b0a440-8793-11ec-8918-fb5115b3dae2</t>
  </si>
  <si>
    <t>8c6737c0-879e-11ec-8918-fb5115b3dae2</t>
  </si>
  <si>
    <t>7eb69dd0-87aa-11ec-8918-fb5115b3dae2</t>
  </si>
  <si>
    <t>191f4090-87bd-11ec-8918-fb5115b3dae2</t>
  </si>
  <si>
    <t>67855b30-87c6-11ec-8918-fb5115b3dae2</t>
  </si>
  <si>
    <t>8be49970-87ce-11ec-8918-fb5115b3dae2</t>
  </si>
  <si>
    <t>fbf807d0-87d6-11ec-8918-fb5115b3dae2</t>
  </si>
  <si>
    <t>34a22740-87e7-11ec-8918-fb5115b3dae2</t>
  </si>
  <si>
    <t>d4afe200-87f0-11ec-8918-fb5115b3dae2</t>
  </si>
  <si>
    <t>6837cf90-87f8-11ec-8918-fb5115b3dae2</t>
  </si>
  <si>
    <t>88b99340-8805-11ec-8918-fb5115b3dae2</t>
  </si>
  <si>
    <t>249f3d40-8811-11ec-8918-fb5115b3dae2</t>
  </si>
  <si>
    <t>5f0e6210-881d-11ec-8918-fb5115b3dae2</t>
  </si>
  <si>
    <t>502d7390-882b-11ec-8918-fb5115b3dae2</t>
  </si>
  <si>
    <t>a0f4fdd0-8834-11ec-8918-fb5115b3dae2</t>
  </si>
  <si>
    <t>cb0372f0-8843-11ec-8918-fb5115b3dae2</t>
  </si>
  <si>
    <t>6d753560-884d-11ec-8918-fb5115b3dae2</t>
  </si>
  <si>
    <t>dcea67f0-8855-11ec-8918-fb5115b3dae2</t>
  </si>
  <si>
    <t>7cfb7e10-885f-11ec-8918-fb5115b3dae2</t>
  </si>
  <si>
    <t>a1f3ef10-8867-11ec-8918-fb5115b3dae2</t>
  </si>
  <si>
    <t>bab47280-8872-11ec-8918-fb5115b3dae2</t>
  </si>
  <si>
    <t>51d2f780-887e-11ec-8918-fb5115b3dae2</t>
  </si>
  <si>
    <t>ea21aa00-8887-11ec-8918-fb5115b3dae2</t>
  </si>
  <si>
    <t>f451e940-889b-11ec-8918-fb5115b3dae2</t>
  </si>
  <si>
    <t>f49e5760-88a2-11ec-8918-fb5115b3dae2</t>
  </si>
  <si>
    <t>4e58b220-88b0-11ec-8918-fb5115b3dae2</t>
  </si>
  <si>
    <t>288b4670-88bf-11ec-8918-fb5115b3dae2</t>
  </si>
  <si>
    <t>7a3a9470-88cf-11ec-8918-fb5115b3dae2</t>
  </si>
  <si>
    <t>752ec120-88d6-11ec-8918-fb5115b3dae2</t>
  </si>
  <si>
    <t>901000b0-88ec-11ec-8918-fb5115b3dae2</t>
  </si>
  <si>
    <t>8be40840-8902-11ec-8918-fb5115b3dae2</t>
  </si>
  <si>
    <t>0963bd20-8916-11ec-8918-fb5115b3dae2</t>
  </si>
  <si>
    <t>0bcee860-8924-11ec-8918-fb5115b3dae2</t>
  </si>
  <si>
    <t>d1b7fe40-892e-11ec-8918-fb5115b3dae2</t>
  </si>
  <si>
    <t>62943db0-893f-11ec-8918-fb5115b3dae2</t>
  </si>
  <si>
    <t>b3fbf730-8956-11ec-8918-fb5115b3dae2</t>
  </si>
  <si>
    <t>b23a41a0-8964-11ec-8918-fb5115b3dae2</t>
  </si>
  <si>
    <t>a18df3e0-8970-11ec-8918-fb5115b3dae2</t>
  </si>
  <si>
    <t>1e25a8d0-897b-11ec-8918-fb5115b3dae2</t>
  </si>
  <si>
    <t>3c8ea2d0-8981-11ec-8918-fb5115b3dae2</t>
  </si>
  <si>
    <t>3bae50c0-8988-11ec-8918-fb5115b3dae2</t>
  </si>
  <si>
    <t>0a8985c0-8995-11ec-8918-fb5115b3dae2</t>
  </si>
  <si>
    <t>52ad5ad0-89a3-11ec-8918-fb5115b3dae2</t>
  </si>
  <si>
    <t>96b0b910-89db-11ec-a1de-27abdb34b9c1</t>
  </si>
  <si>
    <t>0128d040-89e9-11ec-a1de-27abdb34b9c1</t>
  </si>
  <si>
    <t>23751ac0-89f6-11ec-a1de-27abdb34b9c1</t>
  </si>
  <si>
    <t>43f8a140-8a05-11ec-a1de-27abdb34b9c1</t>
  </si>
  <si>
    <t>7b6b12c0-8a0f-11ec-a1de-27abdb34b9c1</t>
  </si>
  <si>
    <t>782ab0a0-8a16-11ec-a1de-27abdb34b9c1</t>
  </si>
  <si>
    <t>5337f1b0-8a1e-11ec-a1de-27abdb34b9c1</t>
  </si>
  <si>
    <t>fa6ecb60-8a29-11ec-a1de-27abdb34b9c1</t>
  </si>
  <si>
    <t>eb8cb650-8a35-11ec-a1de-27abdb34b9c1</t>
  </si>
  <si>
    <t>upgrade</t>
  </si>
  <si>
    <t>rate</t>
  </si>
  <si>
    <t>ability 2</t>
  </si>
  <si>
    <t>ability 3</t>
  </si>
  <si>
    <t>ability 4</t>
  </si>
  <si>
    <t>chestpiece 2</t>
  </si>
  <si>
    <t>chestpiece 3</t>
  </si>
  <si>
    <t>72553eb0-fbbe-11ec-9e2c-6f1be2add78d</t>
  </si>
  <si>
    <t>a08f8760-fbc6-11ec-9e2c-6f1be2add78d</t>
  </si>
  <si>
    <t>e1c583b0-fbd0-11ec-9e2c-6f1be2add78d</t>
  </si>
  <si>
    <t>5f371ab0-fbd7-11ec-9e2c-6f1be2add78d</t>
  </si>
  <si>
    <t>57070780-fbdf-11ec-9e2c-6f1be2add78d</t>
  </si>
  <si>
    <t>6b4fc5d0-fbe7-11ec-9e2c-6f1be2add78d</t>
  </si>
  <si>
    <t>82f92630-fbed-11ec-9e2c-6f1be2add78d</t>
  </si>
  <si>
    <t>2eadb540-fbf8-11ec-9e2c-6f1be2add78d</t>
  </si>
  <si>
    <t>6326a7c0-fc00-11ec-9e2c-6f1be2add78d</t>
  </si>
  <si>
    <t>11846fc0-fc09-11ec-9e2c-6f1be2add78d</t>
  </si>
  <si>
    <t>6e45e240-fc11-11ec-9e2c-6f1be2add78d</t>
  </si>
  <si>
    <t>649b2080-fc1a-11ec-9e2c-6f1be2add78d</t>
  </si>
  <si>
    <t>12aa2140-fc9c-11ec-999a-1f5212c173ea</t>
  </si>
  <si>
    <t>586dcdf0-fca4-11ec-999a-1f5212c173ea</t>
  </si>
  <si>
    <t>050db1f0-fcb0-11ec-999a-1f5212c173ea</t>
  </si>
  <si>
    <t>9a80d510-fcb4-11ec-999a-1f5212c173ea</t>
  </si>
  <si>
    <t>ea56efe0-fcbc-11ec-999a-1f5212c173ea</t>
  </si>
  <si>
    <t>1329e680-fcc6-11ec-999a-1f5212c173ea</t>
  </si>
  <si>
    <t>bcfb5a80-fccc-11ec-999a-1f5212c173ea</t>
  </si>
  <si>
    <t>59b19af0-fcd8-11ec-999a-1f5212c173ea</t>
  </si>
  <si>
    <t>7db62420-fce2-11ec-999a-1f5212c173ea</t>
  </si>
  <si>
    <t>ca745090-fcea-11ec-999a-1f5212c173ea</t>
  </si>
  <si>
    <t>892881b0-fd35-11ec-a5f8-7715c408440b</t>
  </si>
  <si>
    <t>00f7cb60-fd3b-11ec-a5f8-7715c408440b</t>
  </si>
  <si>
    <t>04c19910-fd45-11ec-a5f8-7715c408440b</t>
  </si>
  <si>
    <t>75c5b6f0-fd77-11ec-bf5f-1972df275fa9</t>
  </si>
  <si>
    <t>ae5976f0-fd81-11ec-bf5f-1972df275fa9</t>
  </si>
  <si>
    <t>bbb15d00-fd8a-11ec-bf5f-1972df275fa9</t>
  </si>
  <si>
    <t>09f83a60-fd95-11ec-bf5f-1972df275fa9</t>
  </si>
  <si>
    <t>28595d70-fda1-11ec-bf5f-1972df275fa9</t>
  </si>
  <si>
    <t>d21a0130-fdaa-11ec-bf5f-1972df275fa9</t>
  </si>
  <si>
    <t>307d0b30-fdb2-11ec-bf5f-1972df275fa9</t>
  </si>
  <si>
    <t>05887860-fe3e-11ec-8a00-bdfd873e7d2b</t>
  </si>
  <si>
    <t>a6acbe20-fe45-11ec-8a00-bdfd873e7d2b</t>
  </si>
  <si>
    <t>88ba67d0-fe4c-11ec-8a00-bdfd873e7d2b</t>
  </si>
  <si>
    <t>ba029750-fe55-11ec-8a00-bdfd873e7d2b</t>
  </si>
  <si>
    <t>be782370-fe61-11ec-8a00-bdfd873e7d2b</t>
  </si>
  <si>
    <t>816d5510-fe69-11ec-8a00-bdfd873e7d2b</t>
  </si>
  <si>
    <t>ef993430-fe70-11ec-8a00-bdfd873e7d2b</t>
  </si>
  <si>
    <t>3055dea0-fe77-11ec-8a00-bdfd873e7d2b</t>
  </si>
  <si>
    <t>4b43a9b0-fe7f-11ec-8a00-bdfd873e7d2b</t>
  </si>
  <si>
    <t>0fcc1af0-fe86-11ec-8a00-bdfd873e7d2b</t>
  </si>
  <si>
    <t>ad5777f0-fe8c-11ec-8a00-bdfd873e7d2b</t>
  </si>
  <si>
    <t>6d338840-fecc-11ec-9d0c-2f914600d49a</t>
  </si>
  <si>
    <t>1f27f4a0-ff0e-11ec-9fda-d33abe7fa01e</t>
  </si>
  <si>
    <t>067a1430-ff16-11ec-9fda-d33abe7fa01e</t>
  </si>
  <si>
    <t>99dc4c20-ff2f-11ec-9fda-d33abe7fa01e</t>
  </si>
  <si>
    <t>5476aab0-ff37-11ec-9fda-d33abe7fa01e</t>
  </si>
  <si>
    <t>a3db7800-ff3d-11ec-9fda-d33abe7fa01e</t>
  </si>
  <si>
    <t>aace4080-ff46-11ec-9fda-d33abe7fa01e</t>
  </si>
  <si>
    <t>4d4e1740-ff51-11ec-9fda-d33abe7fa01e</t>
  </si>
  <si>
    <t>ff1b04a0-ff75-11ec-9494-2b636f188e30</t>
  </si>
  <si>
    <t>93c4f210-ff7f-11ec-9494-2b636f188e30</t>
  </si>
  <si>
    <t>e83f7cc0-ff89-11ec-9494-2b636f188e30</t>
  </si>
  <si>
    <t>258a9fc0-ff93-11ec-9494-2b636f188e30</t>
  </si>
  <si>
    <t>c1c8bc40-ff99-11ec-9494-2b636f188e30</t>
  </si>
  <si>
    <t>16f09df0-ffa4-11ec-9494-2b636f188e30</t>
  </si>
  <si>
    <t>bf905340-ffab-11ec-9494-2b636f188e30</t>
  </si>
  <si>
    <t>e2be0140-ffb1-11ec-9494-2b636f188e30</t>
  </si>
  <si>
    <t>ec10a530-ffda-11ec-88bb-a1bbb976049a</t>
  </si>
  <si>
    <t>c0f789f0-ffe3-11ec-88bb-a1bbb976049a</t>
  </si>
  <si>
    <t>411446f0-ffee-11ec-88bb-a1bbb976049a</t>
  </si>
  <si>
    <t>65aa6920-fff5-11ec-88bb-a1bbb976049a</t>
  </si>
  <si>
    <t>42135480-fffb-11ec-88bb-a1bbb976049a</t>
  </si>
  <si>
    <t>04c79aa0-0005-11ed-88bb-a1bbb976049a</t>
  </si>
  <si>
    <t>7cf0ee60-000e-11ed-88bb-a1bbb976049a</t>
  </si>
  <si>
    <t>30011ae0-0017-11ed-88bb-a1bbb976049a</t>
  </si>
  <si>
    <t>b24f4920-0069-11ed-99c1-ffae89b80b48</t>
  </si>
  <si>
    <t>5ca62450-0071-11ed-99c1-ffae89b80b48</t>
  </si>
  <si>
    <t>aecba2d0-0078-11ed-99c1-ffae89b80b48</t>
  </si>
  <si>
    <t>22365280-0081-11ed-99c1-ffae89b80b48</t>
  </si>
  <si>
    <t>25463b80-008a-11ed-99c1-ffae89b80b48</t>
  </si>
  <si>
    <t>b4bf0540-0098-11ed-a0f2-093208bb6ce4</t>
  </si>
  <si>
    <t>9282f750-009f-11ed-a0f2-093208bb6ce4</t>
  </si>
  <si>
    <t>ecfc78d0-00ab-11ed-a0f2-093208bb6ce4</t>
  </si>
  <si>
    <t>4de40e00-00b7-11ed-a0f2-093208bb6ce4</t>
  </si>
  <si>
    <t>c8f0ab90-00c0-11ed-a0f2-093208bb6ce4</t>
  </si>
  <si>
    <t>a3242570-012b-11ed-a0db-e94d2c812c97</t>
  </si>
  <si>
    <t>f21166e0-0133-11ed-a0db-e94d2c812c97</t>
  </si>
  <si>
    <t>acf1bd30-013d-11ed-a0db-e94d2c812c97</t>
  </si>
  <si>
    <t>f511db00-0146-11ed-a0db-e94d2c812c97</t>
  </si>
  <si>
    <t>c297e7a0-0150-11ed-a0db-e94d2c812c97</t>
  </si>
  <si>
    <t>f0443210-0161-11ed-9f07-513d1b72ec94</t>
  </si>
  <si>
    <t>da237a40-016b-11ed-9f07-513d1b72ec94</t>
  </si>
  <si>
    <t>b7fb4270-0172-11ed-9f07-513d1b72ec94</t>
  </si>
  <si>
    <t>62ff8260-017f-11ed-9f07-513d1b72ec94</t>
  </si>
  <si>
    <t>4087f210-0186-11ed-9f07-513d1b72ec94</t>
  </si>
  <si>
    <t>22dcc170-018e-11ed-9f07-513d1b72ec94</t>
  </si>
  <si>
    <t>13ec34d0-0197-11ed-9f07-513d1b72ec94</t>
  </si>
  <si>
    <t>1ab830e0-019f-11ed-9f07-513d1b72ec94</t>
  </si>
  <si>
    <t>4bcc2670-01a7-11ed-9f07-513d1b72ec94</t>
  </si>
  <si>
    <t>5bdc9e30-01ef-11ed-b3a8-a538cfaa8bda</t>
  </si>
  <si>
    <t>d9fe67d0-01f4-11ed-b3a8-a538cfaa8bda</t>
  </si>
  <si>
    <t>4b8fc3a0-01fd-11ed-b3a8-a538cfaa8bda</t>
  </si>
  <si>
    <t>f979e240-0205-11ed-b3a8-a538cfaa8bda</t>
  </si>
  <si>
    <t>7a0480a0-022e-11ed-8612-77753336537b</t>
  </si>
  <si>
    <t>a212a0a0-0237-11ed-8612-77753336537b</t>
  </si>
  <si>
    <t>8ee38320-0244-11ed-8612-77753336537b</t>
  </si>
  <si>
    <t>0e288520-024c-11ed-8612-77753336537b</t>
  </si>
  <si>
    <t>89604d30-025c-11ed-8612-77753336537b</t>
  </si>
  <si>
    <t>593404e0-048b-11ed-9320-0ff139ab4a2b</t>
  </si>
  <si>
    <t>7cb97a60-0492-11ed-9320-0ff139ab4a2b</t>
  </si>
  <si>
    <t>99dccda0-049b-11ed-9320-0ff139ab4a2b</t>
  </si>
  <si>
    <t>431b9400-04a1-11ed-9320-0ff139ab4a2b</t>
  </si>
  <si>
    <t>2ae75390-04ad-11ed-9320-0ff139ab4a2b</t>
  </si>
  <si>
    <t>2bb71b20-04b7-11ed-9320-0ff139ab4a2b</t>
  </si>
  <si>
    <t>17f4cd10-04be-11ed-9320-0ff139ab4a2b</t>
  </si>
  <si>
    <t>63a9d8d0-04c4-11ed-9320-0ff139ab4a2b</t>
  </si>
  <si>
    <t>a2c43300-04cc-11ed-9320-0ff139ab4a2b</t>
  </si>
  <si>
    <t>f75bbb90-04d6-11ed-9320-0ff139ab4a2b</t>
  </si>
  <si>
    <t>65081f90-04e0-11ed-9320-0ff139ab4a2b</t>
  </si>
  <si>
    <t>67c5f0f0-04e9-11ed-9320-0ff139ab4a2b</t>
  </si>
  <si>
    <t>b1fa93b0-04ee-11ed-9320-0ff139ab4a2b</t>
  </si>
  <si>
    <t>22c66780-04f5-11ed-969b-412a226b8578</t>
  </si>
  <si>
    <t>f79ec2c0-04fc-11ed-969b-412a226b8578</t>
  </si>
  <si>
    <t>46cb1e20-0507-11ed-969b-412a226b8578</t>
  </si>
  <si>
    <t>ed50f750-0512-11ed-969b-412a226b8578</t>
  </si>
  <si>
    <t>37ac6680-0519-11ed-969b-412a226b8578</t>
  </si>
  <si>
    <t>38b3dcb0-051f-11ed-969b-412a226b8578</t>
  </si>
  <si>
    <t>5d37e100-0527-11ed-969b-412a226b8578</t>
  </si>
  <si>
    <t>066c6e30-052d-11ed-969b-412a226b8578</t>
  </si>
  <si>
    <t>6b8127c0-0537-11ed-969b-412a226b8578</t>
  </si>
  <si>
    <t>b10d2d30-0540-11ed-969b-412a226b8578</t>
  </si>
  <si>
    <t>b763ea80-054e-11ed-af9f-e9548cd2fc2f</t>
  </si>
  <si>
    <t>2e28e8c0-0557-11ed-af9f-e9548cd2fc2f</t>
  </si>
  <si>
    <t>1bbf4ce0-055e-11ed-af9f-e9548cd2fc2f</t>
  </si>
  <si>
    <t>36ee78a0-0564-11ed-af9f-e9548cd2fc2f</t>
  </si>
  <si>
    <t>e9820d00-056a-11ed-af9f-e9548cd2fc2f</t>
  </si>
  <si>
    <t>234c6320-0573-11ed-af9f-e9548cd2fc2f</t>
  </si>
  <si>
    <t>294f7f00-057d-11ed-af9f-e9548cd2fc2f</t>
  </si>
  <si>
    <t>ef7de2a0-0584-11ed-af9f-e9548cd2fc2f</t>
  </si>
  <si>
    <t>6fcbbe90-058b-11ed-af9f-e9548cd2fc2f</t>
  </si>
  <si>
    <t>4b8da9a0-0593-11ed-af9f-e9548cd2fc2f</t>
  </si>
  <si>
    <t>c3a06f80-0599-11ed-af9f-e9548cd2fc2f</t>
  </si>
  <si>
    <t>e7af2750-05a2-11ed-af9f-e9548cd2fc2f</t>
  </si>
  <si>
    <t>afc98a30-05af-11ed-af9f-e9548cd2fc2f</t>
  </si>
  <si>
    <t>3745e3a0-05b5-11ed-af9f-e9548cd2fc2f</t>
  </si>
  <si>
    <t>82b6f6a0-05bd-11ed-af9f-e9548cd2fc2f</t>
  </si>
  <si>
    <t>2a564860-05c4-11ed-af9f-e9548cd2fc2f</t>
  </si>
  <si>
    <t>e476eda0-05cc-11ed-af9f-e9548cd2fc2f</t>
  </si>
  <si>
    <t>0ddb1d30-05d5-11ed-af9f-e9548cd2fc2f</t>
  </si>
  <si>
    <t>73ae4c20-05dc-11ed-af9f-e9548cd2fc2f</t>
  </si>
  <si>
    <t>fff24a50-05e2-11ed-af9f-e9548cd2fc2f</t>
  </si>
  <si>
    <t>e8979dd0-05ea-11ed-af9f-e9548cd2fc2f</t>
  </si>
  <si>
    <t>cb09a740-05f4-11ed-af9f-e9548cd2fc2f</t>
  </si>
  <si>
    <t>9ece71d0-060b-11ed-b37a-c939f19c1d65</t>
  </si>
  <si>
    <t>c9c743c0-0616-11ed-b37a-c939f19c1d65</t>
  </si>
  <si>
    <t>978f09c0-061f-11ed-b37a-c939f19c1d65</t>
  </si>
  <si>
    <t>1024c5d0-0627-11ed-b37a-c939f19c1d65</t>
  </si>
  <si>
    <t>b60d66e0-062d-11ed-b37a-c939f19c1d65</t>
  </si>
  <si>
    <t>e2b27420-0636-11ed-b37a-c939f19c1d65</t>
  </si>
  <si>
    <t>bc77e860-063d-11ed-b37a-c939f19c1d65</t>
  </si>
  <si>
    <t>102e5c90-0644-11ed-b37a-c939f19c1d65</t>
  </si>
  <si>
    <t>e783c5c0-064b-11ed-b37a-c939f19c1d65</t>
  </si>
  <si>
    <t>7b0eead0-0657-11ed-b37a-c939f19c1d65</t>
  </si>
  <si>
    <t>84265d80-065f-11ed-b37a-c939f19c1d65</t>
  </si>
  <si>
    <t>e319fcd0-0668-11ed-b37a-c939f19c1d65</t>
  </si>
  <si>
    <t>a56098f0-06b2-11ed-8271-e7ddc50f2310</t>
  </si>
  <si>
    <t>e90ea180-06b9-11ed-8271-e7ddc50f2310</t>
  </si>
  <si>
    <t>cd5cb360-06c2-11ed-8271-e7ddc50f2310</t>
  </si>
  <si>
    <t>4c86d730-06c6-11ed-8271-e7ddc50f2310</t>
  </si>
  <si>
    <t>fde391e0-06cf-11ed-8271-e7ddc50f2310</t>
  </si>
  <si>
    <t>c55a5400-06d7-11ed-8271-e7ddc50f2310</t>
  </si>
  <si>
    <t>8f6beca0-06dc-11ed-8271-e7ddc50f2310</t>
  </si>
  <si>
    <t>4ff4e850-0728-11ed-a823-b7c06ca34e80</t>
  </si>
  <si>
    <t>fce2e920-072f-11ed-a823-b7c06ca34e80</t>
  </si>
  <si>
    <t>5cfe7f80-07ae-11ed-be05-7d5483e753fd</t>
  </si>
  <si>
    <t>36176010-07b5-11ed-be05-7d5483e753fd</t>
  </si>
  <si>
    <t>5c2809c0-07bb-11ed-be05-7d5483e753fd</t>
  </si>
  <si>
    <t>0871c630-07c1-11ed-be05-7d5483e753fd</t>
  </si>
  <si>
    <t>dc95e210-07c7-11ed-be05-7d5483e753fd</t>
  </si>
  <si>
    <t>f304b4b0-07cf-11ed-be05-7d5483e753fd</t>
  </si>
  <si>
    <t>56d55580-07da-11ed-be05-7d5483e753fd</t>
  </si>
  <si>
    <t>edc390d0-07e7-11ed-be05-7d5483e753fd</t>
  </si>
  <si>
    <t>182162a0-07f0-11ed-be05-7d5483e753fd</t>
  </si>
  <si>
    <t>2da50dc0-07ff-11ed-be05-7d5483e753fd</t>
  </si>
  <si>
    <t>73941df0-080c-11ed-b14f-8313f3f3f11c</t>
  </si>
  <si>
    <t>3dc61d90-0816-11ed-b14f-8313f3f3f11c</t>
  </si>
  <si>
    <t>665079d0-081c-11ed-b14f-8313f3f3f11c</t>
  </si>
  <si>
    <t>378c90f0-0823-11ed-b14f-8313f3f3f11c</t>
  </si>
  <si>
    <t>baf07bf0-0828-11ed-b14f-8313f3f3f11c</t>
  </si>
  <si>
    <t>50ad7c80-0831-11ed-b14f-8313f3f3f11c</t>
  </si>
  <si>
    <t>ef702b90-0838-11ed-b14f-8313f3f3f11c</t>
  </si>
  <si>
    <t>75d88020-0842-11ed-b14f-8313f3f3f11c</t>
  </si>
  <si>
    <t>ec19c810-084d-11ed-b14f-8313f3f3f11c</t>
  </si>
  <si>
    <t>6d9c5e00-0855-11ed-b14f-8313f3f3f11c</t>
  </si>
  <si>
    <t>52f87290-0860-11ed-b14f-8313f3f3f11c</t>
  </si>
  <si>
    <t>5dd57720-0875-11ed-ae5d-83e90a63a48f</t>
  </si>
  <si>
    <t>57f503d0-087e-11ed-ae5d-83e90a63a48f</t>
  </si>
  <si>
    <t>93974e40-0886-11ed-ae5d-83e90a63a48f</t>
  </si>
  <si>
    <t>2e8d8170-088d-11ed-ae5d-83e90a63a48f</t>
  </si>
  <si>
    <t>c8c6fee0-0894-11ed-ae5d-83e90a63a48f</t>
  </si>
  <si>
    <t>6292d0f0-089d-11ed-ae5d-83e90a63a48f</t>
  </si>
  <si>
    <t>7559edc0-08a4-11ed-ae5d-83e90a63a48f</t>
  </si>
  <si>
    <t>da584b10-08ac-11ed-ae5d-83e90a63a48f</t>
  </si>
  <si>
    <t>c1aa1fb0-08b8-11ed-ae5d-83e90a63a48f</t>
  </si>
  <si>
    <t>77815840-08bd-11ed-ae5d-83e90a63a48f</t>
  </si>
  <si>
    <t>d2ea66b0-08c5-11ed-ae5d-83e90a63a48f</t>
  </si>
  <si>
    <t>11827180-08ce-11ed-ae5d-83e90a63a48f</t>
  </si>
  <si>
    <t>cb7c7bf0-08d6-11ed-ae5d-83e90a63a48f</t>
  </si>
  <si>
    <t>c376deb0-08df-11ed-ae5d-83e90a63a48f</t>
  </si>
  <si>
    <t>dee39dc0-08e7-11ed-ae5d-83e90a63a48f</t>
  </si>
  <si>
    <t>c4b0a720-08f3-11ed-ae5d-83e90a63a48f</t>
  </si>
  <si>
    <t>4b673830-08fc-11ed-ae5d-83e90a63a48f</t>
  </si>
  <si>
    <t>410fed50-0906-11ed-ae5d-83e90a63a48f</t>
  </si>
  <si>
    <t>b77fb4c0-0910-11ed-ae5d-83e90a63a48f</t>
  </si>
  <si>
    <t>9e3e1540-0917-11ed-ae5d-83e90a63a48f</t>
  </si>
  <si>
    <t>8c264d70-091f-11ed-ae5d-83e90a63a48f</t>
  </si>
  <si>
    <t>e7f8fa80-0924-11ed-ae5d-83e90a63a48f</t>
  </si>
  <si>
    <t>03fc5ed0-092e-11ed-ae5d-83e90a63a48f</t>
  </si>
  <si>
    <t>aacd7f90-093e-11ed-96ff-9bb897024d06</t>
  </si>
  <si>
    <t>3ae20330-0944-11ed-96ff-9bb897024d06</t>
  </si>
  <si>
    <t>f0f46570-0947-11ed-96ff-9bb897024d06</t>
  </si>
  <si>
    <t>abac5060-094a-11ed-96ff-9bb897024d06</t>
  </si>
  <si>
    <t>01a59000-094e-11ed-96ff-9bb897024d06</t>
  </si>
  <si>
    <t>bdc26220-0950-11ed-96ff-9bb897024d06</t>
  </si>
  <si>
    <t>1044ca80-0954-11ed-96ff-9bb897024d06</t>
  </si>
  <si>
    <t>7d2dbed0-095a-11ed-96ff-9bb897024d06</t>
  </si>
  <si>
    <t>99feb080-095c-11ed-96ff-9bb897024d06</t>
  </si>
  <si>
    <t>24ffc0b0-095e-11ed-96ff-9bb897024d06</t>
  </si>
  <si>
    <t>39c251a0-0960-11ed-96ff-9bb897024d06</t>
  </si>
  <si>
    <t>f689e2b0-0962-11ed-96ff-9bb897024d06</t>
  </si>
  <si>
    <t>c246e8c0-0964-11ed-96ff-9bb897024d06</t>
  </si>
  <si>
    <t>f1e0dac0-0967-11ed-96ff-9bb897024d06</t>
  </si>
  <si>
    <t>77efbe50-0969-11ed-96ff-9bb897024d06</t>
  </si>
  <si>
    <t>2eaad920-096c-11ed-96ff-9bb897024d06</t>
  </si>
  <si>
    <t>95a7d450-096e-11ed-96ff-9bb897024d06</t>
  </si>
  <si>
    <t>69f30ac0-0976-11ed-96ff-9bb897024d06</t>
  </si>
  <si>
    <t>5879c9b0-097a-11ed-96ff-9bb897024d06</t>
  </si>
  <si>
    <t>b67483b0-097b-11ed-96ff-9bb897024d06</t>
  </si>
  <si>
    <t>d879d090-097c-11ed-96ff-9bb897024d06</t>
  </si>
  <si>
    <t>9483e130-0983-11ed-beb1-67dfb76eb7f3</t>
  </si>
  <si>
    <t>240a2b60-0985-11ed-beb1-67dfb76eb7f3</t>
  </si>
  <si>
    <t>0937cc00-0987-11ed-beb1-67dfb76eb7f3</t>
  </si>
  <si>
    <t>d96703d0-0989-11ed-beb1-67dfb76eb7f3</t>
  </si>
  <si>
    <t>751bfa80-098d-11ed-beb1-67dfb76eb7f3</t>
  </si>
  <si>
    <t>91270420-098f-11ed-beb1-67dfb76eb7f3</t>
  </si>
  <si>
    <t>f9bea710-0992-11ed-beb1-67dfb76eb7f3</t>
  </si>
  <si>
    <t>Overall</t>
  </si>
  <si>
    <t>Scenario 0</t>
  </si>
  <si>
    <t>Scenario 1</t>
  </si>
  <si>
    <t>Scenario 2</t>
  </si>
  <si>
    <t>c51f2680-099a-11ed-a8c5-b1ec3424a54f</t>
  </si>
  <si>
    <t>c98b7d20-09a1-11ed-a8c5-b1ec3424a54f</t>
  </si>
  <si>
    <t>31828fc0-09a4-11ed-a8c5-b1ec3424a54f</t>
  </si>
  <si>
    <t>c21010c0-09a5-11ed-a8c5-b1ec3424a54f</t>
  </si>
  <si>
    <t>8592f5b0-09a8-11ed-a8c5-b1ec3424a54f</t>
  </si>
  <si>
    <t>ed24d680-09ad-11ed-a8c5-b1ec3424a54f</t>
  </si>
  <si>
    <t>250337f0-09b2-11ed-a8c5-b1ec3424a54f</t>
  </si>
  <si>
    <t>2a19b140-09b9-11ed-a8c5-b1ec3424a54f</t>
  </si>
  <si>
    <t>4fa71e00-09bb-11ed-a8c5-b1ec3424a54f</t>
  </si>
  <si>
    <t>60589380-09bd-11ed-a8c5-b1ec3424a54f</t>
  </si>
  <si>
    <t>dfeb59a0-09bf-11ed-a8c5-b1ec3424a54f</t>
  </si>
  <si>
    <t>5f7ebc00-09c2-11ed-a8c5-b1ec3424a54f</t>
  </si>
  <si>
    <t>3a881430-09c4-11ed-a8c5-b1ec3424a54f</t>
  </si>
  <si>
    <t>8c792720-09c9-11ed-a8c5-b1ec3424a54f</t>
  </si>
  <si>
    <t>6c8e2760-09cb-11ed-a8c5-b1ec3424a54f</t>
  </si>
  <si>
    <t>b8fc5150-09ce-11ed-a8c5-b1ec3424a54f</t>
  </si>
  <si>
    <t>fbee32a0-09d1-11ed-a8c5-b1ec3424a54f</t>
  </si>
  <si>
    <t>317456c0-09d7-11ed-a8c5-b1ec3424a54f</t>
  </si>
  <si>
    <t>b409eab0-09db-11ed-a8c5-b1ec3424a54f</t>
  </si>
  <si>
    <t>93f4cdb0-09dd-11ed-a8c5-b1ec3424a54f</t>
  </si>
  <si>
    <t>bab1d640-09de-11ed-a8c5-b1ec3424a54f</t>
  </si>
  <si>
    <t>41b9bfd0-09e0-11ed-a8c5-b1ec3424a54f</t>
  </si>
  <si>
    <t>ce4e4140-09e1-11ed-a8c5-b1ec3424a54f</t>
  </si>
  <si>
    <t>a8a364a0-09e3-11ed-a8c5-b1ec3424a54f</t>
  </si>
  <si>
    <t>84db4300-09eb-11ed-a8c5-b1ec3424a54f</t>
  </si>
  <si>
    <t>1247d4f0-09ed-11ed-a8c5-b1ec3424a54f</t>
  </si>
  <si>
    <t>e5329fc0-09ee-11ed-a8c5-b1ec3424a54f</t>
  </si>
  <si>
    <t>e6b40ea0-09f9-11ed-8c0b-633c20481a43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</si>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</sst>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Font="1" applyBorder="1"/>
    <xf numFmtId="0" fontId="0" fillId="3" borderId="8" xfId="0" applyFont="1" applyFill="1" applyBorder="1"/>
    <xf numFmtId="10" fontId="0" fillId="0" borderId="1" xfId="0" applyNumberFormat="1" applyFont="1" applyBorder="1"/>
    <xf numFmtId="10" fontId="0" fillId="0" borderId="8" xfId="0" applyNumberFormat="1" applyFont="1" applyBorder="1"/>
    <xf numFmtId="10" fontId="0" fillId="3" borderId="1" xfId="0" applyNumberFormat="1" applyFont="1" applyFill="1" applyBorder="1"/>
    <xf numFmtId="10" fontId="0" fillId="3" borderId="8" xfId="0" applyNumberFormat="1" applyFont="1" applyFill="1" applyBorder="1"/>
    <xf numFmtId="0" fontId="0" fillId="0" borderId="0" xfId="0" applyNumberFormat="1"/>
    <xf numFmtId="10" fontId="0" fillId="4" borderId="0" xfId="0" applyNumberFormat="1" applyFill="1"/>
    <xf numFmtId="0" fontId="0" fillId="0" borderId="9" xfId="0" applyBorder="1"/>
    <xf numFmtId="0" fontId="0" fillId="0" borderId="0" xfId="0" applyBorder="1"/>
    <xf numFmtId="10" fontId="0" fillId="0" borderId="0" xfId="0" applyNumberFormat="1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0" borderId="14" xfId="0" applyFont="1" applyBorder="1"/>
    <xf numFmtId="0" fontId="0" fillId="0" borderId="15" xfId="0" applyFont="1" applyBorder="1"/>
    <xf numFmtId="10" fontId="0" fillId="0" borderId="15" xfId="0" applyNumberFormat="1" applyFont="1" applyBorder="1"/>
    <xf numFmtId="0" fontId="0" fillId="0" borderId="16" xfId="0" applyBorder="1"/>
    <xf numFmtId="0" fontId="0" fillId="0" borderId="6" xfId="0" applyBorder="1"/>
    <xf numFmtId="0" fontId="1" fillId="0" borderId="0" xfId="0" applyFont="1" applyBorder="1" applyAlignment="1"/>
    <xf numFmtId="0" fontId="1" fillId="0" borderId="5" xfId="0" applyFont="1" applyFill="1" applyBorder="1"/>
    <xf numFmtId="0" fontId="1" fillId="0" borderId="2" xfId="0" applyFont="1" applyFill="1" applyBorder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04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L211" totalsRowShown="0">
  <autoFilter ref="A1:AL211" xr:uid="{00000000-0009-0000-0100-000001000000}"/>
  <tableColumns count="38">
    <tableColumn id="1" xr3:uid="{00000000-0010-0000-0000-000001000000}" name="battle" dataDxfId="1043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D2" totalsRowShown="0">
  <autoFilter ref="A1:AD2" xr:uid="{00000000-0009-0000-0100-000001000000}"/>
  <tableColumns count="30">
    <tableColumn id="1" xr3:uid="{BC50D7B9-B62B-437D-84CB-40D98C013997}" name="battle" dataDxfId="1014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  <tableColumn id="38" xr3:uid="{EECDE6A1-9CE9-4C12-BF59-B0B1B1BF7333}" name="think-time"/>
    <tableColumn id="39" xr3:uid="{FBACAB4D-C228-4C2A-9FFD-83CD31259A07}" name="expl-p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493" headerRowBorderDxfId="492" tableBorderDxfId="491" totalsRowBorderDxfId="490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489">
      <calculatedColumnFormula>L13+L34+L55</calculatedColumnFormula>
    </tableColumn>
    <tableColumn id="3" xr3:uid="{150079D1-0272-4CFB-8282-44464105457B}" name="wins" dataDxfId="488">
      <calculatedColumnFormula>M13+M34+M55</calculatedColumnFormula>
    </tableColumn>
    <tableColumn id="4" xr3:uid="{65FEB6D5-A05E-4FC8-B85E-99DFC519570C}" name="battles-take-rate" dataDxfId="487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486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485" headerRowBorderDxfId="484" tableBorderDxfId="483" totalsRowBorderDxfId="482">
  <autoFilter ref="A17:E20" xr:uid="{2AADA4A0-2F4A-4009-8ECF-0BECA693390C}"/>
  <tableColumns count="5">
    <tableColumn id="1" xr3:uid="{F38332B4-A633-4A53-A294-B990E53A9E9E}" name="ability" dataDxfId="481"/>
    <tableColumn id="2" xr3:uid="{A659B804-FBC0-4B86-B0D0-259516FAF254}" name="takes" dataDxfId="480">
      <calculatedColumnFormula>L18+L39+L60</calculatedColumnFormula>
    </tableColumn>
    <tableColumn id="3" xr3:uid="{4DFB6D75-6E90-4DA5-BE74-537E8812340F}" name="wins" dataDxfId="479">
      <calculatedColumnFormula>M18+M39+M60</calculatedColumnFormula>
    </tableColumn>
    <tableColumn id="4" xr3:uid="{D1650154-5016-46B0-8BD5-16233AA11280}" name="battles-take-rate" dataDxfId="478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477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476">
      <calculatedColumnFormula>R3+R24+R45</calculatedColumnFormula>
    </tableColumn>
    <tableColumn id="4" xr3:uid="{5D997E40-F727-46C7-B765-00166A875EA3}" name="chestpiece" dataDxfId="475">
      <calculatedColumnFormula>S3+S24+S45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474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473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472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471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470" headerRowBorderDxfId="469" tableBorderDxfId="468" totalsRowBorderDxfId="467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466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465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464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463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462" headerRowBorderDxfId="461" tableBorderDxfId="460" totalsRowBorderDxfId="459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458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457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456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455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454" headerRowBorderDxfId="453" tableBorderDxfId="452" totalsRowBorderDxfId="451">
  <autoFilter ref="K17:O20" xr:uid="{01E0B516-A92C-45D4-946B-0FCF2F31D98A}"/>
  <tableColumns count="5">
    <tableColumn id="1" xr3:uid="{B1ECB730-0F58-4ABC-942D-CAE55E41CA9A}" name="ability" dataDxfId="450"/>
    <tableColumn id="2" xr3:uid="{508F1330-F650-4934-B53E-5CF30E50850F}" name="takes" dataDxfId="449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448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447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446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445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444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443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442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441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440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439" headerRowBorderDxfId="438" tableBorderDxfId="437" totalsRowBorderDxfId="436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435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434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433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432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013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012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011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431" headerRowBorderDxfId="430" tableBorderDxfId="429" totalsRowBorderDxfId="428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427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426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425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424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423" headerRowBorderDxfId="422" tableBorderDxfId="421" totalsRowBorderDxfId="420">
  <autoFilter ref="K38:O41" xr:uid="{A1F38E75-59DE-4DB4-B81C-C0322397F6F7}"/>
  <tableColumns count="5">
    <tableColumn id="1" xr3:uid="{E95AEAE3-62BB-4DA7-B153-EB2086E73E57}" name="ability" dataDxfId="419"/>
    <tableColumn id="2" xr3:uid="{2A9E73B8-CD6F-4011-BAC1-63B6A821F80F}" name="takes" dataDxfId="418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417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416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415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414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413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412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411">
      <calculatedColumnFormula>COUNTIF(Scenario2[winner1-ability1],AvatarAbilities1Scenario2[[#This Row],[ability]])</calculatedColumnFormula>
    </tableColumn>
    <tableColumn id="5" xr3:uid="{1E61EB7F-DF68-4EB7-80E2-73B696E16EFA}" name="battles-take-rate" dataDxfId="410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409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408" headerRowBorderDxfId="407" tableBorderDxfId="406" totalsRowBorderDxfId="405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404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403">
      <calculatedColumnFormula>COUNTIF(Scenario2[winner1-ability2],AvatarAbilities2Scenario2[[#This Row],[ability]])</calculatedColumnFormula>
    </tableColumn>
    <tableColumn id="4" xr3:uid="{C9E6BEDE-6D55-465F-A23C-088B0E5A7769}" name="battles-take-rate" dataDxfId="402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401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400" headerRowBorderDxfId="399" tableBorderDxfId="398" totalsRowBorderDxfId="397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396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395">
      <calculatedColumnFormula>COUNTIF(Scenario2[winner1-ability3],AvatarAbilities3Scenario2[[#This Row],[ability]])</calculatedColumnFormula>
    </tableColumn>
    <tableColumn id="4" xr3:uid="{ADEFFFFC-593D-4983-81AB-62FCA7D838BE}" name="battles-take-rate" dataDxfId="394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393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392" headerRowBorderDxfId="391" tableBorderDxfId="390" totalsRowBorderDxfId="389">
  <autoFilter ref="K59:O62" xr:uid="{DDB7F110-02A6-4F67-8266-251AF48CB7C0}"/>
  <tableColumns count="5">
    <tableColumn id="1" xr3:uid="{41FFE711-9BC2-4C77-93E0-ED76EFB9F1D5}" name="ability" dataDxfId="388"/>
    <tableColumn id="2" xr3:uid="{79EA1ED0-B935-47D2-A86B-D83C6704E80A}" name="takes" dataDxfId="387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386">
      <calculatedColumnFormula>COUNTIF(Scenario2[winner1-ability4],AvatarAbilities4Scenario2[[#This Row],[ability]])</calculatedColumnFormula>
    </tableColumn>
    <tableColumn id="4" xr3:uid="{02651184-3B76-4AC5-89C2-D810EC158F1B}" name="battles-take-rate" dataDxfId="385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384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383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382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3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381">
      <calculatedColumnFormula>L3+L24+L45</calculatedColumnFormula>
    </tableColumn>
    <tableColumn id="4" xr3:uid="{E7594F03-C9FD-4ADD-810F-A5D3A80A11D0}" name="wins" dataDxfId="380">
      <calculatedColumnFormula>M3+M24+M45</calculatedColumnFormula>
    </tableColumn>
    <tableColumn id="5" xr3:uid="{02A46B5D-C22D-499B-A57A-EDE540A8C147}" name="battles-take-rate" dataDxfId="379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378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218" displayName="ScenarioTeams218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010">
      <calculatedColumnFormula>SUMIFS(ScenarioStat3[battles],ScenarioStat3[hero-1],ScenarioTeams218[[#This Row],[hero]])+SUMIFS(ScenarioStat3[battles],ScenarioStat3[hero-2],ScenarioTeams218[[#This Row],[hero]])+SUMIFS(ScenarioStat3[battles],ScenarioStat3[hero-3],ScenarioTeams218[[#This Row],[hero]])</calculatedColumnFormula>
    </tableColumn>
    <tableColumn id="3" xr3:uid="{4AD4396C-08BE-40F0-BA05-93CF71783244}" name="wins" dataDxfId="1009">
      <calculatedColumnFormula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calculatedColumnFormula>
    </tableColumn>
    <tableColumn id="5" xr3:uid="{D753F1A5-A1EF-4BA4-A1BD-CEB90D03D2E9}" name="win-rate" totalsRowFunction="sum" dataDxfId="1008" totalsRowDxfId="1007">
      <calculatedColumnFormula>IF(ScenarioTeams218[[#This Row],[battles]],ScenarioTeams218[[#This Row],[wins]]/ScenarioTeams218[[#This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377" headerRowBorderDxfId="376" tableBorderDxfId="375" totalsRowBorderDxfId="374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373">
      <calculatedColumnFormula>L8+L29+L50</calculatedColumnFormula>
    </tableColumn>
    <tableColumn id="3" xr3:uid="{F5082C29-A973-4FDC-8C6D-DAB230FD220B}" name="wins" dataDxfId="372">
      <calculatedColumnFormula>M8+M29+M50</calculatedColumnFormula>
    </tableColumn>
    <tableColumn id="4" xr3:uid="{955AA51C-C441-4923-93B4-21A375FB8EAB}" name="battles-take-rate" dataDxfId="371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370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369" headerRowBorderDxfId="368" tableBorderDxfId="367" totalsRowBorderDxfId="366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365">
      <calculatedColumnFormula>L13+L34+L55</calculatedColumnFormula>
    </tableColumn>
    <tableColumn id="3" xr3:uid="{69A0AA59-1954-41A9-9184-3D9DCEC82306}" name="wins" dataDxfId="364">
      <calculatedColumnFormula>M13+M34+M55</calculatedColumnFormula>
    </tableColumn>
    <tableColumn id="4" xr3:uid="{D2E0470C-3533-4EB8-BCB1-093B0305CFE5}" name="battles-take-rate" dataDxfId="363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362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361" headerRowBorderDxfId="360" tableBorderDxfId="359" totalsRowBorderDxfId="358">
  <autoFilter ref="A17:E20" xr:uid="{2AADA4A0-2F4A-4009-8ECF-0BECA693390C}"/>
  <tableColumns count="5">
    <tableColumn id="1" xr3:uid="{508E3F3C-793A-4D3F-8FE4-5033189433FA}" name="ability" dataDxfId="357"/>
    <tableColumn id="2" xr3:uid="{26190FBD-0D5B-4F70-AB7C-38105BD3682B}" name="takes" dataDxfId="356">
      <calculatedColumnFormula>L18+L39+L60</calculatedColumnFormula>
    </tableColumn>
    <tableColumn id="3" xr3:uid="{6304B665-DF35-4910-8085-1B0F98C1C08E}" name="wins" dataDxfId="355">
      <calculatedColumnFormula>M18+M39+M60</calculatedColumnFormula>
    </tableColumn>
    <tableColumn id="4" xr3:uid="{CE4233CF-2026-408F-A9F5-172CFF825DD4}" name="battles-take-rate" dataDxfId="354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353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352">
      <calculatedColumnFormula>R3+R24+R45</calculatedColumnFormula>
    </tableColumn>
    <tableColumn id="4" xr3:uid="{066CD957-712B-40B8-9181-60B4B646F9D5}" name="chestpiece" dataDxfId="351">
      <calculatedColumnFormula>S3+S24+S45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350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349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348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347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346" headerRowBorderDxfId="345" tableBorderDxfId="344" totalsRowBorderDxfId="343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342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341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340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339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338" headerRowBorderDxfId="337" tableBorderDxfId="336" totalsRowBorderDxfId="335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334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333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332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331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330" headerRowBorderDxfId="329" tableBorderDxfId="328" totalsRowBorderDxfId="327">
  <autoFilter ref="K17:O20" xr:uid="{01E0B516-A92C-45D4-946B-0FCF2F31D98A}"/>
  <tableColumns count="5">
    <tableColumn id="1" xr3:uid="{7A69B0E2-20CF-43A3-920A-9AE63CA4EDD6}" name="ability" dataDxfId="326"/>
    <tableColumn id="2" xr3:uid="{A0E31296-499C-405F-BCF6-B2EAB56FDACC}" name="takes" dataDxfId="325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324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323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322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321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320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319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318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317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316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E9" totalsRowShown="0">
  <autoFilter ref="A1:E9" xr:uid="{63405EB0-A525-4FAC-AD12-CF7C798DE05C}"/>
  <tableColumns count="5">
    <tableColumn id="1" xr3:uid="{85B8E500-D508-49B7-B6C2-4293FF88864C}" name="hero"/>
    <tableColumn id="2" xr3:uid="{58A5592F-1F6D-4BC0-A001-DA1EE7044444}" name="battles" dataDxfId="1006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calculatedColumnFormula>
    </tableColumn>
    <tableColumn id="3" xr3:uid="{907E2C9A-88EE-4007-82F2-9E1679E4E1E8}" name="wins" dataDxfId="1005">
      <calculatedColumnFormula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calculatedColumnFormula>
    </tableColumn>
    <tableColumn id="4" xr3:uid="{6F2DCA26-2AD4-4FD6-9D9C-74EB1F995BF0}" name="win-rate" dataDxfId="1004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315" headerRowBorderDxfId="314" tableBorderDxfId="313" totalsRowBorderDxfId="312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311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310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309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308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307" headerRowBorderDxfId="306" tableBorderDxfId="305" totalsRowBorderDxfId="304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303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302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301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300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299" headerRowBorderDxfId="298" tableBorderDxfId="297" totalsRowBorderDxfId="296">
  <autoFilter ref="K38:O41" xr:uid="{A1F38E75-59DE-4DB4-B81C-C0322397F6F7}"/>
  <tableColumns count="5">
    <tableColumn id="1" xr3:uid="{B95A8C1F-E83A-4A7B-ACAE-F997D171F354}" name="ability" dataDxfId="295"/>
    <tableColumn id="2" xr3:uid="{B5A87322-37A1-488C-B6C2-23B9D65EEB08}" name="takes" dataDxfId="294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293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292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291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290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289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288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287">
      <calculatedColumnFormula>COUNTIF(Scenario2[winner1-ability1],ShadowAbilities1Scenario2[[#This Row],[ability]])</calculatedColumnFormula>
    </tableColumn>
    <tableColumn id="5" xr3:uid="{AE0DC280-6579-4B86-B8B4-CDC9AF90EDBE}" name="battles-take-rate" dataDxfId="286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285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284" headerRowBorderDxfId="283" tableBorderDxfId="282" totalsRowBorderDxfId="281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280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279">
      <calculatedColumnFormula>COUNTIF(Scenario2[winner1-ability2],ShadowAbilities2Scenario2[[#This Row],[ability]])</calculatedColumnFormula>
    </tableColumn>
    <tableColumn id="4" xr3:uid="{348088A2-AD3A-435D-AAD6-1030EDC81266}" name="battles-take-rate" dataDxfId="278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277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276" headerRowBorderDxfId="275" tableBorderDxfId="274" totalsRowBorderDxfId="273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272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271">
      <calculatedColumnFormula>COUNTIF(Scenario2[winner1-ability3],ShadowAbilities3Scenario2[[#This Row],[ability]])</calculatedColumnFormula>
    </tableColumn>
    <tableColumn id="4" xr3:uid="{B6BC679A-540A-46F8-8039-4C37B6F8FAD6}" name="battles-take-rate" dataDxfId="270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269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268" headerRowBorderDxfId="267" tableBorderDxfId="266" totalsRowBorderDxfId="265">
  <autoFilter ref="K59:O62" xr:uid="{DDB7F110-02A6-4F67-8266-251AF48CB7C0}"/>
  <tableColumns count="5">
    <tableColumn id="1" xr3:uid="{808C7394-83C0-4054-AFB9-9F9E1965E6DC}" name="ability" dataDxfId="264"/>
    <tableColumn id="2" xr3:uid="{A8117EB0-F8AE-4362-841F-EBC31BDC80E7}" name="takes" dataDxfId="263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262">
      <calculatedColumnFormula>COUNTIF(Scenario2[winner1-ability4],ShadowAbilities4Scenario2[[#This Row],[ability]])</calculatedColumnFormula>
    </tableColumn>
    <tableColumn id="4" xr3:uid="{D18D0446-17DA-4367-8791-04B929BF7C7E}" name="battles-take-rate" dataDxfId="261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260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259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258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003">
      <calculatedColumnFormula>M3+M24+M45</calculatedColumnFormula>
    </tableColumn>
    <tableColumn id="4" xr3:uid="{61A21492-49FF-4C06-A153-6F532C6C5A30}" name="wins" dataDxfId="1002">
      <calculatedColumnFormula>N3+N24+N45</calculatedColumnFormula>
    </tableColumn>
    <tableColumn id="5" xr3:uid="{E54CF930-9561-430F-9E4C-4FBFE41AE34D}" name="battles-take-rate" dataDxfId="1001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000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257">
      <calculatedColumnFormula>L3+L24+L45</calculatedColumnFormula>
    </tableColumn>
    <tableColumn id="4" xr3:uid="{58CA11D9-169A-46E2-9A57-9E370495AE74}" name="wins" dataDxfId="256">
      <calculatedColumnFormula>M3+M24+M45</calculatedColumnFormula>
    </tableColumn>
    <tableColumn id="5" xr3:uid="{FCD1957D-8B13-463F-918E-7541CD4802BE}" name="battles-take-rate" dataDxfId="255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254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253" headerRowBorderDxfId="252" tableBorderDxfId="251" totalsRowBorderDxfId="250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249">
      <calculatedColumnFormula>L8+L29+L50</calculatedColumnFormula>
    </tableColumn>
    <tableColumn id="3" xr3:uid="{8036E5FE-9DB3-44E7-AF19-651F4FEED3A5}" name="wins" dataDxfId="248">
      <calculatedColumnFormula>M8+M29+M50</calculatedColumnFormula>
    </tableColumn>
    <tableColumn id="4" xr3:uid="{F340980B-9818-44CD-839E-1CE580EFB60A}" name="battles-take-rate" dataDxfId="247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246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245" headerRowBorderDxfId="244" tableBorderDxfId="243" totalsRowBorderDxfId="242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241">
      <calculatedColumnFormula>L13+L34+L55</calculatedColumnFormula>
    </tableColumn>
    <tableColumn id="3" xr3:uid="{C75B917B-4ECC-4DD1-9024-BE6CDFC7ADF6}" name="wins" dataDxfId="240">
      <calculatedColumnFormula>M13+M34+M55</calculatedColumnFormula>
    </tableColumn>
    <tableColumn id="4" xr3:uid="{33AA1918-8E3F-4AE7-B461-1D2AFB04069A}" name="battles-take-rate" dataDxfId="239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238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237" headerRowBorderDxfId="236" tableBorderDxfId="235" totalsRowBorderDxfId="234">
  <autoFilter ref="A17:E20" xr:uid="{2AADA4A0-2F4A-4009-8ECF-0BECA693390C}"/>
  <tableColumns count="5">
    <tableColumn id="1" xr3:uid="{0F824B32-1B2D-4DB9-A0E4-042F6AAA65D0}" name="ability" dataDxfId="233"/>
    <tableColumn id="2" xr3:uid="{C861246F-E022-49C0-BFAD-6CD3013B0246}" name="takes" dataDxfId="232">
      <calculatedColumnFormula>L18+L39+L60</calculatedColumnFormula>
    </tableColumn>
    <tableColumn id="3" xr3:uid="{3FA0E70F-04C8-4FC4-898C-79D0A5C6E6C3}" name="wins" dataDxfId="231">
      <calculatedColumnFormula>M18+M39+M60</calculatedColumnFormula>
    </tableColumn>
    <tableColumn id="4" xr3:uid="{047E06AD-872B-4FB4-9AB8-8B8E2717658B}" name="battles-take-rate" dataDxfId="230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229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228">
      <calculatedColumnFormula>R3+R24+R45</calculatedColumnFormula>
    </tableColumn>
    <tableColumn id="4" xr3:uid="{F2CC5FCF-C346-4903-B131-24F9A7A7ADC9}" name="chestpiece" dataDxfId="227">
      <calculatedColumnFormula>S3+S24+S45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226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225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224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223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222" headerRowBorderDxfId="221" tableBorderDxfId="220" totalsRowBorderDxfId="219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218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217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216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215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214" headerRowBorderDxfId="213" tableBorderDxfId="212" totalsRowBorderDxfId="211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210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209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208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207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206" headerRowBorderDxfId="205" tableBorderDxfId="204" totalsRowBorderDxfId="203">
  <autoFilter ref="K17:O20" xr:uid="{01E0B516-A92C-45D4-946B-0FCF2F31D98A}"/>
  <tableColumns count="5">
    <tableColumn id="1" xr3:uid="{95251227-5274-48FA-A791-C1AC52DA6F2E}" name="ability" dataDxfId="202"/>
    <tableColumn id="2" xr3:uid="{B7211C4B-8C9B-4B1A-B9B4-26E32C837D31}" name="takes" dataDxfId="201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200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199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198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197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196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999" headerRowBorderDxfId="998" tableBorderDxfId="997" totalsRowBorderDxfId="996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995">
      <calculatedColumnFormula>M8+M29+M50</calculatedColumnFormula>
    </tableColumn>
    <tableColumn id="3" xr3:uid="{80A922C6-64D8-44FE-96CB-B7E1F6FDC03C}" name="wins" dataDxfId="994">
      <calculatedColumnFormula>N8+N29+N50</calculatedColumnFormula>
    </tableColumn>
    <tableColumn id="4" xr3:uid="{554161FF-0726-4138-B76E-C5C63F8E633A}" name="battles-take-rate" dataDxfId="993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992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195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194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193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192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191" headerRowBorderDxfId="190" tableBorderDxfId="189" totalsRowBorderDxfId="188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187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186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185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184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183" headerRowBorderDxfId="182" tableBorderDxfId="181" totalsRowBorderDxfId="180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179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178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177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176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175" headerRowBorderDxfId="174" tableBorderDxfId="173" totalsRowBorderDxfId="172">
  <autoFilter ref="K38:O41" xr:uid="{A1F38E75-59DE-4DB4-B81C-C0322397F6F7}"/>
  <tableColumns count="5">
    <tableColumn id="1" xr3:uid="{D120DB3D-0A5D-420D-9741-6F25B01853C8}" name="ability" dataDxfId="171"/>
    <tableColumn id="2" xr3:uid="{917AA9FD-5BE5-479F-8517-062A9D4A84E5}" name="takes" dataDxfId="170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169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168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167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166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165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164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163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162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161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160" headerRowBorderDxfId="159" tableBorderDxfId="158" totalsRowBorderDxfId="157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156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155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154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153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152" headerRowBorderDxfId="151" tableBorderDxfId="150" totalsRowBorderDxfId="149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148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147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146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145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144" headerRowBorderDxfId="143" tableBorderDxfId="142" totalsRowBorderDxfId="141">
  <autoFilter ref="K59:O62" xr:uid="{DDB7F110-02A6-4F67-8266-251AF48CB7C0}"/>
  <tableColumns count="5">
    <tableColumn id="1" xr3:uid="{10AC8AF3-38AA-4A13-B22D-4BB6F815DE68}" name="ability" dataDxfId="140"/>
    <tableColumn id="2" xr3:uid="{71D3D958-AF17-4056-8501-6475CD621FEA}" name="takes" dataDxfId="139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138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137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136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135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134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991" headerRowBorderDxfId="990" tableBorderDxfId="989" totalsRowBorderDxfId="988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987">
      <calculatedColumnFormula>M13+M34+M55</calculatedColumnFormula>
    </tableColumn>
    <tableColumn id="3" xr3:uid="{3EE75CB9-F097-4DDD-B43D-5E1FA49D5DA7}" name="wins" dataDxfId="986">
      <calculatedColumnFormula>N13+N34+N55</calculatedColumnFormula>
    </tableColumn>
    <tableColumn id="4" xr3:uid="{4386EDC2-3695-4FDE-BF81-4F581D693BFE}" name="battles-take-rate" dataDxfId="985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984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1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133">
      <calculatedColumnFormula>M3+M24+M45</calculatedColumnFormula>
    </tableColumn>
    <tableColumn id="4" xr3:uid="{CDAB9E23-22AA-4C01-8C82-A6CA62B02527}" name="wins" dataDxfId="132">
      <calculatedColumnFormula>N3+N24+N45</calculatedColumnFormula>
    </tableColumn>
    <tableColumn id="5" xr3:uid="{10E225D8-ED8B-4DEA-B697-D56C9AC10EDE}" name="battles-take-rate" dataDxfId="131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130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129" headerRowBorderDxfId="128" tableBorderDxfId="127" totalsRowBorderDxfId="126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125">
      <calculatedColumnFormula>M8+M29+M50</calculatedColumnFormula>
    </tableColumn>
    <tableColumn id="3" xr3:uid="{B90DED9A-FB36-4010-A0F2-A4F4295C587D}" name="wins" dataDxfId="124">
      <calculatedColumnFormula>N8+N29+N50</calculatedColumnFormula>
    </tableColumn>
    <tableColumn id="4" xr3:uid="{BE0E10ED-A980-43A5-9BDF-619C73B41AFB}" name="battles-take-rate" dataDxfId="123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122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121" headerRowBorderDxfId="120" tableBorderDxfId="119" totalsRowBorderDxfId="118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117">
      <calculatedColumnFormula>M13+M34+M55</calculatedColumnFormula>
    </tableColumn>
    <tableColumn id="3" xr3:uid="{4F19BEBF-12CE-4B6C-A863-4DF3FEA28027}" name="wins" dataDxfId="116">
      <calculatedColumnFormula>N13+N34+N55</calculatedColumnFormula>
    </tableColumn>
    <tableColumn id="4" xr3:uid="{797719FB-C470-4B00-B35C-54DF472BB4A2}" name="battles-take-rate" dataDxfId="115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114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113" headerRowBorderDxfId="112" tableBorderDxfId="111" totalsRowBorderDxfId="110">
  <autoFilter ref="A17:E20" xr:uid="{2AADA4A0-2F4A-4009-8ECF-0BECA693390C}"/>
  <tableColumns count="5">
    <tableColumn id="1" xr3:uid="{797653A4-EDCA-4C4D-A3D4-CD6135488CE9}" name="ability" dataDxfId="109"/>
    <tableColumn id="2" xr3:uid="{9958885A-546E-4B41-BF74-36A6885A316D}" name="takes" dataDxfId="108">
      <calculatedColumnFormula>M18+M39+M60</calculatedColumnFormula>
    </tableColumn>
    <tableColumn id="3" xr3:uid="{F49FD5D1-7963-494A-BE27-74BE85A96B9D}" name="wins" dataDxfId="107">
      <calculatedColumnFormula>N18+N39+N60</calculatedColumnFormula>
    </tableColumn>
    <tableColumn id="4" xr3:uid="{F7EC00D3-61D4-46E7-BE58-31BDB9ED271A}" name="battles-take-rate" dataDxfId="106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05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04">
      <calculatedColumnFormula>S3+S24+S45</calculatedColumnFormula>
    </tableColumn>
    <tableColumn id="3" xr3:uid="{39E8DCAE-D493-4A26-A9B3-9996C564CEE7}" name="blade" dataDxfId="103">
      <calculatedColumnFormula>T3+T24+T45</calculatedColumnFormula>
    </tableColumn>
    <tableColumn id="4" xr3:uid="{F082B021-59DE-4852-B1B3-0AA25C478097}" name="chestpiece" dataDxfId="102">
      <calculatedColumnFormula>U3+U24+U45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01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00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99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98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97" headerRowBorderDxfId="96" tableBorderDxfId="95" totalsRowBorderDxfId="94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93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92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91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90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89" headerRowBorderDxfId="88" tableBorderDxfId="87" totalsRowBorderDxfId="86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85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84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83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82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81" headerRowBorderDxfId="80" tableBorderDxfId="79" totalsRowBorderDxfId="78">
  <autoFilter ref="L17:P20" xr:uid="{01E0B516-A92C-45D4-946B-0FCF2F31D98A}"/>
  <tableColumns count="5">
    <tableColumn id="1" xr3:uid="{E980F6C0-E93A-4FFA-8E1B-7186BE3B4D2B}" name="ability" dataDxfId="77"/>
    <tableColumn id="2" xr3:uid="{387091C3-7426-4F2A-A753-72A1D81097AE}" name="takes" dataDxfId="76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75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74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73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983" headerRowBorderDxfId="982" tableBorderDxfId="981" totalsRowBorderDxfId="980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979">
      <calculatedColumnFormula>M18+M39+M60</calculatedColumnFormula>
    </tableColumn>
    <tableColumn id="3" xr3:uid="{FCDACB04-C3C9-4451-9344-563AAD645EE3}" name="wins" dataDxfId="978">
      <calculatedColumnFormula>N18+N39+N60</calculatedColumnFormula>
    </tableColumn>
    <tableColumn id="4" xr3:uid="{A43A8590-7A57-4069-B1B8-09F7A5FC26AC}" name="battles-take-rate" dataDxfId="977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976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72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71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70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69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68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67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66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65" headerRowBorderDxfId="64" tableBorderDxfId="63" totalsRowBorderDxfId="62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61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60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59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58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57" headerRowBorderDxfId="56" tableBorderDxfId="55" totalsRowBorderDxfId="54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53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52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51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50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49" headerRowBorderDxfId="48" tableBorderDxfId="47" totalsRowBorderDxfId="46">
  <autoFilter ref="L38:P41" xr:uid="{A1F38E75-59DE-4DB4-B81C-C0322397F6F7}"/>
  <tableColumns count="5">
    <tableColumn id="1" xr3:uid="{B108F2DF-4A32-4ECF-B16B-02A49181826D}" name="ability" dataDxfId="45"/>
    <tableColumn id="2" xr3:uid="{A47622D9-162B-4188-B077-F04987EF9266}" name="takes" dataDxfId="44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43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42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41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40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39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38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37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36">
      <calculatedColumnFormula>COUNTIF(Scenario2[winner1-ability1],AvengerAbilities1Scenario2[[#This Row],[ability]])</calculatedColumnFormula>
    </tableColumn>
    <tableColumn id="5" xr3:uid="{9DB36862-AC92-48F0-8B86-87B94516CEAF}" name="battles-take-rate" dataDxfId="35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34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33" headerRowBorderDxfId="32" tableBorderDxfId="31" totalsRowBorderDxfId="30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29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28">
      <calculatedColumnFormula>COUNTIF(Scenario2[winner1-ability2],AvengerAbilities2Scenario2[[#This Row],[ability]])</calculatedColumnFormula>
    </tableColumn>
    <tableColumn id="4" xr3:uid="{16676FDF-F72D-4A46-9456-4F4E86ACEDE3}" name="battles-take-rate" dataDxfId="27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26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25" headerRowBorderDxfId="24" tableBorderDxfId="23" totalsRowBorderDxfId="22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21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20">
      <calculatedColumnFormula>COUNTIF(Scenario2[winner1-ability3],AvengerAbilities3Scenario2[[#This Row],[ability]])</calculatedColumnFormula>
    </tableColumn>
    <tableColumn id="4" xr3:uid="{6EA1CE83-F097-4979-BAF4-5E5DD321C889}" name="battles-take-rate" dataDxfId="19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8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7" headerRowBorderDxfId="16" tableBorderDxfId="15" totalsRowBorderDxfId="14">
  <autoFilter ref="L59:P62" xr:uid="{DDB7F110-02A6-4F67-8266-251AF48CB7C0}"/>
  <tableColumns count="5">
    <tableColumn id="1" xr3:uid="{0228B3A4-F54D-4604-AAB4-26F241807E53}" name="ability" dataDxfId="13"/>
    <tableColumn id="2" xr3:uid="{BE2ED41F-9201-4A8E-B960-2268FAC34946}" name="takes" dataDxfId="12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">
      <calculatedColumnFormula>COUNTIF(Scenario2[winner1-ability4],AvengerAbilities4Scenario2[[#This Row],[ability]])</calculatedColumnFormula>
    </tableColumn>
    <tableColumn id="4" xr3:uid="{5D2EF02F-DEB6-4E46-A7E5-3F277ED38E6B}" name="battles-take-rate" dataDxfId="10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9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975">
      <calculatedColumnFormula>S3+S24+S45</calculatedColumnFormula>
    </tableColumn>
    <tableColumn id="3" xr3:uid="{F4CFC04E-00E1-447E-954B-909DEBE33E7C}" name="shield" dataDxfId="974">
      <calculatedColumnFormula>T3+T24+T45</calculatedColumnFormula>
    </tableColumn>
    <tableColumn id="4" xr3:uid="{3051F8DD-C458-45A9-A22A-CA5DF4CE7313}" name="chestpiece" dataDxfId="973">
      <calculatedColumnFormula>U3+U24+U45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8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7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6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972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971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970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969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042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041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040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968" headerRowBorderDxfId="967" tableBorderDxfId="966" totalsRowBorderDxfId="965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964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963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962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961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960" headerRowBorderDxfId="959" tableBorderDxfId="958" totalsRowBorderDxfId="957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956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955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954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953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952" headerRowBorderDxfId="951" tableBorderDxfId="950" totalsRowBorderDxfId="949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948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947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946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945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944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943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942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941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940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939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938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937" headerRowBorderDxfId="936" tableBorderDxfId="935" totalsRowBorderDxfId="934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933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932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931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930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929" headerRowBorderDxfId="928" tableBorderDxfId="927" totalsRowBorderDxfId="926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925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924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923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922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921" headerRowBorderDxfId="920" tableBorderDxfId="919" totalsRowBorderDxfId="918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917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916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915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914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913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912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911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910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909">
      <calculatedColumnFormula>COUNTIF(Scenario2[winner1-ability1],ParagonAbilities1Scenario2[[#This Row],[ability]])</calculatedColumnFormula>
    </tableColumn>
    <tableColumn id="5" xr3:uid="{B6F725F9-59F1-4BBC-88E3-95CB9FA3D9B4}" name="battles-take-rate" dataDxfId="908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907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039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038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037" totalsRowDxfId="1036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906" headerRowBorderDxfId="905" tableBorderDxfId="904" totalsRowBorderDxfId="903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902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901">
      <calculatedColumnFormula>COUNTIF(Scenario2[winner1-ability2],ParagonAbilities2Scenario2[[#This Row],[ability]])</calculatedColumnFormula>
    </tableColumn>
    <tableColumn id="4" xr3:uid="{E051F2C9-AD26-4F86-BA73-06F989437A9B}" name="battles-take-rate" dataDxfId="900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899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898" headerRowBorderDxfId="897" tableBorderDxfId="896" totalsRowBorderDxfId="895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894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893">
      <calculatedColumnFormula>COUNTIF(Scenario2[winner1-ability3],ParagonAbilities3Scenario2[[#This Row],[ability]])</calculatedColumnFormula>
    </tableColumn>
    <tableColumn id="4" xr3:uid="{A7CC83B2-A2E6-4450-9696-B55D92586553}" name="battles-take-rate" dataDxfId="892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891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890" headerRowBorderDxfId="889" tableBorderDxfId="888" totalsRowBorderDxfId="887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886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885">
      <calculatedColumnFormula>COUNTIF(Scenario2[winner1-ability4],ParagonAbilities4Scenario2[[#This Row],[ability]])</calculatedColumnFormula>
    </tableColumn>
    <tableColumn id="4" xr3:uid="{CA8861D8-C4EC-4F7B-8C03-8907F286C5FD}" name="battles-take-rate" dataDxfId="884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883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882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881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880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879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878">
      <calculatedColumnFormula>L3+L24+L45</calculatedColumnFormula>
    </tableColumn>
    <tableColumn id="4" xr3:uid="{6AD8A7A2-0013-4031-8DAB-5AD3D8FCB173}" name="wins" dataDxfId="877">
      <calculatedColumnFormula>M3+M24+M45</calculatedColumnFormula>
    </tableColumn>
    <tableColumn id="5" xr3:uid="{B3552DFB-EAFC-4577-B811-AF0F9687BA5C}" name="battles-take-rate" dataDxfId="876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875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874" headerRowBorderDxfId="873" tableBorderDxfId="872" totalsRowBorderDxfId="871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870">
      <calculatedColumnFormula>L8+L29+L50</calculatedColumnFormula>
    </tableColumn>
    <tableColumn id="3" xr3:uid="{8FEED0FA-3268-41B1-9503-BD07DCBD59EB}" name="wins" dataDxfId="869">
      <calculatedColumnFormula>M8+M29+M50</calculatedColumnFormula>
    </tableColumn>
    <tableColumn id="4" xr3:uid="{791570BF-CF63-4FF3-98A5-66F96870FBA2}" name="battles-take-rate" dataDxfId="868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867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866" headerRowBorderDxfId="865" tableBorderDxfId="864" totalsRowBorderDxfId="863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862">
      <calculatedColumnFormula>L13+L34+L55</calculatedColumnFormula>
    </tableColumn>
    <tableColumn id="3" xr3:uid="{03C77734-0BE9-4820-9770-29ACD0AF0635}" name="wins" dataDxfId="861">
      <calculatedColumnFormula>M13+M34+M55</calculatedColumnFormula>
    </tableColumn>
    <tableColumn id="4" xr3:uid="{FE54A2A3-BC60-46B8-89C1-8C761FDDC67F}" name="battles-take-rate" dataDxfId="860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859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858" headerRowBorderDxfId="857" tableBorderDxfId="856" totalsRowBorderDxfId="855">
  <autoFilter ref="A17:E20" xr:uid="{2AADA4A0-2F4A-4009-8ECF-0BECA693390C}"/>
  <tableColumns count="5">
    <tableColumn id="1" xr3:uid="{87950E31-BAB1-44C5-9C72-3AB67D671CA7}" name="ability" dataDxfId="854"/>
    <tableColumn id="2" xr3:uid="{C84CD939-93B2-4F85-A4F0-569665A45FE6}" name="takes" dataDxfId="853">
      <calculatedColumnFormula>L18+L39+L60</calculatedColumnFormula>
    </tableColumn>
    <tableColumn id="3" xr3:uid="{6B188D82-4BD2-4FF2-8C12-D56DAEB9B117}" name="wins" dataDxfId="852">
      <calculatedColumnFormula>M18+M39+M60</calculatedColumnFormula>
    </tableColumn>
    <tableColumn id="4" xr3:uid="{00FCF0E9-BE21-44DD-BE30-37EA8F3BBCFF}" name="battles-take-rate" dataDxfId="851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850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849">
      <calculatedColumnFormula>R3+R24+R45</calculatedColumnFormula>
    </tableColumn>
    <tableColumn id="4" xr3:uid="{6BFD5C7B-4CFB-4B7D-B8E9-5C10F667B91B}" name="chestpiece" dataDxfId="848">
      <calculatedColumnFormula>S3+S24+S45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L211" totalsRowShown="0">
  <autoFilter ref="A1:AL211" xr:uid="{5F3CD27D-C76E-4541-9BB9-71DED850FA45}"/>
  <tableColumns count="38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  <tableColumn id="37" xr3:uid="{CD34A373-5AD1-4CB4-90A8-09A3AC566534}" name="think-time"/>
    <tableColumn id="38" xr3:uid="{30D5AEC2-3D45-4C2F-A3E3-34665A5B554C}" name="expl-p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847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846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845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844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843" headerRowBorderDxfId="842" tableBorderDxfId="841" totalsRowBorderDxfId="840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839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838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837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836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835" headerRowBorderDxfId="834" tableBorderDxfId="833" totalsRowBorderDxfId="832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831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830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829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828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827" headerRowBorderDxfId="826" tableBorderDxfId="825" totalsRowBorderDxfId="824">
  <autoFilter ref="K17:O20" xr:uid="{01E0B516-A92C-45D4-946B-0FCF2F31D98A}"/>
  <tableColumns count="5">
    <tableColumn id="1" xr3:uid="{AA1B6D33-74EE-498E-B851-AABC093752BF}" name="ability" dataDxfId="823"/>
    <tableColumn id="2" xr3:uid="{638C4C88-BC79-4B67-BB2F-FBF29994B680}" name="takes" dataDxfId="822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821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820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819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818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817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816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815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814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813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812" headerRowBorderDxfId="811" tableBorderDxfId="810" totalsRowBorderDxfId="809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808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807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806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805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804" headerRowBorderDxfId="803" tableBorderDxfId="802" totalsRowBorderDxfId="801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800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799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798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797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796" headerRowBorderDxfId="795" tableBorderDxfId="794" totalsRowBorderDxfId="793">
  <autoFilter ref="K38:O41" xr:uid="{A1F38E75-59DE-4DB4-B81C-C0322397F6F7}"/>
  <tableColumns count="5">
    <tableColumn id="1" xr3:uid="{769AEF11-64B1-48E1-81F7-44ED789A5436}" name="ability" dataDxfId="792"/>
    <tableColumn id="2" xr3:uid="{329ABE97-FD25-4B89-85FE-EF4B7E705884}" name="takes" dataDxfId="791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790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789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788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787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786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033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032"/>
    <tableColumn id="5" xr3:uid="{128C557E-8342-4183-B44E-301E27402F84}" name="hero-4"/>
    <tableColumn id="7" xr3:uid="{AAC6C4FD-799F-4646-B17E-E24AA4D9541B}" name="team-2-win" dataDxfId="1031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030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785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784">
      <calculatedColumnFormula>COUNTIF(Scenario2[winner1-ability1],HighlanderAbilities1Scenario2[[#This Row],[ability]])</calculatedColumnFormula>
    </tableColumn>
    <tableColumn id="5" xr3:uid="{76F1983E-CA15-4A41-958C-4EAB1B656281}" name="battles-take-rate" dataDxfId="783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782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781" headerRowBorderDxfId="780" tableBorderDxfId="779" totalsRowBorderDxfId="778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777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776">
      <calculatedColumnFormula>COUNTIF(Scenario2[winner1-ability2],HighlanderAbilities2Scenario2[[#This Row],[ability]])</calculatedColumnFormula>
    </tableColumn>
    <tableColumn id="4" xr3:uid="{CBEF0BDE-C3C4-4A23-8448-66FC7E8209FB}" name="battles-take-rate" dataDxfId="775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774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773" headerRowBorderDxfId="772" tableBorderDxfId="771" totalsRowBorderDxfId="770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769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768">
      <calculatedColumnFormula>COUNTIF(Scenario2[winner1-ability3],HighlanderAbilities3Scenario2[[#This Row],[ability]])</calculatedColumnFormula>
    </tableColumn>
    <tableColumn id="4" xr3:uid="{30063EAF-50ED-4235-8FA0-74C713EDE547}" name="battles-take-rate" dataDxfId="767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766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765" headerRowBorderDxfId="764" tableBorderDxfId="763" totalsRowBorderDxfId="762">
  <autoFilter ref="K59:O62" xr:uid="{DDB7F110-02A6-4F67-8266-251AF48CB7C0}"/>
  <tableColumns count="5">
    <tableColumn id="1" xr3:uid="{24AD3B9C-E89B-4255-AF6A-993728E1E88D}" name="ability" dataDxfId="761"/>
    <tableColumn id="2" xr3:uid="{D8585D3A-FC34-4996-9EF2-60CC70EA9A7A}" name="takes" dataDxfId="760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759">
      <calculatedColumnFormula>COUNTIF(Scenario2[winner1-ability4],HighlanderAbilities4Scenario2[[#This Row],[ability]])</calculatedColumnFormula>
    </tableColumn>
    <tableColumn id="4" xr3:uid="{DFED8343-DB73-48A3-85AC-08485FB0C7E7}" name="battles-take-rate" dataDxfId="758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757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756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755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75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753">
      <calculatedColumnFormula>L3+L24+L45</calculatedColumnFormula>
    </tableColumn>
    <tableColumn id="4" xr3:uid="{30745929-46B0-48D6-B955-7A2AC6D9C7E1}" name="wins" dataDxfId="752">
      <calculatedColumnFormula>M3+M24+M45</calculatedColumnFormula>
    </tableColumn>
    <tableColumn id="5" xr3:uid="{6D02BF52-C170-4CC1-9A86-21AB4BDB7626}" name="battles-take-rate" dataDxfId="751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750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749" headerRowBorderDxfId="748" tableBorderDxfId="747" totalsRowBorderDxfId="746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745">
      <calculatedColumnFormula>L8+L29+L50</calculatedColumnFormula>
    </tableColumn>
    <tableColumn id="3" xr3:uid="{48DF5F5A-0975-4E8D-B144-712277591A94}" name="wins" dataDxfId="744">
      <calculatedColumnFormula>M8+M29+M50</calculatedColumnFormula>
    </tableColumn>
    <tableColumn id="4" xr3:uid="{268E7864-1892-40A3-BCCF-FE157CEB565E}" name="battles-take-rate" dataDxfId="743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742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741" headerRowBorderDxfId="740" tableBorderDxfId="739" totalsRowBorderDxfId="738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737">
      <calculatedColumnFormula>L13+L34+L55</calculatedColumnFormula>
    </tableColumn>
    <tableColumn id="3" xr3:uid="{925C0493-2E5C-4E18-B248-24590FEA740E}" name="wins" dataDxfId="736">
      <calculatedColumnFormula>M13+M34+M55</calculatedColumnFormula>
    </tableColumn>
    <tableColumn id="4" xr3:uid="{7164F2B9-2D78-40B4-A513-E10635D154E9}" name="battles-take-rate" dataDxfId="735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734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733" headerRowBorderDxfId="732" tableBorderDxfId="731" totalsRowBorderDxfId="730">
  <autoFilter ref="A17:E20" xr:uid="{2AADA4A0-2F4A-4009-8ECF-0BECA693390C}"/>
  <tableColumns count="5">
    <tableColumn id="1" xr3:uid="{B55E8E85-9B14-4EFC-B40F-2ADF016F740F}" name="ability" dataDxfId="729"/>
    <tableColumn id="2" xr3:uid="{076E566F-F5E9-47AA-B1B5-F3E7825F4999}" name="takes" dataDxfId="728">
      <calculatedColumnFormula>L18+L39+L60</calculatedColumnFormula>
    </tableColumn>
    <tableColumn id="3" xr3:uid="{322B89F0-887F-4B61-98E6-57F772ED36C6}" name="wins" dataDxfId="727">
      <calculatedColumnFormula>M18+M39+M60</calculatedColumnFormula>
    </tableColumn>
    <tableColumn id="4" xr3:uid="{DD000198-4098-4FC5-A3B5-6351F4B85BF2}" name="battles-take-rate" dataDxfId="726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725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029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028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027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724">
      <calculatedColumnFormula>R3+R24+R45</calculatedColumnFormula>
    </tableColumn>
    <tableColumn id="4" xr3:uid="{59B0F45B-3883-4EBA-BA1D-13246CC2FDE2}" name="chestpiece" dataDxfId="723">
      <calculatedColumnFormula>S3+S24+S45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722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721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720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719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718" headerRowBorderDxfId="717" tableBorderDxfId="716" totalsRowBorderDxfId="715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714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713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712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711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710" headerRowBorderDxfId="709" tableBorderDxfId="708" totalsRowBorderDxfId="707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706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705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704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703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702" headerRowBorderDxfId="701" tableBorderDxfId="700" totalsRowBorderDxfId="699">
  <autoFilter ref="K17:O20" xr:uid="{01E0B516-A92C-45D4-946B-0FCF2F31D98A}"/>
  <tableColumns count="5">
    <tableColumn id="1" xr3:uid="{F1A34086-91B1-448A-A581-8C7A371A6B38}" name="ability" dataDxfId="698"/>
    <tableColumn id="2" xr3:uid="{1CA216CA-0230-4993-9DF5-190FC3A6530D}" name="takes" dataDxfId="697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696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695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694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693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692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691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690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689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688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687" headerRowBorderDxfId="686" tableBorderDxfId="685" totalsRowBorderDxfId="684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683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682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681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680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679" headerRowBorderDxfId="678" tableBorderDxfId="677" totalsRowBorderDxfId="676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675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674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673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672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671" headerRowBorderDxfId="670" tableBorderDxfId="669" totalsRowBorderDxfId="668">
  <autoFilter ref="K38:O41" xr:uid="{A1F38E75-59DE-4DB4-B81C-C0322397F6F7}"/>
  <tableColumns count="5">
    <tableColumn id="1" xr3:uid="{74357A07-E8F9-4439-8A7D-C51B3289B074}" name="ability" dataDxfId="667"/>
    <tableColumn id="2" xr3:uid="{2B46AB72-5070-479E-BA92-0EA40B2FAD9A}" name="takes" dataDxfId="666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665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664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663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V57" totalsRowShown="0">
  <autoFilter ref="A1:V57" xr:uid="{00000000-0009-0000-0100-000001000000}"/>
  <tableColumns count="22">
    <tableColumn id="1" xr3:uid="{936E5295-3BC3-4630-97BC-068124807D82}" name="battle" dataDxfId="1024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  <tableColumn id="38" xr3:uid="{2155687E-1C2E-4A05-A4E3-D2223CD622C1}" name="think-time"/>
    <tableColumn id="39" xr3:uid="{1CA1AD98-2DAC-4FDE-9FD6-F24BB8932FFA}" name="expl-p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662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661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660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659">
      <calculatedColumnFormula>COUNTIF(Scenario2[winner1-ability1],DruidAbilities1Scenario2[[#This Row],[ability]])</calculatedColumnFormula>
    </tableColumn>
    <tableColumn id="5" xr3:uid="{8E619ED0-484C-4412-A819-C4816A1E0005}" name="battles-take-rate" dataDxfId="658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657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656" headerRowBorderDxfId="655" tableBorderDxfId="654" totalsRowBorderDxfId="653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652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651">
      <calculatedColumnFormula>COUNTIF(Scenario2[winner1-ability2],DruidAbilities2Scenario2[[#This Row],[ability]])</calculatedColumnFormula>
    </tableColumn>
    <tableColumn id="4" xr3:uid="{DD2FBF56-CB12-4887-A4B2-BB3C9B0B611A}" name="battles-take-rate" dataDxfId="650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649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HighlanderAbilities3Scenario2120" displayName="HighlanderAbilities3Scenario2120" ref="K54:O57" totalsRowShown="0" headerRowDxfId="648" headerRowBorderDxfId="647" tableBorderDxfId="646" totalsRowBorderDxfId="645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644">
      <calculatedColumnFormula>COUNTIF(Scenario2[winner1-ability3],HighlanderAbilities3Scenario2120[[#This Row],[ability]])+COUNTIF(Scenario2[loser1-ability3],HighlanderAbilities3Scenario2120[[#This Row],[ability]])</calculatedColumnFormula>
    </tableColumn>
    <tableColumn id="3" xr3:uid="{002B3C7D-EA7B-446F-B715-09FE178F988F}" name="wins" dataDxfId="643">
      <calculatedColumnFormula>COUNTIF(Scenario2[winner1-ability3],HighlanderAbilities3Scenario2120[[#This Row],[ability]])</calculatedColumnFormula>
    </tableColumn>
    <tableColumn id="4" xr3:uid="{17A59155-4BEE-4B00-A77D-54C7568B711B}" name="battles-take-rate" dataDxfId="642">
      <calculatedColumnFormula>IF(SUM(HighlanderAbilities3Scenario2120[[#This Row],[takes]]) &gt; 0,HighlanderAbilities3Scenario2120[[#This Row],[takes]]/SUM(HighlanderAbilities3Scenario2120[takes]),0)</calculatedColumnFormula>
    </tableColumn>
    <tableColumn id="5" xr3:uid="{B7047AE6-3B28-47F0-A9D7-9CF02FED99D8}" name="take-win-rate" dataDxfId="641">
      <calculatedColumnFormula>IF(HighlanderAbilities3Scenario2120[[#This Row],[takes]]&gt;0,HighlanderAbilities3Scenario2120[[#This Row],[wins]]/HighlanderAbilities3Scenario2120[[#This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640" headerRowBorderDxfId="639" tableBorderDxfId="638" totalsRowBorderDxfId="637">
  <autoFilter ref="K59:O62" xr:uid="{DDB7F110-02A6-4F67-8266-251AF48CB7C0}"/>
  <tableColumns count="5">
    <tableColumn id="1" xr3:uid="{963218A6-E2C8-468F-A480-18EABD6D01C3}" name="ability" dataDxfId="636"/>
    <tableColumn id="2" xr3:uid="{B7AE8A89-2A8C-49AF-8D96-6C1AB2DACE14}" name="takes" dataDxfId="635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634">
      <calculatedColumnFormula>COUNTIF(Scenario2[winner1-ability4],DruidAbilities4Scenario2[[#This Row],[ability]])</calculatedColumnFormula>
    </tableColumn>
    <tableColumn id="4" xr3:uid="{AA29BEEB-A7D2-4818-96D2-39227A3BFA6F}" name="battles-take-rate" dataDxfId="633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632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631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630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5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629">
      <calculatedColumnFormula>L3+L24+L45</calculatedColumnFormula>
    </tableColumn>
    <tableColumn id="4" xr3:uid="{EC3B8EC8-1BFA-48CF-8CDE-94C6F7C34CA6}" name="wins" dataDxfId="628">
      <calculatedColumnFormula>M3+M24+M45</calculatedColumnFormula>
    </tableColumn>
    <tableColumn id="5" xr3:uid="{F0960502-C6CE-4EB1-BD9C-74EF7F619CEB}" name="battles-take-rate" dataDxfId="627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626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625" headerRowBorderDxfId="624" tableBorderDxfId="623" totalsRowBorderDxfId="622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621">
      <calculatedColumnFormula>L8+L29+L50</calculatedColumnFormula>
    </tableColumn>
    <tableColumn id="3" xr3:uid="{DC8F8E66-B8EB-483C-B2BE-7C9B2A81E076}" name="wins" dataDxfId="620">
      <calculatedColumnFormula>M8+M29+M50</calculatedColumnFormula>
    </tableColumn>
    <tableColumn id="4" xr3:uid="{5AD9DA06-82FA-4EF9-BFCA-BF0FFFF88911}" name="battles-take-rate" dataDxfId="619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618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617" headerRowBorderDxfId="616" tableBorderDxfId="615" totalsRowBorderDxfId="614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613">
      <calculatedColumnFormula>L13+L34+L55</calculatedColumnFormula>
    </tableColumn>
    <tableColumn id="3" xr3:uid="{C0F69861-77B3-4AAF-8D53-36D42207F13D}" name="wins" dataDxfId="612">
      <calculatedColumnFormula>M13+M34+M55</calculatedColumnFormula>
    </tableColumn>
    <tableColumn id="4" xr3:uid="{17EE2411-F535-4C09-9682-1BE2E263BF38}" name="battles-take-rate" dataDxfId="611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610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023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022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021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609" headerRowBorderDxfId="608" tableBorderDxfId="607" totalsRowBorderDxfId="606">
  <autoFilter ref="A17:E20" xr:uid="{2AADA4A0-2F4A-4009-8ECF-0BECA693390C}"/>
  <tableColumns count="5">
    <tableColumn id="1" xr3:uid="{5859F4D6-E405-494D-9495-456C2A717042}" name="ability" dataDxfId="605"/>
    <tableColumn id="2" xr3:uid="{13382877-AB77-41B2-B30F-FD8ADF1868AD}" name="takes" dataDxfId="604">
      <calculatedColumnFormula>L18+L39+L60</calculatedColumnFormula>
    </tableColumn>
    <tableColumn id="3" xr3:uid="{56A52BF0-1C62-4182-A5FB-18D3BE10282A}" name="wins" dataDxfId="603">
      <calculatedColumnFormula>M18+M39+M60</calculatedColumnFormula>
    </tableColumn>
    <tableColumn id="4" xr3:uid="{F15A1649-CD46-4B82-A2D9-FCA28362795D}" name="battles-take-rate" dataDxfId="602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601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600">
      <calculatedColumnFormula>R3+R24+R45</calculatedColumnFormula>
    </tableColumn>
    <tableColumn id="4" xr3:uid="{069713F1-C2CC-49D1-89BE-818384A2E4FD}" name="chestpiece" dataDxfId="599">
      <calculatedColumnFormula>S3+S24+S45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598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597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596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595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594" headerRowBorderDxfId="593" tableBorderDxfId="592" totalsRowBorderDxfId="591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590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589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588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587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586" headerRowBorderDxfId="585" tableBorderDxfId="584" totalsRowBorderDxfId="583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582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581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580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579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578" headerRowBorderDxfId="577" tableBorderDxfId="576" totalsRowBorderDxfId="575">
  <autoFilter ref="K17:O20" xr:uid="{01E0B516-A92C-45D4-946B-0FCF2F31D98A}"/>
  <tableColumns count="5">
    <tableColumn id="1" xr3:uid="{6E3ACF5F-C817-4C40-88BC-5BCD22AC85C1}" name="ability" dataDxfId="574"/>
    <tableColumn id="2" xr3:uid="{B913933F-DE61-4933-B988-849E3D873B6C}" name="takes" dataDxfId="573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572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571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570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569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568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567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566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565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564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563" headerRowBorderDxfId="562" tableBorderDxfId="561" totalsRowBorderDxfId="560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559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558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557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556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555" headerRowBorderDxfId="554" tableBorderDxfId="553" totalsRowBorderDxfId="552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551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550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549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548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020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019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018" totalsRowDxfId="1017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547" headerRowBorderDxfId="546" tableBorderDxfId="545" totalsRowBorderDxfId="544">
  <autoFilter ref="K38:O41" xr:uid="{A1F38E75-59DE-4DB4-B81C-C0322397F6F7}"/>
  <tableColumns count="5">
    <tableColumn id="1" xr3:uid="{CB833622-9500-452A-9643-EC635B82CE80}" name="ability" dataDxfId="543"/>
    <tableColumn id="2" xr3:uid="{91B01C21-E0B8-45E1-8DF5-A7B9A623E34E}" name="takes" dataDxfId="542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541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540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539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538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537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536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535">
      <calculatedColumnFormula>COUNTIF(Scenario2[winner1-ability1],OracleAbilities1Scenario2[[#This Row],[ability]])</calculatedColumnFormula>
    </tableColumn>
    <tableColumn id="5" xr3:uid="{034FA980-30F5-4A65-930E-873C758C7280}" name="battles-take-rate" dataDxfId="534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533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532" headerRowBorderDxfId="531" tableBorderDxfId="530" totalsRowBorderDxfId="529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528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527">
      <calculatedColumnFormula>COUNTIF(Scenario2[winner1-ability2],OracleAbilities2Scenario2[[#This Row],[ability]])</calculatedColumnFormula>
    </tableColumn>
    <tableColumn id="4" xr3:uid="{447E5C6C-E9F9-4D65-9CC8-EFF3C7DE5206}" name="battles-take-rate" dataDxfId="526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525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524" headerRowBorderDxfId="523" tableBorderDxfId="522" totalsRowBorderDxfId="521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520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519">
      <calculatedColumnFormula>COUNTIF(Scenario2[winner1-ability3],OracleAbilities3Scenario2[[#This Row],[ability]])</calculatedColumnFormula>
    </tableColumn>
    <tableColumn id="4" xr3:uid="{14BEA7A5-F9D1-44CF-A38C-50CB90297594}" name="battles-take-rate" dataDxfId="518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517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516" headerRowBorderDxfId="515" tableBorderDxfId="514" totalsRowBorderDxfId="513">
  <autoFilter ref="K59:O62" xr:uid="{DDB7F110-02A6-4F67-8266-251AF48CB7C0}"/>
  <tableColumns count="5">
    <tableColumn id="1" xr3:uid="{684380C7-16C1-449D-A8CD-E4785101BEE3}" name="ability" dataDxfId="512"/>
    <tableColumn id="2" xr3:uid="{A5078570-2F9D-4A26-860A-7EA42522F276}" name="takes" dataDxfId="511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510">
      <calculatedColumnFormula>COUNTIF(Scenario2[winner1-ability4],OracleAbilities4Scenario2[[#This Row],[ability]])</calculatedColumnFormula>
    </tableColumn>
    <tableColumn id="4" xr3:uid="{25CD52B3-8C70-4953-9C63-7606955949E3}" name="battles-take-rate" dataDxfId="509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508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507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506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505">
      <calculatedColumnFormula>L3+L24+L45</calculatedColumnFormula>
    </tableColumn>
    <tableColumn id="4" xr3:uid="{35DA6B5B-7FC1-492C-B2D0-6F511F16DAD4}" name="wins" dataDxfId="504">
      <calculatedColumnFormula>M3+M24+M45</calculatedColumnFormula>
    </tableColumn>
    <tableColumn id="5" xr3:uid="{FAF7873E-FAE0-4F3C-BAB5-7E4AC3926D8C}" name="battles-take-rate" dataDxfId="503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502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501" headerRowBorderDxfId="500" tableBorderDxfId="499" totalsRowBorderDxfId="498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497">
      <calculatedColumnFormula>L8+L29+L50</calculatedColumnFormula>
    </tableColumn>
    <tableColumn id="3" xr3:uid="{A06DED1F-7374-4755-8A38-527DEBEFD3C6}" name="wins" dataDxfId="496">
      <calculatedColumnFormula>M8+M29+M50</calculatedColumnFormula>
    </tableColumn>
    <tableColumn id="4" xr3:uid="{C56FD638-0548-4732-8F67-350D170E46E5}" name="battles-take-rate" dataDxfId="495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494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18" Type="http://schemas.openxmlformats.org/officeDocument/2006/relationships/table" Target="../tables/table30.xml"/><Relationship Id="rId3" Type="http://schemas.openxmlformats.org/officeDocument/2006/relationships/table" Target="../tables/table15.xml"/><Relationship Id="rId21" Type="http://schemas.openxmlformats.org/officeDocument/2006/relationships/table" Target="../tables/table33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17" Type="http://schemas.openxmlformats.org/officeDocument/2006/relationships/table" Target="../tables/table29.xml"/><Relationship Id="rId2" Type="http://schemas.openxmlformats.org/officeDocument/2006/relationships/table" Target="../tables/table14.xml"/><Relationship Id="rId16" Type="http://schemas.openxmlformats.org/officeDocument/2006/relationships/table" Target="../tables/table28.xml"/><Relationship Id="rId20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5" Type="http://schemas.openxmlformats.org/officeDocument/2006/relationships/table" Target="../tables/table27.xml"/><Relationship Id="rId10" Type="http://schemas.openxmlformats.org/officeDocument/2006/relationships/table" Target="../tables/table22.xml"/><Relationship Id="rId19" Type="http://schemas.openxmlformats.org/officeDocument/2006/relationships/table" Target="../tables/table31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Relationship Id="rId22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1.xml"/><Relationship Id="rId13" Type="http://schemas.openxmlformats.org/officeDocument/2006/relationships/table" Target="../tables/table46.xml"/><Relationship Id="rId18" Type="http://schemas.openxmlformats.org/officeDocument/2006/relationships/table" Target="../tables/table51.xml"/><Relationship Id="rId3" Type="http://schemas.openxmlformats.org/officeDocument/2006/relationships/table" Target="../tables/table36.xml"/><Relationship Id="rId21" Type="http://schemas.openxmlformats.org/officeDocument/2006/relationships/table" Target="../tables/table54.xml"/><Relationship Id="rId7" Type="http://schemas.openxmlformats.org/officeDocument/2006/relationships/table" Target="../tables/table40.xml"/><Relationship Id="rId12" Type="http://schemas.openxmlformats.org/officeDocument/2006/relationships/table" Target="../tables/table45.xml"/><Relationship Id="rId17" Type="http://schemas.openxmlformats.org/officeDocument/2006/relationships/table" Target="../tables/table50.xml"/><Relationship Id="rId2" Type="http://schemas.openxmlformats.org/officeDocument/2006/relationships/table" Target="../tables/table35.xml"/><Relationship Id="rId16" Type="http://schemas.openxmlformats.org/officeDocument/2006/relationships/table" Target="../tables/table49.xml"/><Relationship Id="rId20" Type="http://schemas.openxmlformats.org/officeDocument/2006/relationships/table" Target="../tables/table5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9.xml"/><Relationship Id="rId11" Type="http://schemas.openxmlformats.org/officeDocument/2006/relationships/table" Target="../tables/table44.xml"/><Relationship Id="rId5" Type="http://schemas.openxmlformats.org/officeDocument/2006/relationships/table" Target="../tables/table38.xml"/><Relationship Id="rId15" Type="http://schemas.openxmlformats.org/officeDocument/2006/relationships/table" Target="../tables/table48.xml"/><Relationship Id="rId10" Type="http://schemas.openxmlformats.org/officeDocument/2006/relationships/table" Target="../tables/table43.xml"/><Relationship Id="rId19" Type="http://schemas.openxmlformats.org/officeDocument/2006/relationships/table" Target="../tables/table52.xml"/><Relationship Id="rId4" Type="http://schemas.openxmlformats.org/officeDocument/2006/relationships/table" Target="../tables/table37.xml"/><Relationship Id="rId9" Type="http://schemas.openxmlformats.org/officeDocument/2006/relationships/table" Target="../tables/table42.xml"/><Relationship Id="rId14" Type="http://schemas.openxmlformats.org/officeDocument/2006/relationships/table" Target="../tables/table47.xml"/><Relationship Id="rId22" Type="http://schemas.openxmlformats.org/officeDocument/2006/relationships/table" Target="../tables/table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2.xml"/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3" Type="http://schemas.openxmlformats.org/officeDocument/2006/relationships/table" Target="../tables/table57.xml"/><Relationship Id="rId21" Type="http://schemas.openxmlformats.org/officeDocument/2006/relationships/table" Target="../tables/table75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3.xml"/><Relationship Id="rId13" Type="http://schemas.openxmlformats.org/officeDocument/2006/relationships/table" Target="../tables/table88.xml"/><Relationship Id="rId18" Type="http://schemas.openxmlformats.org/officeDocument/2006/relationships/table" Target="../tables/table93.xml"/><Relationship Id="rId3" Type="http://schemas.openxmlformats.org/officeDocument/2006/relationships/table" Target="../tables/table78.xml"/><Relationship Id="rId21" Type="http://schemas.openxmlformats.org/officeDocument/2006/relationships/table" Target="../tables/table96.xml"/><Relationship Id="rId7" Type="http://schemas.openxmlformats.org/officeDocument/2006/relationships/table" Target="../tables/table82.xml"/><Relationship Id="rId12" Type="http://schemas.openxmlformats.org/officeDocument/2006/relationships/table" Target="../tables/table87.xml"/><Relationship Id="rId17" Type="http://schemas.openxmlformats.org/officeDocument/2006/relationships/table" Target="../tables/table92.xml"/><Relationship Id="rId2" Type="http://schemas.openxmlformats.org/officeDocument/2006/relationships/table" Target="../tables/table77.xml"/><Relationship Id="rId16" Type="http://schemas.openxmlformats.org/officeDocument/2006/relationships/table" Target="../tables/table91.xml"/><Relationship Id="rId20" Type="http://schemas.openxmlformats.org/officeDocument/2006/relationships/table" Target="../tables/table9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81.xml"/><Relationship Id="rId11" Type="http://schemas.openxmlformats.org/officeDocument/2006/relationships/table" Target="../tables/table86.xml"/><Relationship Id="rId5" Type="http://schemas.openxmlformats.org/officeDocument/2006/relationships/table" Target="../tables/table80.xml"/><Relationship Id="rId15" Type="http://schemas.openxmlformats.org/officeDocument/2006/relationships/table" Target="../tables/table90.xml"/><Relationship Id="rId10" Type="http://schemas.openxmlformats.org/officeDocument/2006/relationships/table" Target="../tables/table85.xml"/><Relationship Id="rId19" Type="http://schemas.openxmlformats.org/officeDocument/2006/relationships/table" Target="../tables/table94.xml"/><Relationship Id="rId4" Type="http://schemas.openxmlformats.org/officeDocument/2006/relationships/table" Target="../tables/table79.xml"/><Relationship Id="rId9" Type="http://schemas.openxmlformats.org/officeDocument/2006/relationships/table" Target="../tables/table84.xml"/><Relationship Id="rId14" Type="http://schemas.openxmlformats.org/officeDocument/2006/relationships/table" Target="../tables/table89.xml"/><Relationship Id="rId22" Type="http://schemas.openxmlformats.org/officeDocument/2006/relationships/table" Target="../tables/table9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4.xml"/><Relationship Id="rId13" Type="http://schemas.openxmlformats.org/officeDocument/2006/relationships/table" Target="../tables/table109.xml"/><Relationship Id="rId18" Type="http://schemas.openxmlformats.org/officeDocument/2006/relationships/table" Target="../tables/table114.xml"/><Relationship Id="rId3" Type="http://schemas.openxmlformats.org/officeDocument/2006/relationships/table" Target="../tables/table99.xml"/><Relationship Id="rId21" Type="http://schemas.openxmlformats.org/officeDocument/2006/relationships/table" Target="../tables/table117.xml"/><Relationship Id="rId7" Type="http://schemas.openxmlformats.org/officeDocument/2006/relationships/table" Target="../tables/table103.xml"/><Relationship Id="rId12" Type="http://schemas.openxmlformats.org/officeDocument/2006/relationships/table" Target="../tables/table108.xml"/><Relationship Id="rId17" Type="http://schemas.openxmlformats.org/officeDocument/2006/relationships/table" Target="../tables/table113.xml"/><Relationship Id="rId2" Type="http://schemas.openxmlformats.org/officeDocument/2006/relationships/table" Target="../tables/table98.xml"/><Relationship Id="rId16" Type="http://schemas.openxmlformats.org/officeDocument/2006/relationships/table" Target="../tables/table112.xml"/><Relationship Id="rId20" Type="http://schemas.openxmlformats.org/officeDocument/2006/relationships/table" Target="../tables/table11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02.xml"/><Relationship Id="rId11" Type="http://schemas.openxmlformats.org/officeDocument/2006/relationships/table" Target="../tables/table107.xml"/><Relationship Id="rId5" Type="http://schemas.openxmlformats.org/officeDocument/2006/relationships/table" Target="../tables/table101.xml"/><Relationship Id="rId15" Type="http://schemas.openxmlformats.org/officeDocument/2006/relationships/table" Target="../tables/table111.xml"/><Relationship Id="rId10" Type="http://schemas.openxmlformats.org/officeDocument/2006/relationships/table" Target="../tables/table106.xml"/><Relationship Id="rId19" Type="http://schemas.openxmlformats.org/officeDocument/2006/relationships/table" Target="../tables/table115.xml"/><Relationship Id="rId4" Type="http://schemas.openxmlformats.org/officeDocument/2006/relationships/table" Target="../tables/table100.xml"/><Relationship Id="rId9" Type="http://schemas.openxmlformats.org/officeDocument/2006/relationships/table" Target="../tables/table105.xml"/><Relationship Id="rId14" Type="http://schemas.openxmlformats.org/officeDocument/2006/relationships/table" Target="../tables/table110.xml"/><Relationship Id="rId22" Type="http://schemas.openxmlformats.org/officeDocument/2006/relationships/table" Target="../tables/table11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5.xml"/><Relationship Id="rId13" Type="http://schemas.openxmlformats.org/officeDocument/2006/relationships/table" Target="../tables/table130.xml"/><Relationship Id="rId18" Type="http://schemas.openxmlformats.org/officeDocument/2006/relationships/table" Target="../tables/table135.xml"/><Relationship Id="rId3" Type="http://schemas.openxmlformats.org/officeDocument/2006/relationships/table" Target="../tables/table120.xml"/><Relationship Id="rId21" Type="http://schemas.openxmlformats.org/officeDocument/2006/relationships/table" Target="../tables/table138.xml"/><Relationship Id="rId7" Type="http://schemas.openxmlformats.org/officeDocument/2006/relationships/table" Target="../tables/table124.xml"/><Relationship Id="rId12" Type="http://schemas.openxmlformats.org/officeDocument/2006/relationships/table" Target="../tables/table129.xml"/><Relationship Id="rId17" Type="http://schemas.openxmlformats.org/officeDocument/2006/relationships/table" Target="../tables/table134.xml"/><Relationship Id="rId2" Type="http://schemas.openxmlformats.org/officeDocument/2006/relationships/table" Target="../tables/table119.xml"/><Relationship Id="rId16" Type="http://schemas.openxmlformats.org/officeDocument/2006/relationships/table" Target="../tables/table133.xml"/><Relationship Id="rId20" Type="http://schemas.openxmlformats.org/officeDocument/2006/relationships/table" Target="../tables/table13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23.xml"/><Relationship Id="rId11" Type="http://schemas.openxmlformats.org/officeDocument/2006/relationships/table" Target="../tables/table128.xml"/><Relationship Id="rId5" Type="http://schemas.openxmlformats.org/officeDocument/2006/relationships/table" Target="../tables/table122.xml"/><Relationship Id="rId15" Type="http://schemas.openxmlformats.org/officeDocument/2006/relationships/table" Target="../tables/table132.xml"/><Relationship Id="rId10" Type="http://schemas.openxmlformats.org/officeDocument/2006/relationships/table" Target="../tables/table127.xml"/><Relationship Id="rId19" Type="http://schemas.openxmlformats.org/officeDocument/2006/relationships/table" Target="../tables/table136.xml"/><Relationship Id="rId4" Type="http://schemas.openxmlformats.org/officeDocument/2006/relationships/table" Target="../tables/table121.xml"/><Relationship Id="rId9" Type="http://schemas.openxmlformats.org/officeDocument/2006/relationships/table" Target="../tables/table126.xml"/><Relationship Id="rId14" Type="http://schemas.openxmlformats.org/officeDocument/2006/relationships/table" Target="../tables/table131.xml"/><Relationship Id="rId22" Type="http://schemas.openxmlformats.org/officeDocument/2006/relationships/table" Target="../tables/table13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6.xml"/><Relationship Id="rId13" Type="http://schemas.openxmlformats.org/officeDocument/2006/relationships/table" Target="../tables/table151.xml"/><Relationship Id="rId18" Type="http://schemas.openxmlformats.org/officeDocument/2006/relationships/table" Target="../tables/table156.xml"/><Relationship Id="rId3" Type="http://schemas.openxmlformats.org/officeDocument/2006/relationships/table" Target="../tables/table141.xml"/><Relationship Id="rId21" Type="http://schemas.openxmlformats.org/officeDocument/2006/relationships/table" Target="../tables/table159.xml"/><Relationship Id="rId7" Type="http://schemas.openxmlformats.org/officeDocument/2006/relationships/table" Target="../tables/table145.xml"/><Relationship Id="rId12" Type="http://schemas.openxmlformats.org/officeDocument/2006/relationships/table" Target="../tables/table150.xml"/><Relationship Id="rId17" Type="http://schemas.openxmlformats.org/officeDocument/2006/relationships/table" Target="../tables/table155.xml"/><Relationship Id="rId2" Type="http://schemas.openxmlformats.org/officeDocument/2006/relationships/table" Target="../tables/table140.xml"/><Relationship Id="rId16" Type="http://schemas.openxmlformats.org/officeDocument/2006/relationships/table" Target="../tables/table154.xml"/><Relationship Id="rId20" Type="http://schemas.openxmlformats.org/officeDocument/2006/relationships/table" Target="../tables/table158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44.xml"/><Relationship Id="rId11" Type="http://schemas.openxmlformats.org/officeDocument/2006/relationships/table" Target="../tables/table149.xml"/><Relationship Id="rId5" Type="http://schemas.openxmlformats.org/officeDocument/2006/relationships/table" Target="../tables/table143.xml"/><Relationship Id="rId15" Type="http://schemas.openxmlformats.org/officeDocument/2006/relationships/table" Target="../tables/table153.xml"/><Relationship Id="rId10" Type="http://schemas.openxmlformats.org/officeDocument/2006/relationships/table" Target="../tables/table148.xml"/><Relationship Id="rId19" Type="http://schemas.openxmlformats.org/officeDocument/2006/relationships/table" Target="../tables/table157.xml"/><Relationship Id="rId4" Type="http://schemas.openxmlformats.org/officeDocument/2006/relationships/table" Target="../tables/table142.xml"/><Relationship Id="rId9" Type="http://schemas.openxmlformats.org/officeDocument/2006/relationships/table" Target="../tables/table147.xml"/><Relationship Id="rId14" Type="http://schemas.openxmlformats.org/officeDocument/2006/relationships/table" Target="../tables/table152.xml"/><Relationship Id="rId22" Type="http://schemas.openxmlformats.org/officeDocument/2006/relationships/table" Target="../tables/table16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7.xml"/><Relationship Id="rId13" Type="http://schemas.openxmlformats.org/officeDocument/2006/relationships/table" Target="../tables/table172.xml"/><Relationship Id="rId18" Type="http://schemas.openxmlformats.org/officeDocument/2006/relationships/table" Target="../tables/table177.xml"/><Relationship Id="rId3" Type="http://schemas.openxmlformats.org/officeDocument/2006/relationships/table" Target="../tables/table162.xml"/><Relationship Id="rId21" Type="http://schemas.openxmlformats.org/officeDocument/2006/relationships/table" Target="../tables/table180.xml"/><Relationship Id="rId7" Type="http://schemas.openxmlformats.org/officeDocument/2006/relationships/table" Target="../tables/table166.xml"/><Relationship Id="rId12" Type="http://schemas.openxmlformats.org/officeDocument/2006/relationships/table" Target="../tables/table171.xml"/><Relationship Id="rId17" Type="http://schemas.openxmlformats.org/officeDocument/2006/relationships/table" Target="../tables/table176.xml"/><Relationship Id="rId2" Type="http://schemas.openxmlformats.org/officeDocument/2006/relationships/table" Target="../tables/table161.xml"/><Relationship Id="rId16" Type="http://schemas.openxmlformats.org/officeDocument/2006/relationships/table" Target="../tables/table175.xml"/><Relationship Id="rId20" Type="http://schemas.openxmlformats.org/officeDocument/2006/relationships/table" Target="../tables/table179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5.xml"/><Relationship Id="rId11" Type="http://schemas.openxmlformats.org/officeDocument/2006/relationships/table" Target="../tables/table170.xml"/><Relationship Id="rId5" Type="http://schemas.openxmlformats.org/officeDocument/2006/relationships/table" Target="../tables/table164.xml"/><Relationship Id="rId15" Type="http://schemas.openxmlformats.org/officeDocument/2006/relationships/table" Target="../tables/table174.xml"/><Relationship Id="rId10" Type="http://schemas.openxmlformats.org/officeDocument/2006/relationships/table" Target="../tables/table169.xml"/><Relationship Id="rId19" Type="http://schemas.openxmlformats.org/officeDocument/2006/relationships/table" Target="../tables/table178.xml"/><Relationship Id="rId4" Type="http://schemas.openxmlformats.org/officeDocument/2006/relationships/table" Target="../tables/table163.xml"/><Relationship Id="rId9" Type="http://schemas.openxmlformats.org/officeDocument/2006/relationships/table" Target="../tables/table168.xml"/><Relationship Id="rId14" Type="http://schemas.openxmlformats.org/officeDocument/2006/relationships/table" Target="../tables/table173.xml"/><Relationship Id="rId22" Type="http://schemas.openxmlformats.org/officeDocument/2006/relationships/table" Target="../tables/table18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1"/>
  <sheetViews>
    <sheetView workbookViewId="0">
      <selection activeCell="A10" sqref="A10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hidden="1" customWidth="1"/>
    <col min="5" max="5" width="13.69140625" hidden="1" customWidth="1"/>
    <col min="6" max="6" width="13.3046875" hidden="1" customWidth="1"/>
    <col min="7" max="7" width="18.382812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4" hidden="1" customWidth="1"/>
    <col min="13" max="13" width="13.69140625" hidden="1" customWidth="1"/>
    <col min="14" max="14" width="13.3046875" hidden="1" customWidth="1"/>
    <col min="15" max="15" width="18.3828125" hidden="1" customWidth="1"/>
    <col min="16" max="16" width="19.15234375" hidden="1" customWidth="1"/>
    <col min="17" max="17" width="19.3828125" hidden="1" customWidth="1"/>
    <col min="18" max="18" width="18" hidden="1" customWidth="1"/>
    <col min="19" max="19" width="11.3828125" bestFit="1" customWidth="1"/>
    <col min="20" max="20" width="12.15234375" hidden="1" customWidth="1"/>
    <col min="21" max="21" width="11.84375" hidden="1" customWidth="1"/>
    <col min="22" max="22" width="11.3828125" hidden="1" customWidth="1"/>
    <col min="23" max="23" width="18.3828125" hidden="1" customWidth="1"/>
    <col min="24" max="24" width="18.69140625" hidden="1" customWidth="1"/>
    <col min="25" max="25" width="20.69140625" hidden="1" customWidth="1"/>
    <col min="26" max="26" width="17.3046875" hidden="1" customWidth="1"/>
    <col min="27" max="27" width="11.3828125" bestFit="1" customWidth="1"/>
    <col min="28" max="28" width="12.15234375" hidden="1" customWidth="1"/>
    <col min="29" max="29" width="11.84375" hidden="1" customWidth="1"/>
    <col min="30" max="30" width="11.3828125" hidden="1" customWidth="1"/>
    <col min="31" max="31" width="24" hidden="1" customWidth="1"/>
    <col min="32" max="32" width="19.15234375" hidden="1" customWidth="1"/>
    <col min="33" max="33" width="19.3828125" hidden="1" customWidth="1"/>
    <col min="34" max="34" width="16.15234375" hidden="1" customWidth="1"/>
    <col min="35" max="35" width="9.84375" bestFit="1" customWidth="1"/>
    <col min="36" max="36" width="7.84375" bestFit="1" customWidth="1"/>
    <col min="37" max="37" width="12.69140625" bestFit="1" customWidth="1"/>
    <col min="38" max="38" width="9" bestFit="1" customWidth="1"/>
  </cols>
  <sheetData>
    <row r="1" spans="1:38" x14ac:dyDescent="0.4">
      <c r="A1" t="s">
        <v>0</v>
      </c>
      <c r="B1" t="s">
        <v>175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  <c r="AK1" t="s">
        <v>173</v>
      </c>
      <c r="AL1" t="s">
        <v>174</v>
      </c>
    </row>
    <row r="2" spans="1:38" x14ac:dyDescent="0.4">
      <c r="A2" t="s">
        <v>176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50</v>
      </c>
      <c r="I2" t="s">
        <v>51</v>
      </c>
      <c r="J2" t="s">
        <v>52</v>
      </c>
      <c r="K2" t="s">
        <v>33</v>
      </c>
      <c r="L2">
        <v>3</v>
      </c>
      <c r="N2">
        <v>1</v>
      </c>
      <c r="O2" t="s">
        <v>46</v>
      </c>
      <c r="P2" t="s">
        <v>35</v>
      </c>
      <c r="Q2" t="s">
        <v>131</v>
      </c>
      <c r="S2" t="s">
        <v>53</v>
      </c>
      <c r="T2">
        <v>1</v>
      </c>
      <c r="U2">
        <v>1</v>
      </c>
      <c r="V2">
        <v>3</v>
      </c>
      <c r="W2" t="s">
        <v>54</v>
      </c>
      <c r="X2" t="s">
        <v>83</v>
      </c>
      <c r="AA2" t="s">
        <v>56</v>
      </c>
      <c r="AB2">
        <v>1</v>
      </c>
      <c r="AD2">
        <v>1</v>
      </c>
      <c r="AE2" t="s">
        <v>120</v>
      </c>
      <c r="AI2">
        <v>10</v>
      </c>
      <c r="AJ2">
        <v>36</v>
      </c>
      <c r="AK2">
        <v>120</v>
      </c>
      <c r="AL2">
        <v>2</v>
      </c>
    </row>
    <row r="3" spans="1:38" x14ac:dyDescent="0.4">
      <c r="A3" t="s">
        <v>177</v>
      </c>
      <c r="B3">
        <v>1</v>
      </c>
      <c r="C3" t="s">
        <v>53</v>
      </c>
      <c r="D3">
        <v>2</v>
      </c>
      <c r="E3">
        <v>2</v>
      </c>
      <c r="F3">
        <v>3</v>
      </c>
      <c r="G3" t="s">
        <v>111</v>
      </c>
      <c r="K3" t="s">
        <v>56</v>
      </c>
      <c r="L3">
        <v>3</v>
      </c>
      <c r="N3">
        <v>1</v>
      </c>
      <c r="O3" t="s">
        <v>120</v>
      </c>
      <c r="P3" t="s">
        <v>69</v>
      </c>
      <c r="S3" t="s">
        <v>48</v>
      </c>
      <c r="T3">
        <v>3</v>
      </c>
      <c r="V3">
        <v>1</v>
      </c>
      <c r="W3" t="s">
        <v>49</v>
      </c>
      <c r="X3" t="s">
        <v>71</v>
      </c>
      <c r="Y3" t="s">
        <v>90</v>
      </c>
      <c r="Z3" t="s">
        <v>128</v>
      </c>
      <c r="AA3" t="s">
        <v>43</v>
      </c>
      <c r="AB3">
        <v>2</v>
      </c>
      <c r="AD3">
        <v>1</v>
      </c>
      <c r="AE3" t="s">
        <v>135</v>
      </c>
      <c r="AF3" t="s">
        <v>99</v>
      </c>
      <c r="AG3" t="s">
        <v>137</v>
      </c>
      <c r="AI3">
        <v>15</v>
      </c>
      <c r="AJ3">
        <v>44</v>
      </c>
      <c r="AK3">
        <v>120</v>
      </c>
      <c r="AL3">
        <v>2</v>
      </c>
    </row>
    <row r="4" spans="1:38" x14ac:dyDescent="0.4">
      <c r="A4" t="s">
        <v>178</v>
      </c>
      <c r="B4">
        <v>2</v>
      </c>
      <c r="C4" t="s">
        <v>53</v>
      </c>
      <c r="D4">
        <v>3</v>
      </c>
      <c r="E4">
        <v>1</v>
      </c>
      <c r="F4">
        <v>3</v>
      </c>
      <c r="G4" t="s">
        <v>54</v>
      </c>
      <c r="H4" t="s">
        <v>55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3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8</v>
      </c>
      <c r="AJ4">
        <v>57</v>
      </c>
      <c r="AK4">
        <v>120</v>
      </c>
      <c r="AL4">
        <v>2</v>
      </c>
    </row>
    <row r="5" spans="1:38" x14ac:dyDescent="0.4">
      <c r="A5" t="s">
        <v>179</v>
      </c>
      <c r="B5">
        <v>3</v>
      </c>
      <c r="C5" t="s">
        <v>48</v>
      </c>
      <c r="D5">
        <v>3</v>
      </c>
      <c r="F5">
        <v>2</v>
      </c>
      <c r="G5" t="s">
        <v>49</v>
      </c>
      <c r="H5" t="s">
        <v>50</v>
      </c>
      <c r="I5" t="s">
        <v>90</v>
      </c>
      <c r="J5" t="s">
        <v>52</v>
      </c>
      <c r="K5" t="s">
        <v>63</v>
      </c>
      <c r="L5">
        <v>2</v>
      </c>
      <c r="N5">
        <v>2</v>
      </c>
      <c r="O5" t="s">
        <v>103</v>
      </c>
      <c r="S5" t="s">
        <v>53</v>
      </c>
      <c r="T5">
        <v>2</v>
      </c>
      <c r="U5">
        <v>1</v>
      </c>
      <c r="V5">
        <v>3</v>
      </c>
      <c r="W5" t="s">
        <v>54</v>
      </c>
      <c r="X5" t="s">
        <v>55</v>
      </c>
      <c r="AA5" t="s">
        <v>56</v>
      </c>
      <c r="AB5">
        <v>1</v>
      </c>
      <c r="AD5">
        <v>1</v>
      </c>
      <c r="AE5" t="s">
        <v>57</v>
      </c>
      <c r="AI5">
        <v>12</v>
      </c>
      <c r="AJ5">
        <v>79</v>
      </c>
      <c r="AK5">
        <v>120</v>
      </c>
      <c r="AL5">
        <v>2</v>
      </c>
    </row>
    <row r="6" spans="1:38" x14ac:dyDescent="0.4">
      <c r="A6" t="s">
        <v>180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H6" t="s">
        <v>55</v>
      </c>
      <c r="K6" t="s">
        <v>56</v>
      </c>
      <c r="L6">
        <v>2</v>
      </c>
      <c r="N6">
        <v>1</v>
      </c>
      <c r="O6" t="s">
        <v>120</v>
      </c>
      <c r="P6" t="s">
        <v>69</v>
      </c>
      <c r="Q6" t="s">
        <v>87</v>
      </c>
      <c r="S6" t="s">
        <v>48</v>
      </c>
      <c r="T6">
        <v>1</v>
      </c>
      <c r="V6">
        <v>2</v>
      </c>
      <c r="W6" t="s">
        <v>49</v>
      </c>
      <c r="X6" t="s">
        <v>84</v>
      </c>
      <c r="AA6" t="s">
        <v>38</v>
      </c>
      <c r="AB6">
        <v>1</v>
      </c>
      <c r="AC6">
        <v>1</v>
      </c>
      <c r="AD6">
        <v>1</v>
      </c>
      <c r="AE6" t="s">
        <v>152</v>
      </c>
      <c r="AI6">
        <v>8</v>
      </c>
      <c r="AJ6">
        <v>31</v>
      </c>
      <c r="AK6">
        <v>120</v>
      </c>
      <c r="AL6">
        <v>2</v>
      </c>
    </row>
    <row r="7" spans="1:38" x14ac:dyDescent="0.4">
      <c r="A7" t="s">
        <v>181</v>
      </c>
      <c r="B7">
        <v>5</v>
      </c>
      <c r="C7" t="s">
        <v>33</v>
      </c>
      <c r="D7">
        <v>3</v>
      </c>
      <c r="F7">
        <v>1</v>
      </c>
      <c r="G7" t="s">
        <v>46</v>
      </c>
      <c r="H7" t="s">
        <v>66</v>
      </c>
      <c r="I7" t="s">
        <v>131</v>
      </c>
      <c r="J7" t="s">
        <v>133</v>
      </c>
      <c r="K7" t="s">
        <v>43</v>
      </c>
      <c r="L7">
        <v>1</v>
      </c>
      <c r="N7">
        <v>1</v>
      </c>
      <c r="O7" t="s">
        <v>135</v>
      </c>
      <c r="P7" t="s">
        <v>99</v>
      </c>
      <c r="Q7" t="s">
        <v>137</v>
      </c>
      <c r="S7" t="s">
        <v>53</v>
      </c>
      <c r="T7">
        <v>1</v>
      </c>
      <c r="U7">
        <v>1</v>
      </c>
      <c r="V7">
        <v>1</v>
      </c>
      <c r="W7" t="s">
        <v>112</v>
      </c>
      <c r="X7" t="s">
        <v>83</v>
      </c>
      <c r="AA7" t="s">
        <v>56</v>
      </c>
      <c r="AB7">
        <v>1</v>
      </c>
      <c r="AD7">
        <v>1</v>
      </c>
      <c r="AE7" t="s">
        <v>120</v>
      </c>
      <c r="AI7">
        <v>8</v>
      </c>
      <c r="AJ7">
        <v>51</v>
      </c>
      <c r="AK7">
        <v>120</v>
      </c>
      <c r="AL7">
        <v>2</v>
      </c>
    </row>
    <row r="8" spans="1:38" x14ac:dyDescent="0.4">
      <c r="A8" t="s">
        <v>182</v>
      </c>
      <c r="B8">
        <v>6</v>
      </c>
      <c r="C8" t="s">
        <v>33</v>
      </c>
      <c r="D8">
        <v>3</v>
      </c>
      <c r="F8">
        <v>3</v>
      </c>
      <c r="G8" t="s">
        <v>46</v>
      </c>
      <c r="H8" t="s">
        <v>35</v>
      </c>
      <c r="K8" t="s">
        <v>45</v>
      </c>
      <c r="L8">
        <v>2</v>
      </c>
      <c r="N8">
        <v>1</v>
      </c>
      <c r="O8" t="s">
        <v>86</v>
      </c>
      <c r="S8" t="s">
        <v>53</v>
      </c>
      <c r="T8">
        <v>1</v>
      </c>
      <c r="U8">
        <v>2</v>
      </c>
      <c r="V8">
        <v>2</v>
      </c>
      <c r="W8" t="s">
        <v>111</v>
      </c>
      <c r="X8" t="s">
        <v>55</v>
      </c>
      <c r="AA8" t="s">
        <v>56</v>
      </c>
      <c r="AB8">
        <v>1</v>
      </c>
      <c r="AD8">
        <v>1</v>
      </c>
      <c r="AE8" t="s">
        <v>68</v>
      </c>
      <c r="AF8" t="s">
        <v>69</v>
      </c>
      <c r="AI8">
        <v>10</v>
      </c>
      <c r="AJ8">
        <v>38</v>
      </c>
      <c r="AK8">
        <v>120</v>
      </c>
      <c r="AL8">
        <v>2</v>
      </c>
    </row>
    <row r="9" spans="1:38" x14ac:dyDescent="0.4">
      <c r="A9" t="s">
        <v>183</v>
      </c>
      <c r="B9">
        <v>7</v>
      </c>
      <c r="C9" t="s">
        <v>53</v>
      </c>
      <c r="D9">
        <v>1</v>
      </c>
      <c r="E9">
        <v>1</v>
      </c>
      <c r="F9">
        <v>2</v>
      </c>
      <c r="G9" t="s">
        <v>54</v>
      </c>
      <c r="H9" t="s">
        <v>83</v>
      </c>
      <c r="K9" t="s">
        <v>56</v>
      </c>
      <c r="L9">
        <v>1</v>
      </c>
      <c r="N9">
        <v>1</v>
      </c>
      <c r="O9" t="s">
        <v>120</v>
      </c>
      <c r="S9" t="s">
        <v>33</v>
      </c>
      <c r="T9">
        <v>3</v>
      </c>
      <c r="V9">
        <v>1</v>
      </c>
      <c r="W9" t="s">
        <v>46</v>
      </c>
      <c r="X9" t="s">
        <v>66</v>
      </c>
      <c r="AA9" t="s">
        <v>63</v>
      </c>
      <c r="AB9">
        <v>1</v>
      </c>
      <c r="AD9">
        <v>1</v>
      </c>
      <c r="AE9" t="s">
        <v>103</v>
      </c>
      <c r="AI9">
        <v>5</v>
      </c>
      <c r="AJ9">
        <v>34</v>
      </c>
      <c r="AK9">
        <v>120</v>
      </c>
      <c r="AL9">
        <v>2</v>
      </c>
    </row>
    <row r="10" spans="1:38" x14ac:dyDescent="0.4">
      <c r="A10" t="s">
        <v>184</v>
      </c>
      <c r="B10">
        <v>8</v>
      </c>
      <c r="C10" t="s">
        <v>53</v>
      </c>
      <c r="D10">
        <v>2</v>
      </c>
      <c r="E10">
        <v>2</v>
      </c>
      <c r="F10">
        <v>3</v>
      </c>
      <c r="G10" t="s">
        <v>54</v>
      </c>
      <c r="H10" t="s">
        <v>55</v>
      </c>
      <c r="K10" t="s">
        <v>56</v>
      </c>
      <c r="L10">
        <v>1</v>
      </c>
      <c r="N10">
        <v>1</v>
      </c>
      <c r="O10" t="s">
        <v>120</v>
      </c>
      <c r="S10" t="s">
        <v>33</v>
      </c>
      <c r="T10">
        <v>2</v>
      </c>
      <c r="V10">
        <v>1</v>
      </c>
      <c r="W10" t="s">
        <v>46</v>
      </c>
      <c r="X10" t="s">
        <v>35</v>
      </c>
      <c r="AA10" t="s">
        <v>38</v>
      </c>
      <c r="AB10">
        <v>2</v>
      </c>
      <c r="AC10">
        <v>1</v>
      </c>
      <c r="AD10">
        <v>2</v>
      </c>
      <c r="AE10" t="s">
        <v>152</v>
      </c>
      <c r="AI10">
        <v>9</v>
      </c>
      <c r="AJ10">
        <v>45</v>
      </c>
      <c r="AK10">
        <v>120</v>
      </c>
      <c r="AL10">
        <v>2</v>
      </c>
    </row>
    <row r="11" spans="1:38" x14ac:dyDescent="0.4">
      <c r="A11" t="s">
        <v>185</v>
      </c>
      <c r="B11">
        <v>9</v>
      </c>
      <c r="C11" t="s">
        <v>53</v>
      </c>
      <c r="D11">
        <v>2</v>
      </c>
      <c r="E11">
        <v>2</v>
      </c>
      <c r="F11">
        <v>3</v>
      </c>
      <c r="G11" t="s">
        <v>112</v>
      </c>
      <c r="H11" t="s">
        <v>83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3</v>
      </c>
      <c r="AD11">
        <v>3</v>
      </c>
      <c r="AE11" t="s">
        <v>86</v>
      </c>
      <c r="AF11" t="s">
        <v>92</v>
      </c>
      <c r="AG11" t="s">
        <v>142</v>
      </c>
      <c r="AH11" t="s">
        <v>94</v>
      </c>
      <c r="AI11">
        <v>14</v>
      </c>
      <c r="AJ11">
        <v>77</v>
      </c>
      <c r="AK11">
        <v>120</v>
      </c>
      <c r="AL11">
        <v>2</v>
      </c>
    </row>
    <row r="12" spans="1:38" x14ac:dyDescent="0.4">
      <c r="A12" t="s">
        <v>186</v>
      </c>
      <c r="B12">
        <v>10</v>
      </c>
      <c r="C12" t="s">
        <v>43</v>
      </c>
      <c r="D12">
        <v>2</v>
      </c>
      <c r="F12">
        <v>3</v>
      </c>
      <c r="G12" t="s">
        <v>135</v>
      </c>
      <c r="H12" t="s">
        <v>74</v>
      </c>
      <c r="I12" t="s">
        <v>75</v>
      </c>
      <c r="J12" t="s">
        <v>139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2</v>
      </c>
      <c r="U12">
        <v>1</v>
      </c>
      <c r="V12">
        <v>3</v>
      </c>
      <c r="W12" t="s">
        <v>54</v>
      </c>
      <c r="X12" t="s">
        <v>83</v>
      </c>
      <c r="AA12" t="s">
        <v>56</v>
      </c>
      <c r="AB12">
        <v>2</v>
      </c>
      <c r="AD12">
        <v>1</v>
      </c>
      <c r="AE12" t="s">
        <v>120</v>
      </c>
      <c r="AF12" t="s">
        <v>69</v>
      </c>
      <c r="AG12" t="s">
        <v>87</v>
      </c>
      <c r="AI12">
        <v>16</v>
      </c>
      <c r="AJ12">
        <v>50</v>
      </c>
      <c r="AK12">
        <v>120</v>
      </c>
      <c r="AL12">
        <v>2</v>
      </c>
    </row>
    <row r="13" spans="1:38" x14ac:dyDescent="0.4">
      <c r="A13" t="s">
        <v>187</v>
      </c>
      <c r="B13">
        <v>11</v>
      </c>
      <c r="C13" t="s">
        <v>43</v>
      </c>
      <c r="D13">
        <v>1</v>
      </c>
      <c r="F13">
        <v>3</v>
      </c>
      <c r="G13" t="s">
        <v>135</v>
      </c>
      <c r="H13" t="s">
        <v>74</v>
      </c>
      <c r="I13" t="s">
        <v>137</v>
      </c>
      <c r="K13" t="s">
        <v>38</v>
      </c>
      <c r="L13">
        <v>3</v>
      </c>
      <c r="M13">
        <v>3</v>
      </c>
      <c r="N13">
        <v>3</v>
      </c>
      <c r="O13" t="s">
        <v>152</v>
      </c>
      <c r="P13" t="s">
        <v>96</v>
      </c>
      <c r="Q13" t="s">
        <v>154</v>
      </c>
      <c r="R13" t="s">
        <v>42</v>
      </c>
      <c r="S13" t="s">
        <v>53</v>
      </c>
      <c r="T13">
        <v>2</v>
      </c>
      <c r="U13">
        <v>1</v>
      </c>
      <c r="V13">
        <v>3</v>
      </c>
      <c r="W13" t="s">
        <v>112</v>
      </c>
      <c r="X13" t="s">
        <v>113</v>
      </c>
      <c r="Y13" t="s">
        <v>114</v>
      </c>
      <c r="AA13" t="s">
        <v>56</v>
      </c>
      <c r="AB13">
        <v>2</v>
      </c>
      <c r="AD13">
        <v>1</v>
      </c>
      <c r="AE13" t="s">
        <v>120</v>
      </c>
      <c r="AF13" t="s">
        <v>69</v>
      </c>
      <c r="AG13" t="s">
        <v>87</v>
      </c>
      <c r="AI13">
        <v>21</v>
      </c>
      <c r="AJ13">
        <v>59</v>
      </c>
      <c r="AK13">
        <v>120</v>
      </c>
      <c r="AL13">
        <v>2</v>
      </c>
    </row>
    <row r="14" spans="1:38" x14ac:dyDescent="0.4">
      <c r="A14" t="s">
        <v>188</v>
      </c>
      <c r="B14">
        <v>12</v>
      </c>
      <c r="C14" t="s">
        <v>53</v>
      </c>
      <c r="D14">
        <v>3</v>
      </c>
      <c r="E14">
        <v>1</v>
      </c>
      <c r="F14">
        <v>2</v>
      </c>
      <c r="G14" t="s">
        <v>54</v>
      </c>
      <c r="H14" t="s">
        <v>55</v>
      </c>
      <c r="I14" t="s">
        <v>114</v>
      </c>
      <c r="K14" t="s">
        <v>56</v>
      </c>
      <c r="L14">
        <v>3</v>
      </c>
      <c r="N14">
        <v>1</v>
      </c>
      <c r="O14" t="s">
        <v>57</v>
      </c>
      <c r="S14" t="s">
        <v>45</v>
      </c>
      <c r="T14">
        <v>2</v>
      </c>
      <c r="V14">
        <v>1</v>
      </c>
      <c r="W14" t="s">
        <v>86</v>
      </c>
      <c r="X14" t="s">
        <v>76</v>
      </c>
      <c r="AA14" t="s">
        <v>63</v>
      </c>
      <c r="AB14">
        <v>2</v>
      </c>
      <c r="AD14">
        <v>2</v>
      </c>
      <c r="AE14" t="s">
        <v>103</v>
      </c>
      <c r="AI14">
        <v>11</v>
      </c>
      <c r="AJ14">
        <v>40</v>
      </c>
      <c r="AK14">
        <v>120</v>
      </c>
      <c r="AL14">
        <v>2</v>
      </c>
    </row>
    <row r="15" spans="1:38" x14ac:dyDescent="0.4">
      <c r="A15" t="s">
        <v>189</v>
      </c>
      <c r="B15">
        <v>13</v>
      </c>
      <c r="C15" t="s">
        <v>45</v>
      </c>
      <c r="D15">
        <v>3</v>
      </c>
      <c r="F15">
        <v>1</v>
      </c>
      <c r="G15" t="s">
        <v>86</v>
      </c>
      <c r="K15" t="s">
        <v>38</v>
      </c>
      <c r="L15">
        <v>3</v>
      </c>
      <c r="M15">
        <v>1</v>
      </c>
      <c r="N15">
        <v>3</v>
      </c>
      <c r="O15" t="s">
        <v>152</v>
      </c>
      <c r="P15" t="s">
        <v>40</v>
      </c>
      <c r="Q15" t="s">
        <v>154</v>
      </c>
      <c r="S15" t="s">
        <v>53</v>
      </c>
      <c r="T15">
        <v>2</v>
      </c>
      <c r="U15">
        <v>1</v>
      </c>
      <c r="V15">
        <v>1</v>
      </c>
      <c r="W15" t="s">
        <v>54</v>
      </c>
      <c r="AA15" t="s">
        <v>56</v>
      </c>
      <c r="AB15">
        <v>1</v>
      </c>
      <c r="AD15">
        <v>2</v>
      </c>
      <c r="AE15" t="s">
        <v>68</v>
      </c>
      <c r="AF15" t="s">
        <v>69</v>
      </c>
      <c r="AI15">
        <v>11</v>
      </c>
      <c r="AJ15">
        <v>35</v>
      </c>
      <c r="AK15">
        <v>120</v>
      </c>
      <c r="AL15">
        <v>2</v>
      </c>
    </row>
    <row r="16" spans="1:38" x14ac:dyDescent="0.4">
      <c r="A16" s="4" t="s">
        <v>190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I16" t="s">
        <v>114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2</v>
      </c>
      <c r="W16" t="s">
        <v>103</v>
      </c>
      <c r="AA16" t="s">
        <v>38</v>
      </c>
      <c r="AB16">
        <v>2</v>
      </c>
      <c r="AC16">
        <v>1</v>
      </c>
      <c r="AD16">
        <v>1</v>
      </c>
      <c r="AE16" t="s">
        <v>152</v>
      </c>
      <c r="AI16">
        <v>7</v>
      </c>
      <c r="AJ16">
        <v>26</v>
      </c>
      <c r="AK16">
        <v>120</v>
      </c>
      <c r="AL16">
        <v>2</v>
      </c>
    </row>
    <row r="17" spans="1:38" x14ac:dyDescent="0.4">
      <c r="A17" t="s">
        <v>191</v>
      </c>
      <c r="B17">
        <v>15</v>
      </c>
      <c r="C17" t="s">
        <v>53</v>
      </c>
      <c r="D17">
        <v>1</v>
      </c>
      <c r="E17">
        <v>1</v>
      </c>
      <c r="F17">
        <v>2</v>
      </c>
      <c r="G17" t="s">
        <v>54</v>
      </c>
      <c r="H17" t="s">
        <v>55</v>
      </c>
      <c r="K17" t="s">
        <v>48</v>
      </c>
      <c r="L17">
        <v>3</v>
      </c>
      <c r="N17">
        <v>1</v>
      </c>
      <c r="O17" t="s">
        <v>49</v>
      </c>
      <c r="P17" t="s">
        <v>71</v>
      </c>
      <c r="Q17" t="s">
        <v>51</v>
      </c>
      <c r="S17" t="s">
        <v>56</v>
      </c>
      <c r="T17">
        <v>2</v>
      </c>
      <c r="V17">
        <v>1</v>
      </c>
      <c r="W17" t="s">
        <v>57</v>
      </c>
      <c r="AA17" t="s">
        <v>33</v>
      </c>
      <c r="AB17">
        <v>1</v>
      </c>
      <c r="AD17">
        <v>1</v>
      </c>
      <c r="AE17" t="s">
        <v>46</v>
      </c>
      <c r="AI17">
        <v>7</v>
      </c>
      <c r="AJ17">
        <v>37</v>
      </c>
      <c r="AK17">
        <v>120</v>
      </c>
      <c r="AL17">
        <v>2</v>
      </c>
    </row>
    <row r="18" spans="1:38" x14ac:dyDescent="0.4">
      <c r="A18" t="s">
        <v>192</v>
      </c>
      <c r="B18">
        <v>16</v>
      </c>
      <c r="C18" t="s">
        <v>56</v>
      </c>
      <c r="D18">
        <v>3</v>
      </c>
      <c r="F18">
        <v>3</v>
      </c>
      <c r="G18" t="s">
        <v>57</v>
      </c>
      <c r="H18" t="s">
        <v>121</v>
      </c>
      <c r="I18" t="s">
        <v>123</v>
      </c>
      <c r="K18" t="s">
        <v>43</v>
      </c>
      <c r="L18">
        <v>1</v>
      </c>
      <c r="N18">
        <v>1</v>
      </c>
      <c r="O18" t="s">
        <v>135</v>
      </c>
      <c r="P18" t="s">
        <v>136</v>
      </c>
      <c r="S18" t="s">
        <v>53</v>
      </c>
      <c r="T18">
        <v>3</v>
      </c>
      <c r="U18">
        <v>1</v>
      </c>
      <c r="V18">
        <v>2</v>
      </c>
      <c r="W18" t="s">
        <v>54</v>
      </c>
      <c r="X18" t="s">
        <v>83</v>
      </c>
      <c r="Y18" t="s">
        <v>97</v>
      </c>
      <c r="AA18" t="s">
        <v>48</v>
      </c>
      <c r="AB18">
        <v>1</v>
      </c>
      <c r="AD18">
        <v>1</v>
      </c>
      <c r="AE18" t="s">
        <v>126</v>
      </c>
      <c r="AF18" t="s">
        <v>71</v>
      </c>
      <c r="AG18" t="s">
        <v>51</v>
      </c>
      <c r="AH18" t="s">
        <v>52</v>
      </c>
      <c r="AI18">
        <v>15</v>
      </c>
      <c r="AJ18">
        <v>54</v>
      </c>
      <c r="AK18">
        <v>120</v>
      </c>
      <c r="AL18">
        <v>2</v>
      </c>
    </row>
    <row r="19" spans="1:38" x14ac:dyDescent="0.4">
      <c r="A19" t="s">
        <v>193</v>
      </c>
      <c r="B19">
        <v>17</v>
      </c>
      <c r="C19" t="s">
        <v>53</v>
      </c>
      <c r="D19">
        <v>2</v>
      </c>
      <c r="E19">
        <v>1</v>
      </c>
      <c r="F19">
        <v>3</v>
      </c>
      <c r="G19" t="s">
        <v>54</v>
      </c>
      <c r="K19" t="s">
        <v>48</v>
      </c>
      <c r="L19">
        <v>1</v>
      </c>
      <c r="N19">
        <v>1</v>
      </c>
      <c r="O19" t="s">
        <v>89</v>
      </c>
      <c r="P19" t="s">
        <v>50</v>
      </c>
      <c r="S19" t="s">
        <v>56</v>
      </c>
      <c r="T19">
        <v>1</v>
      </c>
      <c r="V19">
        <v>1</v>
      </c>
      <c r="W19" t="s">
        <v>57</v>
      </c>
      <c r="X19" t="s">
        <v>122</v>
      </c>
      <c r="Y19" t="s">
        <v>123</v>
      </c>
      <c r="AA19" t="s">
        <v>45</v>
      </c>
      <c r="AB19">
        <v>1</v>
      </c>
      <c r="AD19">
        <v>1</v>
      </c>
      <c r="AE19" t="s">
        <v>86</v>
      </c>
      <c r="AI19">
        <v>6</v>
      </c>
      <c r="AJ19">
        <v>39</v>
      </c>
      <c r="AK19">
        <v>120</v>
      </c>
      <c r="AL19">
        <v>2</v>
      </c>
    </row>
    <row r="20" spans="1:38" x14ac:dyDescent="0.4">
      <c r="A20" t="s">
        <v>194</v>
      </c>
      <c r="B20">
        <v>18</v>
      </c>
      <c r="C20" t="s">
        <v>56</v>
      </c>
      <c r="D20">
        <v>3</v>
      </c>
      <c r="F20">
        <v>3</v>
      </c>
      <c r="G20" t="s">
        <v>57</v>
      </c>
      <c r="H20" t="s">
        <v>122</v>
      </c>
      <c r="I20" t="s">
        <v>123</v>
      </c>
      <c r="K20" t="s">
        <v>63</v>
      </c>
      <c r="L20">
        <v>2</v>
      </c>
      <c r="N20">
        <v>3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X20" t="s">
        <v>83</v>
      </c>
      <c r="Y20" t="s">
        <v>97</v>
      </c>
      <c r="Z20" t="s">
        <v>98</v>
      </c>
      <c r="AA20" t="s">
        <v>48</v>
      </c>
      <c r="AB20">
        <v>2</v>
      </c>
      <c r="AD20">
        <v>1</v>
      </c>
      <c r="AE20" t="s">
        <v>49</v>
      </c>
      <c r="AI20">
        <v>17</v>
      </c>
      <c r="AJ20">
        <v>48</v>
      </c>
      <c r="AK20">
        <v>120</v>
      </c>
      <c r="AL20">
        <v>2</v>
      </c>
    </row>
    <row r="21" spans="1:38" x14ac:dyDescent="0.4">
      <c r="A21" t="s">
        <v>195</v>
      </c>
      <c r="B21">
        <v>19</v>
      </c>
      <c r="C21" t="s">
        <v>53</v>
      </c>
      <c r="D21">
        <v>2</v>
      </c>
      <c r="E21">
        <v>1</v>
      </c>
      <c r="F21">
        <v>2</v>
      </c>
      <c r="G21" t="s">
        <v>54</v>
      </c>
      <c r="H21" t="s">
        <v>83</v>
      </c>
      <c r="K21" t="s">
        <v>48</v>
      </c>
      <c r="L21">
        <v>3</v>
      </c>
      <c r="N21">
        <v>1</v>
      </c>
      <c r="O21" t="s">
        <v>49</v>
      </c>
      <c r="P21" t="s">
        <v>71</v>
      </c>
      <c r="S21" t="s">
        <v>56</v>
      </c>
      <c r="T21">
        <v>2</v>
      </c>
      <c r="V21">
        <v>2</v>
      </c>
      <c r="W21" t="s">
        <v>57</v>
      </c>
      <c r="X21" t="s">
        <v>69</v>
      </c>
      <c r="AA21" t="s">
        <v>38</v>
      </c>
      <c r="AB21">
        <v>1</v>
      </c>
      <c r="AC21">
        <v>2</v>
      </c>
      <c r="AD21">
        <v>1</v>
      </c>
      <c r="AE21" t="s">
        <v>152</v>
      </c>
      <c r="AI21">
        <v>10</v>
      </c>
      <c r="AJ21">
        <v>41</v>
      </c>
      <c r="AK21">
        <v>120</v>
      </c>
      <c r="AL21">
        <v>2</v>
      </c>
    </row>
    <row r="22" spans="1:38" x14ac:dyDescent="0.4">
      <c r="A22" t="s">
        <v>196</v>
      </c>
      <c r="B22">
        <v>20</v>
      </c>
      <c r="C22" t="s">
        <v>33</v>
      </c>
      <c r="D22">
        <v>2</v>
      </c>
      <c r="F22">
        <v>1</v>
      </c>
      <c r="G22" t="s">
        <v>46</v>
      </c>
      <c r="H22" t="s">
        <v>130</v>
      </c>
      <c r="I22" t="s">
        <v>36</v>
      </c>
      <c r="K22" t="s">
        <v>43</v>
      </c>
      <c r="L22">
        <v>2</v>
      </c>
      <c r="N22">
        <v>1</v>
      </c>
      <c r="O22" t="s">
        <v>135</v>
      </c>
      <c r="P22" t="s">
        <v>99</v>
      </c>
      <c r="Q22" t="s">
        <v>137</v>
      </c>
      <c r="S22" t="s">
        <v>53</v>
      </c>
      <c r="T22">
        <v>1</v>
      </c>
      <c r="U22">
        <v>1</v>
      </c>
      <c r="V22">
        <v>3</v>
      </c>
      <c r="W22" t="s">
        <v>112</v>
      </c>
      <c r="X22" t="s">
        <v>113</v>
      </c>
      <c r="Y22" t="s">
        <v>114</v>
      </c>
      <c r="AA22" t="s">
        <v>48</v>
      </c>
      <c r="AB22">
        <v>1</v>
      </c>
      <c r="AD22">
        <v>2</v>
      </c>
      <c r="AE22" t="s">
        <v>126</v>
      </c>
      <c r="AF22" t="s">
        <v>50</v>
      </c>
      <c r="AG22" t="s">
        <v>127</v>
      </c>
      <c r="AI22">
        <v>13</v>
      </c>
      <c r="AJ22">
        <v>55</v>
      </c>
      <c r="AK22">
        <v>120</v>
      </c>
      <c r="AL22">
        <v>2</v>
      </c>
    </row>
    <row r="23" spans="1:38" x14ac:dyDescent="0.4">
      <c r="A23" t="s">
        <v>197</v>
      </c>
      <c r="B23">
        <v>21</v>
      </c>
      <c r="C23" t="s">
        <v>33</v>
      </c>
      <c r="D23">
        <v>1</v>
      </c>
      <c r="F23">
        <v>1</v>
      </c>
      <c r="G23" t="s">
        <v>46</v>
      </c>
      <c r="H23" t="s">
        <v>35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111</v>
      </c>
      <c r="X23" t="s">
        <v>83</v>
      </c>
      <c r="AA23" t="s">
        <v>48</v>
      </c>
      <c r="AB23">
        <v>1</v>
      </c>
      <c r="AD23">
        <v>2</v>
      </c>
      <c r="AE23" t="s">
        <v>89</v>
      </c>
      <c r="AI23">
        <v>5</v>
      </c>
      <c r="AJ23">
        <v>29</v>
      </c>
      <c r="AK23">
        <v>120</v>
      </c>
      <c r="AL23">
        <v>2</v>
      </c>
    </row>
    <row r="24" spans="1:38" x14ac:dyDescent="0.4">
      <c r="A24" t="s">
        <v>198</v>
      </c>
      <c r="B24">
        <v>22</v>
      </c>
      <c r="C24" t="s">
        <v>53</v>
      </c>
      <c r="D24">
        <v>3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3</v>
      </c>
      <c r="N24">
        <v>1</v>
      </c>
      <c r="O24" t="s">
        <v>49</v>
      </c>
      <c r="S24" t="s">
        <v>33</v>
      </c>
      <c r="T24">
        <v>1</v>
      </c>
      <c r="V24">
        <v>1</v>
      </c>
      <c r="W24" t="s">
        <v>46</v>
      </c>
      <c r="AA24" t="s">
        <v>63</v>
      </c>
      <c r="AB24">
        <v>2</v>
      </c>
      <c r="AD24">
        <v>2</v>
      </c>
      <c r="AE24" t="s">
        <v>103</v>
      </c>
      <c r="AI24">
        <v>7</v>
      </c>
      <c r="AJ24">
        <v>25</v>
      </c>
      <c r="AK24">
        <v>120</v>
      </c>
      <c r="AL24">
        <v>2</v>
      </c>
    </row>
    <row r="25" spans="1:38" x14ac:dyDescent="0.4">
      <c r="A25" t="s">
        <v>199</v>
      </c>
      <c r="B25">
        <v>23</v>
      </c>
      <c r="C25" t="s">
        <v>33</v>
      </c>
      <c r="D25">
        <v>2</v>
      </c>
      <c r="F25">
        <v>1</v>
      </c>
      <c r="G25" t="s">
        <v>46</v>
      </c>
      <c r="H25" t="s">
        <v>35</v>
      </c>
      <c r="I25" t="s">
        <v>131</v>
      </c>
      <c r="K25" t="s">
        <v>38</v>
      </c>
      <c r="L25">
        <v>3</v>
      </c>
      <c r="M25">
        <v>1</v>
      </c>
      <c r="N25">
        <v>2</v>
      </c>
      <c r="O25" t="s">
        <v>152</v>
      </c>
      <c r="P25" t="s">
        <v>96</v>
      </c>
      <c r="Q25" t="s">
        <v>41</v>
      </c>
      <c r="R25" t="s">
        <v>155</v>
      </c>
      <c r="S25" t="s">
        <v>53</v>
      </c>
      <c r="T25">
        <v>2</v>
      </c>
      <c r="U25">
        <v>1</v>
      </c>
      <c r="V25">
        <v>2</v>
      </c>
      <c r="W25" t="s">
        <v>54</v>
      </c>
      <c r="AA25" t="s">
        <v>48</v>
      </c>
      <c r="AB25">
        <v>3</v>
      </c>
      <c r="AD25">
        <v>1</v>
      </c>
      <c r="AE25" t="s">
        <v>49</v>
      </c>
      <c r="AF25" t="s">
        <v>50</v>
      </c>
      <c r="AG25" t="s">
        <v>127</v>
      </c>
      <c r="AH25" t="s">
        <v>128</v>
      </c>
      <c r="AI25">
        <v>16</v>
      </c>
      <c r="AJ25">
        <v>50</v>
      </c>
      <c r="AK25">
        <v>120</v>
      </c>
      <c r="AL25">
        <v>2</v>
      </c>
    </row>
    <row r="26" spans="1:38" x14ac:dyDescent="0.4">
      <c r="A26" t="s">
        <v>200</v>
      </c>
      <c r="B26">
        <v>24</v>
      </c>
      <c r="C26" t="s">
        <v>53</v>
      </c>
      <c r="D26">
        <v>1</v>
      </c>
      <c r="E26">
        <v>2</v>
      </c>
      <c r="F26">
        <v>2</v>
      </c>
      <c r="G26" t="s">
        <v>112</v>
      </c>
      <c r="H26" t="s">
        <v>83</v>
      </c>
      <c r="K26" t="s">
        <v>48</v>
      </c>
      <c r="L26">
        <v>2</v>
      </c>
      <c r="N26">
        <v>3</v>
      </c>
      <c r="O26" t="s">
        <v>126</v>
      </c>
      <c r="P26" t="s">
        <v>71</v>
      </c>
      <c r="Q26" t="s">
        <v>51</v>
      </c>
      <c r="R26" t="s">
        <v>128</v>
      </c>
      <c r="S26" t="s">
        <v>43</v>
      </c>
      <c r="T26">
        <v>2</v>
      </c>
      <c r="V26">
        <v>1</v>
      </c>
      <c r="W26" t="s">
        <v>135</v>
      </c>
      <c r="X26" t="s">
        <v>136</v>
      </c>
      <c r="Y26" t="s">
        <v>75</v>
      </c>
      <c r="AA26" t="s">
        <v>45</v>
      </c>
      <c r="AB26">
        <v>3</v>
      </c>
      <c r="AD26">
        <v>2</v>
      </c>
      <c r="AE26" t="s">
        <v>47</v>
      </c>
      <c r="AF26" t="s">
        <v>141</v>
      </c>
      <c r="AG26" t="s">
        <v>142</v>
      </c>
      <c r="AH26" t="s">
        <v>144</v>
      </c>
      <c r="AI26">
        <v>18</v>
      </c>
      <c r="AJ26">
        <v>99</v>
      </c>
      <c r="AK26">
        <v>120</v>
      </c>
      <c r="AL26">
        <v>2</v>
      </c>
    </row>
    <row r="27" spans="1:38" x14ac:dyDescent="0.4">
      <c r="A27" t="s">
        <v>201</v>
      </c>
      <c r="B27">
        <v>25</v>
      </c>
      <c r="C27" t="s">
        <v>53</v>
      </c>
      <c r="D27">
        <v>2</v>
      </c>
      <c r="E27">
        <v>1</v>
      </c>
      <c r="F27">
        <v>2</v>
      </c>
      <c r="G27" t="s">
        <v>54</v>
      </c>
      <c r="H27" t="s">
        <v>55</v>
      </c>
      <c r="K27" t="s">
        <v>48</v>
      </c>
      <c r="L27">
        <v>1</v>
      </c>
      <c r="N27">
        <v>1</v>
      </c>
      <c r="O27" t="s">
        <v>126</v>
      </c>
      <c r="P27" t="s">
        <v>50</v>
      </c>
      <c r="Q27" t="s">
        <v>51</v>
      </c>
      <c r="R27" t="s">
        <v>52</v>
      </c>
      <c r="S27" t="s">
        <v>43</v>
      </c>
      <c r="T27">
        <v>2</v>
      </c>
      <c r="V27">
        <v>1</v>
      </c>
      <c r="W27" t="s">
        <v>135</v>
      </c>
      <c r="X27" t="s">
        <v>99</v>
      </c>
      <c r="AA27" t="s">
        <v>63</v>
      </c>
      <c r="AB27">
        <v>2</v>
      </c>
      <c r="AD27">
        <v>2</v>
      </c>
      <c r="AE27" t="s">
        <v>103</v>
      </c>
      <c r="AF27" t="s">
        <v>146</v>
      </c>
      <c r="AI27">
        <v>11</v>
      </c>
      <c r="AJ27">
        <v>64</v>
      </c>
      <c r="AK27">
        <v>120</v>
      </c>
      <c r="AL27">
        <v>2</v>
      </c>
    </row>
    <row r="28" spans="1:38" x14ac:dyDescent="0.4">
      <c r="A28" t="s">
        <v>202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54</v>
      </c>
      <c r="H28" t="s">
        <v>55</v>
      </c>
      <c r="I28" t="s">
        <v>105</v>
      </c>
      <c r="K28" t="s">
        <v>48</v>
      </c>
      <c r="L28">
        <v>2</v>
      </c>
      <c r="N28">
        <v>1</v>
      </c>
      <c r="O28" t="s">
        <v>126</v>
      </c>
      <c r="P28" t="s">
        <v>71</v>
      </c>
      <c r="Q28" t="s">
        <v>90</v>
      </c>
      <c r="R28" t="s">
        <v>52</v>
      </c>
      <c r="S28" t="s">
        <v>43</v>
      </c>
      <c r="T28">
        <v>3</v>
      </c>
      <c r="V28">
        <v>3</v>
      </c>
      <c r="W28" t="s">
        <v>135</v>
      </c>
      <c r="X28" t="s">
        <v>99</v>
      </c>
      <c r="Y28" t="s">
        <v>100</v>
      </c>
      <c r="Z28" t="s">
        <v>139</v>
      </c>
      <c r="AA28" t="s">
        <v>38</v>
      </c>
      <c r="AB28">
        <v>2</v>
      </c>
      <c r="AC28">
        <v>1</v>
      </c>
      <c r="AD28">
        <v>1</v>
      </c>
      <c r="AE28" t="s">
        <v>152</v>
      </c>
      <c r="AF28" t="s">
        <v>96</v>
      </c>
      <c r="AI28">
        <v>15</v>
      </c>
      <c r="AJ28">
        <v>39</v>
      </c>
      <c r="AK28">
        <v>120</v>
      </c>
      <c r="AL28">
        <v>2</v>
      </c>
    </row>
    <row r="29" spans="1:38" x14ac:dyDescent="0.4">
      <c r="A29" t="s">
        <v>203</v>
      </c>
      <c r="B29">
        <v>27</v>
      </c>
      <c r="C29" t="s">
        <v>45</v>
      </c>
      <c r="D29">
        <v>3</v>
      </c>
      <c r="F29">
        <v>2</v>
      </c>
      <c r="G29" t="s">
        <v>47</v>
      </c>
      <c r="H29" t="s">
        <v>76</v>
      </c>
      <c r="I29" t="s">
        <v>93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S29" t="s">
        <v>53</v>
      </c>
      <c r="T29">
        <v>2</v>
      </c>
      <c r="U29">
        <v>1</v>
      </c>
      <c r="V29">
        <v>2</v>
      </c>
      <c r="W29" t="s">
        <v>54</v>
      </c>
      <c r="X29" t="s">
        <v>55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11</v>
      </c>
      <c r="AJ29">
        <v>50</v>
      </c>
      <c r="AK29">
        <v>120</v>
      </c>
      <c r="AL29">
        <v>2</v>
      </c>
    </row>
    <row r="30" spans="1:38" x14ac:dyDescent="0.4">
      <c r="A30" t="s">
        <v>204</v>
      </c>
      <c r="B30">
        <v>28</v>
      </c>
      <c r="C30" t="s">
        <v>53</v>
      </c>
      <c r="D30">
        <v>2</v>
      </c>
      <c r="E30">
        <v>1</v>
      </c>
      <c r="F30">
        <v>2</v>
      </c>
      <c r="G30" t="s">
        <v>54</v>
      </c>
      <c r="H30" t="s">
        <v>83</v>
      </c>
      <c r="K30" t="s">
        <v>48</v>
      </c>
      <c r="L30">
        <v>1</v>
      </c>
      <c r="N30">
        <v>1</v>
      </c>
      <c r="O30" t="s">
        <v>89</v>
      </c>
      <c r="P30" t="s">
        <v>84</v>
      </c>
      <c r="Q30" t="s">
        <v>51</v>
      </c>
      <c r="S30" t="s">
        <v>45</v>
      </c>
      <c r="T30">
        <v>3</v>
      </c>
      <c r="V30">
        <v>2</v>
      </c>
      <c r="W30" t="s">
        <v>86</v>
      </c>
      <c r="X30" t="s">
        <v>76</v>
      </c>
      <c r="Y30" t="s">
        <v>93</v>
      </c>
      <c r="AA30" t="s">
        <v>38</v>
      </c>
      <c r="AB30">
        <v>3</v>
      </c>
      <c r="AC30">
        <v>1</v>
      </c>
      <c r="AD30">
        <v>2</v>
      </c>
      <c r="AE30" t="s">
        <v>152</v>
      </c>
      <c r="AF30" t="s">
        <v>96</v>
      </c>
      <c r="AI30">
        <v>14</v>
      </c>
      <c r="AJ30">
        <v>46</v>
      </c>
      <c r="AK30">
        <v>120</v>
      </c>
      <c r="AL30">
        <v>2</v>
      </c>
    </row>
    <row r="31" spans="1:38" x14ac:dyDescent="0.4">
      <c r="A31" t="s">
        <v>205</v>
      </c>
      <c r="B31">
        <v>29</v>
      </c>
      <c r="C31" t="s">
        <v>53</v>
      </c>
      <c r="D31">
        <v>1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3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 t="s">
        <v>63</v>
      </c>
      <c r="T31">
        <v>3</v>
      </c>
      <c r="V31">
        <v>3</v>
      </c>
      <c r="W31" t="s">
        <v>103</v>
      </c>
      <c r="AA31" t="s">
        <v>38</v>
      </c>
      <c r="AB31">
        <v>2</v>
      </c>
      <c r="AC31">
        <v>1</v>
      </c>
      <c r="AD31">
        <v>2</v>
      </c>
      <c r="AE31" t="s">
        <v>39</v>
      </c>
      <c r="AF31" t="s">
        <v>40</v>
      </c>
      <c r="AI31">
        <v>13</v>
      </c>
      <c r="AJ31">
        <v>42</v>
      </c>
      <c r="AK31">
        <v>120</v>
      </c>
      <c r="AL31">
        <v>2</v>
      </c>
    </row>
    <row r="32" spans="1:38" x14ac:dyDescent="0.4">
      <c r="A32" t="s">
        <v>206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3</v>
      </c>
      <c r="N32">
        <v>1</v>
      </c>
      <c r="O32" t="s">
        <v>46</v>
      </c>
      <c r="P32" t="s">
        <v>66</v>
      </c>
      <c r="S32" t="s">
        <v>56</v>
      </c>
      <c r="T32">
        <v>1</v>
      </c>
      <c r="V32">
        <v>1</v>
      </c>
      <c r="W32" t="s">
        <v>120</v>
      </c>
      <c r="X32" t="s">
        <v>122</v>
      </c>
      <c r="AA32" t="s">
        <v>48</v>
      </c>
      <c r="AB32">
        <v>1</v>
      </c>
      <c r="AD32">
        <v>1</v>
      </c>
      <c r="AE32" t="s">
        <v>49</v>
      </c>
      <c r="AI32">
        <v>5</v>
      </c>
      <c r="AJ32">
        <v>34</v>
      </c>
      <c r="AK32">
        <v>120</v>
      </c>
      <c r="AL32">
        <v>2</v>
      </c>
    </row>
    <row r="33" spans="1:38" x14ac:dyDescent="0.4">
      <c r="A33" t="s">
        <v>207</v>
      </c>
      <c r="B33">
        <v>31</v>
      </c>
      <c r="C33" t="s">
        <v>56</v>
      </c>
      <c r="D33">
        <v>2</v>
      </c>
      <c r="F33">
        <v>3</v>
      </c>
      <c r="G33" t="s">
        <v>68</v>
      </c>
      <c r="K33" t="s">
        <v>43</v>
      </c>
      <c r="L33">
        <v>3</v>
      </c>
      <c r="N33">
        <v>1</v>
      </c>
      <c r="O33" t="s">
        <v>135</v>
      </c>
      <c r="S33" t="s">
        <v>53</v>
      </c>
      <c r="T33">
        <v>1</v>
      </c>
      <c r="U33">
        <v>1</v>
      </c>
      <c r="V33">
        <v>1</v>
      </c>
      <c r="W33" t="s">
        <v>112</v>
      </c>
      <c r="X33" t="s">
        <v>83</v>
      </c>
      <c r="Y33" t="s">
        <v>97</v>
      </c>
      <c r="AA33" t="s">
        <v>33</v>
      </c>
      <c r="AB33">
        <v>3</v>
      </c>
      <c r="AD33">
        <v>1</v>
      </c>
      <c r="AE33" t="s">
        <v>34</v>
      </c>
      <c r="AI33">
        <v>9</v>
      </c>
      <c r="AJ33">
        <v>34</v>
      </c>
      <c r="AK33">
        <v>120</v>
      </c>
      <c r="AL33">
        <v>2</v>
      </c>
    </row>
    <row r="34" spans="1:38" x14ac:dyDescent="0.4">
      <c r="A34" t="s">
        <v>208</v>
      </c>
      <c r="B34">
        <v>32</v>
      </c>
      <c r="C34" t="s">
        <v>53</v>
      </c>
      <c r="D34">
        <v>1</v>
      </c>
      <c r="E34">
        <v>1</v>
      </c>
      <c r="F34">
        <v>2</v>
      </c>
      <c r="G34" t="s">
        <v>54</v>
      </c>
      <c r="H34" t="s">
        <v>55</v>
      </c>
      <c r="K34" t="s">
        <v>33</v>
      </c>
      <c r="L34">
        <v>3</v>
      </c>
      <c r="N34">
        <v>1</v>
      </c>
      <c r="O34" t="s">
        <v>46</v>
      </c>
      <c r="P34" t="s">
        <v>66</v>
      </c>
      <c r="Q34" t="s">
        <v>131</v>
      </c>
      <c r="R34" t="s">
        <v>133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2</v>
      </c>
      <c r="AD34">
        <v>1</v>
      </c>
      <c r="AE34" t="s">
        <v>47</v>
      </c>
      <c r="AI34">
        <v>8</v>
      </c>
      <c r="AJ34">
        <v>29</v>
      </c>
      <c r="AK34">
        <v>120</v>
      </c>
      <c r="AL34">
        <v>2</v>
      </c>
    </row>
    <row r="35" spans="1:38" x14ac:dyDescent="0.4">
      <c r="A35" t="s">
        <v>209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54</v>
      </c>
      <c r="H35" t="s">
        <v>55</v>
      </c>
      <c r="I35" t="s">
        <v>114</v>
      </c>
      <c r="J35" t="s">
        <v>98</v>
      </c>
      <c r="K35" t="s">
        <v>33</v>
      </c>
      <c r="L35">
        <v>2</v>
      </c>
      <c r="N35">
        <v>1</v>
      </c>
      <c r="O35" t="s">
        <v>46</v>
      </c>
      <c r="P35" t="s">
        <v>35</v>
      </c>
      <c r="S35" t="s">
        <v>56</v>
      </c>
      <c r="T35">
        <v>1</v>
      </c>
      <c r="V35">
        <v>2</v>
      </c>
      <c r="W35" t="s">
        <v>57</v>
      </c>
      <c r="AA35" t="s">
        <v>63</v>
      </c>
      <c r="AB35">
        <v>1</v>
      </c>
      <c r="AD35">
        <v>2</v>
      </c>
      <c r="AE35" t="s">
        <v>103</v>
      </c>
      <c r="AI35">
        <v>8</v>
      </c>
      <c r="AJ35">
        <v>27</v>
      </c>
      <c r="AK35">
        <v>120</v>
      </c>
      <c r="AL35">
        <v>2</v>
      </c>
    </row>
    <row r="36" spans="1:38" x14ac:dyDescent="0.4">
      <c r="A36" t="s">
        <v>210</v>
      </c>
      <c r="B36">
        <v>34</v>
      </c>
      <c r="C36" t="s">
        <v>56</v>
      </c>
      <c r="D36">
        <v>1</v>
      </c>
      <c r="F36">
        <v>2</v>
      </c>
      <c r="G36" t="s">
        <v>120</v>
      </c>
      <c r="K36" t="s">
        <v>38</v>
      </c>
      <c r="L36">
        <v>3</v>
      </c>
      <c r="M36">
        <v>1</v>
      </c>
      <c r="N36">
        <v>3</v>
      </c>
      <c r="O36" t="s">
        <v>152</v>
      </c>
      <c r="P36" t="s">
        <v>96</v>
      </c>
      <c r="Q36" t="s">
        <v>154</v>
      </c>
      <c r="S36" t="s">
        <v>53</v>
      </c>
      <c r="T36">
        <v>3</v>
      </c>
      <c r="U36">
        <v>1</v>
      </c>
      <c r="V36">
        <v>3</v>
      </c>
      <c r="W36" t="s">
        <v>54</v>
      </c>
      <c r="X36" t="s">
        <v>83</v>
      </c>
      <c r="Y36" t="s">
        <v>97</v>
      </c>
      <c r="Z36" t="s">
        <v>98</v>
      </c>
      <c r="AA36" t="s">
        <v>33</v>
      </c>
      <c r="AB36">
        <v>1</v>
      </c>
      <c r="AD36">
        <v>1</v>
      </c>
      <c r="AE36" t="s">
        <v>46</v>
      </c>
      <c r="AI36">
        <v>14</v>
      </c>
      <c r="AJ36">
        <v>50</v>
      </c>
      <c r="AK36">
        <v>120</v>
      </c>
      <c r="AL36">
        <v>2</v>
      </c>
    </row>
    <row r="37" spans="1:38" x14ac:dyDescent="0.4">
      <c r="A37" t="s">
        <v>211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112</v>
      </c>
      <c r="K37" t="s">
        <v>33</v>
      </c>
      <c r="L37">
        <v>3</v>
      </c>
      <c r="N37">
        <v>1</v>
      </c>
      <c r="O37" t="s">
        <v>65</v>
      </c>
      <c r="P37" t="s">
        <v>35</v>
      </c>
      <c r="S37" t="s">
        <v>48</v>
      </c>
      <c r="T37">
        <v>1</v>
      </c>
      <c r="V37">
        <v>1</v>
      </c>
      <c r="W37" t="s">
        <v>49</v>
      </c>
      <c r="X37" t="s">
        <v>50</v>
      </c>
      <c r="Y37" t="s">
        <v>90</v>
      </c>
      <c r="Z37" t="s">
        <v>129</v>
      </c>
      <c r="AA37" t="s">
        <v>43</v>
      </c>
      <c r="AB37">
        <v>2</v>
      </c>
      <c r="AD37">
        <v>2</v>
      </c>
      <c r="AE37" t="s">
        <v>135</v>
      </c>
      <c r="AF37" t="s">
        <v>136</v>
      </c>
      <c r="AI37">
        <v>10</v>
      </c>
      <c r="AJ37">
        <v>47</v>
      </c>
      <c r="AK37">
        <v>120</v>
      </c>
      <c r="AL37">
        <v>2</v>
      </c>
    </row>
    <row r="38" spans="1:38" x14ac:dyDescent="0.4">
      <c r="A38" t="s">
        <v>212</v>
      </c>
      <c r="B38">
        <v>36</v>
      </c>
      <c r="C38" t="s">
        <v>53</v>
      </c>
      <c r="D38">
        <v>2</v>
      </c>
      <c r="E38">
        <v>1</v>
      </c>
      <c r="F38">
        <v>3</v>
      </c>
      <c r="G38" t="s">
        <v>54</v>
      </c>
      <c r="K38" t="s">
        <v>33</v>
      </c>
      <c r="L38">
        <v>1</v>
      </c>
      <c r="N38">
        <v>2</v>
      </c>
      <c r="O38" t="s">
        <v>46</v>
      </c>
      <c r="S38" t="s">
        <v>48</v>
      </c>
      <c r="T38">
        <v>1</v>
      </c>
      <c r="V38">
        <v>1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35</v>
      </c>
      <c r="AK38">
        <v>120</v>
      </c>
      <c r="AL38">
        <v>2</v>
      </c>
    </row>
    <row r="39" spans="1:38" x14ac:dyDescent="0.4">
      <c r="A39" t="s">
        <v>213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83</v>
      </c>
      <c r="K39" t="s">
        <v>33</v>
      </c>
      <c r="L39">
        <v>3</v>
      </c>
      <c r="N39">
        <v>1</v>
      </c>
      <c r="O39" t="s">
        <v>46</v>
      </c>
      <c r="P39" t="s">
        <v>35</v>
      </c>
      <c r="Q39" t="s">
        <v>131</v>
      </c>
      <c r="R39" t="s">
        <v>133</v>
      </c>
      <c r="S39" t="s">
        <v>48</v>
      </c>
      <c r="T39">
        <v>1</v>
      </c>
      <c r="V39">
        <v>1</v>
      </c>
      <c r="W39" t="s">
        <v>49</v>
      </c>
      <c r="AA39" t="s">
        <v>63</v>
      </c>
      <c r="AB39">
        <v>1</v>
      </c>
      <c r="AD39">
        <v>2</v>
      </c>
      <c r="AE39" t="s">
        <v>103</v>
      </c>
      <c r="AF39" t="s">
        <v>146</v>
      </c>
      <c r="AI39">
        <v>9</v>
      </c>
      <c r="AJ39">
        <v>81</v>
      </c>
      <c r="AK39">
        <v>120</v>
      </c>
      <c r="AL39">
        <v>2</v>
      </c>
    </row>
    <row r="40" spans="1:38" x14ac:dyDescent="0.4">
      <c r="A40" t="s">
        <v>214</v>
      </c>
      <c r="B40">
        <v>38</v>
      </c>
      <c r="C40" t="s">
        <v>48</v>
      </c>
      <c r="D40">
        <v>3</v>
      </c>
      <c r="F40">
        <v>2</v>
      </c>
      <c r="G40" t="s">
        <v>49</v>
      </c>
      <c r="H40" t="s">
        <v>71</v>
      </c>
      <c r="I40" t="s">
        <v>51</v>
      </c>
      <c r="K40" t="s">
        <v>38</v>
      </c>
      <c r="L40">
        <v>1</v>
      </c>
      <c r="M40">
        <v>3</v>
      </c>
      <c r="N40">
        <v>2</v>
      </c>
      <c r="O40" t="s">
        <v>152</v>
      </c>
      <c r="P40" t="s">
        <v>70</v>
      </c>
      <c r="S40" t="s">
        <v>53</v>
      </c>
      <c r="T40">
        <v>3</v>
      </c>
      <c r="U40">
        <v>1</v>
      </c>
      <c r="V40">
        <v>3</v>
      </c>
      <c r="W40" t="s">
        <v>54</v>
      </c>
      <c r="X40" t="s">
        <v>55</v>
      </c>
      <c r="AA40" t="s">
        <v>33</v>
      </c>
      <c r="AB40">
        <v>3</v>
      </c>
      <c r="AD40">
        <v>1</v>
      </c>
      <c r="AE40" t="s">
        <v>46</v>
      </c>
      <c r="AF40" t="s">
        <v>66</v>
      </c>
      <c r="AI40">
        <v>17</v>
      </c>
      <c r="AJ40">
        <v>55</v>
      </c>
      <c r="AK40">
        <v>120</v>
      </c>
      <c r="AL40">
        <v>2</v>
      </c>
    </row>
    <row r="41" spans="1:38" x14ac:dyDescent="0.4">
      <c r="A41" t="s">
        <v>215</v>
      </c>
      <c r="B41">
        <v>39</v>
      </c>
      <c r="C41" t="s">
        <v>43</v>
      </c>
      <c r="D41">
        <v>2</v>
      </c>
      <c r="F41">
        <v>3</v>
      </c>
      <c r="G41" t="s">
        <v>135</v>
      </c>
      <c r="H41" t="s">
        <v>99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3</v>
      </c>
      <c r="U41">
        <v>1</v>
      </c>
      <c r="V41">
        <v>1</v>
      </c>
      <c r="W41" t="s">
        <v>112</v>
      </c>
      <c r="X41" t="s">
        <v>83</v>
      </c>
      <c r="Y41" t="s">
        <v>97</v>
      </c>
      <c r="AA41" t="s">
        <v>33</v>
      </c>
      <c r="AB41">
        <v>1</v>
      </c>
      <c r="AD41">
        <v>1</v>
      </c>
      <c r="AE41" t="s">
        <v>34</v>
      </c>
      <c r="AF41" t="s">
        <v>130</v>
      </c>
      <c r="AI41">
        <v>11</v>
      </c>
      <c r="AJ41">
        <v>31</v>
      </c>
      <c r="AK41">
        <v>120</v>
      </c>
      <c r="AL41">
        <v>2</v>
      </c>
    </row>
    <row r="42" spans="1:38" x14ac:dyDescent="0.4">
      <c r="A42" t="s">
        <v>216</v>
      </c>
      <c r="B42">
        <v>40</v>
      </c>
      <c r="C42" t="s">
        <v>43</v>
      </c>
      <c r="D42">
        <v>3</v>
      </c>
      <c r="F42">
        <v>3</v>
      </c>
      <c r="G42" t="s">
        <v>135</v>
      </c>
      <c r="H42" t="s">
        <v>74</v>
      </c>
      <c r="I42" t="s">
        <v>75</v>
      </c>
      <c r="J42" t="s">
        <v>139</v>
      </c>
      <c r="K42" t="s">
        <v>63</v>
      </c>
      <c r="L42">
        <v>2</v>
      </c>
      <c r="N42">
        <v>1</v>
      </c>
      <c r="O42" t="s">
        <v>103</v>
      </c>
      <c r="S42" t="s">
        <v>53</v>
      </c>
      <c r="T42">
        <v>2</v>
      </c>
      <c r="U42">
        <v>2</v>
      </c>
      <c r="V42">
        <v>1</v>
      </c>
      <c r="W42" t="s">
        <v>112</v>
      </c>
      <c r="X42" t="s">
        <v>83</v>
      </c>
      <c r="Y42" t="s">
        <v>97</v>
      </c>
      <c r="AA42" t="s">
        <v>33</v>
      </c>
      <c r="AB42">
        <v>1</v>
      </c>
      <c r="AD42">
        <v>1</v>
      </c>
      <c r="AE42" t="s">
        <v>46</v>
      </c>
      <c r="AF42" t="s">
        <v>35</v>
      </c>
      <c r="AG42" t="s">
        <v>36</v>
      </c>
      <c r="AI42">
        <v>14</v>
      </c>
      <c r="AJ42">
        <v>39</v>
      </c>
      <c r="AK42">
        <v>120</v>
      </c>
      <c r="AL42">
        <v>2</v>
      </c>
    </row>
    <row r="43" spans="1:38" x14ac:dyDescent="0.4">
      <c r="A43" t="s">
        <v>217</v>
      </c>
      <c r="B43">
        <v>41</v>
      </c>
      <c r="C43" t="s">
        <v>53</v>
      </c>
      <c r="D43">
        <v>1</v>
      </c>
      <c r="E43">
        <v>1</v>
      </c>
      <c r="F43">
        <v>2</v>
      </c>
      <c r="G43" t="s">
        <v>112</v>
      </c>
      <c r="H43" t="s">
        <v>83</v>
      </c>
      <c r="K43" t="s">
        <v>33</v>
      </c>
      <c r="L43">
        <v>2</v>
      </c>
      <c r="N43">
        <v>2</v>
      </c>
      <c r="O43" t="s">
        <v>65</v>
      </c>
      <c r="P43" t="s">
        <v>35</v>
      </c>
      <c r="Q43" t="s">
        <v>36</v>
      </c>
      <c r="S43" t="s">
        <v>43</v>
      </c>
      <c r="T43">
        <v>3</v>
      </c>
      <c r="V43">
        <v>3</v>
      </c>
      <c r="W43" t="s">
        <v>135</v>
      </c>
      <c r="AA43" t="s">
        <v>38</v>
      </c>
      <c r="AB43">
        <v>1</v>
      </c>
      <c r="AC43">
        <v>1</v>
      </c>
      <c r="AD43">
        <v>1</v>
      </c>
      <c r="AE43" t="s">
        <v>152</v>
      </c>
      <c r="AF43" t="s">
        <v>40</v>
      </c>
      <c r="AG43" t="s">
        <v>154</v>
      </c>
      <c r="AI43">
        <v>12</v>
      </c>
      <c r="AJ43">
        <v>31</v>
      </c>
      <c r="AK43">
        <v>120</v>
      </c>
      <c r="AL43">
        <v>2</v>
      </c>
    </row>
    <row r="44" spans="1:38" x14ac:dyDescent="0.4">
      <c r="A44" t="s">
        <v>218</v>
      </c>
      <c r="B44">
        <v>42</v>
      </c>
      <c r="C44" t="s">
        <v>53</v>
      </c>
      <c r="D44">
        <v>3</v>
      </c>
      <c r="E44">
        <v>1</v>
      </c>
      <c r="F44">
        <v>3</v>
      </c>
      <c r="G44" t="s">
        <v>54</v>
      </c>
      <c r="H44" t="s">
        <v>55</v>
      </c>
      <c r="I44" t="s">
        <v>114</v>
      </c>
      <c r="K44" t="s">
        <v>33</v>
      </c>
      <c r="L44">
        <v>1</v>
      </c>
      <c r="N44">
        <v>1</v>
      </c>
      <c r="O44" t="s">
        <v>46</v>
      </c>
      <c r="S44" t="s">
        <v>45</v>
      </c>
      <c r="T44">
        <v>3</v>
      </c>
      <c r="V44">
        <v>2</v>
      </c>
      <c r="W44" t="s">
        <v>86</v>
      </c>
      <c r="AA44" t="s">
        <v>63</v>
      </c>
      <c r="AB44">
        <v>2</v>
      </c>
      <c r="AD44">
        <v>2</v>
      </c>
      <c r="AE44" t="s">
        <v>103</v>
      </c>
      <c r="AF44" t="s">
        <v>95</v>
      </c>
      <c r="AG44" t="s">
        <v>147</v>
      </c>
      <c r="AI44">
        <v>13</v>
      </c>
      <c r="AJ44">
        <v>73</v>
      </c>
      <c r="AK44">
        <v>120</v>
      </c>
      <c r="AL44">
        <v>2</v>
      </c>
    </row>
    <row r="45" spans="1:38" x14ac:dyDescent="0.4">
      <c r="A45" t="s">
        <v>219</v>
      </c>
      <c r="B45">
        <v>43</v>
      </c>
      <c r="C45" t="s">
        <v>53</v>
      </c>
      <c r="D45">
        <v>3</v>
      </c>
      <c r="E45">
        <v>1</v>
      </c>
      <c r="F45">
        <v>3</v>
      </c>
      <c r="G45" t="s">
        <v>54</v>
      </c>
      <c r="K45" t="s">
        <v>33</v>
      </c>
      <c r="L45">
        <v>2</v>
      </c>
      <c r="N45">
        <v>2</v>
      </c>
      <c r="O45" t="s">
        <v>46</v>
      </c>
      <c r="P45" t="s">
        <v>66</v>
      </c>
      <c r="Q45" t="s">
        <v>132</v>
      </c>
      <c r="R45" t="s">
        <v>133</v>
      </c>
      <c r="S45" t="s">
        <v>45</v>
      </c>
      <c r="T45">
        <v>2</v>
      </c>
      <c r="V45">
        <v>1</v>
      </c>
      <c r="W45" t="s">
        <v>47</v>
      </c>
      <c r="AA45" t="s">
        <v>38</v>
      </c>
      <c r="AB45">
        <v>3</v>
      </c>
      <c r="AC45">
        <v>1</v>
      </c>
      <c r="AD45">
        <v>3</v>
      </c>
      <c r="AE45" t="s">
        <v>152</v>
      </c>
      <c r="AF45" t="s">
        <v>96</v>
      </c>
      <c r="AG45" t="s">
        <v>41</v>
      </c>
      <c r="AI45">
        <v>16</v>
      </c>
      <c r="AJ45">
        <v>44</v>
      </c>
      <c r="AK45">
        <v>120</v>
      </c>
      <c r="AL45">
        <v>2</v>
      </c>
    </row>
    <row r="46" spans="1:38" x14ac:dyDescent="0.4">
      <c r="A46" t="s">
        <v>220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55</v>
      </c>
      <c r="K46" t="s">
        <v>33</v>
      </c>
      <c r="L46">
        <v>3</v>
      </c>
      <c r="N46">
        <v>1</v>
      </c>
      <c r="O46" t="s">
        <v>46</v>
      </c>
      <c r="P46" t="s">
        <v>35</v>
      </c>
      <c r="S46" t="s">
        <v>63</v>
      </c>
      <c r="T46">
        <v>2</v>
      </c>
      <c r="V46">
        <v>2</v>
      </c>
      <c r="W46" t="s">
        <v>103</v>
      </c>
      <c r="AA46" t="s">
        <v>38</v>
      </c>
      <c r="AB46">
        <v>1</v>
      </c>
      <c r="AC46">
        <v>1</v>
      </c>
      <c r="AD46">
        <v>1</v>
      </c>
      <c r="AE46" t="s">
        <v>152</v>
      </c>
      <c r="AF46" t="s">
        <v>40</v>
      </c>
      <c r="AG46" t="s">
        <v>153</v>
      </c>
      <c r="AI46">
        <v>8</v>
      </c>
      <c r="AJ46">
        <v>52</v>
      </c>
      <c r="AK46">
        <v>120</v>
      </c>
      <c r="AL46">
        <v>2</v>
      </c>
    </row>
    <row r="47" spans="1:38" x14ac:dyDescent="0.4">
      <c r="A47" t="s">
        <v>221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54</v>
      </c>
      <c r="H47" t="s">
        <v>55</v>
      </c>
      <c r="I47" t="s">
        <v>114</v>
      </c>
      <c r="K47" t="s">
        <v>43</v>
      </c>
      <c r="L47">
        <v>2</v>
      </c>
      <c r="N47">
        <v>1</v>
      </c>
      <c r="O47" t="s">
        <v>135</v>
      </c>
      <c r="P47" t="s">
        <v>99</v>
      </c>
      <c r="S47" t="s">
        <v>56</v>
      </c>
      <c r="T47">
        <v>1</v>
      </c>
      <c r="V47">
        <v>1</v>
      </c>
      <c r="W47" t="s">
        <v>120</v>
      </c>
      <c r="AA47" t="s">
        <v>48</v>
      </c>
      <c r="AB47">
        <v>3</v>
      </c>
      <c r="AD47">
        <v>1</v>
      </c>
      <c r="AE47" t="s">
        <v>49</v>
      </c>
      <c r="AF47" t="s">
        <v>71</v>
      </c>
      <c r="AI47">
        <v>10</v>
      </c>
      <c r="AJ47">
        <v>43</v>
      </c>
      <c r="AK47">
        <v>120</v>
      </c>
      <c r="AL47">
        <v>2</v>
      </c>
    </row>
    <row r="48" spans="1:38" x14ac:dyDescent="0.4">
      <c r="A48" t="s">
        <v>222</v>
      </c>
      <c r="B48">
        <v>46</v>
      </c>
      <c r="C48" t="s">
        <v>56</v>
      </c>
      <c r="D48">
        <v>1</v>
      </c>
      <c r="F48">
        <v>2</v>
      </c>
      <c r="G48" t="s">
        <v>68</v>
      </c>
      <c r="K48" t="s">
        <v>33</v>
      </c>
      <c r="L48">
        <v>3</v>
      </c>
      <c r="N48">
        <v>3</v>
      </c>
      <c r="O48" t="s">
        <v>46</v>
      </c>
      <c r="P48" t="s">
        <v>130</v>
      </c>
      <c r="Q48" t="s">
        <v>131</v>
      </c>
      <c r="R48" t="s">
        <v>133</v>
      </c>
      <c r="S48" t="s">
        <v>53</v>
      </c>
      <c r="T48">
        <v>1</v>
      </c>
      <c r="U48">
        <v>1</v>
      </c>
      <c r="V48">
        <v>2</v>
      </c>
      <c r="W48" t="s">
        <v>54</v>
      </c>
      <c r="X48" t="s">
        <v>55</v>
      </c>
      <c r="Y48" t="s">
        <v>114</v>
      </c>
      <c r="AA48" t="s">
        <v>43</v>
      </c>
      <c r="AB48">
        <v>3</v>
      </c>
      <c r="AD48">
        <v>3</v>
      </c>
      <c r="AE48" t="s">
        <v>135</v>
      </c>
      <c r="AF48" t="s">
        <v>136</v>
      </c>
      <c r="AI48">
        <v>16</v>
      </c>
      <c r="AJ48">
        <v>62</v>
      </c>
      <c r="AK48">
        <v>120</v>
      </c>
      <c r="AL48">
        <v>2</v>
      </c>
    </row>
    <row r="49" spans="1:38" x14ac:dyDescent="0.4">
      <c r="A49" t="s">
        <v>223</v>
      </c>
      <c r="B49">
        <v>47</v>
      </c>
      <c r="C49" t="s">
        <v>53</v>
      </c>
      <c r="D49">
        <v>2</v>
      </c>
      <c r="E49">
        <v>1</v>
      </c>
      <c r="F49">
        <v>2</v>
      </c>
      <c r="G49" t="s">
        <v>54</v>
      </c>
      <c r="K49" t="s">
        <v>43</v>
      </c>
      <c r="L49">
        <v>2</v>
      </c>
      <c r="N49">
        <v>1</v>
      </c>
      <c r="O49" t="s">
        <v>135</v>
      </c>
      <c r="P49" t="s">
        <v>136</v>
      </c>
      <c r="Q49" t="s">
        <v>137</v>
      </c>
      <c r="R49" t="s">
        <v>138</v>
      </c>
      <c r="S49" t="s">
        <v>56</v>
      </c>
      <c r="T49">
        <v>1</v>
      </c>
      <c r="V49">
        <v>1</v>
      </c>
      <c r="W49" t="s">
        <v>120</v>
      </c>
      <c r="AA49" t="s">
        <v>45</v>
      </c>
      <c r="AB49">
        <v>3</v>
      </c>
      <c r="AD49">
        <v>1</v>
      </c>
      <c r="AE49" t="s">
        <v>47</v>
      </c>
      <c r="AI49">
        <v>8</v>
      </c>
      <c r="AJ49">
        <v>33</v>
      </c>
      <c r="AK49">
        <v>120</v>
      </c>
      <c r="AL49">
        <v>2</v>
      </c>
    </row>
    <row r="50" spans="1:38" x14ac:dyDescent="0.4">
      <c r="A50" t="s">
        <v>224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54</v>
      </c>
      <c r="H50" t="s">
        <v>83</v>
      </c>
      <c r="I50" t="s">
        <v>97</v>
      </c>
      <c r="J50" t="s">
        <v>98</v>
      </c>
      <c r="K50" t="s">
        <v>43</v>
      </c>
      <c r="L50">
        <v>2</v>
      </c>
      <c r="N50">
        <v>1</v>
      </c>
      <c r="O50" t="s">
        <v>135</v>
      </c>
      <c r="P50" t="s">
        <v>136</v>
      </c>
      <c r="S50" t="s">
        <v>56</v>
      </c>
      <c r="T50">
        <v>1</v>
      </c>
      <c r="V50">
        <v>2</v>
      </c>
      <c r="W50" t="s">
        <v>120</v>
      </c>
      <c r="X50" t="s">
        <v>69</v>
      </c>
      <c r="AA50" t="s">
        <v>63</v>
      </c>
      <c r="AB50">
        <v>2</v>
      </c>
      <c r="AD50">
        <v>3</v>
      </c>
      <c r="AE50" t="s">
        <v>103</v>
      </c>
      <c r="AF50" t="s">
        <v>146</v>
      </c>
      <c r="AI50">
        <v>13</v>
      </c>
      <c r="AJ50">
        <v>47</v>
      </c>
      <c r="AK50">
        <v>120</v>
      </c>
      <c r="AL50">
        <v>2</v>
      </c>
    </row>
    <row r="51" spans="1:38" x14ac:dyDescent="0.4">
      <c r="A51" t="s">
        <v>225</v>
      </c>
      <c r="B51">
        <v>49</v>
      </c>
      <c r="C51" t="s">
        <v>56</v>
      </c>
      <c r="D51">
        <v>3</v>
      </c>
      <c r="F51">
        <v>1</v>
      </c>
      <c r="G51" t="s">
        <v>120</v>
      </c>
      <c r="H51" t="s">
        <v>122</v>
      </c>
      <c r="K51" t="s">
        <v>38</v>
      </c>
      <c r="L51">
        <v>1</v>
      </c>
      <c r="M51">
        <v>1</v>
      </c>
      <c r="N51">
        <v>3</v>
      </c>
      <c r="O51" t="s">
        <v>39</v>
      </c>
      <c r="P51" t="s">
        <v>70</v>
      </c>
      <c r="Q51" t="s">
        <v>154</v>
      </c>
      <c r="R51" t="s">
        <v>42</v>
      </c>
      <c r="S51" t="s">
        <v>53</v>
      </c>
      <c r="T51">
        <v>2</v>
      </c>
      <c r="U51">
        <v>1</v>
      </c>
      <c r="V51">
        <v>3</v>
      </c>
      <c r="W51" t="s">
        <v>54</v>
      </c>
      <c r="X51" t="s">
        <v>83</v>
      </c>
      <c r="AA51" t="s">
        <v>43</v>
      </c>
      <c r="AB51">
        <v>1</v>
      </c>
      <c r="AD51">
        <v>1</v>
      </c>
      <c r="AE51" t="s">
        <v>135</v>
      </c>
      <c r="AI51">
        <v>12</v>
      </c>
      <c r="AJ51">
        <v>52</v>
      </c>
      <c r="AK51">
        <v>120</v>
      </c>
      <c r="AL51">
        <v>2</v>
      </c>
    </row>
    <row r="52" spans="1:38" x14ac:dyDescent="0.4">
      <c r="A52" t="s">
        <v>226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K52" t="s">
        <v>43</v>
      </c>
      <c r="L52">
        <v>3</v>
      </c>
      <c r="N52">
        <v>3</v>
      </c>
      <c r="O52" t="s">
        <v>135</v>
      </c>
      <c r="P52" t="s">
        <v>99</v>
      </c>
      <c r="Q52" t="s">
        <v>137</v>
      </c>
      <c r="S52" t="s">
        <v>48</v>
      </c>
      <c r="T52">
        <v>3</v>
      </c>
      <c r="V52">
        <v>2</v>
      </c>
      <c r="W52" t="s">
        <v>126</v>
      </c>
      <c r="AA52" t="s">
        <v>33</v>
      </c>
      <c r="AB52">
        <v>3</v>
      </c>
      <c r="AD52">
        <v>3</v>
      </c>
      <c r="AE52" t="s">
        <v>46</v>
      </c>
      <c r="AF52" t="s">
        <v>66</v>
      </c>
      <c r="AI52">
        <v>15</v>
      </c>
      <c r="AJ52">
        <v>41</v>
      </c>
      <c r="AK52">
        <v>120</v>
      </c>
      <c r="AL52">
        <v>2</v>
      </c>
    </row>
    <row r="53" spans="1:38" x14ac:dyDescent="0.4">
      <c r="A53" s="4" t="s">
        <v>227</v>
      </c>
      <c r="B53">
        <v>51</v>
      </c>
      <c r="C53" t="s">
        <v>48</v>
      </c>
      <c r="D53">
        <v>1</v>
      </c>
      <c r="F53">
        <v>1</v>
      </c>
      <c r="G53" t="s">
        <v>126</v>
      </c>
      <c r="H53" t="s">
        <v>50</v>
      </c>
      <c r="I53" t="s">
        <v>51</v>
      </c>
      <c r="K53" t="s">
        <v>45</v>
      </c>
      <c r="L53">
        <v>2</v>
      </c>
      <c r="N53">
        <v>1</v>
      </c>
      <c r="O53" t="s">
        <v>86</v>
      </c>
      <c r="P53" t="s">
        <v>76</v>
      </c>
      <c r="Q53" t="s">
        <v>93</v>
      </c>
      <c r="S53" t="s">
        <v>53</v>
      </c>
      <c r="T53">
        <v>1</v>
      </c>
      <c r="U53">
        <v>1</v>
      </c>
      <c r="V53">
        <v>2</v>
      </c>
      <c r="W53" t="s">
        <v>54</v>
      </c>
      <c r="AA53" t="s">
        <v>43</v>
      </c>
      <c r="AB53">
        <v>1</v>
      </c>
      <c r="AD53">
        <v>1</v>
      </c>
      <c r="AE53" t="s">
        <v>135</v>
      </c>
      <c r="AF53" t="s">
        <v>74</v>
      </c>
      <c r="AI53">
        <v>7</v>
      </c>
      <c r="AJ53">
        <v>33</v>
      </c>
      <c r="AK53">
        <v>120</v>
      </c>
      <c r="AL53">
        <v>2</v>
      </c>
    </row>
    <row r="54" spans="1:38" x14ac:dyDescent="0.4">
      <c r="A54" t="s">
        <v>228</v>
      </c>
      <c r="B54">
        <v>52</v>
      </c>
      <c r="C54" t="s">
        <v>48</v>
      </c>
      <c r="D54">
        <v>2</v>
      </c>
      <c r="F54">
        <v>1</v>
      </c>
      <c r="G54" t="s">
        <v>49</v>
      </c>
      <c r="K54" t="s">
        <v>63</v>
      </c>
      <c r="L54">
        <v>3</v>
      </c>
      <c r="N54">
        <v>3</v>
      </c>
      <c r="O54" t="s">
        <v>103</v>
      </c>
      <c r="P54" t="s">
        <v>146</v>
      </c>
      <c r="Q54" t="s">
        <v>104</v>
      </c>
      <c r="R54" t="s">
        <v>150</v>
      </c>
      <c r="S54" t="s">
        <v>53</v>
      </c>
      <c r="T54">
        <v>1</v>
      </c>
      <c r="U54">
        <v>1</v>
      </c>
      <c r="V54">
        <v>1</v>
      </c>
      <c r="W54" t="s">
        <v>54</v>
      </c>
      <c r="X54" t="s">
        <v>113</v>
      </c>
      <c r="Y54" t="s">
        <v>97</v>
      </c>
      <c r="AA54" t="s">
        <v>43</v>
      </c>
      <c r="AB54">
        <v>3</v>
      </c>
      <c r="AD54">
        <v>3</v>
      </c>
      <c r="AE54" t="s">
        <v>135</v>
      </c>
      <c r="AF54" t="s">
        <v>74</v>
      </c>
      <c r="AG54" t="s">
        <v>75</v>
      </c>
      <c r="AH54" t="s">
        <v>101</v>
      </c>
      <c r="AI54">
        <v>18</v>
      </c>
      <c r="AJ54">
        <v>63</v>
      </c>
      <c r="AK54">
        <v>120</v>
      </c>
      <c r="AL54">
        <v>2</v>
      </c>
    </row>
    <row r="55" spans="1:38" x14ac:dyDescent="0.4">
      <c r="A55" t="s">
        <v>229</v>
      </c>
      <c r="B55">
        <v>53</v>
      </c>
      <c r="C55" t="s">
        <v>48</v>
      </c>
      <c r="D55">
        <v>1</v>
      </c>
      <c r="F55">
        <v>1</v>
      </c>
      <c r="G55" t="s">
        <v>126</v>
      </c>
      <c r="H55" t="s">
        <v>50</v>
      </c>
      <c r="I55" t="s">
        <v>90</v>
      </c>
      <c r="K55" t="s">
        <v>38</v>
      </c>
      <c r="L55">
        <v>1</v>
      </c>
      <c r="M55">
        <v>3</v>
      </c>
      <c r="N55">
        <v>3</v>
      </c>
      <c r="O55" t="s">
        <v>152</v>
      </c>
      <c r="P55" t="s">
        <v>70</v>
      </c>
      <c r="Q55" t="s">
        <v>154</v>
      </c>
      <c r="S55" t="s">
        <v>53</v>
      </c>
      <c r="T55">
        <v>1</v>
      </c>
      <c r="U55">
        <v>1</v>
      </c>
      <c r="V55">
        <v>1</v>
      </c>
      <c r="W55" t="s">
        <v>54</v>
      </c>
      <c r="AA55" t="s">
        <v>43</v>
      </c>
      <c r="AB55">
        <v>3</v>
      </c>
      <c r="AD55">
        <v>1</v>
      </c>
      <c r="AE55" t="s">
        <v>135</v>
      </c>
      <c r="AF55" t="s">
        <v>99</v>
      </c>
      <c r="AG55" t="s">
        <v>137</v>
      </c>
      <c r="AI55">
        <v>12</v>
      </c>
      <c r="AJ55">
        <v>47</v>
      </c>
      <c r="AK55">
        <v>120</v>
      </c>
      <c r="AL55">
        <v>2</v>
      </c>
    </row>
    <row r="56" spans="1:38" x14ac:dyDescent="0.4">
      <c r="A56" t="s">
        <v>230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112</v>
      </c>
      <c r="H56" t="s">
        <v>55</v>
      </c>
      <c r="K56" t="s">
        <v>43</v>
      </c>
      <c r="L56">
        <v>3</v>
      </c>
      <c r="N56">
        <v>1</v>
      </c>
      <c r="O56" t="s">
        <v>135</v>
      </c>
      <c r="P56" t="s">
        <v>74</v>
      </c>
      <c r="S56" t="s">
        <v>33</v>
      </c>
      <c r="T56">
        <v>2</v>
      </c>
      <c r="V56">
        <v>3</v>
      </c>
      <c r="W56" t="s">
        <v>46</v>
      </c>
      <c r="AA56" t="s">
        <v>45</v>
      </c>
      <c r="AB56">
        <v>2</v>
      </c>
      <c r="AD56">
        <v>1</v>
      </c>
      <c r="AE56" t="s">
        <v>47</v>
      </c>
      <c r="AI56">
        <v>8</v>
      </c>
      <c r="AJ56">
        <v>44</v>
      </c>
      <c r="AK56">
        <v>120</v>
      </c>
      <c r="AL56">
        <v>2</v>
      </c>
    </row>
    <row r="57" spans="1:38" x14ac:dyDescent="0.4">
      <c r="A57" t="s">
        <v>231</v>
      </c>
      <c r="B57">
        <v>55</v>
      </c>
      <c r="C57" t="s">
        <v>53</v>
      </c>
      <c r="D57">
        <v>2</v>
      </c>
      <c r="E57">
        <v>1</v>
      </c>
      <c r="F57">
        <v>1</v>
      </c>
      <c r="G57" t="s">
        <v>54</v>
      </c>
      <c r="K57" t="s">
        <v>43</v>
      </c>
      <c r="L57">
        <v>3</v>
      </c>
      <c r="N57">
        <v>3</v>
      </c>
      <c r="O57" t="s">
        <v>135</v>
      </c>
      <c r="P57" t="s">
        <v>99</v>
      </c>
      <c r="Q57" t="s">
        <v>75</v>
      </c>
      <c r="R57" t="s">
        <v>138</v>
      </c>
      <c r="S57" t="s">
        <v>33</v>
      </c>
      <c r="T57">
        <v>3</v>
      </c>
      <c r="V57">
        <v>1</v>
      </c>
      <c r="W57" t="s">
        <v>65</v>
      </c>
      <c r="AA57" t="s">
        <v>63</v>
      </c>
      <c r="AB57">
        <v>3</v>
      </c>
      <c r="AD57">
        <v>2</v>
      </c>
      <c r="AE57" t="s">
        <v>145</v>
      </c>
      <c r="AF57" t="s">
        <v>146</v>
      </c>
      <c r="AG57" t="s">
        <v>148</v>
      </c>
      <c r="AI57">
        <v>15</v>
      </c>
      <c r="AJ57">
        <v>51</v>
      </c>
      <c r="AK57">
        <v>120</v>
      </c>
      <c r="AL57">
        <v>2</v>
      </c>
    </row>
    <row r="58" spans="1:38" x14ac:dyDescent="0.4">
      <c r="A58" t="s">
        <v>232</v>
      </c>
      <c r="B58">
        <v>56</v>
      </c>
      <c r="C58" t="s">
        <v>53</v>
      </c>
      <c r="D58">
        <v>1</v>
      </c>
      <c r="E58">
        <v>1</v>
      </c>
      <c r="F58">
        <v>3</v>
      </c>
      <c r="G58" t="s">
        <v>54</v>
      </c>
      <c r="H58" t="s">
        <v>55</v>
      </c>
      <c r="K58" t="s">
        <v>43</v>
      </c>
      <c r="L58">
        <v>1</v>
      </c>
      <c r="N58">
        <v>1</v>
      </c>
      <c r="O58" t="s">
        <v>135</v>
      </c>
      <c r="P58" t="s">
        <v>136</v>
      </c>
      <c r="Q58" t="s">
        <v>137</v>
      </c>
      <c r="S58" t="s">
        <v>33</v>
      </c>
      <c r="T58">
        <v>2</v>
      </c>
      <c r="V58">
        <v>1</v>
      </c>
      <c r="W58" t="s">
        <v>65</v>
      </c>
      <c r="AA58" t="s">
        <v>38</v>
      </c>
      <c r="AB58">
        <v>1</v>
      </c>
      <c r="AC58">
        <v>1</v>
      </c>
      <c r="AD58">
        <v>1</v>
      </c>
      <c r="AE58" t="s">
        <v>39</v>
      </c>
      <c r="AF58" t="s">
        <v>70</v>
      </c>
      <c r="AG58" t="s">
        <v>153</v>
      </c>
      <c r="AI58">
        <v>8</v>
      </c>
      <c r="AJ58">
        <v>36</v>
      </c>
      <c r="AK58">
        <v>120</v>
      </c>
      <c r="AL58">
        <v>2</v>
      </c>
    </row>
    <row r="59" spans="1:38" x14ac:dyDescent="0.4">
      <c r="A59" t="s">
        <v>233</v>
      </c>
      <c r="B59">
        <v>57</v>
      </c>
      <c r="C59" t="s">
        <v>53</v>
      </c>
      <c r="D59">
        <v>3</v>
      </c>
      <c r="E59">
        <v>3</v>
      </c>
      <c r="F59">
        <v>3</v>
      </c>
      <c r="G59" t="s">
        <v>54</v>
      </c>
      <c r="H59" t="s">
        <v>83</v>
      </c>
      <c r="I59" t="s">
        <v>114</v>
      </c>
      <c r="J59" t="s">
        <v>98</v>
      </c>
      <c r="K59" t="s">
        <v>43</v>
      </c>
      <c r="L59">
        <v>1</v>
      </c>
      <c r="N59">
        <v>2</v>
      </c>
      <c r="O59" t="s">
        <v>135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3</v>
      </c>
      <c r="AD59">
        <v>3</v>
      </c>
      <c r="AE59" t="s">
        <v>103</v>
      </c>
      <c r="AF59" t="s">
        <v>95</v>
      </c>
      <c r="AG59" t="s">
        <v>147</v>
      </c>
      <c r="AH59" t="s">
        <v>149</v>
      </c>
      <c r="AI59">
        <v>20</v>
      </c>
      <c r="AJ59">
        <v>77</v>
      </c>
      <c r="AK59">
        <v>120</v>
      </c>
      <c r="AL59">
        <v>2</v>
      </c>
    </row>
    <row r="60" spans="1:38" x14ac:dyDescent="0.4">
      <c r="A60" t="s">
        <v>234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H60" t="s">
        <v>55</v>
      </c>
      <c r="I60" t="s">
        <v>105</v>
      </c>
      <c r="K60" t="s">
        <v>43</v>
      </c>
      <c r="L60">
        <v>2</v>
      </c>
      <c r="N60">
        <v>1</v>
      </c>
      <c r="O60" t="s">
        <v>135</v>
      </c>
      <c r="P60" t="s">
        <v>99</v>
      </c>
      <c r="Q60" t="s">
        <v>100</v>
      </c>
      <c r="S60" t="s">
        <v>45</v>
      </c>
      <c r="T60">
        <v>3</v>
      </c>
      <c r="V60">
        <v>1</v>
      </c>
      <c r="W60" t="s">
        <v>47</v>
      </c>
      <c r="AA60" t="s">
        <v>38</v>
      </c>
      <c r="AB60">
        <v>2</v>
      </c>
      <c r="AC60">
        <v>1</v>
      </c>
      <c r="AD60">
        <v>3</v>
      </c>
      <c r="AE60" t="s">
        <v>152</v>
      </c>
      <c r="AF60" t="s">
        <v>96</v>
      </c>
      <c r="AI60">
        <v>12</v>
      </c>
      <c r="AJ60">
        <v>29</v>
      </c>
      <c r="AK60">
        <v>120</v>
      </c>
      <c r="AL60">
        <v>2</v>
      </c>
    </row>
    <row r="61" spans="1:38" x14ac:dyDescent="0.4">
      <c r="A61" t="s">
        <v>235</v>
      </c>
      <c r="B61">
        <v>59</v>
      </c>
      <c r="C61" t="s">
        <v>63</v>
      </c>
      <c r="D61">
        <v>1</v>
      </c>
      <c r="F61">
        <v>1</v>
      </c>
      <c r="G61" t="s">
        <v>103</v>
      </c>
      <c r="K61" t="s">
        <v>38</v>
      </c>
      <c r="L61">
        <v>3</v>
      </c>
      <c r="M61">
        <v>1</v>
      </c>
      <c r="N61">
        <v>2</v>
      </c>
      <c r="O61" t="s">
        <v>39</v>
      </c>
      <c r="P61" t="s">
        <v>70</v>
      </c>
      <c r="S61" t="s">
        <v>53</v>
      </c>
      <c r="T61">
        <v>1</v>
      </c>
      <c r="U61">
        <v>1</v>
      </c>
      <c r="V61">
        <v>1</v>
      </c>
      <c r="W61" t="s">
        <v>54</v>
      </c>
      <c r="AA61" t="s">
        <v>43</v>
      </c>
      <c r="AB61">
        <v>1</v>
      </c>
      <c r="AD61">
        <v>1</v>
      </c>
      <c r="AE61" t="s">
        <v>135</v>
      </c>
      <c r="AF61" t="s">
        <v>136</v>
      </c>
      <c r="AI61">
        <v>5</v>
      </c>
      <c r="AJ61">
        <v>55</v>
      </c>
      <c r="AK61">
        <v>120</v>
      </c>
      <c r="AL61">
        <v>2</v>
      </c>
    </row>
    <row r="62" spans="1:38" x14ac:dyDescent="0.4">
      <c r="A62" t="s">
        <v>236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55</v>
      </c>
      <c r="K62" t="s">
        <v>45</v>
      </c>
      <c r="L62">
        <v>3</v>
      </c>
      <c r="N62">
        <v>1</v>
      </c>
      <c r="O62" t="s">
        <v>47</v>
      </c>
      <c r="S62" t="s">
        <v>56</v>
      </c>
      <c r="T62">
        <v>1</v>
      </c>
      <c r="V62">
        <v>2</v>
      </c>
      <c r="W62" t="s">
        <v>57</v>
      </c>
      <c r="X62" t="s">
        <v>122</v>
      </c>
      <c r="AA62" t="s">
        <v>48</v>
      </c>
      <c r="AB62">
        <v>1</v>
      </c>
      <c r="AD62">
        <v>2</v>
      </c>
      <c r="AE62" t="s">
        <v>49</v>
      </c>
      <c r="AF62" t="s">
        <v>84</v>
      </c>
      <c r="AI62">
        <v>8</v>
      </c>
      <c r="AJ62">
        <v>39</v>
      </c>
      <c r="AK62">
        <v>120</v>
      </c>
      <c r="AL62">
        <v>2</v>
      </c>
    </row>
    <row r="63" spans="1:38" x14ac:dyDescent="0.4">
      <c r="A63" t="s">
        <v>237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K63" t="s">
        <v>45</v>
      </c>
      <c r="L63">
        <v>3</v>
      </c>
      <c r="N63">
        <v>1</v>
      </c>
      <c r="O63" t="s">
        <v>86</v>
      </c>
      <c r="P63" t="s">
        <v>76</v>
      </c>
      <c r="Q63" t="s">
        <v>102</v>
      </c>
      <c r="S63" t="s">
        <v>56</v>
      </c>
      <c r="T63">
        <v>2</v>
      </c>
      <c r="V63">
        <v>3</v>
      </c>
      <c r="W63" t="s">
        <v>57</v>
      </c>
      <c r="AA63" t="s">
        <v>33</v>
      </c>
      <c r="AB63">
        <v>1</v>
      </c>
      <c r="AD63">
        <v>1</v>
      </c>
      <c r="AE63" t="s">
        <v>46</v>
      </c>
      <c r="AF63" t="s">
        <v>35</v>
      </c>
      <c r="AI63">
        <v>8</v>
      </c>
      <c r="AJ63">
        <v>62</v>
      </c>
      <c r="AK63">
        <v>120</v>
      </c>
      <c r="AL63">
        <v>2</v>
      </c>
    </row>
    <row r="64" spans="1:38" x14ac:dyDescent="0.4">
      <c r="A64" t="s">
        <v>238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54</v>
      </c>
      <c r="K64" t="s">
        <v>45</v>
      </c>
      <c r="L64">
        <v>3</v>
      </c>
      <c r="N64">
        <v>1</v>
      </c>
      <c r="O64" t="s">
        <v>86</v>
      </c>
      <c r="S64" t="s">
        <v>56</v>
      </c>
      <c r="T64">
        <v>1</v>
      </c>
      <c r="V64">
        <v>2</v>
      </c>
      <c r="W64" t="s">
        <v>57</v>
      </c>
      <c r="AA64" t="s">
        <v>43</v>
      </c>
      <c r="AB64">
        <v>2</v>
      </c>
      <c r="AD64">
        <v>3</v>
      </c>
      <c r="AE64" t="s">
        <v>135</v>
      </c>
      <c r="AI64">
        <v>9</v>
      </c>
      <c r="AJ64">
        <v>22</v>
      </c>
      <c r="AK64">
        <v>120</v>
      </c>
      <c r="AL64">
        <v>2</v>
      </c>
    </row>
    <row r="65" spans="1:38" x14ac:dyDescent="0.4">
      <c r="A65" t="s">
        <v>239</v>
      </c>
      <c r="B65">
        <v>63</v>
      </c>
      <c r="C65" t="s">
        <v>53</v>
      </c>
      <c r="D65">
        <v>3</v>
      </c>
      <c r="E65">
        <v>1</v>
      </c>
      <c r="F65">
        <v>1</v>
      </c>
      <c r="G65" t="s">
        <v>54</v>
      </c>
      <c r="H65" t="s">
        <v>55</v>
      </c>
      <c r="K65" t="s">
        <v>45</v>
      </c>
      <c r="L65">
        <v>3</v>
      </c>
      <c r="N65">
        <v>3</v>
      </c>
      <c r="O65" t="s">
        <v>86</v>
      </c>
      <c r="P65" t="s">
        <v>76</v>
      </c>
      <c r="Q65" t="s">
        <v>93</v>
      </c>
      <c r="S65" t="s">
        <v>56</v>
      </c>
      <c r="T65">
        <v>1</v>
      </c>
      <c r="V65">
        <v>1</v>
      </c>
      <c r="W65" t="s">
        <v>57</v>
      </c>
      <c r="X65" t="s">
        <v>122</v>
      </c>
      <c r="AA65" t="s">
        <v>63</v>
      </c>
      <c r="AB65">
        <v>3</v>
      </c>
      <c r="AD65">
        <v>2</v>
      </c>
      <c r="AE65" t="s">
        <v>72</v>
      </c>
      <c r="AF65" t="s">
        <v>146</v>
      </c>
      <c r="AG65" t="s">
        <v>148</v>
      </c>
      <c r="AI65">
        <v>15</v>
      </c>
      <c r="AJ65">
        <v>53</v>
      </c>
      <c r="AK65">
        <v>120</v>
      </c>
      <c r="AL65">
        <v>2</v>
      </c>
    </row>
    <row r="66" spans="1:38" x14ac:dyDescent="0.4">
      <c r="A66" t="s">
        <v>240</v>
      </c>
      <c r="B66">
        <v>64</v>
      </c>
      <c r="C66" t="s">
        <v>56</v>
      </c>
      <c r="D66">
        <v>2</v>
      </c>
      <c r="F66">
        <v>1</v>
      </c>
      <c r="G66" t="s">
        <v>57</v>
      </c>
      <c r="K66" t="s">
        <v>38</v>
      </c>
      <c r="L66">
        <v>2</v>
      </c>
      <c r="M66">
        <v>1</v>
      </c>
      <c r="N66">
        <v>1</v>
      </c>
      <c r="O66" t="s">
        <v>152</v>
      </c>
      <c r="S66" t="s">
        <v>53</v>
      </c>
      <c r="T66">
        <v>1</v>
      </c>
      <c r="U66">
        <v>1</v>
      </c>
      <c r="V66">
        <v>1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86</v>
      </c>
      <c r="AI66">
        <v>5</v>
      </c>
      <c r="AJ66">
        <v>32</v>
      </c>
      <c r="AK66">
        <v>120</v>
      </c>
      <c r="AL66">
        <v>2</v>
      </c>
    </row>
    <row r="67" spans="1:38" x14ac:dyDescent="0.4">
      <c r="A67" t="s">
        <v>241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113</v>
      </c>
      <c r="I67" t="s">
        <v>97</v>
      </c>
      <c r="J67" t="s">
        <v>116</v>
      </c>
      <c r="K67" t="s">
        <v>45</v>
      </c>
      <c r="L67">
        <v>3</v>
      </c>
      <c r="N67">
        <v>3</v>
      </c>
      <c r="O67" t="s">
        <v>47</v>
      </c>
      <c r="P67" t="s">
        <v>141</v>
      </c>
      <c r="Q67" t="s">
        <v>93</v>
      </c>
      <c r="S67" t="s">
        <v>48</v>
      </c>
      <c r="T67">
        <v>3</v>
      </c>
      <c r="V67">
        <v>1</v>
      </c>
      <c r="W67" t="s">
        <v>49</v>
      </c>
      <c r="X67" t="s">
        <v>84</v>
      </c>
      <c r="Y67" t="s">
        <v>90</v>
      </c>
      <c r="Z67" t="s">
        <v>52</v>
      </c>
      <c r="AA67" t="s">
        <v>33</v>
      </c>
      <c r="AB67">
        <v>1</v>
      </c>
      <c r="AD67">
        <v>1</v>
      </c>
      <c r="AE67" t="s">
        <v>46</v>
      </c>
      <c r="AI67">
        <v>14</v>
      </c>
      <c r="AJ67">
        <v>56</v>
      </c>
      <c r="AK67">
        <v>120</v>
      </c>
      <c r="AL67">
        <v>2</v>
      </c>
    </row>
    <row r="68" spans="1:38" x14ac:dyDescent="0.4">
      <c r="A68" t="s">
        <v>242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Y68" t="s">
        <v>127</v>
      </c>
      <c r="AA68" t="s">
        <v>43</v>
      </c>
      <c r="AB68">
        <v>1</v>
      </c>
      <c r="AD68">
        <v>1</v>
      </c>
      <c r="AE68" t="s">
        <v>135</v>
      </c>
      <c r="AI68">
        <v>4</v>
      </c>
      <c r="AJ68">
        <v>24</v>
      </c>
      <c r="AK68">
        <v>120</v>
      </c>
      <c r="AL68">
        <v>2</v>
      </c>
    </row>
    <row r="69" spans="1:38" x14ac:dyDescent="0.4">
      <c r="A69" t="s">
        <v>243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54</v>
      </c>
      <c r="K69" t="s">
        <v>45</v>
      </c>
      <c r="L69">
        <v>3</v>
      </c>
      <c r="N69">
        <v>1</v>
      </c>
      <c r="O69" t="s">
        <v>86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1</v>
      </c>
      <c r="AD69">
        <v>1</v>
      </c>
      <c r="AE69" t="s">
        <v>103</v>
      </c>
      <c r="AI69">
        <v>2</v>
      </c>
      <c r="AJ69">
        <v>31</v>
      </c>
      <c r="AK69">
        <v>120</v>
      </c>
      <c r="AL69">
        <v>2</v>
      </c>
    </row>
    <row r="70" spans="1:38" x14ac:dyDescent="0.4">
      <c r="A70" t="s">
        <v>244</v>
      </c>
      <c r="B70">
        <v>68</v>
      </c>
      <c r="C70" t="s">
        <v>48</v>
      </c>
      <c r="D70">
        <v>1</v>
      </c>
      <c r="F70">
        <v>1</v>
      </c>
      <c r="G70" t="s">
        <v>49</v>
      </c>
      <c r="H70" t="s">
        <v>50</v>
      </c>
      <c r="I70" t="s">
        <v>90</v>
      </c>
      <c r="J70" t="s">
        <v>52</v>
      </c>
      <c r="K70" t="s">
        <v>38</v>
      </c>
      <c r="L70">
        <v>3</v>
      </c>
      <c r="M70">
        <v>2</v>
      </c>
      <c r="N70">
        <v>2</v>
      </c>
      <c r="O70" t="s">
        <v>67</v>
      </c>
      <c r="P70" t="s">
        <v>96</v>
      </c>
      <c r="Q70" t="s">
        <v>154</v>
      </c>
      <c r="R70" t="s">
        <v>155</v>
      </c>
      <c r="S70" t="s">
        <v>53</v>
      </c>
      <c r="T70">
        <v>3</v>
      </c>
      <c r="U70">
        <v>1</v>
      </c>
      <c r="V70">
        <v>3</v>
      </c>
      <c r="W70" t="s">
        <v>54</v>
      </c>
      <c r="X70" t="s">
        <v>83</v>
      </c>
      <c r="AA70" t="s">
        <v>45</v>
      </c>
      <c r="AB70">
        <v>2</v>
      </c>
      <c r="AD70">
        <v>1</v>
      </c>
      <c r="AE70" t="s">
        <v>86</v>
      </c>
      <c r="AI70">
        <v>16</v>
      </c>
      <c r="AJ70">
        <v>46</v>
      </c>
      <c r="AK70">
        <v>120</v>
      </c>
      <c r="AL70">
        <v>2</v>
      </c>
    </row>
    <row r="71" spans="1:38" x14ac:dyDescent="0.4">
      <c r="A71" t="s">
        <v>245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112</v>
      </c>
      <c r="H71" t="s">
        <v>113</v>
      </c>
      <c r="K71" t="s">
        <v>45</v>
      </c>
      <c r="L71">
        <v>3</v>
      </c>
      <c r="N71">
        <v>3</v>
      </c>
      <c r="O71" t="s">
        <v>140</v>
      </c>
      <c r="P71" t="s">
        <v>76</v>
      </c>
      <c r="Q71" t="s">
        <v>142</v>
      </c>
      <c r="S71" t="s">
        <v>33</v>
      </c>
      <c r="T71">
        <v>1</v>
      </c>
      <c r="V71">
        <v>3</v>
      </c>
      <c r="W71" t="s">
        <v>46</v>
      </c>
      <c r="X71" t="s">
        <v>66</v>
      </c>
      <c r="AA71" t="s">
        <v>43</v>
      </c>
      <c r="AB71">
        <v>2</v>
      </c>
      <c r="AD71">
        <v>3</v>
      </c>
      <c r="AE71" t="s">
        <v>135</v>
      </c>
      <c r="AF71" t="s">
        <v>74</v>
      </c>
      <c r="AG71" t="s">
        <v>75</v>
      </c>
      <c r="AI71">
        <v>15</v>
      </c>
      <c r="AJ71">
        <v>54</v>
      </c>
      <c r="AK71">
        <v>120</v>
      </c>
      <c r="AL71">
        <v>2</v>
      </c>
    </row>
    <row r="72" spans="1:38" x14ac:dyDescent="0.4">
      <c r="A72" t="s">
        <v>246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2</v>
      </c>
      <c r="AD72">
        <v>1</v>
      </c>
      <c r="AE72" t="s">
        <v>103</v>
      </c>
      <c r="AI72">
        <v>4</v>
      </c>
      <c r="AJ72">
        <v>23</v>
      </c>
      <c r="AK72">
        <v>120</v>
      </c>
      <c r="AL72">
        <v>2</v>
      </c>
    </row>
    <row r="73" spans="1:38" x14ac:dyDescent="0.4">
      <c r="A73" t="s">
        <v>247</v>
      </c>
      <c r="B73">
        <v>71</v>
      </c>
      <c r="C73" t="s">
        <v>53</v>
      </c>
      <c r="D73">
        <v>3</v>
      </c>
      <c r="E73">
        <v>2</v>
      </c>
      <c r="F73">
        <v>1</v>
      </c>
      <c r="G73" t="s">
        <v>54</v>
      </c>
      <c r="H73" t="s">
        <v>55</v>
      </c>
      <c r="I73" t="s">
        <v>97</v>
      </c>
      <c r="K73" t="s">
        <v>45</v>
      </c>
      <c r="L73">
        <v>2</v>
      </c>
      <c r="N73">
        <v>1</v>
      </c>
      <c r="O73" t="s">
        <v>140</v>
      </c>
      <c r="S73" t="s">
        <v>33</v>
      </c>
      <c r="T73">
        <v>2</v>
      </c>
      <c r="V73">
        <v>2</v>
      </c>
      <c r="W73" t="s">
        <v>46</v>
      </c>
      <c r="AA73" t="s">
        <v>38</v>
      </c>
      <c r="AB73">
        <v>3</v>
      </c>
      <c r="AC73">
        <v>1</v>
      </c>
      <c r="AD73">
        <v>3</v>
      </c>
      <c r="AE73" t="s">
        <v>39</v>
      </c>
      <c r="AF73" t="s">
        <v>70</v>
      </c>
      <c r="AG73" t="s">
        <v>154</v>
      </c>
      <c r="AH73" t="s">
        <v>156</v>
      </c>
      <c r="AI73">
        <v>15</v>
      </c>
      <c r="AJ73">
        <v>39</v>
      </c>
      <c r="AK73">
        <v>120</v>
      </c>
      <c r="AL73">
        <v>2</v>
      </c>
    </row>
    <row r="74" spans="1:38" x14ac:dyDescent="0.4">
      <c r="A74" t="s">
        <v>248</v>
      </c>
      <c r="B74">
        <v>72</v>
      </c>
      <c r="C74" t="s">
        <v>53</v>
      </c>
      <c r="D74">
        <v>2</v>
      </c>
      <c r="E74">
        <v>1</v>
      </c>
      <c r="F74">
        <v>1</v>
      </c>
      <c r="G74" t="s">
        <v>54</v>
      </c>
      <c r="H74" t="s">
        <v>83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1</v>
      </c>
      <c r="V74">
        <v>3</v>
      </c>
      <c r="W74" t="s">
        <v>135</v>
      </c>
      <c r="AA74" t="s">
        <v>63</v>
      </c>
      <c r="AB74">
        <v>2</v>
      </c>
      <c r="AD74">
        <v>1</v>
      </c>
      <c r="AE74" t="s">
        <v>103</v>
      </c>
      <c r="AF74" t="s">
        <v>95</v>
      </c>
      <c r="AI74">
        <v>8</v>
      </c>
      <c r="AJ74">
        <v>24</v>
      </c>
      <c r="AK74">
        <v>120</v>
      </c>
      <c r="AL74">
        <v>2</v>
      </c>
    </row>
    <row r="75" spans="1:38" x14ac:dyDescent="0.4">
      <c r="A75" t="s">
        <v>249</v>
      </c>
      <c r="B75">
        <v>73</v>
      </c>
      <c r="C75" t="s">
        <v>43</v>
      </c>
      <c r="D75">
        <v>2</v>
      </c>
      <c r="F75">
        <v>3</v>
      </c>
      <c r="G75" t="s">
        <v>135</v>
      </c>
      <c r="H75" t="s">
        <v>74</v>
      </c>
      <c r="I75" t="s">
        <v>75</v>
      </c>
      <c r="K75" t="s">
        <v>38</v>
      </c>
      <c r="L75">
        <v>1</v>
      </c>
      <c r="M75">
        <v>1</v>
      </c>
      <c r="N75">
        <v>1</v>
      </c>
      <c r="O75" t="s">
        <v>152</v>
      </c>
      <c r="P75" t="s">
        <v>40</v>
      </c>
      <c r="Q75" t="s">
        <v>153</v>
      </c>
      <c r="S75" t="s">
        <v>53</v>
      </c>
      <c r="T75">
        <v>1</v>
      </c>
      <c r="U75">
        <v>2</v>
      </c>
      <c r="V75">
        <v>1</v>
      </c>
      <c r="W75" t="s">
        <v>112</v>
      </c>
      <c r="X75" t="s">
        <v>113</v>
      </c>
      <c r="AA75" t="s">
        <v>45</v>
      </c>
      <c r="AB75">
        <v>3</v>
      </c>
      <c r="AD75">
        <v>2</v>
      </c>
      <c r="AE75" t="s">
        <v>140</v>
      </c>
      <c r="AI75">
        <v>12</v>
      </c>
      <c r="AJ75">
        <v>69</v>
      </c>
      <c r="AK75">
        <v>120</v>
      </c>
      <c r="AL75">
        <v>2</v>
      </c>
    </row>
    <row r="76" spans="1:38" x14ac:dyDescent="0.4">
      <c r="A76" t="s">
        <v>250</v>
      </c>
      <c r="B76">
        <v>74</v>
      </c>
      <c r="C76" t="s">
        <v>53</v>
      </c>
      <c r="D76">
        <v>1</v>
      </c>
      <c r="E76">
        <v>2</v>
      </c>
      <c r="F76">
        <v>3</v>
      </c>
      <c r="G76" t="s">
        <v>54</v>
      </c>
      <c r="H76" t="s">
        <v>113</v>
      </c>
      <c r="I76" t="s">
        <v>114</v>
      </c>
      <c r="J76" t="s">
        <v>116</v>
      </c>
      <c r="K76" t="s">
        <v>45</v>
      </c>
      <c r="L76">
        <v>3</v>
      </c>
      <c r="N76">
        <v>1</v>
      </c>
      <c r="O76" t="s">
        <v>86</v>
      </c>
      <c r="P76" t="s">
        <v>76</v>
      </c>
      <c r="Q76" t="s">
        <v>142</v>
      </c>
      <c r="R76" t="s">
        <v>143</v>
      </c>
      <c r="S76" t="s">
        <v>63</v>
      </c>
      <c r="T76">
        <v>2</v>
      </c>
      <c r="V76">
        <v>3</v>
      </c>
      <c r="W76" t="s">
        <v>103</v>
      </c>
      <c r="X76" t="s">
        <v>95</v>
      </c>
      <c r="AA76" t="s">
        <v>38</v>
      </c>
      <c r="AB76">
        <v>2</v>
      </c>
      <c r="AC76">
        <v>1</v>
      </c>
      <c r="AD76">
        <v>2</v>
      </c>
      <c r="AE76" t="s">
        <v>39</v>
      </c>
      <c r="AF76" t="s">
        <v>70</v>
      </c>
      <c r="AG76" t="s">
        <v>41</v>
      </c>
      <c r="AI76">
        <v>19</v>
      </c>
      <c r="AJ76">
        <v>65</v>
      </c>
      <c r="AK76">
        <v>120</v>
      </c>
      <c r="AL76">
        <v>2</v>
      </c>
    </row>
    <row r="77" spans="1:38" x14ac:dyDescent="0.4">
      <c r="A77" t="s">
        <v>251</v>
      </c>
      <c r="B77">
        <v>75</v>
      </c>
      <c r="C77" t="s">
        <v>56</v>
      </c>
      <c r="D77">
        <v>2</v>
      </c>
      <c r="F77">
        <v>1</v>
      </c>
      <c r="G77" t="s">
        <v>57</v>
      </c>
      <c r="H77" t="s">
        <v>122</v>
      </c>
      <c r="I77" t="s">
        <v>123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127</v>
      </c>
      <c r="S77" t="s">
        <v>53</v>
      </c>
      <c r="T77">
        <v>2</v>
      </c>
      <c r="U77">
        <v>1</v>
      </c>
      <c r="V77">
        <v>1</v>
      </c>
      <c r="W77" t="s">
        <v>54</v>
      </c>
      <c r="X77" t="s">
        <v>83</v>
      </c>
      <c r="Y77" t="s">
        <v>97</v>
      </c>
      <c r="AA77" t="s">
        <v>63</v>
      </c>
      <c r="AB77">
        <v>1</v>
      </c>
      <c r="AD77">
        <v>1</v>
      </c>
      <c r="AE77" t="s">
        <v>103</v>
      </c>
      <c r="AI77">
        <v>8</v>
      </c>
      <c r="AJ77">
        <v>32</v>
      </c>
      <c r="AK77">
        <v>120</v>
      </c>
      <c r="AL77">
        <v>2</v>
      </c>
    </row>
    <row r="78" spans="1:38" x14ac:dyDescent="0.4">
      <c r="A78" t="s">
        <v>252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2</v>
      </c>
      <c r="O78" t="s">
        <v>46</v>
      </c>
      <c r="P78" t="s">
        <v>66</v>
      </c>
      <c r="Q78" t="s">
        <v>36</v>
      </c>
      <c r="S78" t="s">
        <v>53</v>
      </c>
      <c r="T78">
        <v>2</v>
      </c>
      <c r="U78">
        <v>2</v>
      </c>
      <c r="V78">
        <v>3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103</v>
      </c>
      <c r="AI78">
        <v>11</v>
      </c>
      <c r="AJ78">
        <v>53</v>
      </c>
      <c r="AK78">
        <v>120</v>
      </c>
      <c r="AL78">
        <v>2</v>
      </c>
    </row>
    <row r="79" spans="1:38" x14ac:dyDescent="0.4">
      <c r="A79" t="s">
        <v>253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H79" t="s">
        <v>83</v>
      </c>
      <c r="I79" t="s">
        <v>114</v>
      </c>
      <c r="K79" t="s">
        <v>63</v>
      </c>
      <c r="L79">
        <v>3</v>
      </c>
      <c r="N79">
        <v>1</v>
      </c>
      <c r="O79" t="s">
        <v>103</v>
      </c>
      <c r="S79" t="s">
        <v>56</v>
      </c>
      <c r="T79">
        <v>1</v>
      </c>
      <c r="V79">
        <v>1</v>
      </c>
      <c r="W79" t="s">
        <v>57</v>
      </c>
      <c r="X79" t="s">
        <v>122</v>
      </c>
      <c r="Y79" t="s">
        <v>85</v>
      </c>
      <c r="AA79" t="s">
        <v>43</v>
      </c>
      <c r="AB79">
        <v>2</v>
      </c>
      <c r="AD79">
        <v>1</v>
      </c>
      <c r="AE79" t="s">
        <v>135</v>
      </c>
      <c r="AF79" t="s">
        <v>136</v>
      </c>
      <c r="AG79" t="s">
        <v>75</v>
      </c>
      <c r="AH79" t="s">
        <v>138</v>
      </c>
      <c r="AI79">
        <v>11</v>
      </c>
      <c r="AJ79">
        <v>27</v>
      </c>
      <c r="AK79">
        <v>120</v>
      </c>
      <c r="AL79">
        <v>2</v>
      </c>
    </row>
    <row r="80" spans="1:38" x14ac:dyDescent="0.4">
      <c r="A80" t="s">
        <v>254</v>
      </c>
      <c r="B80">
        <v>78</v>
      </c>
      <c r="C80" t="s">
        <v>56</v>
      </c>
      <c r="D80">
        <v>3</v>
      </c>
      <c r="F80">
        <v>1</v>
      </c>
      <c r="G80" t="s">
        <v>57</v>
      </c>
      <c r="K80" t="s">
        <v>45</v>
      </c>
      <c r="L80">
        <v>3</v>
      </c>
      <c r="N80">
        <v>2</v>
      </c>
      <c r="O80" t="s">
        <v>47</v>
      </c>
      <c r="P80" t="s">
        <v>92</v>
      </c>
      <c r="Q80" t="s">
        <v>93</v>
      </c>
      <c r="S80" t="s">
        <v>53</v>
      </c>
      <c r="T80">
        <v>1</v>
      </c>
      <c r="U80">
        <v>1</v>
      </c>
      <c r="V80">
        <v>3</v>
      </c>
      <c r="W80" t="s">
        <v>54</v>
      </c>
      <c r="AA80" t="s">
        <v>63</v>
      </c>
      <c r="AB80">
        <v>2</v>
      </c>
      <c r="AD80">
        <v>2</v>
      </c>
      <c r="AE80" t="s">
        <v>103</v>
      </c>
      <c r="AF80" t="s">
        <v>146</v>
      </c>
      <c r="AI80">
        <v>12</v>
      </c>
      <c r="AJ80">
        <v>36</v>
      </c>
      <c r="AK80">
        <v>120</v>
      </c>
      <c r="AL80">
        <v>2</v>
      </c>
    </row>
    <row r="81" spans="1:38" x14ac:dyDescent="0.4">
      <c r="A81" t="s">
        <v>255</v>
      </c>
      <c r="B81">
        <v>79</v>
      </c>
      <c r="C81" t="s">
        <v>56</v>
      </c>
      <c r="D81">
        <v>3</v>
      </c>
      <c r="F81">
        <v>3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2</v>
      </c>
      <c r="N81">
        <v>1</v>
      </c>
      <c r="O81" t="s">
        <v>152</v>
      </c>
      <c r="S81" t="s">
        <v>53</v>
      </c>
      <c r="T81">
        <v>3</v>
      </c>
      <c r="U81">
        <v>1</v>
      </c>
      <c r="V81">
        <v>3</v>
      </c>
      <c r="W81" t="s">
        <v>54</v>
      </c>
      <c r="X81" t="s">
        <v>83</v>
      </c>
      <c r="Y81" t="s">
        <v>97</v>
      </c>
      <c r="AA81" t="s">
        <v>63</v>
      </c>
      <c r="AB81">
        <v>3</v>
      </c>
      <c r="AD81">
        <v>2</v>
      </c>
      <c r="AE81" t="s">
        <v>103</v>
      </c>
      <c r="AF81" t="s">
        <v>146</v>
      </c>
      <c r="AG81" t="s">
        <v>147</v>
      </c>
      <c r="AI81">
        <v>18</v>
      </c>
      <c r="AJ81">
        <v>64</v>
      </c>
      <c r="AK81">
        <v>120</v>
      </c>
      <c r="AL81">
        <v>2</v>
      </c>
    </row>
    <row r="82" spans="1:38" x14ac:dyDescent="0.4">
      <c r="A82" t="s">
        <v>256</v>
      </c>
      <c r="B82">
        <v>80</v>
      </c>
      <c r="C82" t="s">
        <v>53</v>
      </c>
      <c r="D82">
        <v>3</v>
      </c>
      <c r="E82">
        <v>3</v>
      </c>
      <c r="F82">
        <v>3</v>
      </c>
      <c r="G82" t="s">
        <v>54</v>
      </c>
      <c r="H82" t="s">
        <v>55</v>
      </c>
      <c r="I82" t="s">
        <v>114</v>
      </c>
      <c r="J82" t="s">
        <v>98</v>
      </c>
      <c r="K82" t="s">
        <v>63</v>
      </c>
      <c r="L82">
        <v>2</v>
      </c>
      <c r="N82">
        <v>1</v>
      </c>
      <c r="O82" t="s">
        <v>72</v>
      </c>
      <c r="P82" t="s">
        <v>146</v>
      </c>
      <c r="Q82" t="s">
        <v>148</v>
      </c>
      <c r="S82" t="s">
        <v>48</v>
      </c>
      <c r="T82">
        <v>2</v>
      </c>
      <c r="V82">
        <v>2</v>
      </c>
      <c r="W82" t="s">
        <v>49</v>
      </c>
      <c r="X82" t="s">
        <v>84</v>
      </c>
      <c r="Y82" t="s">
        <v>90</v>
      </c>
      <c r="Z82" t="s">
        <v>52</v>
      </c>
      <c r="AA82" t="s">
        <v>33</v>
      </c>
      <c r="AB82">
        <v>1</v>
      </c>
      <c r="AD82">
        <v>1</v>
      </c>
      <c r="AE82" t="s">
        <v>46</v>
      </c>
      <c r="AI82">
        <v>17</v>
      </c>
      <c r="AJ82">
        <v>54</v>
      </c>
      <c r="AK82">
        <v>120</v>
      </c>
      <c r="AL82">
        <v>2</v>
      </c>
    </row>
    <row r="83" spans="1:38" x14ac:dyDescent="0.4">
      <c r="A83" t="s">
        <v>257</v>
      </c>
      <c r="B83">
        <v>81</v>
      </c>
      <c r="C83" t="s">
        <v>48</v>
      </c>
      <c r="D83">
        <v>1</v>
      </c>
      <c r="F83">
        <v>3</v>
      </c>
      <c r="G83" t="s">
        <v>49</v>
      </c>
      <c r="H83" t="s">
        <v>84</v>
      </c>
      <c r="I83" t="s">
        <v>90</v>
      </c>
      <c r="J83" t="s">
        <v>52</v>
      </c>
      <c r="K83" t="s">
        <v>43</v>
      </c>
      <c r="L83">
        <v>1</v>
      </c>
      <c r="N83">
        <v>3</v>
      </c>
      <c r="O83" t="s">
        <v>135</v>
      </c>
      <c r="P83" t="s">
        <v>136</v>
      </c>
      <c r="S83" t="s">
        <v>53</v>
      </c>
      <c r="T83">
        <v>3</v>
      </c>
      <c r="U83">
        <v>2</v>
      </c>
      <c r="V83">
        <v>3</v>
      </c>
      <c r="W83" t="s">
        <v>54</v>
      </c>
      <c r="X83" t="s">
        <v>55</v>
      </c>
      <c r="Y83" t="s">
        <v>114</v>
      </c>
      <c r="Z83" t="s">
        <v>98</v>
      </c>
      <c r="AA83" t="s">
        <v>63</v>
      </c>
      <c r="AB83">
        <v>2</v>
      </c>
      <c r="AD83">
        <v>1</v>
      </c>
      <c r="AE83" t="s">
        <v>103</v>
      </c>
      <c r="AI83">
        <v>17</v>
      </c>
      <c r="AJ83">
        <v>66</v>
      </c>
      <c r="AK83">
        <v>120</v>
      </c>
      <c r="AL83">
        <v>2</v>
      </c>
    </row>
    <row r="84" spans="1:38" x14ac:dyDescent="0.4">
      <c r="A84" t="s">
        <v>258</v>
      </c>
      <c r="B84">
        <v>82</v>
      </c>
      <c r="C84" t="s">
        <v>53</v>
      </c>
      <c r="D84">
        <v>3</v>
      </c>
      <c r="E84">
        <v>3</v>
      </c>
      <c r="F84">
        <v>2</v>
      </c>
      <c r="G84" t="s">
        <v>54</v>
      </c>
      <c r="H84" t="s">
        <v>55</v>
      </c>
      <c r="I84" t="s">
        <v>97</v>
      </c>
      <c r="J84" t="s">
        <v>98</v>
      </c>
      <c r="K84" t="s">
        <v>63</v>
      </c>
      <c r="L84">
        <v>1</v>
      </c>
      <c r="N84">
        <v>1</v>
      </c>
      <c r="O84" t="s">
        <v>72</v>
      </c>
      <c r="S84" t="s">
        <v>48</v>
      </c>
      <c r="T84">
        <v>3</v>
      </c>
      <c r="V84">
        <v>1</v>
      </c>
      <c r="W84" t="s">
        <v>49</v>
      </c>
      <c r="X84" t="s">
        <v>84</v>
      </c>
      <c r="AA84" t="s">
        <v>45</v>
      </c>
      <c r="AB84">
        <v>3</v>
      </c>
      <c r="AD84">
        <v>3</v>
      </c>
      <c r="AE84" t="s">
        <v>86</v>
      </c>
      <c r="AF84" t="s">
        <v>76</v>
      </c>
      <c r="AG84" t="s">
        <v>93</v>
      </c>
      <c r="AH84" t="s">
        <v>144</v>
      </c>
      <c r="AI84">
        <v>18</v>
      </c>
      <c r="AJ84">
        <v>51</v>
      </c>
      <c r="AK84">
        <v>120</v>
      </c>
      <c r="AL84">
        <v>2</v>
      </c>
    </row>
    <row r="85" spans="1:38" x14ac:dyDescent="0.4">
      <c r="A85" t="s">
        <v>259</v>
      </c>
      <c r="B85">
        <v>83</v>
      </c>
      <c r="C85" t="s">
        <v>53</v>
      </c>
      <c r="D85">
        <v>3</v>
      </c>
      <c r="E85">
        <v>1</v>
      </c>
      <c r="F85">
        <v>2</v>
      </c>
      <c r="G85" t="s">
        <v>54</v>
      </c>
      <c r="H85" t="s">
        <v>55</v>
      </c>
      <c r="I85" t="s">
        <v>97</v>
      </c>
      <c r="J85" t="s">
        <v>98</v>
      </c>
      <c r="K85" t="s">
        <v>63</v>
      </c>
      <c r="L85">
        <v>1</v>
      </c>
      <c r="N85">
        <v>1</v>
      </c>
      <c r="O85" t="s">
        <v>72</v>
      </c>
      <c r="P85" t="s">
        <v>91</v>
      </c>
      <c r="Q85" t="s">
        <v>148</v>
      </c>
      <c r="R85" t="s">
        <v>151</v>
      </c>
      <c r="S85" t="s">
        <v>48</v>
      </c>
      <c r="T85">
        <v>1</v>
      </c>
      <c r="V85">
        <v>1</v>
      </c>
      <c r="W85" t="s">
        <v>49</v>
      </c>
      <c r="X85" t="s">
        <v>84</v>
      </c>
      <c r="Y85" t="s">
        <v>90</v>
      </c>
      <c r="Z85" t="s">
        <v>52</v>
      </c>
      <c r="AA85" t="s">
        <v>38</v>
      </c>
      <c r="AB85">
        <v>1</v>
      </c>
      <c r="AC85">
        <v>1</v>
      </c>
      <c r="AD85">
        <v>1</v>
      </c>
      <c r="AE85" t="s">
        <v>152</v>
      </c>
      <c r="AF85" t="s">
        <v>96</v>
      </c>
      <c r="AG85" t="s">
        <v>154</v>
      </c>
      <c r="AI85">
        <v>14</v>
      </c>
      <c r="AJ85">
        <v>86</v>
      </c>
      <c r="AK85">
        <v>120</v>
      </c>
      <c r="AL85">
        <v>2</v>
      </c>
    </row>
    <row r="86" spans="1:38" x14ac:dyDescent="0.4">
      <c r="A86" t="s">
        <v>260</v>
      </c>
      <c r="B86">
        <v>84</v>
      </c>
      <c r="C86" t="s">
        <v>53</v>
      </c>
      <c r="D86">
        <v>3</v>
      </c>
      <c r="E86">
        <v>2</v>
      </c>
      <c r="F86">
        <v>3</v>
      </c>
      <c r="G86" t="s">
        <v>112</v>
      </c>
      <c r="H86" t="s">
        <v>55</v>
      </c>
      <c r="I86" t="s">
        <v>105</v>
      </c>
      <c r="J86" t="s">
        <v>115</v>
      </c>
      <c r="K86" t="s">
        <v>63</v>
      </c>
      <c r="L86">
        <v>1</v>
      </c>
      <c r="N86">
        <v>1</v>
      </c>
      <c r="O86" t="s">
        <v>145</v>
      </c>
      <c r="P86" t="s">
        <v>91</v>
      </c>
      <c r="Q86" t="s">
        <v>104</v>
      </c>
      <c r="S86" t="s">
        <v>33</v>
      </c>
      <c r="T86">
        <v>3</v>
      </c>
      <c r="V86">
        <v>2</v>
      </c>
      <c r="W86" t="s">
        <v>46</v>
      </c>
      <c r="X86" t="s">
        <v>130</v>
      </c>
      <c r="Y86" t="s">
        <v>131</v>
      </c>
      <c r="Z86" t="s">
        <v>133</v>
      </c>
      <c r="AA86" t="s">
        <v>43</v>
      </c>
      <c r="AB86">
        <v>1</v>
      </c>
      <c r="AD86">
        <v>1</v>
      </c>
      <c r="AE86" t="s">
        <v>135</v>
      </c>
      <c r="AF86" t="s">
        <v>136</v>
      </c>
      <c r="AI86">
        <v>17</v>
      </c>
      <c r="AJ86">
        <v>48</v>
      </c>
      <c r="AK86">
        <v>120</v>
      </c>
      <c r="AL86">
        <v>2</v>
      </c>
    </row>
    <row r="87" spans="1:38" x14ac:dyDescent="0.4">
      <c r="A87" t="s">
        <v>261</v>
      </c>
      <c r="B87">
        <v>85</v>
      </c>
      <c r="C87" t="s">
        <v>33</v>
      </c>
      <c r="D87">
        <v>3</v>
      </c>
      <c r="F87">
        <v>1</v>
      </c>
      <c r="G87" t="s">
        <v>46</v>
      </c>
      <c r="H87" t="s">
        <v>35</v>
      </c>
      <c r="K87" t="s">
        <v>45</v>
      </c>
      <c r="L87">
        <v>3</v>
      </c>
      <c r="N87">
        <v>2</v>
      </c>
      <c r="O87" t="s">
        <v>86</v>
      </c>
      <c r="S87" t="s">
        <v>53</v>
      </c>
      <c r="T87">
        <v>1</v>
      </c>
      <c r="U87">
        <v>2</v>
      </c>
      <c r="V87">
        <v>3</v>
      </c>
      <c r="W87" t="s">
        <v>54</v>
      </c>
      <c r="X87" t="s">
        <v>83</v>
      </c>
      <c r="AA87" t="s">
        <v>63</v>
      </c>
      <c r="AB87">
        <v>1</v>
      </c>
      <c r="AD87">
        <v>1</v>
      </c>
      <c r="AE87" t="s">
        <v>72</v>
      </c>
      <c r="AF87" t="s">
        <v>146</v>
      </c>
      <c r="AI87">
        <v>11</v>
      </c>
      <c r="AJ87">
        <v>38</v>
      </c>
      <c r="AK87">
        <v>120</v>
      </c>
      <c r="AL87">
        <v>2</v>
      </c>
    </row>
    <row r="88" spans="1:38" x14ac:dyDescent="0.4">
      <c r="A88" t="s">
        <v>262</v>
      </c>
      <c r="B88">
        <v>86</v>
      </c>
      <c r="C88" t="s">
        <v>33</v>
      </c>
      <c r="D88">
        <v>2</v>
      </c>
      <c r="F88">
        <v>2</v>
      </c>
      <c r="G88" t="s">
        <v>46</v>
      </c>
      <c r="H88" t="s">
        <v>35</v>
      </c>
      <c r="K88" t="s">
        <v>38</v>
      </c>
      <c r="L88">
        <v>3</v>
      </c>
      <c r="M88">
        <v>1</v>
      </c>
      <c r="N88">
        <v>1</v>
      </c>
      <c r="O88" t="s">
        <v>152</v>
      </c>
      <c r="P88" t="s">
        <v>96</v>
      </c>
      <c r="Q88" t="s">
        <v>154</v>
      </c>
      <c r="S88" t="s">
        <v>53</v>
      </c>
      <c r="T88">
        <v>1</v>
      </c>
      <c r="U88">
        <v>1</v>
      </c>
      <c r="V88">
        <v>3</v>
      </c>
      <c r="W88" t="s">
        <v>54</v>
      </c>
      <c r="X88" t="s">
        <v>83</v>
      </c>
      <c r="AA88" t="s">
        <v>63</v>
      </c>
      <c r="AB88">
        <v>1</v>
      </c>
      <c r="AD88">
        <v>2</v>
      </c>
      <c r="AE88" t="s">
        <v>72</v>
      </c>
      <c r="AI88">
        <v>11</v>
      </c>
      <c r="AJ88">
        <v>36</v>
      </c>
      <c r="AK88">
        <v>120</v>
      </c>
      <c r="AL88">
        <v>2</v>
      </c>
    </row>
    <row r="89" spans="1:38" x14ac:dyDescent="0.4">
      <c r="A89" t="s">
        <v>263</v>
      </c>
      <c r="B89">
        <v>87</v>
      </c>
      <c r="C89" t="s">
        <v>53</v>
      </c>
      <c r="D89">
        <v>2</v>
      </c>
      <c r="E89">
        <v>3</v>
      </c>
      <c r="F89">
        <v>3</v>
      </c>
      <c r="G89" t="s">
        <v>112</v>
      </c>
      <c r="H89" t="s">
        <v>83</v>
      </c>
      <c r="K89" t="s">
        <v>63</v>
      </c>
      <c r="L89">
        <v>2</v>
      </c>
      <c r="N89">
        <v>1</v>
      </c>
      <c r="O89" t="s">
        <v>72</v>
      </c>
      <c r="P89" t="s">
        <v>95</v>
      </c>
      <c r="S89" t="s">
        <v>43</v>
      </c>
      <c r="T89">
        <v>1</v>
      </c>
      <c r="V89">
        <v>3</v>
      </c>
      <c r="W89" t="s">
        <v>135</v>
      </c>
      <c r="X89" t="s">
        <v>74</v>
      </c>
      <c r="Y89" t="s">
        <v>137</v>
      </c>
      <c r="Z89" t="s">
        <v>138</v>
      </c>
      <c r="AA89" t="s">
        <v>45</v>
      </c>
      <c r="AB89">
        <v>3</v>
      </c>
      <c r="AD89">
        <v>3</v>
      </c>
      <c r="AE89" t="s">
        <v>47</v>
      </c>
      <c r="AF89" t="s">
        <v>76</v>
      </c>
      <c r="AG89" t="s">
        <v>93</v>
      </c>
      <c r="AH89" t="s">
        <v>94</v>
      </c>
      <c r="AI89">
        <v>21</v>
      </c>
      <c r="AJ89">
        <v>106</v>
      </c>
      <c r="AK89">
        <v>120</v>
      </c>
      <c r="AL89">
        <v>2</v>
      </c>
    </row>
    <row r="90" spans="1:38" x14ac:dyDescent="0.4">
      <c r="A90" t="s">
        <v>264</v>
      </c>
      <c r="B90">
        <v>88</v>
      </c>
      <c r="C90" t="s">
        <v>43</v>
      </c>
      <c r="D90">
        <v>2</v>
      </c>
      <c r="F90">
        <v>2</v>
      </c>
      <c r="G90" t="s">
        <v>135</v>
      </c>
      <c r="H90" t="s">
        <v>74</v>
      </c>
      <c r="I90" t="s">
        <v>75</v>
      </c>
      <c r="K90" t="s">
        <v>38</v>
      </c>
      <c r="L90">
        <v>3</v>
      </c>
      <c r="M90">
        <v>1</v>
      </c>
      <c r="N90">
        <v>1</v>
      </c>
      <c r="O90" t="s">
        <v>152</v>
      </c>
      <c r="P90" t="s">
        <v>96</v>
      </c>
      <c r="S90" t="s">
        <v>53</v>
      </c>
      <c r="T90">
        <v>2</v>
      </c>
      <c r="U90">
        <v>1</v>
      </c>
      <c r="V90">
        <v>3</v>
      </c>
      <c r="W90" t="s">
        <v>111</v>
      </c>
      <c r="X90" t="s">
        <v>83</v>
      </c>
      <c r="Y90" t="s">
        <v>97</v>
      </c>
      <c r="AA90" t="s">
        <v>63</v>
      </c>
      <c r="AB90">
        <v>2</v>
      </c>
      <c r="AD90">
        <v>2</v>
      </c>
      <c r="AE90" t="s">
        <v>103</v>
      </c>
      <c r="AF90" t="s">
        <v>91</v>
      </c>
      <c r="AI90">
        <v>15</v>
      </c>
      <c r="AJ90">
        <v>40</v>
      </c>
      <c r="AK90">
        <v>120</v>
      </c>
      <c r="AL90">
        <v>2</v>
      </c>
    </row>
    <row r="91" spans="1:38" x14ac:dyDescent="0.4">
      <c r="A91" t="s">
        <v>265</v>
      </c>
      <c r="B91">
        <v>89</v>
      </c>
      <c r="C91" t="s">
        <v>53</v>
      </c>
      <c r="D91">
        <v>2</v>
      </c>
      <c r="E91">
        <v>1</v>
      </c>
      <c r="F91">
        <v>3</v>
      </c>
      <c r="G91" t="s">
        <v>54</v>
      </c>
      <c r="H91" t="s">
        <v>83</v>
      </c>
      <c r="K91" t="s">
        <v>63</v>
      </c>
      <c r="L91">
        <v>3</v>
      </c>
      <c r="N91">
        <v>1</v>
      </c>
      <c r="O91" t="s">
        <v>72</v>
      </c>
      <c r="P91" t="s">
        <v>146</v>
      </c>
      <c r="S91" t="s">
        <v>45</v>
      </c>
      <c r="T91">
        <v>3</v>
      </c>
      <c r="V91">
        <v>1</v>
      </c>
      <c r="W91" t="s">
        <v>86</v>
      </c>
      <c r="AA91" t="s">
        <v>38</v>
      </c>
      <c r="AB91">
        <v>3</v>
      </c>
      <c r="AC91">
        <v>1</v>
      </c>
      <c r="AD91">
        <v>1</v>
      </c>
      <c r="AE91" t="s">
        <v>152</v>
      </c>
      <c r="AF91" t="s">
        <v>40</v>
      </c>
      <c r="AI91">
        <v>12</v>
      </c>
      <c r="AJ91">
        <v>33</v>
      </c>
      <c r="AK91">
        <v>120</v>
      </c>
      <c r="AL91">
        <v>2</v>
      </c>
    </row>
    <row r="92" spans="1:38" x14ac:dyDescent="0.4">
      <c r="A92" t="s">
        <v>266</v>
      </c>
      <c r="B92">
        <v>90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55</v>
      </c>
      <c r="K92" t="s">
        <v>38</v>
      </c>
      <c r="L92">
        <v>3</v>
      </c>
      <c r="M92">
        <v>1</v>
      </c>
      <c r="N92">
        <v>3</v>
      </c>
      <c r="O92" t="s">
        <v>152</v>
      </c>
      <c r="P92" t="s">
        <v>96</v>
      </c>
      <c r="Q92" t="s">
        <v>41</v>
      </c>
      <c r="S92" t="s">
        <v>56</v>
      </c>
      <c r="T92">
        <v>2</v>
      </c>
      <c r="V92">
        <v>2</v>
      </c>
      <c r="W92" t="s">
        <v>68</v>
      </c>
      <c r="AA92" t="s">
        <v>48</v>
      </c>
      <c r="AB92">
        <v>1</v>
      </c>
      <c r="AD92">
        <v>1</v>
      </c>
      <c r="AE92" t="s">
        <v>49</v>
      </c>
      <c r="AI92">
        <v>10</v>
      </c>
      <c r="AJ92">
        <v>37</v>
      </c>
      <c r="AK92">
        <v>120</v>
      </c>
      <c r="AL92">
        <v>2</v>
      </c>
    </row>
    <row r="93" spans="1:38" x14ac:dyDescent="0.4">
      <c r="A93" s="4" t="s">
        <v>267</v>
      </c>
      <c r="B93">
        <v>91</v>
      </c>
      <c r="C93" t="s">
        <v>53</v>
      </c>
      <c r="D93">
        <v>3</v>
      </c>
      <c r="E93">
        <v>3</v>
      </c>
      <c r="F93">
        <v>3</v>
      </c>
      <c r="G93" t="s">
        <v>54</v>
      </c>
      <c r="H93" t="s">
        <v>83</v>
      </c>
      <c r="I93" t="s">
        <v>114</v>
      </c>
      <c r="J93" t="s">
        <v>98</v>
      </c>
      <c r="K93" t="s">
        <v>38</v>
      </c>
      <c r="L93">
        <v>2</v>
      </c>
      <c r="M93">
        <v>1</v>
      </c>
      <c r="N93">
        <v>3</v>
      </c>
      <c r="O93" t="s">
        <v>67</v>
      </c>
      <c r="P93" t="s">
        <v>70</v>
      </c>
      <c r="Q93" t="s">
        <v>41</v>
      </c>
      <c r="R93" t="s">
        <v>156</v>
      </c>
      <c r="S93" t="s">
        <v>56</v>
      </c>
      <c r="T93">
        <v>3</v>
      </c>
      <c r="V93">
        <v>2</v>
      </c>
      <c r="W93" t="s">
        <v>57</v>
      </c>
      <c r="X93" t="s">
        <v>121</v>
      </c>
      <c r="AA93" t="s">
        <v>33</v>
      </c>
      <c r="AB93">
        <v>1</v>
      </c>
      <c r="AD93">
        <v>1</v>
      </c>
      <c r="AE93" t="s">
        <v>46</v>
      </c>
      <c r="AI93">
        <v>19</v>
      </c>
      <c r="AJ93">
        <v>102</v>
      </c>
      <c r="AK93">
        <v>120</v>
      </c>
      <c r="AL93">
        <v>2</v>
      </c>
    </row>
    <row r="94" spans="1:38" x14ac:dyDescent="0.4">
      <c r="A94" s="4" t="s">
        <v>268</v>
      </c>
      <c r="B94">
        <v>92</v>
      </c>
      <c r="C94" t="s">
        <v>53</v>
      </c>
      <c r="D94">
        <v>2</v>
      </c>
      <c r="E94">
        <v>1</v>
      </c>
      <c r="F94">
        <v>1</v>
      </c>
      <c r="G94" t="s">
        <v>112</v>
      </c>
      <c r="H94" t="s">
        <v>55</v>
      </c>
      <c r="K94" t="s">
        <v>38</v>
      </c>
      <c r="L94">
        <v>3</v>
      </c>
      <c r="M94">
        <v>1</v>
      </c>
      <c r="N94">
        <v>1</v>
      </c>
      <c r="O94" t="s">
        <v>67</v>
      </c>
      <c r="P94" t="s">
        <v>70</v>
      </c>
      <c r="Q94" t="s">
        <v>41</v>
      </c>
      <c r="R94" t="s">
        <v>156</v>
      </c>
      <c r="S94" t="s">
        <v>56</v>
      </c>
      <c r="T94">
        <v>2</v>
      </c>
      <c r="V94">
        <v>2</v>
      </c>
      <c r="W94" t="s">
        <v>68</v>
      </c>
      <c r="AA94" t="s">
        <v>43</v>
      </c>
      <c r="AB94">
        <v>1</v>
      </c>
      <c r="AD94">
        <v>2</v>
      </c>
      <c r="AE94" t="s">
        <v>135</v>
      </c>
      <c r="AI94">
        <v>10</v>
      </c>
      <c r="AJ94">
        <v>33</v>
      </c>
      <c r="AK94">
        <v>120</v>
      </c>
      <c r="AL94">
        <v>2</v>
      </c>
    </row>
    <row r="95" spans="1:38" x14ac:dyDescent="0.4">
      <c r="A95" s="4" t="s">
        <v>269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2</v>
      </c>
      <c r="M95">
        <v>2</v>
      </c>
      <c r="N95">
        <v>1</v>
      </c>
      <c r="O95" t="s">
        <v>39</v>
      </c>
      <c r="P95" t="s">
        <v>40</v>
      </c>
      <c r="Q95" t="s">
        <v>154</v>
      </c>
      <c r="R95" t="s">
        <v>156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2</v>
      </c>
      <c r="AD95">
        <v>1</v>
      </c>
      <c r="AE95" t="s">
        <v>47</v>
      </c>
      <c r="AI95">
        <v>9</v>
      </c>
      <c r="AJ95">
        <v>28</v>
      </c>
      <c r="AK95">
        <v>120</v>
      </c>
      <c r="AL95">
        <v>2</v>
      </c>
    </row>
    <row r="96" spans="1:38" x14ac:dyDescent="0.4">
      <c r="A96" s="4" t="s">
        <v>270</v>
      </c>
      <c r="B96">
        <v>94</v>
      </c>
      <c r="C96" t="s">
        <v>56</v>
      </c>
      <c r="D96">
        <v>3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2</v>
      </c>
      <c r="O96" t="s">
        <v>103</v>
      </c>
      <c r="S96" t="s">
        <v>53</v>
      </c>
      <c r="T96">
        <v>2</v>
      </c>
      <c r="U96">
        <v>1</v>
      </c>
      <c r="V96">
        <v>3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152</v>
      </c>
      <c r="AF96" t="s">
        <v>96</v>
      </c>
      <c r="AI96">
        <v>9</v>
      </c>
      <c r="AJ96">
        <v>35</v>
      </c>
      <c r="AK96">
        <v>120</v>
      </c>
      <c r="AL96">
        <v>2</v>
      </c>
    </row>
    <row r="97" spans="1:38" x14ac:dyDescent="0.4">
      <c r="A97" s="4" t="s">
        <v>271</v>
      </c>
      <c r="B97">
        <v>95</v>
      </c>
      <c r="C97" t="s">
        <v>53</v>
      </c>
      <c r="D97">
        <v>3</v>
      </c>
      <c r="E97">
        <v>1</v>
      </c>
      <c r="F97">
        <v>2</v>
      </c>
      <c r="G97" t="s">
        <v>54</v>
      </c>
      <c r="H97" t="s">
        <v>55</v>
      </c>
      <c r="I97" t="s">
        <v>114</v>
      </c>
      <c r="K97" t="s">
        <v>38</v>
      </c>
      <c r="L97">
        <v>1</v>
      </c>
      <c r="M97">
        <v>3</v>
      </c>
      <c r="N97">
        <v>2</v>
      </c>
      <c r="O97" t="s">
        <v>152</v>
      </c>
      <c r="P97" t="s">
        <v>96</v>
      </c>
      <c r="Q97" t="s">
        <v>153</v>
      </c>
      <c r="S97" t="s">
        <v>48</v>
      </c>
      <c r="T97">
        <v>1</v>
      </c>
      <c r="V97">
        <v>2</v>
      </c>
      <c r="W97" t="s">
        <v>49</v>
      </c>
      <c r="X97" t="s">
        <v>84</v>
      </c>
      <c r="Y97" t="s">
        <v>90</v>
      </c>
      <c r="Z97" t="s">
        <v>52</v>
      </c>
      <c r="AA97" t="s">
        <v>33</v>
      </c>
      <c r="AB97">
        <v>2</v>
      </c>
      <c r="AD97">
        <v>1</v>
      </c>
      <c r="AE97" t="s">
        <v>46</v>
      </c>
      <c r="AI97">
        <v>15</v>
      </c>
      <c r="AJ97">
        <v>53</v>
      </c>
      <c r="AK97">
        <v>120</v>
      </c>
      <c r="AL97">
        <v>2</v>
      </c>
    </row>
    <row r="98" spans="1:38" x14ac:dyDescent="0.4">
      <c r="A98" s="4" t="s">
        <v>272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54</v>
      </c>
      <c r="K98" t="s">
        <v>38</v>
      </c>
      <c r="L98">
        <v>2</v>
      </c>
      <c r="M98">
        <v>1</v>
      </c>
      <c r="N98">
        <v>1</v>
      </c>
      <c r="O98" t="s">
        <v>67</v>
      </c>
      <c r="P98" t="s">
        <v>70</v>
      </c>
      <c r="S98" t="s">
        <v>48</v>
      </c>
      <c r="T98">
        <v>2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135</v>
      </c>
      <c r="AI98">
        <v>5</v>
      </c>
      <c r="AJ98">
        <v>20</v>
      </c>
      <c r="AK98">
        <v>120</v>
      </c>
      <c r="AL98">
        <v>2</v>
      </c>
    </row>
    <row r="99" spans="1:38" x14ac:dyDescent="0.4">
      <c r="A99" s="4" t="s">
        <v>273</v>
      </c>
      <c r="B99">
        <v>97</v>
      </c>
      <c r="C99" t="s">
        <v>53</v>
      </c>
      <c r="D99">
        <v>3</v>
      </c>
      <c r="E99">
        <v>3</v>
      </c>
      <c r="F99">
        <v>3</v>
      </c>
      <c r="G99" t="s">
        <v>54</v>
      </c>
      <c r="H99" t="s">
        <v>55</v>
      </c>
      <c r="I99" t="s">
        <v>114</v>
      </c>
      <c r="J99" t="s">
        <v>98</v>
      </c>
      <c r="K99" t="s">
        <v>38</v>
      </c>
      <c r="L99">
        <v>1</v>
      </c>
      <c r="M99">
        <v>1</v>
      </c>
      <c r="N99">
        <v>1</v>
      </c>
      <c r="O99" t="s">
        <v>152</v>
      </c>
      <c r="P99" t="s">
        <v>40</v>
      </c>
      <c r="Q99" t="s">
        <v>41</v>
      </c>
      <c r="R99" t="s">
        <v>155</v>
      </c>
      <c r="S99" t="s">
        <v>48</v>
      </c>
      <c r="T99">
        <v>1</v>
      </c>
      <c r="V99">
        <v>1</v>
      </c>
      <c r="W99" t="s">
        <v>49</v>
      </c>
      <c r="X99" t="s">
        <v>50</v>
      </c>
      <c r="AA99" t="s">
        <v>45</v>
      </c>
      <c r="AB99">
        <v>2</v>
      </c>
      <c r="AD99">
        <v>2</v>
      </c>
      <c r="AE99" t="s">
        <v>86</v>
      </c>
      <c r="AF99" t="s">
        <v>76</v>
      </c>
      <c r="AG99" t="s">
        <v>93</v>
      </c>
      <c r="AI99">
        <v>17</v>
      </c>
      <c r="AJ99">
        <v>56</v>
      </c>
      <c r="AK99">
        <v>120</v>
      </c>
      <c r="AL99">
        <v>2</v>
      </c>
    </row>
    <row r="100" spans="1:38" x14ac:dyDescent="0.4">
      <c r="A100" s="4" t="s">
        <v>274</v>
      </c>
      <c r="B100">
        <v>98</v>
      </c>
      <c r="C100" t="s">
        <v>53</v>
      </c>
      <c r="D100">
        <v>1</v>
      </c>
      <c r="E100">
        <v>2</v>
      </c>
      <c r="F100">
        <v>1</v>
      </c>
      <c r="G100" t="s">
        <v>111</v>
      </c>
      <c r="H100" t="s">
        <v>113</v>
      </c>
      <c r="I100" t="s">
        <v>97</v>
      </c>
      <c r="K100" t="s">
        <v>38</v>
      </c>
      <c r="L100">
        <v>3</v>
      </c>
      <c r="M100">
        <v>1</v>
      </c>
      <c r="N100">
        <v>1</v>
      </c>
      <c r="O100" t="s">
        <v>39</v>
      </c>
      <c r="P100" t="s">
        <v>70</v>
      </c>
      <c r="Q100" t="s">
        <v>41</v>
      </c>
      <c r="R100" t="s">
        <v>156</v>
      </c>
      <c r="S100" t="s">
        <v>48</v>
      </c>
      <c r="T100">
        <v>1</v>
      </c>
      <c r="V100">
        <v>1</v>
      </c>
      <c r="W100" t="s">
        <v>49</v>
      </c>
      <c r="X100" t="s">
        <v>84</v>
      </c>
      <c r="AA100" t="s">
        <v>63</v>
      </c>
      <c r="AB100">
        <v>3</v>
      </c>
      <c r="AD100">
        <v>1</v>
      </c>
      <c r="AE100" t="s">
        <v>103</v>
      </c>
      <c r="AI100">
        <v>11</v>
      </c>
      <c r="AJ100">
        <v>53</v>
      </c>
      <c r="AK100">
        <v>120</v>
      </c>
      <c r="AL100">
        <v>2</v>
      </c>
    </row>
    <row r="101" spans="1:38" x14ac:dyDescent="0.4">
      <c r="A101" s="4" t="s">
        <v>275</v>
      </c>
      <c r="B101">
        <v>99</v>
      </c>
      <c r="C101" t="s">
        <v>53</v>
      </c>
      <c r="D101">
        <v>3</v>
      </c>
      <c r="E101">
        <v>2</v>
      </c>
      <c r="F101">
        <v>2</v>
      </c>
      <c r="G101" t="s">
        <v>112</v>
      </c>
      <c r="H101" t="s">
        <v>55</v>
      </c>
      <c r="K101" t="s">
        <v>38</v>
      </c>
      <c r="L101">
        <v>1</v>
      </c>
      <c r="M101">
        <v>2</v>
      </c>
      <c r="N101">
        <v>2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X101" t="s">
        <v>130</v>
      </c>
      <c r="Y101" t="s">
        <v>131</v>
      </c>
      <c r="AA101" t="s">
        <v>43</v>
      </c>
      <c r="AB101">
        <v>2</v>
      </c>
      <c r="AD101">
        <v>2</v>
      </c>
      <c r="AE101" t="s">
        <v>135</v>
      </c>
      <c r="AI101">
        <v>14</v>
      </c>
      <c r="AJ101">
        <v>38</v>
      </c>
      <c r="AK101">
        <v>120</v>
      </c>
      <c r="AL101">
        <v>2</v>
      </c>
    </row>
    <row r="102" spans="1:38" x14ac:dyDescent="0.4">
      <c r="A102" s="4" t="s">
        <v>276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112</v>
      </c>
      <c r="H102" t="s">
        <v>55</v>
      </c>
      <c r="K102" t="s">
        <v>38</v>
      </c>
      <c r="L102">
        <v>1</v>
      </c>
      <c r="M102">
        <v>3</v>
      </c>
      <c r="N102">
        <v>2</v>
      </c>
      <c r="O102" t="s">
        <v>67</v>
      </c>
      <c r="P102" t="s">
        <v>70</v>
      </c>
      <c r="S102" t="s">
        <v>33</v>
      </c>
      <c r="T102">
        <v>2</v>
      </c>
      <c r="V102">
        <v>2</v>
      </c>
      <c r="W102" t="s">
        <v>46</v>
      </c>
      <c r="X102" t="s">
        <v>130</v>
      </c>
      <c r="AA102" t="s">
        <v>45</v>
      </c>
      <c r="AB102">
        <v>2</v>
      </c>
      <c r="AD102">
        <v>1</v>
      </c>
      <c r="AE102" t="s">
        <v>86</v>
      </c>
      <c r="AI102">
        <v>10</v>
      </c>
      <c r="AJ102">
        <v>40</v>
      </c>
      <c r="AK102">
        <v>120</v>
      </c>
      <c r="AL102">
        <v>2</v>
      </c>
    </row>
    <row r="103" spans="1:38" x14ac:dyDescent="0.4">
      <c r="A103" s="4" t="s">
        <v>277</v>
      </c>
      <c r="B103">
        <v>101</v>
      </c>
      <c r="C103" t="s">
        <v>33</v>
      </c>
      <c r="D103">
        <v>2</v>
      </c>
      <c r="F103">
        <v>1</v>
      </c>
      <c r="G103" t="s">
        <v>46</v>
      </c>
      <c r="H103" t="s">
        <v>35</v>
      </c>
      <c r="I103" t="s">
        <v>131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Q103" t="s">
        <v>147</v>
      </c>
      <c r="S103" t="s">
        <v>53</v>
      </c>
      <c r="T103">
        <v>2</v>
      </c>
      <c r="U103">
        <v>1</v>
      </c>
      <c r="V103">
        <v>3</v>
      </c>
      <c r="W103" t="s">
        <v>54</v>
      </c>
      <c r="AA103" t="s">
        <v>38</v>
      </c>
      <c r="AB103">
        <v>3</v>
      </c>
      <c r="AC103">
        <v>1</v>
      </c>
      <c r="AD103">
        <v>3</v>
      </c>
      <c r="AE103" t="s">
        <v>67</v>
      </c>
      <c r="AI103">
        <v>14</v>
      </c>
      <c r="AJ103">
        <v>53</v>
      </c>
      <c r="AK103">
        <v>120</v>
      </c>
      <c r="AL103">
        <v>2</v>
      </c>
    </row>
    <row r="104" spans="1:38" x14ac:dyDescent="0.4">
      <c r="A104" s="4" t="s">
        <v>278</v>
      </c>
      <c r="B104">
        <v>102</v>
      </c>
      <c r="C104" t="s">
        <v>43</v>
      </c>
      <c r="D104">
        <v>2</v>
      </c>
      <c r="F104">
        <v>1</v>
      </c>
      <c r="G104" t="s">
        <v>135</v>
      </c>
      <c r="H104" t="s">
        <v>74</v>
      </c>
      <c r="I104" t="s">
        <v>137</v>
      </c>
      <c r="J104" t="s">
        <v>101</v>
      </c>
      <c r="K104" t="s">
        <v>45</v>
      </c>
      <c r="L104">
        <v>1</v>
      </c>
      <c r="N104">
        <v>1</v>
      </c>
      <c r="O104" t="s">
        <v>47</v>
      </c>
      <c r="S104" t="s">
        <v>53</v>
      </c>
      <c r="T104">
        <v>2</v>
      </c>
      <c r="U104">
        <v>1</v>
      </c>
      <c r="V104">
        <v>1</v>
      </c>
      <c r="W104" t="s">
        <v>112</v>
      </c>
      <c r="X104" t="s">
        <v>113</v>
      </c>
      <c r="Y104" t="s">
        <v>97</v>
      </c>
      <c r="AA104" t="s">
        <v>38</v>
      </c>
      <c r="AB104">
        <v>1</v>
      </c>
      <c r="AC104">
        <v>1</v>
      </c>
      <c r="AD104">
        <v>1</v>
      </c>
      <c r="AE104" t="s">
        <v>67</v>
      </c>
      <c r="AI104">
        <v>7</v>
      </c>
      <c r="AJ104">
        <v>57</v>
      </c>
      <c r="AK104">
        <v>120</v>
      </c>
      <c r="AL104">
        <v>2</v>
      </c>
    </row>
    <row r="105" spans="1:38" x14ac:dyDescent="0.4">
      <c r="A105" s="4" t="s">
        <v>279</v>
      </c>
      <c r="B105">
        <v>103</v>
      </c>
      <c r="C105" t="s">
        <v>53</v>
      </c>
      <c r="D105">
        <v>3</v>
      </c>
      <c r="E105">
        <v>2</v>
      </c>
      <c r="F105">
        <v>1</v>
      </c>
      <c r="G105" t="s">
        <v>54</v>
      </c>
      <c r="H105" t="s">
        <v>83</v>
      </c>
      <c r="I105" t="s">
        <v>97</v>
      </c>
      <c r="J105" t="s">
        <v>98</v>
      </c>
      <c r="K105" t="s">
        <v>38</v>
      </c>
      <c r="L105">
        <v>2</v>
      </c>
      <c r="M105">
        <v>1</v>
      </c>
      <c r="N105">
        <v>3</v>
      </c>
      <c r="O105" t="s">
        <v>67</v>
      </c>
      <c r="P105" t="s">
        <v>70</v>
      </c>
      <c r="S105" t="s">
        <v>43</v>
      </c>
      <c r="T105">
        <v>1</v>
      </c>
      <c r="V105">
        <v>1</v>
      </c>
      <c r="W105" t="s">
        <v>135</v>
      </c>
      <c r="X105" t="s">
        <v>136</v>
      </c>
      <c r="Y105" t="s">
        <v>75</v>
      </c>
      <c r="AA105" t="s">
        <v>63</v>
      </c>
      <c r="AB105">
        <v>2</v>
      </c>
      <c r="AD105">
        <v>3</v>
      </c>
      <c r="AE105" t="s">
        <v>103</v>
      </c>
      <c r="AF105" t="s">
        <v>146</v>
      </c>
      <c r="AI105">
        <v>16</v>
      </c>
      <c r="AJ105">
        <v>40</v>
      </c>
      <c r="AK105">
        <v>120</v>
      </c>
      <c r="AL105">
        <v>2</v>
      </c>
    </row>
    <row r="106" spans="1:38" x14ac:dyDescent="0.4">
      <c r="A106" s="4" t="s">
        <v>280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54</v>
      </c>
      <c r="H106" t="s">
        <v>55</v>
      </c>
      <c r="I106" t="s">
        <v>114</v>
      </c>
      <c r="K106" t="s">
        <v>38</v>
      </c>
      <c r="L106">
        <v>1</v>
      </c>
      <c r="M106">
        <v>1</v>
      </c>
      <c r="N106">
        <v>2</v>
      </c>
      <c r="O106" t="s">
        <v>39</v>
      </c>
      <c r="P106" t="s">
        <v>70</v>
      </c>
      <c r="Q106" t="s">
        <v>154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1</v>
      </c>
      <c r="AD106">
        <v>2</v>
      </c>
      <c r="AE106" t="s">
        <v>103</v>
      </c>
      <c r="AF106" t="s">
        <v>146</v>
      </c>
      <c r="AG106" t="s">
        <v>148</v>
      </c>
      <c r="AI106">
        <v>11</v>
      </c>
      <c r="AJ106">
        <v>65</v>
      </c>
      <c r="AK106">
        <v>120</v>
      </c>
      <c r="AL106">
        <v>2</v>
      </c>
    </row>
    <row r="107" spans="1:38" x14ac:dyDescent="0.4">
      <c r="A107" s="4" t="s">
        <v>281</v>
      </c>
      <c r="B107">
        <v>105</v>
      </c>
      <c r="C107" t="s">
        <v>33</v>
      </c>
      <c r="D107">
        <v>2</v>
      </c>
      <c r="F107">
        <v>1</v>
      </c>
      <c r="G107" t="s">
        <v>46</v>
      </c>
      <c r="H107" t="s">
        <v>130</v>
      </c>
      <c r="I107" t="s">
        <v>36</v>
      </c>
      <c r="K107" t="s">
        <v>43</v>
      </c>
      <c r="L107">
        <v>1</v>
      </c>
      <c r="N107">
        <v>1</v>
      </c>
      <c r="O107" t="s">
        <v>135</v>
      </c>
      <c r="S107" t="s">
        <v>56</v>
      </c>
      <c r="T107">
        <v>1</v>
      </c>
      <c r="V107">
        <v>2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5</v>
      </c>
      <c r="AJ107">
        <v>35</v>
      </c>
      <c r="AK107">
        <v>120</v>
      </c>
      <c r="AL107">
        <v>2</v>
      </c>
    </row>
    <row r="108" spans="1:38" x14ac:dyDescent="0.4">
      <c r="A108" s="4" t="s">
        <v>282</v>
      </c>
      <c r="B108">
        <v>106</v>
      </c>
      <c r="C108" t="s">
        <v>33</v>
      </c>
      <c r="D108">
        <v>2</v>
      </c>
      <c r="F108">
        <v>1</v>
      </c>
      <c r="G108" t="s">
        <v>46</v>
      </c>
      <c r="H108" t="s">
        <v>130</v>
      </c>
      <c r="I108" t="s">
        <v>36</v>
      </c>
      <c r="K108" t="s">
        <v>45</v>
      </c>
      <c r="L108">
        <v>3</v>
      </c>
      <c r="N108">
        <v>1</v>
      </c>
      <c r="O108" t="s">
        <v>86</v>
      </c>
      <c r="P108" t="s">
        <v>141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7</v>
      </c>
      <c r="AJ108">
        <v>32</v>
      </c>
      <c r="AK108">
        <v>120</v>
      </c>
      <c r="AL108">
        <v>2</v>
      </c>
    </row>
    <row r="109" spans="1:38" x14ac:dyDescent="0.4">
      <c r="A109" s="4" t="s">
        <v>283</v>
      </c>
      <c r="B109">
        <v>107</v>
      </c>
      <c r="C109" t="s">
        <v>33</v>
      </c>
      <c r="D109">
        <v>3</v>
      </c>
      <c r="F109">
        <v>1</v>
      </c>
      <c r="G109" t="s">
        <v>46</v>
      </c>
      <c r="H109" t="s">
        <v>66</v>
      </c>
      <c r="I109" t="s">
        <v>131</v>
      </c>
      <c r="J109" t="s">
        <v>133</v>
      </c>
      <c r="K109" t="s">
        <v>63</v>
      </c>
      <c r="L109">
        <v>2</v>
      </c>
      <c r="N109">
        <v>2</v>
      </c>
      <c r="O109" t="s">
        <v>103</v>
      </c>
      <c r="P109" t="s">
        <v>146</v>
      </c>
      <c r="Q109" t="s">
        <v>148</v>
      </c>
      <c r="R109" t="s">
        <v>149</v>
      </c>
      <c r="S109" t="s">
        <v>56</v>
      </c>
      <c r="T109">
        <v>2</v>
      </c>
      <c r="V109">
        <v>3</v>
      </c>
      <c r="W109" t="s">
        <v>120</v>
      </c>
      <c r="X109" t="s">
        <v>69</v>
      </c>
      <c r="Y109" t="s">
        <v>87</v>
      </c>
      <c r="AA109" t="s">
        <v>48</v>
      </c>
      <c r="AB109">
        <v>3</v>
      </c>
      <c r="AD109">
        <v>1</v>
      </c>
      <c r="AE109" t="s">
        <v>49</v>
      </c>
      <c r="AI109">
        <v>17</v>
      </c>
      <c r="AJ109">
        <v>47</v>
      </c>
      <c r="AK109">
        <v>120</v>
      </c>
      <c r="AL109">
        <v>2</v>
      </c>
    </row>
    <row r="110" spans="1:38" x14ac:dyDescent="0.4">
      <c r="A110" s="4" t="s">
        <v>284</v>
      </c>
      <c r="B110">
        <v>108</v>
      </c>
      <c r="C110" t="s">
        <v>33</v>
      </c>
      <c r="D110">
        <v>2</v>
      </c>
      <c r="F110">
        <v>1</v>
      </c>
      <c r="G110" t="s">
        <v>46</v>
      </c>
      <c r="H110" t="s">
        <v>66</v>
      </c>
      <c r="I110" t="s">
        <v>132</v>
      </c>
      <c r="K110" t="s">
        <v>38</v>
      </c>
      <c r="L110">
        <v>3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2</v>
      </c>
      <c r="W110" t="s">
        <v>120</v>
      </c>
      <c r="X110" t="s">
        <v>69</v>
      </c>
      <c r="Y110" t="s">
        <v>87</v>
      </c>
      <c r="AA110" t="s">
        <v>48</v>
      </c>
      <c r="AB110">
        <v>1</v>
      </c>
      <c r="AD110">
        <v>1</v>
      </c>
      <c r="AE110" t="s">
        <v>49</v>
      </c>
      <c r="AI110">
        <v>9</v>
      </c>
      <c r="AJ110">
        <v>37</v>
      </c>
      <c r="AK110">
        <v>120</v>
      </c>
      <c r="AL110">
        <v>2</v>
      </c>
    </row>
    <row r="111" spans="1:38" x14ac:dyDescent="0.4">
      <c r="A111" s="4" t="s">
        <v>285</v>
      </c>
      <c r="B111">
        <v>109</v>
      </c>
      <c r="C111" t="s">
        <v>56</v>
      </c>
      <c r="D111">
        <v>2</v>
      </c>
      <c r="F111">
        <v>1</v>
      </c>
      <c r="G111" t="s">
        <v>120</v>
      </c>
      <c r="H111" t="s">
        <v>69</v>
      </c>
      <c r="K111" t="s">
        <v>48</v>
      </c>
      <c r="L111">
        <v>1</v>
      </c>
      <c r="N111">
        <v>3</v>
      </c>
      <c r="O111" t="s">
        <v>126</v>
      </c>
      <c r="P111" t="s">
        <v>71</v>
      </c>
      <c r="Q111" t="s">
        <v>90</v>
      </c>
      <c r="S111" t="s">
        <v>43</v>
      </c>
      <c r="T111">
        <v>2</v>
      </c>
      <c r="V111">
        <v>1</v>
      </c>
      <c r="W111" t="s">
        <v>73</v>
      </c>
      <c r="X111" t="s">
        <v>99</v>
      </c>
      <c r="AA111" t="s">
        <v>45</v>
      </c>
      <c r="AB111">
        <v>3</v>
      </c>
      <c r="AD111">
        <v>1</v>
      </c>
      <c r="AE111" t="s">
        <v>86</v>
      </c>
      <c r="AF111" t="s">
        <v>141</v>
      </c>
      <c r="AG111" t="s">
        <v>102</v>
      </c>
      <c r="AI111">
        <v>12</v>
      </c>
      <c r="AJ111">
        <v>35</v>
      </c>
      <c r="AK111">
        <v>120</v>
      </c>
      <c r="AL111">
        <v>2</v>
      </c>
    </row>
    <row r="112" spans="1:38" x14ac:dyDescent="0.4">
      <c r="A112" s="4" t="s">
        <v>286</v>
      </c>
      <c r="B112">
        <v>110</v>
      </c>
      <c r="C112" t="s">
        <v>43</v>
      </c>
      <c r="D112">
        <v>3</v>
      </c>
      <c r="F112">
        <v>1</v>
      </c>
      <c r="G112" t="s">
        <v>73</v>
      </c>
      <c r="H112" t="s">
        <v>99</v>
      </c>
      <c r="I112" t="s">
        <v>75</v>
      </c>
      <c r="K112" t="s">
        <v>63</v>
      </c>
      <c r="L112">
        <v>3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1</v>
      </c>
      <c r="AD112">
        <v>1</v>
      </c>
      <c r="AE112" t="s">
        <v>126</v>
      </c>
      <c r="AF112" t="s">
        <v>50</v>
      </c>
      <c r="AG112" t="s">
        <v>51</v>
      </c>
      <c r="AI112">
        <v>8</v>
      </c>
      <c r="AJ112">
        <v>31</v>
      </c>
      <c r="AK112">
        <v>120</v>
      </c>
      <c r="AL112">
        <v>2</v>
      </c>
    </row>
    <row r="113" spans="1:38" x14ac:dyDescent="0.4">
      <c r="A113" s="4" t="s">
        <v>287</v>
      </c>
      <c r="B113">
        <v>111</v>
      </c>
      <c r="C113" t="s">
        <v>56</v>
      </c>
      <c r="D113">
        <v>1</v>
      </c>
      <c r="F113">
        <v>1</v>
      </c>
      <c r="G113" t="s">
        <v>120</v>
      </c>
      <c r="H113" t="s">
        <v>69</v>
      </c>
      <c r="I113" t="s">
        <v>123</v>
      </c>
      <c r="K113" t="s">
        <v>48</v>
      </c>
      <c r="L113">
        <v>1</v>
      </c>
      <c r="N113">
        <v>1</v>
      </c>
      <c r="O113" t="s">
        <v>126</v>
      </c>
      <c r="P113" t="s">
        <v>71</v>
      </c>
      <c r="Q113" t="s">
        <v>51</v>
      </c>
      <c r="S113" t="s">
        <v>43</v>
      </c>
      <c r="T113">
        <v>1</v>
      </c>
      <c r="V113">
        <v>3</v>
      </c>
      <c r="W113" t="s">
        <v>135</v>
      </c>
      <c r="AA113" t="s">
        <v>38</v>
      </c>
      <c r="AB113">
        <v>1</v>
      </c>
      <c r="AC113">
        <v>3</v>
      </c>
      <c r="AD113">
        <v>1</v>
      </c>
      <c r="AE113" t="s">
        <v>152</v>
      </c>
      <c r="AF113" t="s">
        <v>96</v>
      </c>
      <c r="AG113" t="s">
        <v>153</v>
      </c>
      <c r="AI113">
        <v>10</v>
      </c>
      <c r="AJ113">
        <v>48</v>
      </c>
      <c r="AK113">
        <v>120</v>
      </c>
      <c r="AL113">
        <v>2</v>
      </c>
    </row>
    <row r="114" spans="1:38" x14ac:dyDescent="0.4">
      <c r="A114" s="4" t="s">
        <v>288</v>
      </c>
      <c r="B114">
        <v>112</v>
      </c>
      <c r="C114" t="s">
        <v>45</v>
      </c>
      <c r="D114">
        <v>3</v>
      </c>
      <c r="F114">
        <v>1</v>
      </c>
      <c r="G114" t="s">
        <v>86</v>
      </c>
      <c r="H114" t="s">
        <v>141</v>
      </c>
      <c r="K114" t="s">
        <v>63</v>
      </c>
      <c r="L114">
        <v>1</v>
      </c>
      <c r="N114">
        <v>2</v>
      </c>
      <c r="O114" t="s">
        <v>103</v>
      </c>
      <c r="P114" t="s">
        <v>95</v>
      </c>
      <c r="S114" t="s">
        <v>56</v>
      </c>
      <c r="T114">
        <v>3</v>
      </c>
      <c r="V114">
        <v>3</v>
      </c>
      <c r="W114" t="s">
        <v>68</v>
      </c>
      <c r="AA114" t="s">
        <v>48</v>
      </c>
      <c r="AB114">
        <v>3</v>
      </c>
      <c r="AD114">
        <v>1</v>
      </c>
      <c r="AE114" t="s">
        <v>49</v>
      </c>
      <c r="AI114">
        <v>11</v>
      </c>
      <c r="AJ114">
        <v>42</v>
      </c>
      <c r="AK114">
        <v>120</v>
      </c>
      <c r="AL114">
        <v>2</v>
      </c>
    </row>
    <row r="115" spans="1:38" x14ac:dyDescent="0.4">
      <c r="A115" s="4" t="s">
        <v>289</v>
      </c>
      <c r="B115">
        <v>113</v>
      </c>
      <c r="C115" t="s">
        <v>45</v>
      </c>
      <c r="D115">
        <v>2</v>
      </c>
      <c r="F115">
        <v>1</v>
      </c>
      <c r="G115" t="s">
        <v>86</v>
      </c>
      <c r="K115" t="s">
        <v>38</v>
      </c>
      <c r="L115">
        <v>3</v>
      </c>
      <c r="M115">
        <v>1</v>
      </c>
      <c r="N115">
        <v>1</v>
      </c>
      <c r="O115" t="s">
        <v>152</v>
      </c>
      <c r="P115" t="s">
        <v>70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2</v>
      </c>
      <c r="AE115" t="s">
        <v>89</v>
      </c>
      <c r="AI115">
        <v>5</v>
      </c>
      <c r="AJ115">
        <v>26</v>
      </c>
      <c r="AK115">
        <v>120</v>
      </c>
      <c r="AL115">
        <v>2</v>
      </c>
    </row>
    <row r="116" spans="1:38" x14ac:dyDescent="0.4">
      <c r="A116" s="4" t="s">
        <v>290</v>
      </c>
      <c r="B116">
        <v>114</v>
      </c>
      <c r="C116" t="s">
        <v>56</v>
      </c>
      <c r="D116">
        <v>2</v>
      </c>
      <c r="F116">
        <v>1</v>
      </c>
      <c r="G116" t="s">
        <v>57</v>
      </c>
      <c r="H116" t="s">
        <v>121</v>
      </c>
      <c r="I116" t="s">
        <v>85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Q116" t="s">
        <v>90</v>
      </c>
      <c r="R116" t="s">
        <v>52</v>
      </c>
      <c r="S116" t="s">
        <v>63</v>
      </c>
      <c r="T116">
        <v>2</v>
      </c>
      <c r="V116">
        <v>2</v>
      </c>
      <c r="W116" t="s">
        <v>103</v>
      </c>
      <c r="AA116" t="s">
        <v>38</v>
      </c>
      <c r="AB116">
        <v>2</v>
      </c>
      <c r="AC116">
        <v>3</v>
      </c>
      <c r="AD116">
        <v>2</v>
      </c>
      <c r="AE116" t="s">
        <v>152</v>
      </c>
      <c r="AI116">
        <v>12</v>
      </c>
      <c r="AJ116">
        <v>58</v>
      </c>
      <c r="AK116">
        <v>120</v>
      </c>
      <c r="AL116">
        <v>2</v>
      </c>
    </row>
    <row r="117" spans="1:38" x14ac:dyDescent="0.4">
      <c r="A117" s="4" t="s">
        <v>291</v>
      </c>
      <c r="B117">
        <v>115</v>
      </c>
      <c r="C117" t="s">
        <v>56</v>
      </c>
      <c r="D117">
        <v>1</v>
      </c>
      <c r="F117">
        <v>1</v>
      </c>
      <c r="G117" t="s">
        <v>120</v>
      </c>
      <c r="H117" t="s">
        <v>121</v>
      </c>
      <c r="I117" t="s">
        <v>123</v>
      </c>
      <c r="J117" t="s">
        <v>125</v>
      </c>
      <c r="K117" t="s">
        <v>33</v>
      </c>
      <c r="L117">
        <v>3</v>
      </c>
      <c r="N117">
        <v>2</v>
      </c>
      <c r="O117" t="s">
        <v>46</v>
      </c>
      <c r="P117" t="s">
        <v>130</v>
      </c>
      <c r="Q117" t="s">
        <v>36</v>
      </c>
      <c r="R117" t="s">
        <v>133</v>
      </c>
      <c r="S117" t="s">
        <v>48</v>
      </c>
      <c r="T117">
        <v>3</v>
      </c>
      <c r="V117">
        <v>1</v>
      </c>
      <c r="W117" t="s">
        <v>49</v>
      </c>
      <c r="X117" t="s">
        <v>71</v>
      </c>
      <c r="Y117" t="s">
        <v>90</v>
      </c>
      <c r="AA117" t="s">
        <v>43</v>
      </c>
      <c r="AB117">
        <v>3</v>
      </c>
      <c r="AD117">
        <v>1</v>
      </c>
      <c r="AE117" t="s">
        <v>135</v>
      </c>
      <c r="AF117" t="s">
        <v>136</v>
      </c>
      <c r="AI117">
        <v>16</v>
      </c>
      <c r="AJ117">
        <v>43</v>
      </c>
      <c r="AK117">
        <v>120</v>
      </c>
      <c r="AL117">
        <v>2</v>
      </c>
    </row>
    <row r="118" spans="1:38" x14ac:dyDescent="0.4">
      <c r="A118" s="4" t="s">
        <v>292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86</v>
      </c>
      <c r="S118" t="s">
        <v>56</v>
      </c>
      <c r="T118">
        <v>2</v>
      </c>
      <c r="V118">
        <v>3</v>
      </c>
      <c r="W118" t="s">
        <v>120</v>
      </c>
      <c r="X118" t="s">
        <v>69</v>
      </c>
      <c r="Y118" t="s">
        <v>87</v>
      </c>
      <c r="AA118" t="s">
        <v>33</v>
      </c>
      <c r="AB118">
        <v>2</v>
      </c>
      <c r="AD118">
        <v>1</v>
      </c>
      <c r="AE118" t="s">
        <v>46</v>
      </c>
      <c r="AI118">
        <v>9</v>
      </c>
      <c r="AJ118">
        <v>49</v>
      </c>
      <c r="AK118">
        <v>120</v>
      </c>
      <c r="AL118">
        <v>2</v>
      </c>
    </row>
    <row r="119" spans="1:38" x14ac:dyDescent="0.4">
      <c r="A119" s="4" t="s">
        <v>293</v>
      </c>
      <c r="B119">
        <v>117</v>
      </c>
      <c r="C119" t="s">
        <v>48</v>
      </c>
      <c r="D119">
        <v>3</v>
      </c>
      <c r="F119">
        <v>1</v>
      </c>
      <c r="G119" t="s">
        <v>49</v>
      </c>
      <c r="H119" t="s">
        <v>71</v>
      </c>
      <c r="K119" t="s">
        <v>63</v>
      </c>
      <c r="L119">
        <v>1</v>
      </c>
      <c r="N119">
        <v>2</v>
      </c>
      <c r="O119" t="s">
        <v>103</v>
      </c>
      <c r="S119" t="s">
        <v>56</v>
      </c>
      <c r="T119">
        <v>2</v>
      </c>
      <c r="V119">
        <v>1</v>
      </c>
      <c r="W119" t="s">
        <v>57</v>
      </c>
      <c r="AA119" t="s">
        <v>33</v>
      </c>
      <c r="AB119">
        <v>2</v>
      </c>
      <c r="AD119">
        <v>1</v>
      </c>
      <c r="AE119" t="s">
        <v>46</v>
      </c>
      <c r="AI119">
        <v>6</v>
      </c>
      <c r="AJ119">
        <v>43</v>
      </c>
      <c r="AK119">
        <v>120</v>
      </c>
      <c r="AL119">
        <v>2</v>
      </c>
    </row>
    <row r="120" spans="1:38" x14ac:dyDescent="0.4">
      <c r="A120" s="4" t="s">
        <v>294</v>
      </c>
      <c r="B120">
        <v>118</v>
      </c>
      <c r="C120" t="s">
        <v>48</v>
      </c>
      <c r="D120">
        <v>1</v>
      </c>
      <c r="F120">
        <v>1</v>
      </c>
      <c r="G120" t="s">
        <v>126</v>
      </c>
      <c r="H120" t="s">
        <v>71</v>
      </c>
      <c r="I120" t="s">
        <v>51</v>
      </c>
      <c r="K120" t="s">
        <v>38</v>
      </c>
      <c r="L120">
        <v>1</v>
      </c>
      <c r="M120">
        <v>1</v>
      </c>
      <c r="N120">
        <v>2</v>
      </c>
      <c r="O120" t="s">
        <v>152</v>
      </c>
      <c r="P120" t="s">
        <v>70</v>
      </c>
      <c r="Q120" t="s">
        <v>41</v>
      </c>
      <c r="S120" t="s">
        <v>56</v>
      </c>
      <c r="T120">
        <v>1</v>
      </c>
      <c r="V120">
        <v>1</v>
      </c>
      <c r="W120" t="s">
        <v>57</v>
      </c>
      <c r="AA120" t="s">
        <v>33</v>
      </c>
      <c r="AB120">
        <v>1</v>
      </c>
      <c r="AD120">
        <v>1</v>
      </c>
      <c r="AE120" t="s">
        <v>46</v>
      </c>
      <c r="AI120">
        <v>5</v>
      </c>
      <c r="AJ120">
        <v>46</v>
      </c>
      <c r="AK120">
        <v>120</v>
      </c>
      <c r="AL120">
        <v>2</v>
      </c>
    </row>
    <row r="121" spans="1:38" x14ac:dyDescent="0.4">
      <c r="A121" s="4" t="s">
        <v>295</v>
      </c>
      <c r="B121">
        <v>119</v>
      </c>
      <c r="C121" t="s">
        <v>56</v>
      </c>
      <c r="D121">
        <v>1</v>
      </c>
      <c r="F121">
        <v>1</v>
      </c>
      <c r="G121" t="s">
        <v>120</v>
      </c>
      <c r="K121" t="s">
        <v>33</v>
      </c>
      <c r="L121">
        <v>2</v>
      </c>
      <c r="N121">
        <v>3</v>
      </c>
      <c r="O121" t="s">
        <v>46</v>
      </c>
      <c r="S121" t="s">
        <v>43</v>
      </c>
      <c r="T121">
        <v>2</v>
      </c>
      <c r="V121">
        <v>1</v>
      </c>
      <c r="W121" t="s">
        <v>135</v>
      </c>
      <c r="X121" t="s">
        <v>74</v>
      </c>
      <c r="Y121" t="s">
        <v>137</v>
      </c>
      <c r="AA121" t="s">
        <v>45</v>
      </c>
      <c r="AB121">
        <v>2</v>
      </c>
      <c r="AD121">
        <v>1</v>
      </c>
      <c r="AE121" t="s">
        <v>47</v>
      </c>
      <c r="AF121" t="s">
        <v>141</v>
      </c>
      <c r="AI121">
        <v>8</v>
      </c>
      <c r="AJ121">
        <v>25</v>
      </c>
      <c r="AK121">
        <v>120</v>
      </c>
      <c r="AL121">
        <v>2</v>
      </c>
    </row>
    <row r="122" spans="1:38" x14ac:dyDescent="0.4">
      <c r="A122" s="4" t="s">
        <v>296</v>
      </c>
      <c r="B122">
        <v>120</v>
      </c>
      <c r="C122" t="s">
        <v>56</v>
      </c>
      <c r="D122">
        <v>1</v>
      </c>
      <c r="F122">
        <v>1</v>
      </c>
      <c r="G122" t="s">
        <v>120</v>
      </c>
      <c r="H122" t="s">
        <v>69</v>
      </c>
      <c r="I122" t="s">
        <v>85</v>
      </c>
      <c r="K122" t="s">
        <v>33</v>
      </c>
      <c r="L122">
        <v>2</v>
      </c>
      <c r="N122">
        <v>1</v>
      </c>
      <c r="O122" t="s">
        <v>46</v>
      </c>
      <c r="S122" t="s">
        <v>43</v>
      </c>
      <c r="T122">
        <v>1</v>
      </c>
      <c r="V122">
        <v>1</v>
      </c>
      <c r="W122" t="s">
        <v>135</v>
      </c>
      <c r="AA122" t="s">
        <v>63</v>
      </c>
      <c r="AB122">
        <v>1</v>
      </c>
      <c r="AD122">
        <v>1</v>
      </c>
      <c r="AE122" t="s">
        <v>103</v>
      </c>
      <c r="AI122">
        <v>3</v>
      </c>
      <c r="AJ122">
        <v>26</v>
      </c>
      <c r="AK122">
        <v>120</v>
      </c>
      <c r="AL122">
        <v>2</v>
      </c>
    </row>
    <row r="123" spans="1:38" x14ac:dyDescent="0.4">
      <c r="A123" s="4" t="s">
        <v>297</v>
      </c>
      <c r="B123">
        <v>121</v>
      </c>
      <c r="C123" t="s">
        <v>43</v>
      </c>
      <c r="D123">
        <v>1</v>
      </c>
      <c r="F123">
        <v>1</v>
      </c>
      <c r="G123" t="s">
        <v>135</v>
      </c>
      <c r="H123" t="s">
        <v>136</v>
      </c>
      <c r="K123" t="s">
        <v>38</v>
      </c>
      <c r="L123">
        <v>3</v>
      </c>
      <c r="M123">
        <v>1</v>
      </c>
      <c r="N123">
        <v>3</v>
      </c>
      <c r="O123" t="s">
        <v>67</v>
      </c>
      <c r="S123" t="s">
        <v>56</v>
      </c>
      <c r="T123">
        <v>1</v>
      </c>
      <c r="V123">
        <v>1</v>
      </c>
      <c r="W123" t="s">
        <v>120</v>
      </c>
      <c r="AA123" t="s">
        <v>33</v>
      </c>
      <c r="AB123">
        <v>1</v>
      </c>
      <c r="AD123">
        <v>1</v>
      </c>
      <c r="AE123" t="s">
        <v>65</v>
      </c>
      <c r="AF123" t="s">
        <v>130</v>
      </c>
      <c r="AI123">
        <v>6</v>
      </c>
      <c r="AJ123">
        <v>26</v>
      </c>
      <c r="AK123">
        <v>120</v>
      </c>
      <c r="AL123">
        <v>2</v>
      </c>
    </row>
    <row r="124" spans="1:38" x14ac:dyDescent="0.4">
      <c r="A124" s="4" t="s">
        <v>298</v>
      </c>
      <c r="B124">
        <v>122</v>
      </c>
      <c r="C124" t="s">
        <v>45</v>
      </c>
      <c r="D124">
        <v>2</v>
      </c>
      <c r="F124">
        <v>1</v>
      </c>
      <c r="G124" t="s">
        <v>86</v>
      </c>
      <c r="K124" t="s">
        <v>63</v>
      </c>
      <c r="L124">
        <v>2</v>
      </c>
      <c r="N124">
        <v>1</v>
      </c>
      <c r="O124" t="s">
        <v>103</v>
      </c>
      <c r="S124" t="s">
        <v>56</v>
      </c>
      <c r="T124">
        <v>1</v>
      </c>
      <c r="V124">
        <v>1</v>
      </c>
      <c r="W124" t="s">
        <v>68</v>
      </c>
      <c r="AA124" t="s">
        <v>33</v>
      </c>
      <c r="AB124">
        <v>1</v>
      </c>
      <c r="AD124">
        <v>1</v>
      </c>
      <c r="AE124" t="s">
        <v>46</v>
      </c>
      <c r="AF124" t="s">
        <v>66</v>
      </c>
      <c r="AI124">
        <v>3</v>
      </c>
      <c r="AJ124">
        <v>27</v>
      </c>
      <c r="AK124">
        <v>120</v>
      </c>
      <c r="AL124">
        <v>2</v>
      </c>
    </row>
    <row r="125" spans="1:38" x14ac:dyDescent="0.4">
      <c r="A125" s="4" t="s">
        <v>299</v>
      </c>
      <c r="B125">
        <v>123</v>
      </c>
      <c r="C125" t="s">
        <v>45</v>
      </c>
      <c r="D125">
        <v>3</v>
      </c>
      <c r="F125">
        <v>1</v>
      </c>
      <c r="G125" t="s">
        <v>86</v>
      </c>
      <c r="K125" t="s">
        <v>38</v>
      </c>
      <c r="L125">
        <v>1</v>
      </c>
      <c r="M125">
        <v>1</v>
      </c>
      <c r="N125">
        <v>1</v>
      </c>
      <c r="O125" t="s">
        <v>152</v>
      </c>
      <c r="P125" t="s">
        <v>96</v>
      </c>
      <c r="S125" t="s">
        <v>56</v>
      </c>
      <c r="T125">
        <v>1</v>
      </c>
      <c r="V125">
        <v>3</v>
      </c>
      <c r="W125" t="s">
        <v>68</v>
      </c>
      <c r="AA125" t="s">
        <v>33</v>
      </c>
      <c r="AB125">
        <v>2</v>
      </c>
      <c r="AD125">
        <v>1</v>
      </c>
      <c r="AE125" t="s">
        <v>46</v>
      </c>
      <c r="AI125">
        <v>6</v>
      </c>
      <c r="AJ125">
        <v>28</v>
      </c>
      <c r="AK125">
        <v>120</v>
      </c>
      <c r="AL125">
        <v>2</v>
      </c>
    </row>
    <row r="126" spans="1:38" x14ac:dyDescent="0.4">
      <c r="A126" s="4" t="s">
        <v>300</v>
      </c>
      <c r="B126">
        <v>124</v>
      </c>
      <c r="C126" t="s">
        <v>56</v>
      </c>
      <c r="D126">
        <v>2</v>
      </c>
      <c r="F126">
        <v>3</v>
      </c>
      <c r="G126" t="s">
        <v>57</v>
      </c>
      <c r="H126" t="s">
        <v>122</v>
      </c>
      <c r="I126" t="s">
        <v>85</v>
      </c>
      <c r="K126" t="s">
        <v>33</v>
      </c>
      <c r="L126">
        <v>2</v>
      </c>
      <c r="N126">
        <v>1</v>
      </c>
      <c r="O126" t="s">
        <v>46</v>
      </c>
      <c r="S126" t="s">
        <v>63</v>
      </c>
      <c r="T126">
        <v>1</v>
      </c>
      <c r="V126">
        <v>2</v>
      </c>
      <c r="W126" t="s">
        <v>103</v>
      </c>
      <c r="AA126" t="s">
        <v>38</v>
      </c>
      <c r="AB126">
        <v>1</v>
      </c>
      <c r="AC126">
        <v>3</v>
      </c>
      <c r="AD126">
        <v>2</v>
      </c>
      <c r="AE126" t="s">
        <v>67</v>
      </c>
      <c r="AF126" t="s">
        <v>96</v>
      </c>
      <c r="AG126" t="s">
        <v>154</v>
      </c>
      <c r="AI126">
        <v>12</v>
      </c>
      <c r="AJ126">
        <v>54</v>
      </c>
      <c r="AK126">
        <v>120</v>
      </c>
      <c r="AL126">
        <v>2</v>
      </c>
    </row>
    <row r="127" spans="1:38" x14ac:dyDescent="0.4">
      <c r="A127" s="4" t="s">
        <v>301</v>
      </c>
      <c r="B127">
        <v>125</v>
      </c>
      <c r="C127" t="s">
        <v>56</v>
      </c>
      <c r="D127">
        <v>1</v>
      </c>
      <c r="F127">
        <v>1</v>
      </c>
      <c r="G127" t="s">
        <v>120</v>
      </c>
      <c r="K127" t="s">
        <v>43</v>
      </c>
      <c r="L127">
        <v>3</v>
      </c>
      <c r="N127">
        <v>1</v>
      </c>
      <c r="O127" t="s">
        <v>135</v>
      </c>
      <c r="P127" t="s">
        <v>99</v>
      </c>
      <c r="Q127" t="s">
        <v>137</v>
      </c>
      <c r="S127" t="s">
        <v>48</v>
      </c>
      <c r="T127">
        <v>1</v>
      </c>
      <c r="V127">
        <v>1</v>
      </c>
      <c r="W127" t="s">
        <v>126</v>
      </c>
      <c r="AA127" t="s">
        <v>33</v>
      </c>
      <c r="AB127">
        <v>3</v>
      </c>
      <c r="AD127">
        <v>1</v>
      </c>
      <c r="AE127" t="s">
        <v>46</v>
      </c>
      <c r="AI127">
        <v>6</v>
      </c>
      <c r="AJ127">
        <v>23</v>
      </c>
      <c r="AK127">
        <v>120</v>
      </c>
      <c r="AL127">
        <v>2</v>
      </c>
    </row>
    <row r="128" spans="1:38" x14ac:dyDescent="0.4">
      <c r="A128" s="4" t="s">
        <v>302</v>
      </c>
      <c r="B128">
        <v>126</v>
      </c>
      <c r="C128" t="s">
        <v>48</v>
      </c>
      <c r="D128">
        <v>2</v>
      </c>
      <c r="F128">
        <v>1</v>
      </c>
      <c r="G128" t="s">
        <v>126</v>
      </c>
      <c r="H128" t="s">
        <v>71</v>
      </c>
      <c r="I128" t="s">
        <v>90</v>
      </c>
      <c r="J128" t="s">
        <v>128</v>
      </c>
      <c r="K128" t="s">
        <v>45</v>
      </c>
      <c r="L128">
        <v>2</v>
      </c>
      <c r="N128">
        <v>1</v>
      </c>
      <c r="O128" t="s">
        <v>86</v>
      </c>
      <c r="P128" t="s">
        <v>141</v>
      </c>
      <c r="S128" t="s">
        <v>56</v>
      </c>
      <c r="T128">
        <v>1</v>
      </c>
      <c r="V128">
        <v>3</v>
      </c>
      <c r="W128" t="s">
        <v>120</v>
      </c>
      <c r="X128" t="s">
        <v>69</v>
      </c>
      <c r="Y128" t="s">
        <v>87</v>
      </c>
      <c r="AA128" t="s">
        <v>43</v>
      </c>
      <c r="AB128">
        <v>2</v>
      </c>
      <c r="AD128">
        <v>1</v>
      </c>
      <c r="AE128" t="s">
        <v>135</v>
      </c>
      <c r="AF128" t="s">
        <v>99</v>
      </c>
      <c r="AG128" t="s">
        <v>75</v>
      </c>
      <c r="AI128">
        <v>13</v>
      </c>
      <c r="AJ128">
        <v>51</v>
      </c>
      <c r="AK128">
        <v>120</v>
      </c>
      <c r="AL128">
        <v>2</v>
      </c>
    </row>
    <row r="129" spans="1:38" x14ac:dyDescent="0.4">
      <c r="A129" s="4" t="s">
        <v>303</v>
      </c>
      <c r="B129">
        <v>127</v>
      </c>
      <c r="C129" t="s">
        <v>48</v>
      </c>
      <c r="D129">
        <v>1</v>
      </c>
      <c r="F129">
        <v>1</v>
      </c>
      <c r="G129" t="s">
        <v>126</v>
      </c>
      <c r="H129" t="s">
        <v>71</v>
      </c>
      <c r="I129" t="s">
        <v>51</v>
      </c>
      <c r="K129" t="s">
        <v>63</v>
      </c>
      <c r="L129">
        <v>2</v>
      </c>
      <c r="N129">
        <v>1</v>
      </c>
      <c r="O129" t="s">
        <v>103</v>
      </c>
      <c r="P129" t="s">
        <v>95</v>
      </c>
      <c r="S129" t="s">
        <v>56</v>
      </c>
      <c r="T129">
        <v>1</v>
      </c>
      <c r="V129">
        <v>1</v>
      </c>
      <c r="W129" t="s">
        <v>57</v>
      </c>
      <c r="AA129" t="s">
        <v>43</v>
      </c>
      <c r="AB129">
        <v>1</v>
      </c>
      <c r="AD129">
        <v>1</v>
      </c>
      <c r="AE129" t="s">
        <v>135</v>
      </c>
      <c r="AI129">
        <v>4</v>
      </c>
      <c r="AJ129">
        <v>41</v>
      </c>
      <c r="AK129">
        <v>120</v>
      </c>
      <c r="AL129">
        <v>2</v>
      </c>
    </row>
    <row r="130" spans="1:38" x14ac:dyDescent="0.4">
      <c r="A130" s="4" t="s">
        <v>304</v>
      </c>
      <c r="B130">
        <v>128</v>
      </c>
      <c r="C130" t="s">
        <v>48</v>
      </c>
      <c r="D130">
        <v>1</v>
      </c>
      <c r="F130">
        <v>1</v>
      </c>
      <c r="G130" t="s">
        <v>126</v>
      </c>
      <c r="H130" t="s">
        <v>71</v>
      </c>
      <c r="I130" t="s">
        <v>51</v>
      </c>
      <c r="K130" t="s">
        <v>38</v>
      </c>
      <c r="L130">
        <v>1</v>
      </c>
      <c r="M130">
        <v>2</v>
      </c>
      <c r="N130">
        <v>1</v>
      </c>
      <c r="O130" t="s">
        <v>67</v>
      </c>
      <c r="P130" t="s">
        <v>40</v>
      </c>
      <c r="Q130" t="s">
        <v>154</v>
      </c>
      <c r="R130" t="s">
        <v>155</v>
      </c>
      <c r="S130" t="s">
        <v>56</v>
      </c>
      <c r="T130">
        <v>2</v>
      </c>
      <c r="V130">
        <v>1</v>
      </c>
      <c r="W130" t="s">
        <v>57</v>
      </c>
      <c r="X130" t="s">
        <v>122</v>
      </c>
      <c r="AA130" t="s">
        <v>43</v>
      </c>
      <c r="AB130">
        <v>1</v>
      </c>
      <c r="AD130">
        <v>1</v>
      </c>
      <c r="AE130" t="s">
        <v>73</v>
      </c>
      <c r="AI130">
        <v>8</v>
      </c>
      <c r="AJ130">
        <v>34</v>
      </c>
      <c r="AK130">
        <v>120</v>
      </c>
      <c r="AL130">
        <v>2</v>
      </c>
    </row>
    <row r="131" spans="1:38" x14ac:dyDescent="0.4">
      <c r="A131" s="4" t="s">
        <v>305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3</v>
      </c>
      <c r="N131">
        <v>1</v>
      </c>
      <c r="O131" t="s">
        <v>135</v>
      </c>
      <c r="P131" t="s">
        <v>74</v>
      </c>
      <c r="S131" t="s">
        <v>33</v>
      </c>
      <c r="T131">
        <v>1</v>
      </c>
      <c r="V131">
        <v>2</v>
      </c>
      <c r="W131" t="s">
        <v>46</v>
      </c>
      <c r="AA131" t="s">
        <v>45</v>
      </c>
      <c r="AB131">
        <v>2</v>
      </c>
      <c r="AD131">
        <v>1</v>
      </c>
      <c r="AE131" t="s">
        <v>86</v>
      </c>
      <c r="AI131">
        <v>5</v>
      </c>
      <c r="AJ131">
        <v>20</v>
      </c>
      <c r="AK131">
        <v>120</v>
      </c>
      <c r="AL131">
        <v>2</v>
      </c>
    </row>
    <row r="132" spans="1:38" x14ac:dyDescent="0.4">
      <c r="A132" s="4" t="s">
        <v>306</v>
      </c>
      <c r="B132">
        <v>130</v>
      </c>
      <c r="C132" t="s">
        <v>33</v>
      </c>
      <c r="D132">
        <v>3</v>
      </c>
      <c r="F132">
        <v>3</v>
      </c>
      <c r="G132" t="s">
        <v>46</v>
      </c>
      <c r="H132" t="s">
        <v>66</v>
      </c>
      <c r="I132" t="s">
        <v>132</v>
      </c>
      <c r="J132" t="s">
        <v>37</v>
      </c>
      <c r="K132" t="s">
        <v>63</v>
      </c>
      <c r="L132">
        <v>1</v>
      </c>
      <c r="N132">
        <v>1</v>
      </c>
      <c r="O132" t="s">
        <v>145</v>
      </c>
      <c r="S132" t="s">
        <v>56</v>
      </c>
      <c r="T132">
        <v>2</v>
      </c>
      <c r="V132">
        <v>3</v>
      </c>
      <c r="W132" t="s">
        <v>68</v>
      </c>
      <c r="X132" t="s">
        <v>69</v>
      </c>
      <c r="AA132" t="s">
        <v>43</v>
      </c>
      <c r="AB132">
        <v>2</v>
      </c>
      <c r="AD132">
        <v>1</v>
      </c>
      <c r="AE132" t="s">
        <v>135</v>
      </c>
      <c r="AF132" t="s">
        <v>136</v>
      </c>
      <c r="AG132" t="s">
        <v>137</v>
      </c>
      <c r="AI132">
        <v>14</v>
      </c>
      <c r="AJ132">
        <v>63</v>
      </c>
      <c r="AK132">
        <v>120</v>
      </c>
      <c r="AL132">
        <v>2</v>
      </c>
    </row>
    <row r="133" spans="1:38" x14ac:dyDescent="0.4">
      <c r="A133" s="4" t="s">
        <v>307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I133" t="s">
        <v>131</v>
      </c>
      <c r="K133" t="s">
        <v>38</v>
      </c>
      <c r="L133">
        <v>1</v>
      </c>
      <c r="M133">
        <v>1</v>
      </c>
      <c r="N133">
        <v>1</v>
      </c>
      <c r="O133" t="s">
        <v>67</v>
      </c>
      <c r="P133" t="s">
        <v>70</v>
      </c>
      <c r="Q133" t="s">
        <v>154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1</v>
      </c>
      <c r="AD133">
        <v>1</v>
      </c>
      <c r="AE133" t="s">
        <v>135</v>
      </c>
      <c r="AF133" t="s">
        <v>99</v>
      </c>
      <c r="AI133">
        <v>9</v>
      </c>
      <c r="AJ133">
        <v>30</v>
      </c>
      <c r="AK133">
        <v>120</v>
      </c>
      <c r="AL133">
        <v>2</v>
      </c>
    </row>
    <row r="134" spans="1:38" x14ac:dyDescent="0.4">
      <c r="A134" s="4" t="s">
        <v>308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3</v>
      </c>
      <c r="N134">
        <v>3</v>
      </c>
      <c r="O134" t="s">
        <v>135</v>
      </c>
      <c r="P134" t="s">
        <v>136</v>
      </c>
      <c r="Q134" t="s">
        <v>100</v>
      </c>
      <c r="R134" t="s">
        <v>138</v>
      </c>
      <c r="S134" t="s">
        <v>45</v>
      </c>
      <c r="T134">
        <v>2</v>
      </c>
      <c r="V134">
        <v>1</v>
      </c>
      <c r="W134" t="s">
        <v>86</v>
      </c>
      <c r="X134" t="s">
        <v>76</v>
      </c>
      <c r="AA134" t="s">
        <v>63</v>
      </c>
      <c r="AB134">
        <v>3</v>
      </c>
      <c r="AD134">
        <v>1</v>
      </c>
      <c r="AE134" t="s">
        <v>103</v>
      </c>
      <c r="AF134" t="s">
        <v>95</v>
      </c>
      <c r="AG134" t="s">
        <v>148</v>
      </c>
      <c r="AI134">
        <v>14</v>
      </c>
      <c r="AJ134">
        <v>55</v>
      </c>
      <c r="AK134">
        <v>120</v>
      </c>
      <c r="AL134">
        <v>2</v>
      </c>
    </row>
    <row r="135" spans="1:38" x14ac:dyDescent="0.4">
      <c r="A135" s="4" t="s">
        <v>309</v>
      </c>
      <c r="B135">
        <v>133</v>
      </c>
      <c r="C135" t="s">
        <v>45</v>
      </c>
      <c r="D135">
        <v>3</v>
      </c>
      <c r="F135">
        <v>1</v>
      </c>
      <c r="G135" t="s">
        <v>86</v>
      </c>
      <c r="K135" t="s">
        <v>38</v>
      </c>
      <c r="L135">
        <v>1</v>
      </c>
      <c r="M135">
        <v>1</v>
      </c>
      <c r="N135">
        <v>3</v>
      </c>
      <c r="O135" t="s">
        <v>67</v>
      </c>
      <c r="P135" t="s">
        <v>96</v>
      </c>
      <c r="Q135" t="s">
        <v>41</v>
      </c>
      <c r="S135" t="s">
        <v>56</v>
      </c>
      <c r="T135">
        <v>3</v>
      </c>
      <c r="V135">
        <v>2</v>
      </c>
      <c r="W135" t="s">
        <v>68</v>
      </c>
      <c r="AA135" t="s">
        <v>43</v>
      </c>
      <c r="AB135">
        <v>1</v>
      </c>
      <c r="AD135">
        <v>1</v>
      </c>
      <c r="AE135" t="s">
        <v>135</v>
      </c>
      <c r="AI135">
        <v>9</v>
      </c>
      <c r="AJ135">
        <v>53</v>
      </c>
      <c r="AK135">
        <v>120</v>
      </c>
      <c r="AL135">
        <v>2</v>
      </c>
    </row>
    <row r="136" spans="1:38" x14ac:dyDescent="0.4">
      <c r="A136" s="4" t="s">
        <v>310</v>
      </c>
      <c r="B136">
        <v>134</v>
      </c>
      <c r="C136" t="s">
        <v>56</v>
      </c>
      <c r="D136">
        <v>3</v>
      </c>
      <c r="F136">
        <v>1</v>
      </c>
      <c r="G136" t="s">
        <v>68</v>
      </c>
      <c r="H136" t="s">
        <v>122</v>
      </c>
      <c r="K136" t="s">
        <v>43</v>
      </c>
      <c r="L136">
        <v>1</v>
      </c>
      <c r="N136">
        <v>3</v>
      </c>
      <c r="O136" t="s">
        <v>135</v>
      </c>
      <c r="P136" t="s">
        <v>99</v>
      </c>
      <c r="S136" t="s">
        <v>63</v>
      </c>
      <c r="T136">
        <v>1</v>
      </c>
      <c r="V136">
        <v>3</v>
      </c>
      <c r="W136" t="s">
        <v>103</v>
      </c>
      <c r="X136" t="s">
        <v>146</v>
      </c>
      <c r="Y136" t="s">
        <v>147</v>
      </c>
      <c r="AA136" t="s">
        <v>38</v>
      </c>
      <c r="AB136">
        <v>3</v>
      </c>
      <c r="AC136">
        <v>1</v>
      </c>
      <c r="AD136">
        <v>1</v>
      </c>
      <c r="AE136" t="s">
        <v>67</v>
      </c>
      <c r="AF136" t="s">
        <v>70</v>
      </c>
      <c r="AI136">
        <v>13</v>
      </c>
      <c r="AJ136">
        <v>58</v>
      </c>
      <c r="AK136">
        <v>120</v>
      </c>
      <c r="AL136">
        <v>2</v>
      </c>
    </row>
    <row r="137" spans="1:38" x14ac:dyDescent="0.4">
      <c r="A137" s="4" t="s">
        <v>311</v>
      </c>
      <c r="B137">
        <v>135</v>
      </c>
      <c r="C137" t="s">
        <v>48</v>
      </c>
      <c r="D137">
        <v>3</v>
      </c>
      <c r="F137">
        <v>3</v>
      </c>
      <c r="G137" t="s">
        <v>126</v>
      </c>
      <c r="H137" t="s">
        <v>71</v>
      </c>
      <c r="I137" t="s">
        <v>90</v>
      </c>
      <c r="J137" t="s">
        <v>128</v>
      </c>
      <c r="K137" t="s">
        <v>33</v>
      </c>
      <c r="L137">
        <v>1</v>
      </c>
      <c r="N137">
        <v>1</v>
      </c>
      <c r="O137" t="s">
        <v>46</v>
      </c>
      <c r="S137" t="s">
        <v>56</v>
      </c>
      <c r="T137">
        <v>3</v>
      </c>
      <c r="V137">
        <v>2</v>
      </c>
      <c r="W137" t="s">
        <v>120</v>
      </c>
      <c r="AA137" t="s">
        <v>45</v>
      </c>
      <c r="AB137">
        <v>3</v>
      </c>
      <c r="AD137">
        <v>3</v>
      </c>
      <c r="AE137" t="s">
        <v>47</v>
      </c>
      <c r="AF137" t="s">
        <v>76</v>
      </c>
      <c r="AG137" t="s">
        <v>93</v>
      </c>
      <c r="AH137" t="s">
        <v>144</v>
      </c>
      <c r="AI137">
        <v>17</v>
      </c>
      <c r="AJ137">
        <v>77</v>
      </c>
      <c r="AK137">
        <v>120</v>
      </c>
      <c r="AL137">
        <v>2</v>
      </c>
    </row>
    <row r="138" spans="1:38" x14ac:dyDescent="0.4">
      <c r="A138" s="4" t="s">
        <v>312</v>
      </c>
      <c r="B138">
        <v>136</v>
      </c>
      <c r="C138" t="s">
        <v>56</v>
      </c>
      <c r="D138">
        <v>1</v>
      </c>
      <c r="F138">
        <v>1</v>
      </c>
      <c r="G138" t="s">
        <v>120</v>
      </c>
      <c r="K138" t="s">
        <v>45</v>
      </c>
      <c r="L138">
        <v>3</v>
      </c>
      <c r="N138">
        <v>2</v>
      </c>
      <c r="O138" t="s">
        <v>47</v>
      </c>
      <c r="S138" t="s">
        <v>48</v>
      </c>
      <c r="T138">
        <v>1</v>
      </c>
      <c r="V138">
        <v>2</v>
      </c>
      <c r="W138" t="s">
        <v>126</v>
      </c>
      <c r="X138" t="s">
        <v>50</v>
      </c>
      <c r="Y138" t="s">
        <v>51</v>
      </c>
      <c r="Z138" t="s">
        <v>128</v>
      </c>
      <c r="AA138" t="s">
        <v>43</v>
      </c>
      <c r="AB138">
        <v>2</v>
      </c>
      <c r="AD138">
        <v>2</v>
      </c>
      <c r="AE138" t="s">
        <v>135</v>
      </c>
      <c r="AI138">
        <v>9</v>
      </c>
      <c r="AJ138">
        <v>48</v>
      </c>
      <c r="AK138">
        <v>120</v>
      </c>
      <c r="AL138">
        <v>2</v>
      </c>
    </row>
    <row r="139" spans="1:38" x14ac:dyDescent="0.4">
      <c r="A139" s="4" t="s">
        <v>313</v>
      </c>
      <c r="B139">
        <v>137</v>
      </c>
      <c r="C139" t="s">
        <v>56</v>
      </c>
      <c r="D139">
        <v>1</v>
      </c>
      <c r="F139">
        <v>1</v>
      </c>
      <c r="G139" t="s">
        <v>57</v>
      </c>
      <c r="K139" t="s">
        <v>45</v>
      </c>
      <c r="L139">
        <v>3</v>
      </c>
      <c r="N139">
        <v>1</v>
      </c>
      <c r="O139" t="s">
        <v>47</v>
      </c>
      <c r="S139" t="s">
        <v>48</v>
      </c>
      <c r="T139">
        <v>1</v>
      </c>
      <c r="V139">
        <v>1</v>
      </c>
      <c r="W139" t="s">
        <v>49</v>
      </c>
      <c r="X139" t="s">
        <v>50</v>
      </c>
      <c r="AA139" t="s">
        <v>63</v>
      </c>
      <c r="AB139">
        <v>2</v>
      </c>
      <c r="AD139">
        <v>1</v>
      </c>
      <c r="AE139" t="s">
        <v>103</v>
      </c>
      <c r="AI139">
        <v>4</v>
      </c>
      <c r="AJ139">
        <v>44</v>
      </c>
      <c r="AK139">
        <v>120</v>
      </c>
      <c r="AL139">
        <v>2</v>
      </c>
    </row>
    <row r="140" spans="1:38" x14ac:dyDescent="0.4">
      <c r="A140" s="4" t="s">
        <v>314</v>
      </c>
      <c r="B140">
        <v>138</v>
      </c>
      <c r="C140" t="s">
        <v>48</v>
      </c>
      <c r="D140">
        <v>1</v>
      </c>
      <c r="F140">
        <v>1</v>
      </c>
      <c r="G140" t="s">
        <v>126</v>
      </c>
      <c r="H140" t="s">
        <v>71</v>
      </c>
      <c r="K140" t="s">
        <v>38</v>
      </c>
      <c r="L140">
        <v>3</v>
      </c>
      <c r="M140">
        <v>1</v>
      </c>
      <c r="N140">
        <v>2</v>
      </c>
      <c r="O140" t="s">
        <v>67</v>
      </c>
      <c r="S140" t="s">
        <v>56</v>
      </c>
      <c r="T140">
        <v>1</v>
      </c>
      <c r="V140">
        <v>1</v>
      </c>
      <c r="W140" t="s">
        <v>120</v>
      </c>
      <c r="AA140" t="s">
        <v>45</v>
      </c>
      <c r="AB140">
        <v>2</v>
      </c>
      <c r="AD140">
        <v>1</v>
      </c>
      <c r="AE140" t="s">
        <v>86</v>
      </c>
      <c r="AF140" t="s">
        <v>92</v>
      </c>
      <c r="AI140">
        <v>6</v>
      </c>
      <c r="AJ140">
        <v>26</v>
      </c>
      <c r="AK140">
        <v>120</v>
      </c>
      <c r="AL140">
        <v>2</v>
      </c>
    </row>
    <row r="141" spans="1:38" x14ac:dyDescent="0.4">
      <c r="A141" s="4" t="s">
        <v>315</v>
      </c>
      <c r="B141">
        <v>139</v>
      </c>
      <c r="C141" t="s">
        <v>56</v>
      </c>
      <c r="D141">
        <v>1</v>
      </c>
      <c r="F141">
        <v>1</v>
      </c>
      <c r="G141" t="s">
        <v>120</v>
      </c>
      <c r="H141" t="s">
        <v>69</v>
      </c>
      <c r="K141" t="s">
        <v>45</v>
      </c>
      <c r="L141">
        <v>2</v>
      </c>
      <c r="N141">
        <v>1</v>
      </c>
      <c r="O141" t="s">
        <v>47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1</v>
      </c>
      <c r="AD141">
        <v>3</v>
      </c>
      <c r="AE141" t="s">
        <v>135</v>
      </c>
      <c r="AI141">
        <v>5</v>
      </c>
      <c r="AJ141">
        <v>20</v>
      </c>
      <c r="AK141">
        <v>120</v>
      </c>
      <c r="AL141">
        <v>2</v>
      </c>
    </row>
    <row r="142" spans="1:38" x14ac:dyDescent="0.4">
      <c r="A142" s="4" t="s">
        <v>316</v>
      </c>
      <c r="B142">
        <v>140</v>
      </c>
      <c r="C142" t="s">
        <v>56</v>
      </c>
      <c r="D142">
        <v>1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47</v>
      </c>
      <c r="S142" t="s">
        <v>33</v>
      </c>
      <c r="T142">
        <v>1</v>
      </c>
      <c r="V142">
        <v>1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I142">
        <v>2</v>
      </c>
      <c r="AJ142">
        <v>20</v>
      </c>
      <c r="AK142">
        <v>120</v>
      </c>
      <c r="AL142">
        <v>2</v>
      </c>
    </row>
    <row r="143" spans="1:38" x14ac:dyDescent="0.4">
      <c r="A143" s="4" t="s">
        <v>317</v>
      </c>
      <c r="B143">
        <v>141</v>
      </c>
      <c r="C143" t="s">
        <v>56</v>
      </c>
      <c r="D143">
        <v>1</v>
      </c>
      <c r="F143">
        <v>1</v>
      </c>
      <c r="G143" t="s">
        <v>68</v>
      </c>
      <c r="K143" t="s">
        <v>45</v>
      </c>
      <c r="L143">
        <v>2</v>
      </c>
      <c r="N143">
        <v>1</v>
      </c>
      <c r="O143" t="s">
        <v>47</v>
      </c>
      <c r="S143" t="s">
        <v>33</v>
      </c>
      <c r="T143">
        <v>1</v>
      </c>
      <c r="V143">
        <v>1</v>
      </c>
      <c r="W143" t="s">
        <v>46</v>
      </c>
      <c r="X143" t="s">
        <v>66</v>
      </c>
      <c r="Y143" t="s">
        <v>131</v>
      </c>
      <c r="AA143" t="s">
        <v>38</v>
      </c>
      <c r="AB143">
        <v>1</v>
      </c>
      <c r="AC143">
        <v>1</v>
      </c>
      <c r="AD143">
        <v>2</v>
      </c>
      <c r="AE143" t="s">
        <v>67</v>
      </c>
      <c r="AI143">
        <v>4</v>
      </c>
      <c r="AJ143">
        <v>26</v>
      </c>
      <c r="AK143">
        <v>120</v>
      </c>
      <c r="AL143">
        <v>2</v>
      </c>
    </row>
    <row r="144" spans="1:38" x14ac:dyDescent="0.4">
      <c r="A144" s="4" t="s">
        <v>318</v>
      </c>
      <c r="B144">
        <v>142</v>
      </c>
      <c r="C144" t="s">
        <v>56</v>
      </c>
      <c r="D144">
        <v>3</v>
      </c>
      <c r="F144">
        <v>1</v>
      </c>
      <c r="G144" t="s">
        <v>120</v>
      </c>
      <c r="K144" t="s">
        <v>45</v>
      </c>
      <c r="L144">
        <v>3</v>
      </c>
      <c r="N144">
        <v>2</v>
      </c>
      <c r="O144" t="s">
        <v>47</v>
      </c>
      <c r="S144" t="s">
        <v>43</v>
      </c>
      <c r="T144">
        <v>1</v>
      </c>
      <c r="V144">
        <v>1</v>
      </c>
      <c r="W144" t="s">
        <v>135</v>
      </c>
      <c r="AA144" t="s">
        <v>63</v>
      </c>
      <c r="AB144">
        <v>2</v>
      </c>
      <c r="AD144">
        <v>2</v>
      </c>
      <c r="AE144" t="s">
        <v>103</v>
      </c>
      <c r="AF144" t="s">
        <v>146</v>
      </c>
      <c r="AI144">
        <v>8</v>
      </c>
      <c r="AJ144">
        <v>31</v>
      </c>
      <c r="AK144">
        <v>120</v>
      </c>
      <c r="AL144">
        <v>2</v>
      </c>
    </row>
    <row r="145" spans="1:38" x14ac:dyDescent="0.4">
      <c r="A145" s="4" t="s">
        <v>319</v>
      </c>
      <c r="B145">
        <v>143</v>
      </c>
      <c r="C145" t="s">
        <v>56</v>
      </c>
      <c r="D145">
        <v>1</v>
      </c>
      <c r="F145">
        <v>1</v>
      </c>
      <c r="G145" t="s">
        <v>68</v>
      </c>
      <c r="H145" t="s">
        <v>69</v>
      </c>
      <c r="K145" t="s">
        <v>45</v>
      </c>
      <c r="L145">
        <v>3</v>
      </c>
      <c r="N145">
        <v>1</v>
      </c>
      <c r="O145" t="s">
        <v>47</v>
      </c>
      <c r="S145" t="s">
        <v>43</v>
      </c>
      <c r="T145">
        <v>2</v>
      </c>
      <c r="V145">
        <v>1</v>
      </c>
      <c r="W145" t="s">
        <v>135</v>
      </c>
      <c r="AA145" t="s">
        <v>38</v>
      </c>
      <c r="AB145">
        <v>2</v>
      </c>
      <c r="AC145">
        <v>1</v>
      </c>
      <c r="AD145">
        <v>1</v>
      </c>
      <c r="AE145" t="s">
        <v>67</v>
      </c>
      <c r="AI145">
        <v>5</v>
      </c>
      <c r="AJ145">
        <v>18</v>
      </c>
      <c r="AK145">
        <v>120</v>
      </c>
      <c r="AL145">
        <v>2</v>
      </c>
    </row>
    <row r="146" spans="1:38" x14ac:dyDescent="0.4">
      <c r="A146" s="4" t="s">
        <v>320</v>
      </c>
      <c r="B146">
        <v>144</v>
      </c>
      <c r="C146" t="s">
        <v>63</v>
      </c>
      <c r="D146">
        <v>2</v>
      </c>
      <c r="F146">
        <v>3</v>
      </c>
      <c r="G146" t="s">
        <v>103</v>
      </c>
      <c r="H146" t="s">
        <v>146</v>
      </c>
      <c r="K146" t="s">
        <v>38</v>
      </c>
      <c r="L146">
        <v>1</v>
      </c>
      <c r="M146">
        <v>1</v>
      </c>
      <c r="N146">
        <v>1</v>
      </c>
      <c r="O146" t="s">
        <v>67</v>
      </c>
      <c r="P146" t="s">
        <v>96</v>
      </c>
      <c r="S146" t="s">
        <v>56</v>
      </c>
      <c r="T146">
        <v>2</v>
      </c>
      <c r="V146">
        <v>1</v>
      </c>
      <c r="W146" t="s">
        <v>57</v>
      </c>
      <c r="X146" t="s">
        <v>122</v>
      </c>
      <c r="Y146" t="s">
        <v>85</v>
      </c>
      <c r="AA146" t="s">
        <v>45</v>
      </c>
      <c r="AB146">
        <v>3</v>
      </c>
      <c r="AD146">
        <v>1</v>
      </c>
      <c r="AE146" t="s">
        <v>47</v>
      </c>
      <c r="AI146">
        <v>10</v>
      </c>
      <c r="AJ146">
        <v>38</v>
      </c>
      <c r="AK146">
        <v>120</v>
      </c>
      <c r="AL146">
        <v>2</v>
      </c>
    </row>
    <row r="147" spans="1:38" x14ac:dyDescent="0.4">
      <c r="A147" s="4" t="s">
        <v>321</v>
      </c>
      <c r="B147">
        <v>145</v>
      </c>
      <c r="C147" t="s">
        <v>48</v>
      </c>
      <c r="D147">
        <v>3</v>
      </c>
      <c r="F147">
        <v>1</v>
      </c>
      <c r="G147" t="s">
        <v>49</v>
      </c>
      <c r="H147" t="s">
        <v>50</v>
      </c>
      <c r="I147" t="s">
        <v>127</v>
      </c>
      <c r="J147" t="s">
        <v>52</v>
      </c>
      <c r="K147" t="s">
        <v>33</v>
      </c>
      <c r="L147">
        <v>3</v>
      </c>
      <c r="N147">
        <v>1</v>
      </c>
      <c r="O147" t="s">
        <v>46</v>
      </c>
      <c r="P147" t="s">
        <v>35</v>
      </c>
      <c r="S147" t="s">
        <v>56</v>
      </c>
      <c r="T147">
        <v>1</v>
      </c>
      <c r="V147">
        <v>3</v>
      </c>
      <c r="W147" t="s">
        <v>120</v>
      </c>
      <c r="X147" t="s">
        <v>69</v>
      </c>
      <c r="Y147" t="s">
        <v>123</v>
      </c>
      <c r="AA147" t="s">
        <v>63</v>
      </c>
      <c r="AB147">
        <v>3</v>
      </c>
      <c r="AD147">
        <v>1</v>
      </c>
      <c r="AE147" t="s">
        <v>103</v>
      </c>
      <c r="AI147">
        <v>14</v>
      </c>
      <c r="AJ147">
        <v>62</v>
      </c>
      <c r="AK147">
        <v>120</v>
      </c>
      <c r="AL147">
        <v>2</v>
      </c>
    </row>
    <row r="148" spans="1:38" x14ac:dyDescent="0.4">
      <c r="A148" s="4" t="s">
        <v>322</v>
      </c>
      <c r="B148">
        <v>146</v>
      </c>
      <c r="C148" t="s">
        <v>56</v>
      </c>
      <c r="D148">
        <v>1</v>
      </c>
      <c r="F148">
        <v>2</v>
      </c>
      <c r="G148" t="s">
        <v>120</v>
      </c>
      <c r="H148" t="s">
        <v>69</v>
      </c>
      <c r="I148" t="s">
        <v>87</v>
      </c>
      <c r="K148" t="s">
        <v>63</v>
      </c>
      <c r="L148">
        <v>1</v>
      </c>
      <c r="N148">
        <v>1</v>
      </c>
      <c r="O148" t="s">
        <v>145</v>
      </c>
      <c r="P148" t="s">
        <v>95</v>
      </c>
      <c r="S148" t="s">
        <v>48</v>
      </c>
      <c r="T148">
        <v>2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135</v>
      </c>
      <c r="AF148" t="s">
        <v>136</v>
      </c>
      <c r="AI148">
        <v>6</v>
      </c>
      <c r="AJ148">
        <v>37</v>
      </c>
      <c r="AK148">
        <v>120</v>
      </c>
      <c r="AL148">
        <v>2</v>
      </c>
    </row>
    <row r="149" spans="1:38" x14ac:dyDescent="0.4">
      <c r="A149" s="4" t="s">
        <v>323</v>
      </c>
      <c r="B149">
        <v>147</v>
      </c>
      <c r="C149" t="s">
        <v>56</v>
      </c>
      <c r="D149">
        <v>2</v>
      </c>
      <c r="F149">
        <v>3</v>
      </c>
      <c r="G149" t="s">
        <v>120</v>
      </c>
      <c r="H149" t="s">
        <v>69</v>
      </c>
      <c r="I149" t="s">
        <v>87</v>
      </c>
      <c r="K149" t="s">
        <v>63</v>
      </c>
      <c r="L149">
        <v>1</v>
      </c>
      <c r="N149">
        <v>1</v>
      </c>
      <c r="O149" t="s">
        <v>72</v>
      </c>
      <c r="P149" t="s">
        <v>91</v>
      </c>
      <c r="S149" t="s">
        <v>48</v>
      </c>
      <c r="T149">
        <v>3</v>
      </c>
      <c r="V149">
        <v>1</v>
      </c>
      <c r="W149" t="s">
        <v>49</v>
      </c>
      <c r="X149" t="s">
        <v>50</v>
      </c>
      <c r="AA149" t="s">
        <v>45</v>
      </c>
      <c r="AB149">
        <v>2</v>
      </c>
      <c r="AD149">
        <v>1</v>
      </c>
      <c r="AE149" t="s">
        <v>86</v>
      </c>
      <c r="AF149" t="s">
        <v>76</v>
      </c>
      <c r="AI149">
        <v>11</v>
      </c>
      <c r="AJ149">
        <v>44</v>
      </c>
      <c r="AK149">
        <v>120</v>
      </c>
      <c r="AL149">
        <v>2</v>
      </c>
    </row>
    <row r="150" spans="1:38" x14ac:dyDescent="0.4">
      <c r="A150" s="4" t="s">
        <v>324</v>
      </c>
      <c r="B150">
        <v>148</v>
      </c>
      <c r="C150" t="s">
        <v>48</v>
      </c>
      <c r="D150">
        <v>3</v>
      </c>
      <c r="F150">
        <v>2</v>
      </c>
      <c r="G150" t="s">
        <v>49</v>
      </c>
      <c r="H150" t="s">
        <v>71</v>
      </c>
      <c r="I150" t="s">
        <v>127</v>
      </c>
      <c r="J150" t="s">
        <v>52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2</v>
      </c>
      <c r="V150">
        <v>2</v>
      </c>
      <c r="W150" t="s">
        <v>120</v>
      </c>
      <c r="X150" t="s">
        <v>69</v>
      </c>
      <c r="AA150" t="s">
        <v>63</v>
      </c>
      <c r="AB150">
        <v>1</v>
      </c>
      <c r="AD150">
        <v>2</v>
      </c>
      <c r="AE150" t="s">
        <v>103</v>
      </c>
      <c r="AI150">
        <v>10</v>
      </c>
      <c r="AJ150">
        <v>54</v>
      </c>
      <c r="AK150">
        <v>120</v>
      </c>
      <c r="AL150">
        <v>2</v>
      </c>
    </row>
    <row r="151" spans="1:38" x14ac:dyDescent="0.4">
      <c r="A151" s="4" t="s">
        <v>325</v>
      </c>
      <c r="B151">
        <v>149</v>
      </c>
      <c r="C151" t="s">
        <v>56</v>
      </c>
      <c r="D151">
        <v>1</v>
      </c>
      <c r="F151">
        <v>2</v>
      </c>
      <c r="G151" t="s">
        <v>120</v>
      </c>
      <c r="H151" t="s">
        <v>69</v>
      </c>
      <c r="I151" t="s">
        <v>123</v>
      </c>
      <c r="K151" t="s">
        <v>63</v>
      </c>
      <c r="L151">
        <v>1</v>
      </c>
      <c r="N151">
        <v>3</v>
      </c>
      <c r="O151" t="s">
        <v>145</v>
      </c>
      <c r="P151" t="s">
        <v>95</v>
      </c>
      <c r="Q151" t="s">
        <v>147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1</v>
      </c>
      <c r="AE151" t="s">
        <v>135</v>
      </c>
      <c r="AF151" t="s">
        <v>99</v>
      </c>
      <c r="AG151" t="s">
        <v>75</v>
      </c>
      <c r="AI151">
        <v>12</v>
      </c>
      <c r="AJ151">
        <v>42</v>
      </c>
      <c r="AK151">
        <v>120</v>
      </c>
      <c r="AL151">
        <v>2</v>
      </c>
    </row>
    <row r="152" spans="1:38" x14ac:dyDescent="0.4">
      <c r="A152" s="4" t="s">
        <v>326</v>
      </c>
      <c r="B152">
        <v>150</v>
      </c>
      <c r="C152" t="s">
        <v>56</v>
      </c>
      <c r="D152">
        <v>2</v>
      </c>
      <c r="F152">
        <v>3</v>
      </c>
      <c r="G152" t="s">
        <v>120</v>
      </c>
      <c r="H152" t="s">
        <v>69</v>
      </c>
      <c r="I152" t="s">
        <v>87</v>
      </c>
      <c r="K152" t="s">
        <v>63</v>
      </c>
      <c r="L152">
        <v>1</v>
      </c>
      <c r="N152">
        <v>1</v>
      </c>
      <c r="O152" t="s">
        <v>145</v>
      </c>
      <c r="S152" t="s">
        <v>33</v>
      </c>
      <c r="T152">
        <v>2</v>
      </c>
      <c r="V152">
        <v>1</v>
      </c>
      <c r="W152" t="s">
        <v>46</v>
      </c>
      <c r="X152" t="s">
        <v>130</v>
      </c>
      <c r="AA152" t="s">
        <v>45</v>
      </c>
      <c r="AB152">
        <v>3</v>
      </c>
      <c r="AD152">
        <v>1</v>
      </c>
      <c r="AE152" t="s">
        <v>86</v>
      </c>
      <c r="AF152" t="s">
        <v>76</v>
      </c>
      <c r="AG152" t="s">
        <v>93</v>
      </c>
      <c r="AI152">
        <v>11</v>
      </c>
      <c r="AJ152">
        <v>41</v>
      </c>
      <c r="AK152">
        <v>120</v>
      </c>
      <c r="AL152">
        <v>2</v>
      </c>
    </row>
    <row r="153" spans="1:38" x14ac:dyDescent="0.4">
      <c r="A153" s="4" t="s">
        <v>327</v>
      </c>
      <c r="B153">
        <v>151</v>
      </c>
      <c r="C153" t="s">
        <v>56</v>
      </c>
      <c r="D153">
        <v>2</v>
      </c>
      <c r="F153">
        <v>2</v>
      </c>
      <c r="G153" t="s">
        <v>120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3</v>
      </c>
      <c r="V153">
        <v>3</v>
      </c>
      <c r="W153" t="s">
        <v>46</v>
      </c>
      <c r="AA153" t="s">
        <v>38</v>
      </c>
      <c r="AB153">
        <v>1</v>
      </c>
      <c r="AC153">
        <v>1</v>
      </c>
      <c r="AD153">
        <v>1</v>
      </c>
      <c r="AE153" t="s">
        <v>152</v>
      </c>
      <c r="AI153">
        <v>6</v>
      </c>
      <c r="AJ153">
        <v>27</v>
      </c>
      <c r="AK153">
        <v>120</v>
      </c>
      <c r="AL153">
        <v>2</v>
      </c>
    </row>
    <row r="154" spans="1:38" x14ac:dyDescent="0.4">
      <c r="A154" s="4" t="s">
        <v>328</v>
      </c>
      <c r="B154">
        <v>152</v>
      </c>
      <c r="C154" t="s">
        <v>56</v>
      </c>
      <c r="D154">
        <v>1</v>
      </c>
      <c r="F154">
        <v>2</v>
      </c>
      <c r="G154" t="s">
        <v>120</v>
      </c>
      <c r="K154" t="s">
        <v>63</v>
      </c>
      <c r="L154">
        <v>1</v>
      </c>
      <c r="N154">
        <v>1</v>
      </c>
      <c r="O154" t="s">
        <v>145</v>
      </c>
      <c r="S154" t="s">
        <v>43</v>
      </c>
      <c r="T154">
        <v>1</v>
      </c>
      <c r="V154">
        <v>1</v>
      </c>
      <c r="W154" t="s">
        <v>135</v>
      </c>
      <c r="X154" t="s">
        <v>136</v>
      </c>
      <c r="Y154" t="s">
        <v>137</v>
      </c>
      <c r="Z154" t="s">
        <v>138</v>
      </c>
      <c r="AA154" t="s">
        <v>45</v>
      </c>
      <c r="AB154">
        <v>3</v>
      </c>
      <c r="AD154">
        <v>1</v>
      </c>
      <c r="AE154" t="s">
        <v>86</v>
      </c>
      <c r="AI154">
        <v>6</v>
      </c>
      <c r="AJ154">
        <v>32</v>
      </c>
      <c r="AK154">
        <v>120</v>
      </c>
      <c r="AL154">
        <v>2</v>
      </c>
    </row>
    <row r="155" spans="1:38" x14ac:dyDescent="0.4">
      <c r="A155" s="4" t="s">
        <v>329</v>
      </c>
      <c r="B155">
        <v>153</v>
      </c>
      <c r="C155" t="s">
        <v>56</v>
      </c>
      <c r="D155">
        <v>1</v>
      </c>
      <c r="F155">
        <v>1</v>
      </c>
      <c r="G155" t="s">
        <v>120</v>
      </c>
      <c r="H155" t="s">
        <v>69</v>
      </c>
      <c r="K155" t="s">
        <v>63</v>
      </c>
      <c r="L155">
        <v>1</v>
      </c>
      <c r="N155">
        <v>1</v>
      </c>
      <c r="O155" t="s">
        <v>145</v>
      </c>
      <c r="P155" t="s">
        <v>95</v>
      </c>
      <c r="S155" t="s">
        <v>43</v>
      </c>
      <c r="T155">
        <v>2</v>
      </c>
      <c r="V155">
        <v>1</v>
      </c>
      <c r="W155" t="s">
        <v>135</v>
      </c>
      <c r="X155" t="s">
        <v>99</v>
      </c>
      <c r="Y155" t="s">
        <v>75</v>
      </c>
      <c r="AA155" t="s">
        <v>38</v>
      </c>
      <c r="AB155">
        <v>1</v>
      </c>
      <c r="AC155">
        <v>1</v>
      </c>
      <c r="AD155">
        <v>1</v>
      </c>
      <c r="AE155" t="s">
        <v>152</v>
      </c>
      <c r="AI155">
        <v>5</v>
      </c>
      <c r="AJ155">
        <v>25</v>
      </c>
      <c r="AK155">
        <v>120</v>
      </c>
      <c r="AL155">
        <v>2</v>
      </c>
    </row>
    <row r="156" spans="1:38" x14ac:dyDescent="0.4">
      <c r="A156" s="4" t="s">
        <v>330</v>
      </c>
      <c r="B156">
        <v>154</v>
      </c>
      <c r="C156" t="s">
        <v>56</v>
      </c>
      <c r="D156">
        <v>3</v>
      </c>
      <c r="F156">
        <v>3</v>
      </c>
      <c r="G156" t="s">
        <v>68</v>
      </c>
      <c r="H156" t="s">
        <v>122</v>
      </c>
      <c r="I156" t="s">
        <v>87</v>
      </c>
      <c r="K156" t="s">
        <v>63</v>
      </c>
      <c r="L156">
        <v>2</v>
      </c>
      <c r="N156">
        <v>1</v>
      </c>
      <c r="O156" t="s">
        <v>72</v>
      </c>
      <c r="P156" t="s">
        <v>95</v>
      </c>
      <c r="Q156" t="s">
        <v>148</v>
      </c>
      <c r="S156" t="s">
        <v>45</v>
      </c>
      <c r="T156">
        <v>3</v>
      </c>
      <c r="V156">
        <v>3</v>
      </c>
      <c r="W156" t="s">
        <v>86</v>
      </c>
      <c r="X156" t="s">
        <v>76</v>
      </c>
      <c r="AA156" t="s">
        <v>38</v>
      </c>
      <c r="AB156">
        <v>1</v>
      </c>
      <c r="AC156">
        <v>2</v>
      </c>
      <c r="AD156">
        <v>1</v>
      </c>
      <c r="AE156" t="s">
        <v>152</v>
      </c>
      <c r="AF156" t="s">
        <v>96</v>
      </c>
      <c r="AG156" t="s">
        <v>154</v>
      </c>
      <c r="AH156" t="s">
        <v>42</v>
      </c>
      <c r="AI156">
        <v>18</v>
      </c>
      <c r="AJ156">
        <v>52</v>
      </c>
      <c r="AK156">
        <v>120</v>
      </c>
      <c r="AL156">
        <v>2</v>
      </c>
    </row>
    <row r="157" spans="1:38" x14ac:dyDescent="0.4">
      <c r="A157" s="4" t="s">
        <v>331</v>
      </c>
      <c r="B157">
        <v>155</v>
      </c>
      <c r="C157" t="s">
        <v>48</v>
      </c>
      <c r="D157">
        <v>3</v>
      </c>
      <c r="F157">
        <v>1</v>
      </c>
      <c r="G157" t="s">
        <v>49</v>
      </c>
      <c r="H157" t="s">
        <v>71</v>
      </c>
      <c r="K157" t="s">
        <v>33</v>
      </c>
      <c r="L157">
        <v>1</v>
      </c>
      <c r="N157">
        <v>3</v>
      </c>
      <c r="O157" t="s">
        <v>46</v>
      </c>
      <c r="P157" t="s">
        <v>35</v>
      </c>
      <c r="S157" t="s">
        <v>56</v>
      </c>
      <c r="T157">
        <v>1</v>
      </c>
      <c r="V157">
        <v>2</v>
      </c>
      <c r="W157" t="s">
        <v>120</v>
      </c>
      <c r="AA157" t="s">
        <v>38</v>
      </c>
      <c r="AB157">
        <v>1</v>
      </c>
      <c r="AC157">
        <v>1</v>
      </c>
      <c r="AD157">
        <v>1</v>
      </c>
      <c r="AE157" t="s">
        <v>39</v>
      </c>
      <c r="AF157" t="s">
        <v>40</v>
      </c>
      <c r="AG157" t="s">
        <v>153</v>
      </c>
      <c r="AH157" t="s">
        <v>156</v>
      </c>
      <c r="AI157">
        <v>10</v>
      </c>
      <c r="AJ157">
        <v>55</v>
      </c>
      <c r="AK157">
        <v>120</v>
      </c>
      <c r="AL157">
        <v>2</v>
      </c>
    </row>
    <row r="158" spans="1:38" x14ac:dyDescent="0.4">
      <c r="A158" s="4" t="s">
        <v>332</v>
      </c>
      <c r="B158">
        <v>156</v>
      </c>
      <c r="C158" t="s">
        <v>56</v>
      </c>
      <c r="D158">
        <v>3</v>
      </c>
      <c r="F158">
        <v>2</v>
      </c>
      <c r="G158" t="s">
        <v>120</v>
      </c>
      <c r="H158" t="s">
        <v>69</v>
      </c>
      <c r="I158" t="s">
        <v>87</v>
      </c>
      <c r="K158" t="s">
        <v>38</v>
      </c>
      <c r="L158">
        <v>3</v>
      </c>
      <c r="M158">
        <v>2</v>
      </c>
      <c r="N158">
        <v>3</v>
      </c>
      <c r="O158" t="s">
        <v>152</v>
      </c>
      <c r="P158" t="s">
        <v>40</v>
      </c>
      <c r="S158" t="s">
        <v>48</v>
      </c>
      <c r="T158">
        <v>3</v>
      </c>
      <c r="V158">
        <v>1</v>
      </c>
      <c r="W158" t="s">
        <v>49</v>
      </c>
      <c r="X158" t="s">
        <v>50</v>
      </c>
      <c r="Y158" t="s">
        <v>127</v>
      </c>
      <c r="AA158" t="s">
        <v>43</v>
      </c>
      <c r="AB158">
        <v>1</v>
      </c>
      <c r="AD158">
        <v>1</v>
      </c>
      <c r="AE158" t="s">
        <v>135</v>
      </c>
      <c r="AF158" t="s">
        <v>99</v>
      </c>
      <c r="AI158">
        <v>16</v>
      </c>
      <c r="AJ158">
        <v>39</v>
      </c>
      <c r="AK158">
        <v>120</v>
      </c>
      <c r="AL158">
        <v>2</v>
      </c>
    </row>
    <row r="159" spans="1:38" x14ac:dyDescent="0.4">
      <c r="A159" s="4" t="s">
        <v>333</v>
      </c>
      <c r="B159">
        <v>157</v>
      </c>
      <c r="C159" t="s">
        <v>56</v>
      </c>
      <c r="D159">
        <v>2</v>
      </c>
      <c r="F159">
        <v>3</v>
      </c>
      <c r="G159" t="s">
        <v>120</v>
      </c>
      <c r="H159" t="s">
        <v>69</v>
      </c>
      <c r="I159" t="s">
        <v>87</v>
      </c>
      <c r="K159" t="s">
        <v>38</v>
      </c>
      <c r="L159">
        <v>1</v>
      </c>
      <c r="M159">
        <v>1</v>
      </c>
      <c r="N159">
        <v>3</v>
      </c>
      <c r="O159" t="s">
        <v>152</v>
      </c>
      <c r="P159" t="s">
        <v>40</v>
      </c>
      <c r="Q159" t="s">
        <v>154</v>
      </c>
      <c r="S159" t="s">
        <v>48</v>
      </c>
      <c r="T159">
        <v>1</v>
      </c>
      <c r="V159">
        <v>2</v>
      </c>
      <c r="W159" t="s">
        <v>49</v>
      </c>
      <c r="AA159" t="s">
        <v>45</v>
      </c>
      <c r="AB159">
        <v>2</v>
      </c>
      <c r="AD159">
        <v>2</v>
      </c>
      <c r="AE159" t="s">
        <v>86</v>
      </c>
      <c r="AF159" t="s">
        <v>141</v>
      </c>
      <c r="AI159">
        <v>13</v>
      </c>
      <c r="AJ159">
        <v>40</v>
      </c>
      <c r="AK159">
        <v>120</v>
      </c>
      <c r="AL159">
        <v>2</v>
      </c>
    </row>
    <row r="160" spans="1:38" x14ac:dyDescent="0.4">
      <c r="A160" s="4" t="s">
        <v>334</v>
      </c>
      <c r="B160">
        <v>158</v>
      </c>
      <c r="C160" t="s">
        <v>48</v>
      </c>
      <c r="D160">
        <v>3</v>
      </c>
      <c r="F160">
        <v>1</v>
      </c>
      <c r="G160" t="s">
        <v>49</v>
      </c>
      <c r="K160" t="s">
        <v>63</v>
      </c>
      <c r="L160">
        <v>3</v>
      </c>
      <c r="N160">
        <v>2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122</v>
      </c>
      <c r="Y160" t="s">
        <v>85</v>
      </c>
      <c r="AA160" t="s">
        <v>38</v>
      </c>
      <c r="AB160">
        <v>3</v>
      </c>
      <c r="AC160">
        <v>1</v>
      </c>
      <c r="AD160">
        <v>1</v>
      </c>
      <c r="AE160" t="s">
        <v>152</v>
      </c>
      <c r="AI160">
        <v>10</v>
      </c>
      <c r="AJ160">
        <v>38</v>
      </c>
      <c r="AK160">
        <v>120</v>
      </c>
      <c r="AL160">
        <v>2</v>
      </c>
    </row>
    <row r="161" spans="1:38" x14ac:dyDescent="0.4">
      <c r="A161" s="4" t="s">
        <v>335</v>
      </c>
      <c r="B161">
        <v>159</v>
      </c>
      <c r="C161" t="s">
        <v>33</v>
      </c>
      <c r="D161">
        <v>3</v>
      </c>
      <c r="F161">
        <v>2</v>
      </c>
      <c r="G161" t="s">
        <v>46</v>
      </c>
      <c r="H161" t="s">
        <v>66</v>
      </c>
      <c r="I161" t="s">
        <v>132</v>
      </c>
      <c r="J161" t="s">
        <v>134</v>
      </c>
      <c r="K161" t="s">
        <v>43</v>
      </c>
      <c r="L161">
        <v>1</v>
      </c>
      <c r="N161">
        <v>2</v>
      </c>
      <c r="O161" t="s">
        <v>135</v>
      </c>
      <c r="P161" t="s">
        <v>136</v>
      </c>
      <c r="S161" t="s">
        <v>56</v>
      </c>
      <c r="T161">
        <v>2</v>
      </c>
      <c r="V161">
        <v>2</v>
      </c>
      <c r="W161" t="s">
        <v>120</v>
      </c>
      <c r="X161" t="s">
        <v>69</v>
      </c>
      <c r="Y161" t="s">
        <v>87</v>
      </c>
      <c r="AA161" t="s">
        <v>38</v>
      </c>
      <c r="AB161">
        <v>1</v>
      </c>
      <c r="AC161">
        <v>3</v>
      </c>
      <c r="AD161">
        <v>2</v>
      </c>
      <c r="AE161" t="s">
        <v>67</v>
      </c>
      <c r="AI161">
        <v>15</v>
      </c>
      <c r="AJ161">
        <v>42</v>
      </c>
      <c r="AK161">
        <v>120</v>
      </c>
      <c r="AL161">
        <v>2</v>
      </c>
    </row>
    <row r="162" spans="1:38" x14ac:dyDescent="0.4">
      <c r="A162" s="4" t="s">
        <v>336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3</v>
      </c>
      <c r="N162">
        <v>3</v>
      </c>
      <c r="O162" t="s">
        <v>86</v>
      </c>
      <c r="P162" t="s">
        <v>141</v>
      </c>
      <c r="Q162" t="s">
        <v>142</v>
      </c>
      <c r="S162" t="s">
        <v>56</v>
      </c>
      <c r="T162">
        <v>3</v>
      </c>
      <c r="V162">
        <v>2</v>
      </c>
      <c r="W162" t="s">
        <v>120</v>
      </c>
      <c r="AA162" t="s">
        <v>38</v>
      </c>
      <c r="AB162">
        <v>2</v>
      </c>
      <c r="AC162">
        <v>1</v>
      </c>
      <c r="AD162">
        <v>2</v>
      </c>
      <c r="AE162" t="s">
        <v>67</v>
      </c>
      <c r="AI162">
        <v>12</v>
      </c>
      <c r="AJ162">
        <v>64</v>
      </c>
      <c r="AK162">
        <v>120</v>
      </c>
      <c r="AL162">
        <v>2</v>
      </c>
    </row>
    <row r="163" spans="1:38" x14ac:dyDescent="0.4">
      <c r="A163" s="4" t="s">
        <v>337</v>
      </c>
      <c r="B163">
        <v>161</v>
      </c>
      <c r="C163" t="s">
        <v>33</v>
      </c>
      <c r="D163">
        <v>2</v>
      </c>
      <c r="F163">
        <v>3</v>
      </c>
      <c r="G163" t="s">
        <v>46</v>
      </c>
      <c r="H163" t="s">
        <v>35</v>
      </c>
      <c r="K163" t="s">
        <v>63</v>
      </c>
      <c r="L163">
        <v>2</v>
      </c>
      <c r="N163">
        <v>1</v>
      </c>
      <c r="O163" t="s">
        <v>103</v>
      </c>
      <c r="S163" t="s">
        <v>56</v>
      </c>
      <c r="T163">
        <v>1</v>
      </c>
      <c r="V163">
        <v>1</v>
      </c>
      <c r="W163" t="s">
        <v>120</v>
      </c>
      <c r="AA163" t="s">
        <v>38</v>
      </c>
      <c r="AB163">
        <v>1</v>
      </c>
      <c r="AC163">
        <v>3</v>
      </c>
      <c r="AD163">
        <v>2</v>
      </c>
      <c r="AE163" t="s">
        <v>67</v>
      </c>
      <c r="AF163" t="s">
        <v>96</v>
      </c>
      <c r="AI163">
        <v>9</v>
      </c>
      <c r="AJ163">
        <v>32</v>
      </c>
      <c r="AK163">
        <v>120</v>
      </c>
      <c r="AL163">
        <v>2</v>
      </c>
    </row>
    <row r="164" spans="1:38" x14ac:dyDescent="0.4">
      <c r="A164" s="4" t="s">
        <v>338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H164" t="s">
        <v>69</v>
      </c>
      <c r="K164" t="s">
        <v>38</v>
      </c>
      <c r="L164">
        <v>1</v>
      </c>
      <c r="M164">
        <v>1</v>
      </c>
      <c r="N164">
        <v>3</v>
      </c>
      <c r="O164" t="s">
        <v>67</v>
      </c>
      <c r="S164" t="s">
        <v>43</v>
      </c>
      <c r="T164">
        <v>2</v>
      </c>
      <c r="V164">
        <v>1</v>
      </c>
      <c r="W164" t="s">
        <v>135</v>
      </c>
      <c r="X164" t="s">
        <v>99</v>
      </c>
      <c r="AA164" t="s">
        <v>45</v>
      </c>
      <c r="AB164">
        <v>2</v>
      </c>
      <c r="AD164">
        <v>1</v>
      </c>
      <c r="AE164" t="s">
        <v>47</v>
      </c>
      <c r="AI164">
        <v>6</v>
      </c>
      <c r="AJ164">
        <v>28</v>
      </c>
      <c r="AK164">
        <v>120</v>
      </c>
      <c r="AL164">
        <v>2</v>
      </c>
    </row>
    <row r="165" spans="1:38" x14ac:dyDescent="0.4">
      <c r="A165" s="4" t="s">
        <v>339</v>
      </c>
      <c r="B165">
        <v>163</v>
      </c>
      <c r="C165" t="s">
        <v>43</v>
      </c>
      <c r="D165">
        <v>2</v>
      </c>
      <c r="F165">
        <v>1</v>
      </c>
      <c r="G165" t="s">
        <v>135</v>
      </c>
      <c r="H165" t="s">
        <v>99</v>
      </c>
      <c r="K165" t="s">
        <v>63</v>
      </c>
      <c r="L165">
        <v>2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120</v>
      </c>
      <c r="X165" t="s">
        <v>69</v>
      </c>
      <c r="AA165" t="s">
        <v>38</v>
      </c>
      <c r="AB165">
        <v>1</v>
      </c>
      <c r="AC165">
        <v>3</v>
      </c>
      <c r="AD165">
        <v>1</v>
      </c>
      <c r="AE165" t="s">
        <v>67</v>
      </c>
      <c r="AI165">
        <v>6</v>
      </c>
      <c r="AJ165">
        <v>29</v>
      </c>
      <c r="AK165">
        <v>120</v>
      </c>
      <c r="AL165">
        <v>2</v>
      </c>
    </row>
    <row r="166" spans="1:38" x14ac:dyDescent="0.4">
      <c r="A166" s="4" t="s">
        <v>340</v>
      </c>
      <c r="B166">
        <v>164</v>
      </c>
      <c r="C166" t="s">
        <v>45</v>
      </c>
      <c r="D166">
        <v>2</v>
      </c>
      <c r="F166">
        <v>1</v>
      </c>
      <c r="G166" t="s">
        <v>86</v>
      </c>
      <c r="K166" t="s">
        <v>63</v>
      </c>
      <c r="L166">
        <v>3</v>
      </c>
      <c r="N166">
        <v>3</v>
      </c>
      <c r="O166" t="s">
        <v>103</v>
      </c>
      <c r="P166" t="s">
        <v>146</v>
      </c>
      <c r="Q166" t="s">
        <v>104</v>
      </c>
      <c r="R166" t="s">
        <v>150</v>
      </c>
      <c r="S166" t="s">
        <v>56</v>
      </c>
      <c r="T166">
        <v>3</v>
      </c>
      <c r="V166">
        <v>1</v>
      </c>
      <c r="W166" t="s">
        <v>57</v>
      </c>
      <c r="X166" t="s">
        <v>122</v>
      </c>
      <c r="Y166" t="s">
        <v>87</v>
      </c>
      <c r="AA166" t="s">
        <v>38</v>
      </c>
      <c r="AB166">
        <v>1</v>
      </c>
      <c r="AC166">
        <v>2</v>
      </c>
      <c r="AD166">
        <v>1</v>
      </c>
      <c r="AE166" t="s">
        <v>67</v>
      </c>
      <c r="AI166">
        <v>13</v>
      </c>
      <c r="AJ166">
        <v>56</v>
      </c>
      <c r="AK166">
        <v>120</v>
      </c>
      <c r="AL166">
        <v>2</v>
      </c>
    </row>
    <row r="167" spans="1:38" x14ac:dyDescent="0.4">
      <c r="A167" s="4" t="s">
        <v>341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H167" t="s">
        <v>136</v>
      </c>
      <c r="K167" t="s">
        <v>45</v>
      </c>
      <c r="L167">
        <v>3</v>
      </c>
      <c r="N167">
        <v>2</v>
      </c>
      <c r="O167" t="s">
        <v>47</v>
      </c>
      <c r="S167" t="s">
        <v>48</v>
      </c>
      <c r="T167">
        <v>2</v>
      </c>
      <c r="V167">
        <v>1</v>
      </c>
      <c r="W167" t="s">
        <v>126</v>
      </c>
      <c r="X167" t="s">
        <v>71</v>
      </c>
      <c r="AA167" t="s">
        <v>33</v>
      </c>
      <c r="AB167">
        <v>1</v>
      </c>
      <c r="AD167">
        <v>2</v>
      </c>
      <c r="AE167" t="s">
        <v>46</v>
      </c>
      <c r="AF167" t="s">
        <v>35</v>
      </c>
      <c r="AI167">
        <v>8</v>
      </c>
      <c r="AJ167">
        <v>34</v>
      </c>
      <c r="AK167">
        <v>120</v>
      </c>
      <c r="AL167">
        <v>2</v>
      </c>
    </row>
    <row r="168" spans="1:38" x14ac:dyDescent="0.4">
      <c r="A168" s="4" t="s">
        <v>342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99</v>
      </c>
      <c r="I168" t="s">
        <v>75</v>
      </c>
      <c r="K168" t="s">
        <v>63</v>
      </c>
      <c r="L168">
        <v>3</v>
      </c>
      <c r="N168">
        <v>1</v>
      </c>
      <c r="O168" t="s">
        <v>72</v>
      </c>
      <c r="P168" t="s">
        <v>95</v>
      </c>
      <c r="S168" t="s">
        <v>48</v>
      </c>
      <c r="T168">
        <v>1</v>
      </c>
      <c r="V168">
        <v>1</v>
      </c>
      <c r="W168" t="s">
        <v>126</v>
      </c>
      <c r="X168" t="s">
        <v>71</v>
      </c>
      <c r="AA168" t="s">
        <v>33</v>
      </c>
      <c r="AB168">
        <v>1</v>
      </c>
      <c r="AD168">
        <v>1</v>
      </c>
      <c r="AE168" t="s">
        <v>46</v>
      </c>
      <c r="AI168">
        <v>8</v>
      </c>
      <c r="AJ168">
        <v>26</v>
      </c>
      <c r="AK168">
        <v>120</v>
      </c>
      <c r="AL168">
        <v>2</v>
      </c>
    </row>
    <row r="169" spans="1:38" x14ac:dyDescent="0.4">
      <c r="A169" s="4" t="s">
        <v>343</v>
      </c>
      <c r="B169">
        <v>167</v>
      </c>
      <c r="C169" t="s">
        <v>48</v>
      </c>
      <c r="D169">
        <v>2</v>
      </c>
      <c r="F169">
        <v>1</v>
      </c>
      <c r="G169" t="s">
        <v>126</v>
      </c>
      <c r="H169" t="s">
        <v>71</v>
      </c>
      <c r="K169" t="s">
        <v>33</v>
      </c>
      <c r="L169">
        <v>3</v>
      </c>
      <c r="N169">
        <v>2</v>
      </c>
      <c r="O169" t="s">
        <v>65</v>
      </c>
      <c r="P169" t="s">
        <v>66</v>
      </c>
      <c r="S169" t="s">
        <v>43</v>
      </c>
      <c r="T169">
        <v>3</v>
      </c>
      <c r="V169">
        <v>1</v>
      </c>
      <c r="W169" t="s">
        <v>135</v>
      </c>
      <c r="X169" t="s">
        <v>136</v>
      </c>
      <c r="Y169" t="s">
        <v>137</v>
      </c>
      <c r="Z169" t="s">
        <v>138</v>
      </c>
      <c r="AA169" t="s">
        <v>38</v>
      </c>
      <c r="AB169">
        <v>1</v>
      </c>
      <c r="AC169">
        <v>1</v>
      </c>
      <c r="AD169">
        <v>1</v>
      </c>
      <c r="AE169" t="s">
        <v>152</v>
      </c>
      <c r="AF169" t="s">
        <v>70</v>
      </c>
      <c r="AI169">
        <v>12</v>
      </c>
      <c r="AJ169">
        <v>48</v>
      </c>
      <c r="AK169">
        <v>120</v>
      </c>
      <c r="AL169">
        <v>2</v>
      </c>
    </row>
    <row r="170" spans="1:38" x14ac:dyDescent="0.4">
      <c r="A170" s="4" t="s">
        <v>344</v>
      </c>
      <c r="B170">
        <v>168</v>
      </c>
      <c r="C170" t="s">
        <v>48</v>
      </c>
      <c r="D170">
        <v>1</v>
      </c>
      <c r="F170">
        <v>3</v>
      </c>
      <c r="G170" t="s">
        <v>49</v>
      </c>
      <c r="H170" t="s">
        <v>71</v>
      </c>
      <c r="K170" t="s">
        <v>33</v>
      </c>
      <c r="L170">
        <v>2</v>
      </c>
      <c r="N170">
        <v>3</v>
      </c>
      <c r="O170" t="s">
        <v>46</v>
      </c>
      <c r="P170" t="s">
        <v>35</v>
      </c>
      <c r="Q170" t="s">
        <v>36</v>
      </c>
      <c r="S170" t="s">
        <v>45</v>
      </c>
      <c r="T170">
        <v>3</v>
      </c>
      <c r="V170">
        <v>1</v>
      </c>
      <c r="W170" t="s">
        <v>47</v>
      </c>
      <c r="AA170" t="s">
        <v>63</v>
      </c>
      <c r="AB170">
        <v>3</v>
      </c>
      <c r="AD170">
        <v>1</v>
      </c>
      <c r="AE170" t="s">
        <v>103</v>
      </c>
      <c r="AI170">
        <v>12</v>
      </c>
      <c r="AJ170">
        <v>40</v>
      </c>
      <c r="AK170">
        <v>120</v>
      </c>
      <c r="AL170">
        <v>2</v>
      </c>
    </row>
    <row r="171" spans="1:38" x14ac:dyDescent="0.4">
      <c r="A171" s="4" t="s">
        <v>345</v>
      </c>
      <c r="B171">
        <v>169</v>
      </c>
      <c r="C171" t="s">
        <v>45</v>
      </c>
      <c r="D171">
        <v>2</v>
      </c>
      <c r="F171">
        <v>1</v>
      </c>
      <c r="G171" t="s">
        <v>47</v>
      </c>
      <c r="H171" t="s">
        <v>92</v>
      </c>
      <c r="K171" t="s">
        <v>38</v>
      </c>
      <c r="L171">
        <v>1</v>
      </c>
      <c r="M171">
        <v>1</v>
      </c>
      <c r="N171">
        <v>2</v>
      </c>
      <c r="O171" t="s">
        <v>67</v>
      </c>
      <c r="P171" t="s">
        <v>70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2</v>
      </c>
      <c r="AE171" t="s">
        <v>46</v>
      </c>
      <c r="AI171">
        <v>6</v>
      </c>
      <c r="AJ171">
        <v>45</v>
      </c>
      <c r="AK171">
        <v>120</v>
      </c>
      <c r="AL171">
        <v>2</v>
      </c>
    </row>
    <row r="172" spans="1:38" x14ac:dyDescent="0.4">
      <c r="A172" s="4" t="s">
        <v>346</v>
      </c>
      <c r="B172">
        <v>170</v>
      </c>
      <c r="C172" t="s">
        <v>63</v>
      </c>
      <c r="D172">
        <v>2</v>
      </c>
      <c r="F172">
        <v>3</v>
      </c>
      <c r="G172" t="s">
        <v>103</v>
      </c>
      <c r="H172" t="s">
        <v>95</v>
      </c>
      <c r="K172" t="s">
        <v>38</v>
      </c>
      <c r="L172">
        <v>3</v>
      </c>
      <c r="M172">
        <v>1</v>
      </c>
      <c r="N172">
        <v>1</v>
      </c>
      <c r="O172" t="s">
        <v>152</v>
      </c>
      <c r="P172" t="s">
        <v>70</v>
      </c>
      <c r="S172" t="s">
        <v>48</v>
      </c>
      <c r="T172">
        <v>3</v>
      </c>
      <c r="V172">
        <v>1</v>
      </c>
      <c r="W172" t="s">
        <v>49</v>
      </c>
      <c r="X172" t="s">
        <v>71</v>
      </c>
      <c r="AA172" t="s">
        <v>33</v>
      </c>
      <c r="AB172">
        <v>2</v>
      </c>
      <c r="AD172">
        <v>1</v>
      </c>
      <c r="AE172" t="s">
        <v>46</v>
      </c>
      <c r="AF172" t="s">
        <v>35</v>
      </c>
      <c r="AI172">
        <v>12</v>
      </c>
      <c r="AJ172">
        <v>51</v>
      </c>
      <c r="AK172">
        <v>120</v>
      </c>
      <c r="AL172">
        <v>2</v>
      </c>
    </row>
    <row r="173" spans="1:38" x14ac:dyDescent="0.4">
      <c r="A173" s="4" t="s">
        <v>347</v>
      </c>
      <c r="B173">
        <v>171</v>
      </c>
      <c r="C173" t="s">
        <v>48</v>
      </c>
      <c r="D173">
        <v>1</v>
      </c>
      <c r="F173">
        <v>1</v>
      </c>
      <c r="G173" t="s">
        <v>126</v>
      </c>
      <c r="H173" t="s">
        <v>71</v>
      </c>
      <c r="K173" t="s">
        <v>43</v>
      </c>
      <c r="L173">
        <v>1</v>
      </c>
      <c r="N173">
        <v>1</v>
      </c>
      <c r="O173" t="s">
        <v>135</v>
      </c>
      <c r="P173" t="s">
        <v>99</v>
      </c>
      <c r="S173" t="s">
        <v>33</v>
      </c>
      <c r="T173">
        <v>1</v>
      </c>
      <c r="V173">
        <v>1</v>
      </c>
      <c r="W173" t="s">
        <v>46</v>
      </c>
      <c r="X173" t="s">
        <v>130</v>
      </c>
      <c r="AA173" t="s">
        <v>45</v>
      </c>
      <c r="AB173">
        <v>1</v>
      </c>
      <c r="AD173">
        <v>1</v>
      </c>
      <c r="AE173" t="s">
        <v>86</v>
      </c>
      <c r="AI173">
        <v>3</v>
      </c>
      <c r="AJ173">
        <v>32</v>
      </c>
      <c r="AK173">
        <v>120</v>
      </c>
      <c r="AL173">
        <v>2</v>
      </c>
    </row>
    <row r="174" spans="1:38" x14ac:dyDescent="0.4">
      <c r="A174" s="4" t="s">
        <v>348</v>
      </c>
      <c r="B174">
        <v>172</v>
      </c>
      <c r="C174" t="s">
        <v>33</v>
      </c>
      <c r="D174">
        <v>3</v>
      </c>
      <c r="F174">
        <v>3</v>
      </c>
      <c r="G174" t="s">
        <v>65</v>
      </c>
      <c r="H174" t="s">
        <v>35</v>
      </c>
      <c r="I174" t="s">
        <v>132</v>
      </c>
      <c r="K174" t="s">
        <v>63</v>
      </c>
      <c r="L174">
        <v>3</v>
      </c>
      <c r="N174">
        <v>2</v>
      </c>
      <c r="O174" t="s">
        <v>145</v>
      </c>
      <c r="P174" t="s">
        <v>95</v>
      </c>
      <c r="Q174" t="s">
        <v>104</v>
      </c>
      <c r="R174" t="s">
        <v>151</v>
      </c>
      <c r="S174" t="s">
        <v>48</v>
      </c>
      <c r="T174">
        <v>1</v>
      </c>
      <c r="V174">
        <v>1</v>
      </c>
      <c r="W174" t="s">
        <v>49</v>
      </c>
      <c r="AA174" t="s">
        <v>43</v>
      </c>
      <c r="AB174">
        <v>3</v>
      </c>
      <c r="AD174">
        <v>3</v>
      </c>
      <c r="AE174" t="s">
        <v>135</v>
      </c>
      <c r="AF174" t="s">
        <v>136</v>
      </c>
      <c r="AG174" t="s">
        <v>137</v>
      </c>
      <c r="AH174" t="s">
        <v>138</v>
      </c>
      <c r="AI174">
        <v>19</v>
      </c>
      <c r="AJ174">
        <v>53</v>
      </c>
      <c r="AK174">
        <v>120</v>
      </c>
      <c r="AL174">
        <v>2</v>
      </c>
    </row>
    <row r="175" spans="1:38" x14ac:dyDescent="0.4">
      <c r="A175" s="4" t="s">
        <v>349</v>
      </c>
      <c r="B175">
        <v>173</v>
      </c>
      <c r="C175" t="s">
        <v>33</v>
      </c>
      <c r="D175">
        <v>1</v>
      </c>
      <c r="F175">
        <v>1</v>
      </c>
      <c r="G175" t="s">
        <v>65</v>
      </c>
      <c r="H175" t="s">
        <v>66</v>
      </c>
      <c r="K175" t="s">
        <v>38</v>
      </c>
      <c r="L175">
        <v>3</v>
      </c>
      <c r="M175">
        <v>1</v>
      </c>
      <c r="N175">
        <v>2</v>
      </c>
      <c r="O175" t="s">
        <v>67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AA175" t="s">
        <v>43</v>
      </c>
      <c r="AB175">
        <v>1</v>
      </c>
      <c r="AD175">
        <v>2</v>
      </c>
      <c r="AE175" t="s">
        <v>135</v>
      </c>
      <c r="AF175" t="s">
        <v>136</v>
      </c>
      <c r="AG175" t="s">
        <v>75</v>
      </c>
      <c r="AI175">
        <v>8</v>
      </c>
      <c r="AJ175">
        <v>37</v>
      </c>
      <c r="AK175">
        <v>120</v>
      </c>
      <c r="AL175">
        <v>2</v>
      </c>
    </row>
    <row r="176" spans="1:38" x14ac:dyDescent="0.4">
      <c r="A176" s="4" t="s">
        <v>350</v>
      </c>
      <c r="B176">
        <v>174</v>
      </c>
      <c r="C176" t="s">
        <v>48</v>
      </c>
      <c r="D176">
        <v>1</v>
      </c>
      <c r="F176">
        <v>1</v>
      </c>
      <c r="G176" t="s">
        <v>49</v>
      </c>
      <c r="H176" t="s">
        <v>50</v>
      </c>
      <c r="K176" t="s">
        <v>43</v>
      </c>
      <c r="L176">
        <v>3</v>
      </c>
      <c r="N176">
        <v>1</v>
      </c>
      <c r="O176" t="s">
        <v>135</v>
      </c>
      <c r="P176" t="s">
        <v>99</v>
      </c>
      <c r="S176" t="s">
        <v>45</v>
      </c>
      <c r="T176">
        <v>2</v>
      </c>
      <c r="V176">
        <v>1</v>
      </c>
      <c r="W176" t="s">
        <v>86</v>
      </c>
      <c r="AA176" t="s">
        <v>63</v>
      </c>
      <c r="AB176">
        <v>1</v>
      </c>
      <c r="AD176">
        <v>1</v>
      </c>
      <c r="AE176" t="s">
        <v>145</v>
      </c>
      <c r="AI176">
        <v>5</v>
      </c>
      <c r="AJ176">
        <v>28</v>
      </c>
      <c r="AK176">
        <v>120</v>
      </c>
      <c r="AL176">
        <v>2</v>
      </c>
    </row>
    <row r="177" spans="1:38" x14ac:dyDescent="0.4">
      <c r="A177" s="4" t="s">
        <v>351</v>
      </c>
      <c r="B177">
        <v>175</v>
      </c>
      <c r="C177" t="s">
        <v>45</v>
      </c>
      <c r="D177">
        <v>2</v>
      </c>
      <c r="F177">
        <v>2</v>
      </c>
      <c r="G177" t="s">
        <v>47</v>
      </c>
      <c r="K177" t="s">
        <v>38</v>
      </c>
      <c r="L177">
        <v>2</v>
      </c>
      <c r="M177">
        <v>1</v>
      </c>
      <c r="N177">
        <v>2</v>
      </c>
      <c r="O177" t="s">
        <v>152</v>
      </c>
      <c r="P177" t="s">
        <v>70</v>
      </c>
      <c r="Q177" t="s">
        <v>41</v>
      </c>
      <c r="R177" t="s">
        <v>156</v>
      </c>
      <c r="S177" t="s">
        <v>48</v>
      </c>
      <c r="T177">
        <v>1</v>
      </c>
      <c r="V177">
        <v>1</v>
      </c>
      <c r="W177" t="s">
        <v>89</v>
      </c>
      <c r="AA177" t="s">
        <v>43</v>
      </c>
      <c r="AB177">
        <v>3</v>
      </c>
      <c r="AD177">
        <v>1</v>
      </c>
      <c r="AE177" t="s">
        <v>135</v>
      </c>
      <c r="AF177" t="s">
        <v>74</v>
      </c>
      <c r="AG177" t="s">
        <v>75</v>
      </c>
      <c r="AI177">
        <v>11</v>
      </c>
      <c r="AJ177">
        <v>38</v>
      </c>
      <c r="AK177">
        <v>120</v>
      </c>
      <c r="AL177">
        <v>2</v>
      </c>
    </row>
    <row r="178" spans="1:38" x14ac:dyDescent="0.4">
      <c r="A178" s="4" t="s">
        <v>352</v>
      </c>
      <c r="B178">
        <v>176</v>
      </c>
      <c r="C178" t="s">
        <v>48</v>
      </c>
      <c r="D178">
        <v>2</v>
      </c>
      <c r="F178">
        <v>1</v>
      </c>
      <c r="G178" t="s">
        <v>49</v>
      </c>
      <c r="H178" t="s">
        <v>71</v>
      </c>
      <c r="K178" t="s">
        <v>43</v>
      </c>
      <c r="L178">
        <v>1</v>
      </c>
      <c r="N178">
        <v>1</v>
      </c>
      <c r="O178" t="s">
        <v>135</v>
      </c>
      <c r="P178" t="s">
        <v>99</v>
      </c>
      <c r="Q178" t="s">
        <v>137</v>
      </c>
      <c r="S178" t="s">
        <v>63</v>
      </c>
      <c r="T178">
        <v>1</v>
      </c>
      <c r="V178">
        <v>1</v>
      </c>
      <c r="W178" t="s">
        <v>145</v>
      </c>
      <c r="AA178" t="s">
        <v>38</v>
      </c>
      <c r="AB178">
        <v>1</v>
      </c>
      <c r="AC178">
        <v>1</v>
      </c>
      <c r="AD178">
        <v>1</v>
      </c>
      <c r="AE178" t="s">
        <v>67</v>
      </c>
      <c r="AF178" t="s">
        <v>40</v>
      </c>
      <c r="AI178">
        <v>5</v>
      </c>
      <c r="AJ178">
        <v>29</v>
      </c>
      <c r="AK178">
        <v>120</v>
      </c>
      <c r="AL178">
        <v>2</v>
      </c>
    </row>
    <row r="179" spans="1:38" x14ac:dyDescent="0.4">
      <c r="A179" s="4" t="s">
        <v>353</v>
      </c>
      <c r="B179">
        <v>177</v>
      </c>
      <c r="C179" t="s">
        <v>48</v>
      </c>
      <c r="D179">
        <v>2</v>
      </c>
      <c r="F179">
        <v>1</v>
      </c>
      <c r="G179" t="s">
        <v>126</v>
      </c>
      <c r="H179" t="s">
        <v>50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3</v>
      </c>
      <c r="W179" t="s">
        <v>46</v>
      </c>
      <c r="X179" t="s">
        <v>130</v>
      </c>
      <c r="Y179" t="s">
        <v>132</v>
      </c>
      <c r="Z179" t="s">
        <v>133</v>
      </c>
      <c r="AA179" t="s">
        <v>43</v>
      </c>
      <c r="AB179">
        <v>2</v>
      </c>
      <c r="AD179">
        <v>1</v>
      </c>
      <c r="AE179" t="s">
        <v>135</v>
      </c>
      <c r="AF179" t="s">
        <v>136</v>
      </c>
      <c r="AI179">
        <v>12</v>
      </c>
      <c r="AJ179">
        <v>39</v>
      </c>
      <c r="AK179">
        <v>120</v>
      </c>
      <c r="AL179">
        <v>2</v>
      </c>
    </row>
    <row r="180" spans="1:38" x14ac:dyDescent="0.4">
      <c r="A180" s="4" t="s">
        <v>354</v>
      </c>
      <c r="B180">
        <v>178</v>
      </c>
      <c r="C180" t="s">
        <v>48</v>
      </c>
      <c r="D180">
        <v>2</v>
      </c>
      <c r="F180">
        <v>1</v>
      </c>
      <c r="G180" t="s">
        <v>49</v>
      </c>
      <c r="K180" t="s">
        <v>45</v>
      </c>
      <c r="L180">
        <v>2</v>
      </c>
      <c r="N180">
        <v>1</v>
      </c>
      <c r="O180" t="s">
        <v>47</v>
      </c>
      <c r="S180" t="s">
        <v>33</v>
      </c>
      <c r="T180">
        <v>3</v>
      </c>
      <c r="V180">
        <v>1</v>
      </c>
      <c r="W180" t="s">
        <v>46</v>
      </c>
      <c r="AA180" t="s">
        <v>63</v>
      </c>
      <c r="AB180">
        <v>2</v>
      </c>
      <c r="AD180">
        <v>1</v>
      </c>
      <c r="AE180" t="s">
        <v>103</v>
      </c>
      <c r="AI180">
        <v>5</v>
      </c>
      <c r="AJ180">
        <v>40</v>
      </c>
      <c r="AK180">
        <v>120</v>
      </c>
      <c r="AL180">
        <v>2</v>
      </c>
    </row>
    <row r="181" spans="1:38" x14ac:dyDescent="0.4">
      <c r="A181" s="4" t="s">
        <v>355</v>
      </c>
      <c r="B181">
        <v>179</v>
      </c>
      <c r="C181" t="s">
        <v>33</v>
      </c>
      <c r="D181">
        <v>2</v>
      </c>
      <c r="F181">
        <v>3</v>
      </c>
      <c r="G181" t="s">
        <v>46</v>
      </c>
      <c r="H181" t="s">
        <v>35</v>
      </c>
      <c r="K181" t="s">
        <v>38</v>
      </c>
      <c r="L181">
        <v>2</v>
      </c>
      <c r="M181">
        <v>1</v>
      </c>
      <c r="N181">
        <v>1</v>
      </c>
      <c r="O181" t="s">
        <v>67</v>
      </c>
      <c r="S181" t="s">
        <v>48</v>
      </c>
      <c r="T181">
        <v>2</v>
      </c>
      <c r="V181">
        <v>1</v>
      </c>
      <c r="W181" t="s">
        <v>89</v>
      </c>
      <c r="AA181" t="s">
        <v>45</v>
      </c>
      <c r="AB181">
        <v>2</v>
      </c>
      <c r="AD181">
        <v>1</v>
      </c>
      <c r="AE181" t="s">
        <v>47</v>
      </c>
      <c r="AI181">
        <v>7</v>
      </c>
      <c r="AJ181">
        <v>33</v>
      </c>
      <c r="AK181">
        <v>120</v>
      </c>
      <c r="AL181">
        <v>2</v>
      </c>
    </row>
    <row r="182" spans="1:38" x14ac:dyDescent="0.4">
      <c r="A182" s="4" t="s">
        <v>356</v>
      </c>
      <c r="B182">
        <v>180</v>
      </c>
      <c r="C182" t="s">
        <v>43</v>
      </c>
      <c r="D182">
        <v>1</v>
      </c>
      <c r="F182">
        <v>2</v>
      </c>
      <c r="G182" t="s">
        <v>135</v>
      </c>
      <c r="H182" t="s">
        <v>136</v>
      </c>
      <c r="K182" t="s">
        <v>63</v>
      </c>
      <c r="L182">
        <v>3</v>
      </c>
      <c r="N182">
        <v>3</v>
      </c>
      <c r="O182" t="s">
        <v>72</v>
      </c>
      <c r="P182" t="s">
        <v>146</v>
      </c>
      <c r="Q182" t="s">
        <v>148</v>
      </c>
      <c r="R182" t="s">
        <v>150</v>
      </c>
      <c r="S182" t="s">
        <v>48</v>
      </c>
      <c r="T182">
        <v>1</v>
      </c>
      <c r="V182">
        <v>1</v>
      </c>
      <c r="W182" t="s">
        <v>126</v>
      </c>
      <c r="X182" t="s">
        <v>71</v>
      </c>
      <c r="Y182" t="s">
        <v>90</v>
      </c>
      <c r="AA182" t="s">
        <v>45</v>
      </c>
      <c r="AB182">
        <v>3</v>
      </c>
      <c r="AD182">
        <v>1</v>
      </c>
      <c r="AE182" t="s">
        <v>140</v>
      </c>
      <c r="AF182" t="s">
        <v>92</v>
      </c>
      <c r="AG182" t="s">
        <v>102</v>
      </c>
      <c r="AH182" t="s">
        <v>144</v>
      </c>
      <c r="AI182">
        <v>16</v>
      </c>
      <c r="AJ182">
        <v>65</v>
      </c>
      <c r="AK182">
        <v>120</v>
      </c>
      <c r="AL182">
        <v>2</v>
      </c>
    </row>
    <row r="183" spans="1:38" x14ac:dyDescent="0.4">
      <c r="A183" s="4" t="s">
        <v>357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74</v>
      </c>
      <c r="K183" t="s">
        <v>38</v>
      </c>
      <c r="L183">
        <v>3</v>
      </c>
      <c r="M183">
        <v>1</v>
      </c>
      <c r="N183">
        <v>1</v>
      </c>
      <c r="O183" t="s">
        <v>152</v>
      </c>
      <c r="S183" t="s">
        <v>48</v>
      </c>
      <c r="T183">
        <v>2</v>
      </c>
      <c r="V183">
        <v>1</v>
      </c>
      <c r="W183" t="s">
        <v>126</v>
      </c>
      <c r="X183" t="s">
        <v>71</v>
      </c>
      <c r="AA183" t="s">
        <v>45</v>
      </c>
      <c r="AB183">
        <v>2</v>
      </c>
      <c r="AD183">
        <v>1</v>
      </c>
      <c r="AE183" t="s">
        <v>140</v>
      </c>
      <c r="AI183">
        <v>7</v>
      </c>
      <c r="AJ183">
        <v>26</v>
      </c>
      <c r="AK183">
        <v>120</v>
      </c>
      <c r="AL183">
        <v>2</v>
      </c>
    </row>
    <row r="184" spans="1:38" x14ac:dyDescent="0.4">
      <c r="A184" s="4" t="s">
        <v>358</v>
      </c>
      <c r="B184">
        <v>182</v>
      </c>
      <c r="C184" t="s">
        <v>63</v>
      </c>
      <c r="D184">
        <v>2</v>
      </c>
      <c r="F184">
        <v>2</v>
      </c>
      <c r="G184" t="s">
        <v>103</v>
      </c>
      <c r="K184" t="s">
        <v>38</v>
      </c>
      <c r="L184">
        <v>1</v>
      </c>
      <c r="M184">
        <v>2</v>
      </c>
      <c r="N184">
        <v>1</v>
      </c>
      <c r="O184" t="s">
        <v>152</v>
      </c>
      <c r="S184" t="s">
        <v>48</v>
      </c>
      <c r="T184">
        <v>2</v>
      </c>
      <c r="V184">
        <v>1</v>
      </c>
      <c r="W184" t="s">
        <v>49</v>
      </c>
      <c r="AA184" t="s">
        <v>45</v>
      </c>
      <c r="AB184">
        <v>3</v>
      </c>
      <c r="AD184">
        <v>1</v>
      </c>
      <c r="AE184" t="s">
        <v>86</v>
      </c>
      <c r="AI184">
        <v>6</v>
      </c>
      <c r="AJ184">
        <v>46</v>
      </c>
      <c r="AK184">
        <v>120</v>
      </c>
      <c r="AL184">
        <v>2</v>
      </c>
    </row>
    <row r="185" spans="1:38" x14ac:dyDescent="0.4">
      <c r="A185" s="4" t="s">
        <v>359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130</v>
      </c>
      <c r="I185" t="s">
        <v>132</v>
      </c>
      <c r="K185" t="s">
        <v>43</v>
      </c>
      <c r="L185">
        <v>2</v>
      </c>
      <c r="N185">
        <v>1</v>
      </c>
      <c r="O185" t="s">
        <v>135</v>
      </c>
      <c r="P185" t="s">
        <v>74</v>
      </c>
      <c r="S185" t="s">
        <v>48</v>
      </c>
      <c r="T185">
        <v>1</v>
      </c>
      <c r="V185">
        <v>1</v>
      </c>
      <c r="W185" t="s">
        <v>126</v>
      </c>
      <c r="AA185" t="s">
        <v>63</v>
      </c>
      <c r="AB185">
        <v>1</v>
      </c>
      <c r="AD185">
        <v>2</v>
      </c>
      <c r="AE185" t="s">
        <v>72</v>
      </c>
      <c r="AF185" t="s">
        <v>146</v>
      </c>
      <c r="AG185" t="s">
        <v>104</v>
      </c>
      <c r="AH185" t="s">
        <v>150</v>
      </c>
      <c r="AI185">
        <v>9</v>
      </c>
      <c r="AJ185">
        <v>51</v>
      </c>
      <c r="AK185">
        <v>120</v>
      </c>
      <c r="AL185">
        <v>2</v>
      </c>
    </row>
    <row r="186" spans="1:38" x14ac:dyDescent="0.4">
      <c r="A186" s="4" t="s">
        <v>360</v>
      </c>
      <c r="B186">
        <v>184</v>
      </c>
      <c r="C186" t="s">
        <v>48</v>
      </c>
      <c r="D186">
        <v>1</v>
      </c>
      <c r="F186">
        <v>1</v>
      </c>
      <c r="G186" t="s">
        <v>89</v>
      </c>
      <c r="H186" t="s">
        <v>50</v>
      </c>
      <c r="K186" t="s">
        <v>63</v>
      </c>
      <c r="L186">
        <v>3</v>
      </c>
      <c r="N186">
        <v>3</v>
      </c>
      <c r="O186" t="s">
        <v>145</v>
      </c>
      <c r="P186" t="s">
        <v>146</v>
      </c>
      <c r="Q186" t="s">
        <v>104</v>
      </c>
      <c r="R186" t="s">
        <v>150</v>
      </c>
      <c r="S186" t="s">
        <v>33</v>
      </c>
      <c r="T186">
        <v>2</v>
      </c>
      <c r="V186">
        <v>1</v>
      </c>
      <c r="W186" t="s">
        <v>46</v>
      </c>
      <c r="X186" t="s">
        <v>35</v>
      </c>
      <c r="Y186" t="s">
        <v>132</v>
      </c>
      <c r="Z186" t="s">
        <v>134</v>
      </c>
      <c r="AA186" t="s">
        <v>45</v>
      </c>
      <c r="AB186">
        <v>3</v>
      </c>
      <c r="AD186">
        <v>1</v>
      </c>
      <c r="AE186" t="s">
        <v>86</v>
      </c>
      <c r="AF186" t="s">
        <v>141</v>
      </c>
      <c r="AG186" t="s">
        <v>93</v>
      </c>
      <c r="AH186" t="s">
        <v>143</v>
      </c>
      <c r="AI186">
        <v>17</v>
      </c>
      <c r="AJ186">
        <v>56</v>
      </c>
      <c r="AK186">
        <v>120</v>
      </c>
      <c r="AL186">
        <v>2</v>
      </c>
    </row>
    <row r="187" spans="1:38" x14ac:dyDescent="0.4">
      <c r="A187" s="4" t="s">
        <v>361</v>
      </c>
      <c r="B187">
        <v>185</v>
      </c>
      <c r="C187" t="s">
        <v>48</v>
      </c>
      <c r="D187">
        <v>2</v>
      </c>
      <c r="F187">
        <v>2</v>
      </c>
      <c r="G187" t="s">
        <v>89</v>
      </c>
      <c r="K187" t="s">
        <v>63</v>
      </c>
      <c r="L187">
        <v>1</v>
      </c>
      <c r="N187">
        <v>1</v>
      </c>
      <c r="O187" t="s">
        <v>103</v>
      </c>
      <c r="S187" t="s">
        <v>33</v>
      </c>
      <c r="T187">
        <v>3</v>
      </c>
      <c r="V187">
        <v>2</v>
      </c>
      <c r="W187" t="s">
        <v>46</v>
      </c>
      <c r="AA187" t="s">
        <v>38</v>
      </c>
      <c r="AB187">
        <v>1</v>
      </c>
      <c r="AC187">
        <v>1</v>
      </c>
      <c r="AD187">
        <v>1</v>
      </c>
      <c r="AE187" t="s">
        <v>152</v>
      </c>
      <c r="AF187" t="s">
        <v>70</v>
      </c>
      <c r="AG187" t="s">
        <v>154</v>
      </c>
      <c r="AI187">
        <v>7</v>
      </c>
      <c r="AJ187">
        <v>24</v>
      </c>
      <c r="AK187">
        <v>120</v>
      </c>
      <c r="AL187">
        <v>2</v>
      </c>
    </row>
    <row r="188" spans="1:38" x14ac:dyDescent="0.4">
      <c r="A188" s="4" t="s">
        <v>362</v>
      </c>
      <c r="B188">
        <v>186</v>
      </c>
      <c r="C188" t="s">
        <v>43</v>
      </c>
      <c r="D188">
        <v>3</v>
      </c>
      <c r="F188">
        <v>3</v>
      </c>
      <c r="G188" t="s">
        <v>135</v>
      </c>
      <c r="H188" t="s">
        <v>136</v>
      </c>
      <c r="I188" t="s">
        <v>137</v>
      </c>
      <c r="J188" t="s">
        <v>138</v>
      </c>
      <c r="K188" t="s">
        <v>45</v>
      </c>
      <c r="L188">
        <v>1</v>
      </c>
      <c r="N188">
        <v>1</v>
      </c>
      <c r="O188" t="s">
        <v>86</v>
      </c>
      <c r="P188" t="s">
        <v>141</v>
      </c>
      <c r="Q188" t="s">
        <v>102</v>
      </c>
      <c r="R188" t="s">
        <v>94</v>
      </c>
      <c r="S188" t="s">
        <v>48</v>
      </c>
      <c r="T188">
        <v>3</v>
      </c>
      <c r="V188">
        <v>3</v>
      </c>
      <c r="W188" t="s">
        <v>126</v>
      </c>
      <c r="X188" t="s">
        <v>71</v>
      </c>
      <c r="AA188" t="s">
        <v>63</v>
      </c>
      <c r="AB188">
        <v>1</v>
      </c>
      <c r="AD188">
        <v>1</v>
      </c>
      <c r="AE188" t="s">
        <v>72</v>
      </c>
      <c r="AF188" t="s">
        <v>146</v>
      </c>
      <c r="AI188">
        <v>16</v>
      </c>
      <c r="AJ188">
        <v>77</v>
      </c>
      <c r="AK188">
        <v>120</v>
      </c>
      <c r="AL188">
        <v>2</v>
      </c>
    </row>
    <row r="189" spans="1:38" x14ac:dyDescent="0.4">
      <c r="A189" s="4" t="s">
        <v>363</v>
      </c>
      <c r="B189">
        <v>187</v>
      </c>
      <c r="C189" t="s">
        <v>48</v>
      </c>
      <c r="D189">
        <v>2</v>
      </c>
      <c r="F189">
        <v>1</v>
      </c>
      <c r="G189" t="s">
        <v>126</v>
      </c>
      <c r="H189" t="s">
        <v>71</v>
      </c>
      <c r="K189" t="s">
        <v>63</v>
      </c>
      <c r="L189">
        <v>1</v>
      </c>
      <c r="N189">
        <v>1</v>
      </c>
      <c r="O189" t="s">
        <v>72</v>
      </c>
      <c r="S189" t="s">
        <v>43</v>
      </c>
      <c r="T189">
        <v>2</v>
      </c>
      <c r="V189">
        <v>1</v>
      </c>
      <c r="W189" t="s">
        <v>135</v>
      </c>
      <c r="X189" t="s">
        <v>74</v>
      </c>
      <c r="Y189" t="s">
        <v>75</v>
      </c>
      <c r="Z189" t="s">
        <v>101</v>
      </c>
      <c r="AA189" t="s">
        <v>38</v>
      </c>
      <c r="AB189">
        <v>1</v>
      </c>
      <c r="AC189">
        <v>1</v>
      </c>
      <c r="AD189">
        <v>1</v>
      </c>
      <c r="AE189" t="s">
        <v>152</v>
      </c>
      <c r="AF189" t="s">
        <v>40</v>
      </c>
      <c r="AI189">
        <v>7</v>
      </c>
      <c r="AJ189">
        <v>40</v>
      </c>
      <c r="AK189">
        <v>120</v>
      </c>
      <c r="AL189">
        <v>2</v>
      </c>
    </row>
    <row r="190" spans="1:38" x14ac:dyDescent="0.4">
      <c r="A190" s="4" t="s">
        <v>364</v>
      </c>
      <c r="B190">
        <v>188</v>
      </c>
      <c r="C190" t="s">
        <v>48</v>
      </c>
      <c r="D190">
        <v>1</v>
      </c>
      <c r="F190">
        <v>2</v>
      </c>
      <c r="G190" t="s">
        <v>89</v>
      </c>
      <c r="H190" t="s">
        <v>84</v>
      </c>
      <c r="I190" t="s">
        <v>51</v>
      </c>
      <c r="J190" t="s">
        <v>128</v>
      </c>
      <c r="K190" t="s">
        <v>63</v>
      </c>
      <c r="L190">
        <v>3</v>
      </c>
      <c r="N190">
        <v>1</v>
      </c>
      <c r="O190" t="s">
        <v>103</v>
      </c>
      <c r="P190" t="s">
        <v>95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3</v>
      </c>
      <c r="AC190">
        <v>1</v>
      </c>
      <c r="AD190">
        <v>2</v>
      </c>
      <c r="AE190" t="s">
        <v>67</v>
      </c>
      <c r="AF190" t="s">
        <v>96</v>
      </c>
      <c r="AG190" t="s">
        <v>154</v>
      </c>
      <c r="AI190">
        <v>14</v>
      </c>
      <c r="AJ190">
        <v>68</v>
      </c>
      <c r="AK190">
        <v>120</v>
      </c>
      <c r="AL190">
        <v>2</v>
      </c>
    </row>
    <row r="191" spans="1:38" x14ac:dyDescent="0.4">
      <c r="A191" s="4" t="s">
        <v>365</v>
      </c>
      <c r="B191">
        <v>189</v>
      </c>
      <c r="C191" t="s">
        <v>33</v>
      </c>
      <c r="D191">
        <v>3</v>
      </c>
      <c r="F191">
        <v>3</v>
      </c>
      <c r="G191" t="s">
        <v>46</v>
      </c>
      <c r="H191" t="s">
        <v>130</v>
      </c>
      <c r="I191" t="s">
        <v>36</v>
      </c>
      <c r="J191" t="s">
        <v>134</v>
      </c>
      <c r="K191" t="s">
        <v>43</v>
      </c>
      <c r="L191">
        <v>1</v>
      </c>
      <c r="N191">
        <v>1</v>
      </c>
      <c r="O191" t="s">
        <v>135</v>
      </c>
      <c r="P191" t="s">
        <v>74</v>
      </c>
      <c r="S191" t="s">
        <v>48</v>
      </c>
      <c r="T191">
        <v>3</v>
      </c>
      <c r="V191">
        <v>2</v>
      </c>
      <c r="W191" t="s">
        <v>126</v>
      </c>
      <c r="X191" t="s">
        <v>50</v>
      </c>
      <c r="Y191" t="s">
        <v>127</v>
      </c>
      <c r="AA191" t="s">
        <v>38</v>
      </c>
      <c r="AB191">
        <v>1</v>
      </c>
      <c r="AC191">
        <v>1</v>
      </c>
      <c r="AD191">
        <v>1</v>
      </c>
      <c r="AE191" t="s">
        <v>67</v>
      </c>
      <c r="AF191" t="s">
        <v>70</v>
      </c>
      <c r="AI191">
        <v>14</v>
      </c>
      <c r="AJ191">
        <v>50</v>
      </c>
      <c r="AK191">
        <v>120</v>
      </c>
      <c r="AL191">
        <v>2</v>
      </c>
    </row>
    <row r="192" spans="1:38" x14ac:dyDescent="0.4">
      <c r="A192" s="4" t="s">
        <v>366</v>
      </c>
      <c r="B192">
        <v>190</v>
      </c>
      <c r="C192" t="s">
        <v>33</v>
      </c>
      <c r="D192">
        <v>3</v>
      </c>
      <c r="F192">
        <v>1</v>
      </c>
      <c r="G192" t="s">
        <v>46</v>
      </c>
      <c r="H192" t="s">
        <v>130</v>
      </c>
      <c r="I192" t="s">
        <v>36</v>
      </c>
      <c r="K192" t="s">
        <v>45</v>
      </c>
      <c r="L192">
        <v>3</v>
      </c>
      <c r="N192">
        <v>1</v>
      </c>
      <c r="O192" t="s">
        <v>47</v>
      </c>
      <c r="P192" t="s">
        <v>76</v>
      </c>
      <c r="S192" t="s">
        <v>48</v>
      </c>
      <c r="T192">
        <v>2</v>
      </c>
      <c r="V192">
        <v>1</v>
      </c>
      <c r="W192" t="s">
        <v>126</v>
      </c>
      <c r="X192" t="s">
        <v>71</v>
      </c>
      <c r="Y192" t="s">
        <v>127</v>
      </c>
      <c r="AA192" t="s">
        <v>38</v>
      </c>
      <c r="AB192">
        <v>1</v>
      </c>
      <c r="AC192">
        <v>1</v>
      </c>
      <c r="AD192">
        <v>1</v>
      </c>
      <c r="AE192" t="s">
        <v>67</v>
      </c>
      <c r="AI192">
        <v>10</v>
      </c>
      <c r="AJ192">
        <v>37</v>
      </c>
      <c r="AK192">
        <v>120</v>
      </c>
      <c r="AL192">
        <v>2</v>
      </c>
    </row>
    <row r="193" spans="1:38" x14ac:dyDescent="0.4">
      <c r="A193" s="4" t="s">
        <v>367</v>
      </c>
      <c r="B193">
        <v>191</v>
      </c>
      <c r="C193" t="s">
        <v>48</v>
      </c>
      <c r="D193">
        <v>3</v>
      </c>
      <c r="F193">
        <v>2</v>
      </c>
      <c r="G193" t="s">
        <v>49</v>
      </c>
      <c r="H193" t="s">
        <v>84</v>
      </c>
      <c r="I193" t="s">
        <v>127</v>
      </c>
      <c r="J193" t="s">
        <v>52</v>
      </c>
      <c r="K193" t="s">
        <v>38</v>
      </c>
      <c r="L193">
        <v>1</v>
      </c>
      <c r="M193">
        <v>2</v>
      </c>
      <c r="N193">
        <v>1</v>
      </c>
      <c r="O193" t="s">
        <v>67</v>
      </c>
      <c r="P193" t="s">
        <v>70</v>
      </c>
      <c r="S193" t="s">
        <v>33</v>
      </c>
      <c r="T193">
        <v>2</v>
      </c>
      <c r="V193">
        <v>1</v>
      </c>
      <c r="W193" t="s">
        <v>46</v>
      </c>
      <c r="AA193" t="s">
        <v>63</v>
      </c>
      <c r="AB193">
        <v>3</v>
      </c>
      <c r="AD193">
        <v>3</v>
      </c>
      <c r="AE193" t="s">
        <v>103</v>
      </c>
      <c r="AF193" t="s">
        <v>146</v>
      </c>
      <c r="AI193">
        <v>14</v>
      </c>
      <c r="AJ193">
        <v>58</v>
      </c>
      <c r="AK193">
        <v>120</v>
      </c>
      <c r="AL193">
        <v>2</v>
      </c>
    </row>
    <row r="194" spans="1:38" x14ac:dyDescent="0.4">
      <c r="A194" s="4" t="s">
        <v>368</v>
      </c>
      <c r="B194">
        <v>192</v>
      </c>
      <c r="C194" t="s">
        <v>48</v>
      </c>
      <c r="D194">
        <v>3</v>
      </c>
      <c r="F194">
        <v>1</v>
      </c>
      <c r="G194" t="s">
        <v>126</v>
      </c>
      <c r="H194" t="s">
        <v>50</v>
      </c>
      <c r="K194" t="s">
        <v>38</v>
      </c>
      <c r="L194">
        <v>3</v>
      </c>
      <c r="M194">
        <v>2</v>
      </c>
      <c r="N194">
        <v>3</v>
      </c>
      <c r="O194" t="s">
        <v>67</v>
      </c>
      <c r="P194" t="s">
        <v>96</v>
      </c>
      <c r="Q194" t="s">
        <v>41</v>
      </c>
      <c r="R194" t="s">
        <v>42</v>
      </c>
      <c r="S194" t="s">
        <v>43</v>
      </c>
      <c r="T194">
        <v>1</v>
      </c>
      <c r="V194">
        <v>1</v>
      </c>
      <c r="W194" t="s">
        <v>73</v>
      </c>
      <c r="X194" t="s">
        <v>136</v>
      </c>
      <c r="Y194" t="s">
        <v>100</v>
      </c>
      <c r="AA194" t="s">
        <v>45</v>
      </c>
      <c r="AB194">
        <v>3</v>
      </c>
      <c r="AD194">
        <v>2</v>
      </c>
      <c r="AE194" t="s">
        <v>47</v>
      </c>
      <c r="AF194" t="s">
        <v>141</v>
      </c>
      <c r="AG194" t="s">
        <v>93</v>
      </c>
      <c r="AI194">
        <v>18</v>
      </c>
      <c r="AJ194">
        <v>73</v>
      </c>
      <c r="AK194">
        <v>120</v>
      </c>
      <c r="AL194">
        <v>2</v>
      </c>
    </row>
    <row r="195" spans="1:38" x14ac:dyDescent="0.4">
      <c r="A195" s="4" t="s">
        <v>369</v>
      </c>
      <c r="B195">
        <v>193</v>
      </c>
      <c r="C195" t="s">
        <v>48</v>
      </c>
      <c r="D195">
        <v>1</v>
      </c>
      <c r="F195">
        <v>2</v>
      </c>
      <c r="G195" t="s">
        <v>126</v>
      </c>
      <c r="H195" t="s">
        <v>50</v>
      </c>
      <c r="I195" t="s">
        <v>51</v>
      </c>
      <c r="J195" t="s">
        <v>129</v>
      </c>
      <c r="K195" t="s">
        <v>38</v>
      </c>
      <c r="L195">
        <v>3</v>
      </c>
      <c r="M195">
        <v>1</v>
      </c>
      <c r="N195">
        <v>1</v>
      </c>
      <c r="O195" t="s">
        <v>67</v>
      </c>
      <c r="P195" t="s">
        <v>96</v>
      </c>
      <c r="S195" t="s">
        <v>43</v>
      </c>
      <c r="T195">
        <v>2</v>
      </c>
      <c r="V195">
        <v>2</v>
      </c>
      <c r="W195" t="s">
        <v>73</v>
      </c>
      <c r="X195" t="s">
        <v>99</v>
      </c>
      <c r="Y195" t="s">
        <v>100</v>
      </c>
      <c r="Z195" t="s">
        <v>139</v>
      </c>
      <c r="AA195" t="s">
        <v>63</v>
      </c>
      <c r="AB195">
        <v>1</v>
      </c>
      <c r="AD195">
        <v>2</v>
      </c>
      <c r="AE195" t="s">
        <v>72</v>
      </c>
      <c r="AF195" t="s">
        <v>95</v>
      </c>
      <c r="AG195" t="s">
        <v>148</v>
      </c>
      <c r="AI195">
        <v>15</v>
      </c>
      <c r="AJ195">
        <v>48</v>
      </c>
      <c r="AK195">
        <v>120</v>
      </c>
      <c r="AL195">
        <v>2</v>
      </c>
    </row>
    <row r="196" spans="1:38" x14ac:dyDescent="0.4">
      <c r="A196" s="4" t="s">
        <v>370</v>
      </c>
      <c r="B196">
        <v>194</v>
      </c>
      <c r="C196" t="s">
        <v>48</v>
      </c>
      <c r="D196">
        <v>1</v>
      </c>
      <c r="F196">
        <v>1</v>
      </c>
      <c r="G196" t="s">
        <v>49</v>
      </c>
      <c r="H196" t="s">
        <v>84</v>
      </c>
      <c r="I196" t="s">
        <v>51</v>
      </c>
      <c r="K196" t="s">
        <v>38</v>
      </c>
      <c r="L196">
        <v>3</v>
      </c>
      <c r="M196">
        <v>1</v>
      </c>
      <c r="N196">
        <v>2</v>
      </c>
      <c r="O196" t="s">
        <v>152</v>
      </c>
      <c r="P196" t="s">
        <v>96</v>
      </c>
      <c r="Q196" t="s">
        <v>41</v>
      </c>
      <c r="R196" t="s">
        <v>155</v>
      </c>
      <c r="S196" t="s">
        <v>45</v>
      </c>
      <c r="T196">
        <v>3</v>
      </c>
      <c r="V196">
        <v>3</v>
      </c>
      <c r="W196" t="s">
        <v>86</v>
      </c>
      <c r="AA196" t="s">
        <v>63</v>
      </c>
      <c r="AB196">
        <v>2</v>
      </c>
      <c r="AD196">
        <v>2</v>
      </c>
      <c r="AE196" t="s">
        <v>103</v>
      </c>
      <c r="AI196">
        <v>14</v>
      </c>
      <c r="AJ196">
        <v>41</v>
      </c>
      <c r="AK196">
        <v>120</v>
      </c>
      <c r="AL196">
        <v>2</v>
      </c>
    </row>
    <row r="197" spans="1:38" x14ac:dyDescent="0.4">
      <c r="A197" s="4" t="s">
        <v>371</v>
      </c>
      <c r="B197">
        <v>195</v>
      </c>
      <c r="C197" t="s">
        <v>45</v>
      </c>
      <c r="D197">
        <v>3</v>
      </c>
      <c r="F197">
        <v>1</v>
      </c>
      <c r="G197" t="s">
        <v>47</v>
      </c>
      <c r="K197" t="s">
        <v>63</v>
      </c>
      <c r="L197">
        <v>3</v>
      </c>
      <c r="N197">
        <v>1</v>
      </c>
      <c r="O197" t="s">
        <v>145</v>
      </c>
      <c r="S197" t="s">
        <v>33</v>
      </c>
      <c r="T197">
        <v>2</v>
      </c>
      <c r="V197">
        <v>1</v>
      </c>
      <c r="W197" t="s">
        <v>46</v>
      </c>
      <c r="AA197" t="s">
        <v>43</v>
      </c>
      <c r="AB197">
        <v>2</v>
      </c>
      <c r="AD197">
        <v>3</v>
      </c>
      <c r="AE197" t="s">
        <v>135</v>
      </c>
      <c r="AF197" t="s">
        <v>136</v>
      </c>
      <c r="AI197">
        <v>9</v>
      </c>
      <c r="AJ197">
        <v>36</v>
      </c>
      <c r="AK197">
        <v>120</v>
      </c>
      <c r="AL197">
        <v>2</v>
      </c>
    </row>
    <row r="198" spans="1:38" x14ac:dyDescent="0.4">
      <c r="A198" s="4" t="s">
        <v>372</v>
      </c>
      <c r="B198">
        <v>196</v>
      </c>
      <c r="C198" t="s">
        <v>45</v>
      </c>
      <c r="D198">
        <v>3</v>
      </c>
      <c r="F198">
        <v>1</v>
      </c>
      <c r="G198" t="s">
        <v>47</v>
      </c>
      <c r="K198" t="s">
        <v>38</v>
      </c>
      <c r="L198">
        <v>1</v>
      </c>
      <c r="M198">
        <v>1</v>
      </c>
      <c r="N198">
        <v>2</v>
      </c>
      <c r="O198" t="s">
        <v>67</v>
      </c>
      <c r="S198" t="s">
        <v>33</v>
      </c>
      <c r="T198">
        <v>2</v>
      </c>
      <c r="V198">
        <v>1</v>
      </c>
      <c r="W198" t="s">
        <v>46</v>
      </c>
      <c r="AA198" t="s">
        <v>43</v>
      </c>
      <c r="AB198">
        <v>1</v>
      </c>
      <c r="AD198">
        <v>2</v>
      </c>
      <c r="AE198" t="s">
        <v>135</v>
      </c>
      <c r="AF198" t="s">
        <v>136</v>
      </c>
      <c r="AI198">
        <v>6</v>
      </c>
      <c r="AJ198">
        <v>21</v>
      </c>
      <c r="AK198">
        <v>120</v>
      </c>
      <c r="AL198">
        <v>2</v>
      </c>
    </row>
    <row r="199" spans="1:38" x14ac:dyDescent="0.4">
      <c r="A199" s="4" t="s">
        <v>373</v>
      </c>
      <c r="B199">
        <v>197</v>
      </c>
      <c r="C199" t="s">
        <v>33</v>
      </c>
      <c r="D199">
        <v>2</v>
      </c>
      <c r="F199">
        <v>1</v>
      </c>
      <c r="G199" t="s">
        <v>46</v>
      </c>
      <c r="H199" t="s">
        <v>35</v>
      </c>
      <c r="K199" t="s">
        <v>43</v>
      </c>
      <c r="L199">
        <v>3</v>
      </c>
      <c r="N199">
        <v>1</v>
      </c>
      <c r="O199" t="s">
        <v>135</v>
      </c>
      <c r="P199" t="s">
        <v>74</v>
      </c>
      <c r="S199" t="s">
        <v>63</v>
      </c>
      <c r="T199">
        <v>1</v>
      </c>
      <c r="V199">
        <v>1</v>
      </c>
      <c r="W199" t="s">
        <v>145</v>
      </c>
      <c r="AA199" t="s">
        <v>38</v>
      </c>
      <c r="AB199">
        <v>1</v>
      </c>
      <c r="AC199">
        <v>1</v>
      </c>
      <c r="AD199">
        <v>2</v>
      </c>
      <c r="AE199" t="s">
        <v>67</v>
      </c>
      <c r="AI199">
        <v>6</v>
      </c>
      <c r="AJ199">
        <v>23</v>
      </c>
      <c r="AK199">
        <v>120</v>
      </c>
      <c r="AL199">
        <v>2</v>
      </c>
    </row>
    <row r="200" spans="1:38" x14ac:dyDescent="0.4">
      <c r="A200" s="4" t="s">
        <v>374</v>
      </c>
      <c r="B200">
        <v>198</v>
      </c>
      <c r="C200" t="s">
        <v>43</v>
      </c>
      <c r="D200">
        <v>3</v>
      </c>
      <c r="F200">
        <v>2</v>
      </c>
      <c r="G200" t="s">
        <v>135</v>
      </c>
      <c r="H200" t="s">
        <v>74</v>
      </c>
      <c r="K200" t="s">
        <v>63</v>
      </c>
      <c r="L200">
        <v>1</v>
      </c>
      <c r="N200">
        <v>1</v>
      </c>
      <c r="O200" t="s">
        <v>145</v>
      </c>
      <c r="S200" t="s">
        <v>33</v>
      </c>
      <c r="T200">
        <v>1</v>
      </c>
      <c r="V200">
        <v>2</v>
      </c>
      <c r="W200" t="s">
        <v>46</v>
      </c>
      <c r="AA200" t="s">
        <v>45</v>
      </c>
      <c r="AB200">
        <v>2</v>
      </c>
      <c r="AD200">
        <v>1</v>
      </c>
      <c r="AE200" t="s">
        <v>86</v>
      </c>
      <c r="AI200">
        <v>6</v>
      </c>
      <c r="AJ200">
        <v>44</v>
      </c>
      <c r="AK200">
        <v>120</v>
      </c>
      <c r="AL200">
        <v>2</v>
      </c>
    </row>
    <row r="201" spans="1:38" x14ac:dyDescent="0.4">
      <c r="A201" s="4" t="s">
        <v>375</v>
      </c>
      <c r="B201">
        <v>199</v>
      </c>
      <c r="C201" t="s">
        <v>33</v>
      </c>
      <c r="D201">
        <v>3</v>
      </c>
      <c r="F201">
        <v>1</v>
      </c>
      <c r="G201" t="s">
        <v>34</v>
      </c>
      <c r="K201" t="s">
        <v>45</v>
      </c>
      <c r="L201">
        <v>2</v>
      </c>
      <c r="N201">
        <v>1</v>
      </c>
      <c r="O201" t="s">
        <v>140</v>
      </c>
      <c r="S201" t="s">
        <v>43</v>
      </c>
      <c r="T201">
        <v>1</v>
      </c>
      <c r="V201">
        <v>3</v>
      </c>
      <c r="W201" t="s">
        <v>135</v>
      </c>
      <c r="X201" t="s">
        <v>136</v>
      </c>
      <c r="AA201" t="s">
        <v>38</v>
      </c>
      <c r="AB201">
        <v>1</v>
      </c>
      <c r="AC201">
        <v>1</v>
      </c>
      <c r="AD201">
        <v>2</v>
      </c>
      <c r="AE201" t="s">
        <v>67</v>
      </c>
      <c r="AI201">
        <v>7</v>
      </c>
      <c r="AJ201">
        <v>49</v>
      </c>
      <c r="AK201">
        <v>120</v>
      </c>
      <c r="AL201">
        <v>2</v>
      </c>
    </row>
    <row r="202" spans="1:38" x14ac:dyDescent="0.4">
      <c r="A202" s="4" t="s">
        <v>376</v>
      </c>
      <c r="B202">
        <v>200</v>
      </c>
      <c r="C202" t="s">
        <v>63</v>
      </c>
      <c r="D202">
        <v>2</v>
      </c>
      <c r="F202">
        <v>3</v>
      </c>
      <c r="G202" t="s">
        <v>103</v>
      </c>
      <c r="H202" t="s">
        <v>95</v>
      </c>
      <c r="K202" t="s">
        <v>38</v>
      </c>
      <c r="L202">
        <v>3</v>
      </c>
      <c r="M202">
        <v>1</v>
      </c>
      <c r="N202">
        <v>3</v>
      </c>
      <c r="O202" t="s">
        <v>67</v>
      </c>
      <c r="P202" t="s">
        <v>70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3</v>
      </c>
      <c r="AE202" t="s">
        <v>86</v>
      </c>
      <c r="AF202" t="s">
        <v>76</v>
      </c>
      <c r="AG202" t="s">
        <v>93</v>
      </c>
      <c r="AH202" t="s">
        <v>144</v>
      </c>
      <c r="AI202">
        <v>16</v>
      </c>
      <c r="AJ202">
        <v>49</v>
      </c>
      <c r="AK202">
        <v>120</v>
      </c>
      <c r="AL202">
        <v>2</v>
      </c>
    </row>
    <row r="203" spans="1:38" x14ac:dyDescent="0.4">
      <c r="A203" s="4" t="s">
        <v>377</v>
      </c>
      <c r="B203">
        <v>201</v>
      </c>
      <c r="C203" t="s">
        <v>33</v>
      </c>
      <c r="D203">
        <v>2</v>
      </c>
      <c r="F203">
        <v>3</v>
      </c>
      <c r="G203" t="s">
        <v>46</v>
      </c>
      <c r="H203" t="s">
        <v>35</v>
      </c>
      <c r="K203" t="s">
        <v>63</v>
      </c>
      <c r="L203">
        <v>1</v>
      </c>
      <c r="N203">
        <v>3</v>
      </c>
      <c r="O203" t="s">
        <v>145</v>
      </c>
      <c r="P203" t="s">
        <v>146</v>
      </c>
      <c r="S203" t="s">
        <v>43</v>
      </c>
      <c r="T203">
        <v>3</v>
      </c>
      <c r="V203">
        <v>2</v>
      </c>
      <c r="W203" t="s">
        <v>135</v>
      </c>
      <c r="X203" t="s">
        <v>99</v>
      </c>
      <c r="Y203" t="s">
        <v>75</v>
      </c>
      <c r="AA203" t="s">
        <v>45</v>
      </c>
      <c r="AB203">
        <v>3</v>
      </c>
      <c r="AD203">
        <v>1</v>
      </c>
      <c r="AE203" t="s">
        <v>47</v>
      </c>
      <c r="AF203" t="s">
        <v>76</v>
      </c>
      <c r="AI203">
        <v>15</v>
      </c>
      <c r="AJ203">
        <v>46</v>
      </c>
      <c r="AK203">
        <v>120</v>
      </c>
      <c r="AL203">
        <v>2</v>
      </c>
    </row>
    <row r="204" spans="1:38" x14ac:dyDescent="0.4">
      <c r="A204" s="4" t="s">
        <v>378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136</v>
      </c>
      <c r="I204" t="s">
        <v>137</v>
      </c>
      <c r="K204" t="s">
        <v>38</v>
      </c>
      <c r="L204">
        <v>2</v>
      </c>
      <c r="M204">
        <v>3</v>
      </c>
      <c r="N204">
        <v>2</v>
      </c>
      <c r="O204" t="s">
        <v>67</v>
      </c>
      <c r="P204" t="s">
        <v>40</v>
      </c>
      <c r="S204" t="s">
        <v>33</v>
      </c>
      <c r="T204">
        <v>3</v>
      </c>
      <c r="V204">
        <v>1</v>
      </c>
      <c r="W204" t="s">
        <v>65</v>
      </c>
      <c r="AA204" t="s">
        <v>63</v>
      </c>
      <c r="AB204">
        <v>1</v>
      </c>
      <c r="AD204">
        <v>1</v>
      </c>
      <c r="AE204" t="s">
        <v>145</v>
      </c>
      <c r="AI204">
        <v>10</v>
      </c>
      <c r="AJ204">
        <v>46</v>
      </c>
      <c r="AK204">
        <v>120</v>
      </c>
      <c r="AL204">
        <v>2</v>
      </c>
    </row>
    <row r="205" spans="1:38" x14ac:dyDescent="0.4">
      <c r="A205" s="4" t="s">
        <v>379</v>
      </c>
      <c r="B205">
        <v>203</v>
      </c>
      <c r="C205" t="s">
        <v>45</v>
      </c>
      <c r="D205">
        <v>1</v>
      </c>
      <c r="F205">
        <v>2</v>
      </c>
      <c r="G205" t="s">
        <v>47</v>
      </c>
      <c r="K205" t="s">
        <v>38</v>
      </c>
      <c r="L205">
        <v>3</v>
      </c>
      <c r="M205">
        <v>3</v>
      </c>
      <c r="N205">
        <v>3</v>
      </c>
      <c r="O205" t="s">
        <v>152</v>
      </c>
      <c r="P205" t="s">
        <v>96</v>
      </c>
      <c r="Q205" t="s">
        <v>41</v>
      </c>
      <c r="R205" t="s">
        <v>156</v>
      </c>
      <c r="S205" t="s">
        <v>33</v>
      </c>
      <c r="T205">
        <v>2</v>
      </c>
      <c r="V205">
        <v>3</v>
      </c>
      <c r="W205" t="s">
        <v>46</v>
      </c>
      <c r="X205" t="s">
        <v>35</v>
      </c>
      <c r="Y205" t="s">
        <v>132</v>
      </c>
      <c r="AA205" t="s">
        <v>63</v>
      </c>
      <c r="AB205">
        <v>3</v>
      </c>
      <c r="AD205">
        <v>1</v>
      </c>
      <c r="AE205" t="s">
        <v>72</v>
      </c>
      <c r="AF205" t="s">
        <v>95</v>
      </c>
      <c r="AI205">
        <v>18</v>
      </c>
      <c r="AJ205">
        <v>53</v>
      </c>
      <c r="AK205">
        <v>120</v>
      </c>
      <c r="AL205">
        <v>2</v>
      </c>
    </row>
    <row r="206" spans="1:38" x14ac:dyDescent="0.4">
      <c r="A206" s="4" t="s">
        <v>380</v>
      </c>
      <c r="B206">
        <v>204</v>
      </c>
      <c r="C206" t="s">
        <v>33</v>
      </c>
      <c r="D206">
        <v>3</v>
      </c>
      <c r="F206">
        <v>2</v>
      </c>
      <c r="G206" t="s">
        <v>46</v>
      </c>
      <c r="H206" t="s">
        <v>66</v>
      </c>
      <c r="K206" t="s">
        <v>38</v>
      </c>
      <c r="L206">
        <v>1</v>
      </c>
      <c r="M206">
        <v>2</v>
      </c>
      <c r="N206">
        <v>2</v>
      </c>
      <c r="O206" t="s">
        <v>67</v>
      </c>
      <c r="S206" t="s">
        <v>43</v>
      </c>
      <c r="T206">
        <v>2</v>
      </c>
      <c r="V206">
        <v>1</v>
      </c>
      <c r="W206" t="s">
        <v>135</v>
      </c>
      <c r="X206" t="s">
        <v>136</v>
      </c>
      <c r="AA206" t="s">
        <v>45</v>
      </c>
      <c r="AB206">
        <v>2</v>
      </c>
      <c r="AD206">
        <v>1</v>
      </c>
      <c r="AE206" t="s">
        <v>86</v>
      </c>
      <c r="AI206">
        <v>9</v>
      </c>
      <c r="AJ206">
        <v>35</v>
      </c>
      <c r="AK206">
        <v>120</v>
      </c>
      <c r="AL206">
        <v>2</v>
      </c>
    </row>
    <row r="207" spans="1:38" x14ac:dyDescent="0.4">
      <c r="A207" s="4" t="s">
        <v>381</v>
      </c>
      <c r="B207">
        <v>205</v>
      </c>
      <c r="C207" t="s">
        <v>43</v>
      </c>
      <c r="D207">
        <v>3</v>
      </c>
      <c r="F207">
        <v>1</v>
      </c>
      <c r="G207" t="s">
        <v>135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1</v>
      </c>
      <c r="V207">
        <v>1</v>
      </c>
      <c r="W207" t="s">
        <v>65</v>
      </c>
      <c r="X207" t="s">
        <v>130</v>
      </c>
      <c r="Y207" t="s">
        <v>131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F207" t="s">
        <v>96</v>
      </c>
      <c r="AI207">
        <v>7</v>
      </c>
      <c r="AJ207">
        <v>24</v>
      </c>
      <c r="AK207">
        <v>120</v>
      </c>
      <c r="AL207">
        <v>2</v>
      </c>
    </row>
    <row r="208" spans="1:38" x14ac:dyDescent="0.4">
      <c r="A208" s="4" t="s">
        <v>382</v>
      </c>
      <c r="B208">
        <v>206</v>
      </c>
      <c r="C208" t="s">
        <v>45</v>
      </c>
      <c r="D208">
        <v>2</v>
      </c>
      <c r="F208">
        <v>1</v>
      </c>
      <c r="G208" t="s">
        <v>47</v>
      </c>
      <c r="K208" t="s">
        <v>63</v>
      </c>
      <c r="L208">
        <v>1</v>
      </c>
      <c r="N208">
        <v>2</v>
      </c>
      <c r="O208" t="s">
        <v>103</v>
      </c>
      <c r="S208" t="s">
        <v>33</v>
      </c>
      <c r="T208">
        <v>2</v>
      </c>
      <c r="V208">
        <v>1</v>
      </c>
      <c r="W208" t="s">
        <v>46</v>
      </c>
      <c r="X208" t="s">
        <v>35</v>
      </c>
      <c r="AA208" t="s">
        <v>38</v>
      </c>
      <c r="AB208">
        <v>1</v>
      </c>
      <c r="AC208">
        <v>2</v>
      </c>
      <c r="AD208">
        <v>1</v>
      </c>
      <c r="AE208" t="s">
        <v>67</v>
      </c>
      <c r="AI208">
        <v>5</v>
      </c>
      <c r="AJ208">
        <v>27</v>
      </c>
      <c r="AK208">
        <v>120</v>
      </c>
      <c r="AL208">
        <v>2</v>
      </c>
    </row>
    <row r="209" spans="1:38" x14ac:dyDescent="0.4">
      <c r="A209" s="4" t="s">
        <v>383</v>
      </c>
      <c r="B209">
        <v>207</v>
      </c>
      <c r="C209" t="s">
        <v>63</v>
      </c>
      <c r="D209">
        <v>3</v>
      </c>
      <c r="F209">
        <v>2</v>
      </c>
      <c r="G209" t="s">
        <v>145</v>
      </c>
      <c r="H209" t="s">
        <v>146</v>
      </c>
      <c r="I209" t="s">
        <v>147</v>
      </c>
      <c r="J209" t="s">
        <v>149</v>
      </c>
      <c r="K209" t="s">
        <v>38</v>
      </c>
      <c r="L209">
        <v>1</v>
      </c>
      <c r="M209">
        <v>1</v>
      </c>
      <c r="N209">
        <v>1</v>
      </c>
      <c r="O209" t="s">
        <v>67</v>
      </c>
      <c r="S209" t="s">
        <v>43</v>
      </c>
      <c r="T209">
        <v>3</v>
      </c>
      <c r="V209">
        <v>1</v>
      </c>
      <c r="W209" t="s">
        <v>135</v>
      </c>
      <c r="X209" t="s">
        <v>136</v>
      </c>
      <c r="AA209" t="s">
        <v>45</v>
      </c>
      <c r="AB209">
        <v>1</v>
      </c>
      <c r="AD209">
        <v>1</v>
      </c>
      <c r="AE209" t="s">
        <v>47</v>
      </c>
      <c r="AF209" t="s">
        <v>141</v>
      </c>
      <c r="AG209" t="s">
        <v>142</v>
      </c>
      <c r="AI209">
        <v>11</v>
      </c>
      <c r="AJ209">
        <v>42</v>
      </c>
      <c r="AK209">
        <v>120</v>
      </c>
      <c r="AL209">
        <v>2</v>
      </c>
    </row>
    <row r="210" spans="1:38" x14ac:dyDescent="0.4">
      <c r="A210" s="4" t="s">
        <v>384</v>
      </c>
      <c r="B210">
        <v>208</v>
      </c>
      <c r="C210" t="s">
        <v>45</v>
      </c>
      <c r="D210">
        <v>3</v>
      </c>
      <c r="F210">
        <v>3</v>
      </c>
      <c r="G210" t="s">
        <v>86</v>
      </c>
      <c r="H210" t="s">
        <v>76</v>
      </c>
      <c r="I210" t="s">
        <v>142</v>
      </c>
      <c r="J210" t="s">
        <v>144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40</v>
      </c>
      <c r="Q210" t="s">
        <v>41</v>
      </c>
      <c r="S210" t="s">
        <v>43</v>
      </c>
      <c r="T210">
        <v>1</v>
      </c>
      <c r="V210">
        <v>1</v>
      </c>
      <c r="W210" t="s">
        <v>135</v>
      </c>
      <c r="X210" t="s">
        <v>136</v>
      </c>
      <c r="AA210" t="s">
        <v>63</v>
      </c>
      <c r="AB210">
        <v>3</v>
      </c>
      <c r="AD210">
        <v>3</v>
      </c>
      <c r="AE210" t="s">
        <v>72</v>
      </c>
      <c r="AF210" t="s">
        <v>95</v>
      </c>
      <c r="AI210">
        <v>15</v>
      </c>
      <c r="AJ210">
        <v>41</v>
      </c>
      <c r="AK210">
        <v>120</v>
      </c>
      <c r="AL210">
        <v>2</v>
      </c>
    </row>
    <row r="211" spans="1:38" x14ac:dyDescent="0.4">
      <c r="A211" s="4" t="s">
        <v>385</v>
      </c>
      <c r="B211">
        <v>209</v>
      </c>
      <c r="C211" t="s">
        <v>45</v>
      </c>
      <c r="D211">
        <v>3</v>
      </c>
      <c r="F211">
        <v>1</v>
      </c>
      <c r="G211" t="s">
        <v>140</v>
      </c>
      <c r="K211" t="s">
        <v>63</v>
      </c>
      <c r="L211">
        <v>1</v>
      </c>
      <c r="N211">
        <v>1</v>
      </c>
      <c r="O211" t="s">
        <v>145</v>
      </c>
      <c r="P211" t="s">
        <v>95</v>
      </c>
      <c r="S211" t="s">
        <v>43</v>
      </c>
      <c r="T211">
        <v>3</v>
      </c>
      <c r="V211">
        <v>1</v>
      </c>
      <c r="W211" t="s">
        <v>135</v>
      </c>
      <c r="X211" t="s">
        <v>74</v>
      </c>
      <c r="AA211" t="s">
        <v>38</v>
      </c>
      <c r="AB211">
        <v>1</v>
      </c>
      <c r="AC211">
        <v>3</v>
      </c>
      <c r="AD211">
        <v>1</v>
      </c>
      <c r="AE211" t="s">
        <v>152</v>
      </c>
      <c r="AI211">
        <v>8</v>
      </c>
      <c r="AJ211">
        <v>26</v>
      </c>
      <c r="AK211">
        <v>120</v>
      </c>
      <c r="AL211">
        <v>2</v>
      </c>
    </row>
  </sheetData>
  <phoneticPr fontId="3" type="noConversion"/>
  <conditionalFormatting sqref="B1:B1048576">
    <cfRule type="duplicateValues" dxfId="1045" priority="1"/>
  </conditionalFormatting>
  <conditionalFormatting sqref="A2:B211">
    <cfRule type="duplicateValues" dxfId="1044" priority="4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62"/>
  <sheetViews>
    <sheetView topLeftCell="H1" workbookViewId="0">
      <selection activeCell="W1" sqref="W1:X11"/>
    </sheetView>
  </sheetViews>
  <sheetFormatPr defaultRowHeight="14.6" x14ac:dyDescent="0.4"/>
  <cols>
    <col min="1" max="1" width="21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921875" bestFit="1" customWidth="1"/>
    <col min="10" max="10" width="11.84375" bestFit="1" customWidth="1"/>
    <col min="11" max="11" width="3.84375" customWidth="1"/>
    <col min="12" max="12" width="21.152343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92187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1"/>
      <c r="J1" s="42"/>
      <c r="L1" s="40" t="s">
        <v>632</v>
      </c>
      <c r="M1" s="41"/>
      <c r="N1" s="41"/>
      <c r="O1" s="41"/>
      <c r="P1" s="41"/>
      <c r="Q1" s="41"/>
      <c r="R1" s="41"/>
      <c r="S1" s="41"/>
      <c r="T1" s="41"/>
      <c r="U1" s="42"/>
      <c r="W1" t="s">
        <v>386</v>
      </c>
      <c r="X1" s="3" t="s">
        <v>387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162</v>
      </c>
      <c r="I2" s="20" t="s">
        <v>163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s="20" t="s">
        <v>162</v>
      </c>
      <c r="T2" s="20" t="s">
        <v>163</v>
      </c>
      <c r="U2" s="22" t="s">
        <v>164</v>
      </c>
      <c r="W2" t="s">
        <v>666</v>
      </c>
      <c r="X2" s="3">
        <f>H4/SUM(ParagonEquip[spear])</f>
        <v>0.4330357142857143</v>
      </c>
    </row>
    <row r="3" spans="1:24" x14ac:dyDescent="0.4">
      <c r="A3" s="19" t="s">
        <v>54</v>
      </c>
      <c r="B3" s="20">
        <f>M3+M24+M45</f>
        <v>188</v>
      </c>
      <c r="C3" s="20">
        <f>N3+N24+N45</f>
        <v>116</v>
      </c>
      <c r="D3" s="21">
        <f>IF(SUM(ParagonAbilities1[[#This Row],[takes]]) &gt; 0,ParagonAbilities1[[#This Row],[takes]]/SUM(ParagonAbilities1[takes]),0)</f>
        <v>0.8392857142857143</v>
      </c>
      <c r="E3" s="21">
        <f>IF(ParagonAbilities1[[#This Row],[takes]]&gt;0,ParagonAbilities1[[#This Row],[wins]]/ParagonAbilities1[[#This Row],[takes]],0)</f>
        <v>0.61702127659574468</v>
      </c>
      <c r="F3" s="20"/>
      <c r="G3" s="20">
        <v>1</v>
      </c>
      <c r="H3" s="20">
        <f>S3+S24+S45</f>
        <v>74</v>
      </c>
      <c r="I3" s="20">
        <f>T3+T24+T45</f>
        <v>192</v>
      </c>
      <c r="J3" s="22">
        <f>U3+U24+U45</f>
        <v>125</v>
      </c>
      <c r="L3" s="19" t="s">
        <v>54</v>
      </c>
      <c r="M3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79</v>
      </c>
      <c r="N3" s="20">
        <f>COUNTIF(Scenario0[winner1-ability1],ParagonAbilities1Scenario0[[#This Row],[ability]])+COUNTIF(Scenario0[winner2-ability1],ParagonAbilities1Scenario0[[#This Row],[ability]])</f>
        <v>52</v>
      </c>
      <c r="O3" s="21">
        <f>IF(SUM(ParagonAbilities1Scenario0[[#This Row],[takes]]) &gt; 0,ParagonAbilities1Scenario0[[#This Row],[takes]]/SUM(ParagonAbilities1Scenario0[takes]),0)</f>
        <v>0.75238095238095237</v>
      </c>
      <c r="P3" s="21">
        <f>IF(ParagonAbilities1Scenario0[[#This Row],[takes]]&gt;0,ParagonAbilities1Scenario0[[#This Row],[wins]]/ParagonAbilities1Scenario0[[#This Row],[takes]],0)</f>
        <v>0.65822784810126578</v>
      </c>
      <c r="Q3" s="20"/>
      <c r="R3" s="20">
        <v>1</v>
      </c>
      <c r="S3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36</v>
      </c>
      <c r="T3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83</v>
      </c>
      <c r="U3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44</v>
      </c>
      <c r="W3" t="s">
        <v>667</v>
      </c>
      <c r="X3" s="18">
        <f>H5/SUM(ParagonEquip[spear])</f>
        <v>0.23660714285714285</v>
      </c>
    </row>
    <row r="4" spans="1:24" x14ac:dyDescent="0.4">
      <c r="A4" s="19" t="s">
        <v>111</v>
      </c>
      <c r="B4" s="20">
        <f>M4+M25+M46</f>
        <v>12</v>
      </c>
      <c r="C4" s="20">
        <f t="shared" ref="C4:C5" si="0">N4+N25+N46</f>
        <v>6</v>
      </c>
      <c r="D4" s="21">
        <f>IF(SUM(ParagonAbilities1[[#This Row],[takes]]) &gt; 0,ParagonAbilities1[[#This Row],[takes]]/SUM(ParagonAbilities1[takes]),0)</f>
        <v>5.3571428571428568E-2</v>
      </c>
      <c r="E4" s="21">
        <f>IF(ParagonAbilities1[[#This Row],[takes]]&gt;0,ParagonAbilities1[[#This Row],[wins]]/ParagonAbilities1[[#This Row],[takes]],0)</f>
        <v>0.5</v>
      </c>
      <c r="F4" s="20"/>
      <c r="G4" s="20">
        <v>2</v>
      </c>
      <c r="H4" s="20">
        <f t="shared" ref="H4:H5" si="1">S4+S25+S46</f>
        <v>97</v>
      </c>
      <c r="I4" s="20">
        <f t="shared" ref="I4:I5" si="2">T4+T25+T46</f>
        <v>21</v>
      </c>
      <c r="J4" s="22">
        <f t="shared" ref="J4:J5" si="3">U4+U25+U46</f>
        <v>43</v>
      </c>
      <c r="L4" s="19" t="s">
        <v>111</v>
      </c>
      <c r="M4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7</v>
      </c>
      <c r="N4" s="20">
        <f>COUNTIF(Scenario0[winner1-ability1],ParagonAbilities1Scenario0[[#This Row],[ability]])+COUNTIF(Scenario0[winner2-ability1],ParagonAbilities1Scenario0[[#This Row],[ability]])</f>
        <v>4</v>
      </c>
      <c r="O4" s="21">
        <f>IF(SUM(ParagonAbilities1Scenario0[[#This Row],[takes]]) &gt; 0,ParagonAbilities1Scenario0[[#This Row],[takes]]/SUM(ParagonAbilities1Scenario0[takes]),0)</f>
        <v>6.6666666666666666E-2</v>
      </c>
      <c r="P4" s="21">
        <f>IF(ParagonAbilities1Scenario0[[#This Row],[takes]]&gt;0,ParagonAbilities1Scenario0[[#This Row],[wins]]/ParagonAbilities1Scenario0[[#This Row],[takes]],0)</f>
        <v>0.5714285714285714</v>
      </c>
      <c r="Q4" s="20"/>
      <c r="R4" s="20">
        <v>2</v>
      </c>
      <c r="S4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38</v>
      </c>
      <c r="T4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16</v>
      </c>
      <c r="U4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25</v>
      </c>
      <c r="W4" t="s">
        <v>668</v>
      </c>
      <c r="X4" s="3">
        <f>ParagonEquip[[#This Row],[shield]]/SUM(ParagonEquip[shield])</f>
        <v>9.375E-2</v>
      </c>
    </row>
    <row r="5" spans="1:24" x14ac:dyDescent="0.4">
      <c r="A5" s="19" t="s">
        <v>112</v>
      </c>
      <c r="B5" s="20">
        <f t="shared" ref="B5" si="4">M5+M26+M47</f>
        <v>24</v>
      </c>
      <c r="C5" s="20">
        <f t="shared" si="0"/>
        <v>15</v>
      </c>
      <c r="D5" s="21">
        <f>IF(SUM(ParagonAbilities1[[#This Row],[takes]]) &gt; 0,ParagonAbilities1[[#This Row],[takes]]/SUM(ParagonAbilities1[takes]),0)</f>
        <v>0.10714285714285714</v>
      </c>
      <c r="E5" s="21">
        <f>IF(ParagonAbilities1[[#This Row],[takes]]&gt;0,ParagonAbilities1[[#This Row],[wins]]/ParagonAbilities1[[#This Row],[takes]],0)</f>
        <v>0.625</v>
      </c>
      <c r="F5" s="20"/>
      <c r="G5" s="20">
        <v>3</v>
      </c>
      <c r="H5" s="20">
        <f t="shared" si="1"/>
        <v>53</v>
      </c>
      <c r="I5" s="20">
        <f t="shared" si="2"/>
        <v>11</v>
      </c>
      <c r="J5" s="22">
        <f t="shared" si="3"/>
        <v>56</v>
      </c>
      <c r="L5" s="19" t="s">
        <v>112</v>
      </c>
      <c r="M5" s="20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19</v>
      </c>
      <c r="N5" s="20">
        <f>COUNTIF(Scenario0[winner1-ability1],ParagonAbilities1Scenario0[[#This Row],[ability]])+COUNTIF(Scenario0[winner2-ability1],ParagonAbilities1Scenario0[[#This Row],[ability]])</f>
        <v>11</v>
      </c>
      <c r="O5" s="21">
        <f>IF(SUM(ParagonAbilities1Scenario0[[#This Row],[takes]]) &gt; 0,ParagonAbilities1Scenario0[[#This Row],[takes]]/SUM(ParagonAbilities1Scenario0[takes]),0)</f>
        <v>0.18095238095238095</v>
      </c>
      <c r="P5" s="21">
        <f>IF(ParagonAbilities1Scenario0[[#This Row],[takes]]&gt;0,ParagonAbilities1Scenario0[[#This Row],[wins]]/ParagonAbilities1Scenario0[[#This Row],[takes]],0)</f>
        <v>0.57894736842105265</v>
      </c>
      <c r="Q5" s="20"/>
      <c r="R5" s="20">
        <v>3</v>
      </c>
      <c r="S5" s="20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31</v>
      </c>
      <c r="T5" s="20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6</v>
      </c>
      <c r="U5" s="22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36</v>
      </c>
      <c r="W5" t="s">
        <v>669</v>
      </c>
      <c r="X5" s="18">
        <f>ParagonEquip[[#This Row],[shield]]/SUM(ParagonEquip[shield])</f>
        <v>4.9107142857142856E-2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391</v>
      </c>
      <c r="X6" s="3">
        <f>J4/SUM(ParagonEquip[chestpiece])</f>
        <v>0.19196428571428573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392</v>
      </c>
      <c r="X7" s="18">
        <f>J5/SUM(ParagonEquip[chestpiece])</f>
        <v>0.25</v>
      </c>
    </row>
    <row r="8" spans="1:24" x14ac:dyDescent="0.4">
      <c r="A8" s="24" t="s">
        <v>55</v>
      </c>
      <c r="B8" s="2">
        <f>M8+M29+M50</f>
        <v>48</v>
      </c>
      <c r="C8" s="2">
        <f>N8+N29+N50</f>
        <v>41</v>
      </c>
      <c r="D8" s="13">
        <f>IF(SUM(ParagonAbilities2[[#This Row],[takes]]) &gt; 0,ParagonAbilities2[[#This Row],[takes]]/SUM(ParagonAbilities2[takes]),0)</f>
        <v>0.36090225563909772</v>
      </c>
      <c r="E8" s="13">
        <f>IF(ParagonAbilities2[[#This Row],[takes]]&gt;0,ParagonAbilities2[[#This Row],[wins]]/ParagonAbilities2[[#This Row],[takes]],0)</f>
        <v>0.85416666666666663</v>
      </c>
      <c r="F8" s="20"/>
      <c r="G8" s="20"/>
      <c r="H8" s="20"/>
      <c r="I8" s="20"/>
      <c r="J8" s="22"/>
      <c r="L8" s="24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37</v>
      </c>
      <c r="N8" s="2">
        <f>COUNTIF(Scenario0[winner1-ability2],ParagonAbilities2Scenario0[[#This Row],[ability]])+COUNTIF(Scenario0[winner2-ability2],ParagonAbilities2Scenario0[[#This Row],[ability]])</f>
        <v>31</v>
      </c>
      <c r="O8" s="13">
        <f>IF(SUM(ParagonAbilities2Scenario0[[#This Row],[takes]]) &gt; 0,ParagonAbilities2Scenario0[[#This Row],[takes]]/SUM(ParagonAbilities2Scenario0[takes]),0)</f>
        <v>0.45121951219512196</v>
      </c>
      <c r="P8" s="13">
        <f>IF(ParagonAbilities2Scenario0[[#This Row],[takes]]&gt;0,ParagonAbilities2Scenario0[[#This Row],[wins]]/ParagonAbilities2Scenario0[[#This Row],[takes]],0)</f>
        <v>0.83783783783783783</v>
      </c>
      <c r="Q8" s="20"/>
      <c r="R8" s="20"/>
      <c r="S8" s="20"/>
      <c r="T8" s="20"/>
      <c r="U8" s="22"/>
      <c r="W8" t="s">
        <v>388</v>
      </c>
      <c r="X8" s="3">
        <f>SUM(ParagonAbilities2[takes])/SUM(ParagonAbilities1[takes])</f>
        <v>0.59375</v>
      </c>
    </row>
    <row r="9" spans="1:24" x14ac:dyDescent="0.4">
      <c r="A9" s="19" t="s">
        <v>83</v>
      </c>
      <c r="B9" s="2">
        <f t="shared" ref="B9:B10" si="5">M9+M30+M51</f>
        <v>68</v>
      </c>
      <c r="C9" s="2">
        <f t="shared" ref="C9:C10" si="6">N9+N30+N51</f>
        <v>35</v>
      </c>
      <c r="D9" s="21">
        <f>IF(SUM(ParagonAbilities2[[#This Row],[takes]]) &gt; 0,ParagonAbilities2[[#This Row],[takes]]/SUM(ParagonAbilities2[takes]),0)</f>
        <v>0.51127819548872178</v>
      </c>
      <c r="E9" s="21">
        <f>IF(ParagonAbilities2[[#This Row],[takes]]&gt;0,ParagonAbilities2[[#This Row],[wins]]/ParagonAbilities2[[#This Row],[takes]],0)</f>
        <v>0.51470588235294112</v>
      </c>
      <c r="F9" s="20"/>
      <c r="G9" s="20"/>
      <c r="H9" s="20"/>
      <c r="I9" s="20"/>
      <c r="J9" s="22"/>
      <c r="L9" s="19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35</v>
      </c>
      <c r="N9" s="2">
        <f>COUNTIF(Scenario0[winner1-ability2],ParagonAbilities2Scenario0[[#This Row],[ability]])+COUNTIF(Scenario0[winner2-ability2],ParagonAbilities2Scenario0[[#This Row],[ability]])</f>
        <v>16</v>
      </c>
      <c r="O9" s="21">
        <f>IF(SUM(ParagonAbilities2Scenario0[[#This Row],[takes]]) &gt; 0,ParagonAbilities2Scenario0[[#This Row],[takes]]/SUM(ParagonAbilities2Scenario0[takes]),0)</f>
        <v>0.42682926829268292</v>
      </c>
      <c r="P9" s="21">
        <f>IF(ParagonAbilities2Scenario0[[#This Row],[takes]]&gt;0,ParagonAbilities2Scenario0[[#This Row],[wins]]/ParagonAbilities2Scenario0[[#This Row],[takes]],0)</f>
        <v>0.45714285714285713</v>
      </c>
      <c r="Q9" s="20"/>
      <c r="R9" s="20"/>
      <c r="S9" s="20"/>
      <c r="T9" s="20"/>
      <c r="U9" s="22"/>
      <c r="W9" t="s">
        <v>389</v>
      </c>
      <c r="X9" s="3">
        <f>SUM(ParagonAbilities3[takes])/SUM(ParagonAbilities1[takes])</f>
        <v>0.2767857142857143</v>
      </c>
    </row>
    <row r="10" spans="1:24" x14ac:dyDescent="0.4">
      <c r="A10" s="25" t="s">
        <v>113</v>
      </c>
      <c r="B10" s="2">
        <f t="shared" si="5"/>
        <v>17</v>
      </c>
      <c r="C10" s="2">
        <f t="shared" si="6"/>
        <v>8</v>
      </c>
      <c r="D10" s="14">
        <f>IF(SUM(ParagonAbilities2[[#This Row],[takes]]) &gt; 0,ParagonAbilities2[[#This Row],[takes]]/SUM(ParagonAbilities2[takes]),0)</f>
        <v>0.12781954887218044</v>
      </c>
      <c r="E10" s="14">
        <f>IF(ParagonAbilities2[[#This Row],[takes]]&gt;0,ParagonAbilities2[[#This Row],[wins]]/ParagonAbilities2[[#This Row],[takes]],0)</f>
        <v>0.47058823529411764</v>
      </c>
      <c r="F10" s="20"/>
      <c r="G10" s="20"/>
      <c r="H10" s="20"/>
      <c r="I10" s="20"/>
      <c r="J10" s="22"/>
      <c r="L10" s="25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10</v>
      </c>
      <c r="N10" s="2">
        <f>COUNTIF(Scenario0[winner1-ability2],ParagonAbilities2Scenario0[[#This Row],[ability]])+COUNTIF(Scenario0[winner2-ability2],ParagonAbilities2Scenario0[[#This Row],[ability]])</f>
        <v>5</v>
      </c>
      <c r="O10" s="14">
        <f>IF(SUM(ParagonAbilities2Scenario0[[#This Row],[takes]]) &gt; 0,ParagonAbilities2Scenario0[[#This Row],[takes]]/SUM(ParagonAbilities2Scenario0[takes]),0)</f>
        <v>0.12195121951219512</v>
      </c>
      <c r="P10" s="14">
        <f>IF(ParagonAbilities2Scenario0[[#This Row],[takes]]&gt;0,ParagonAbilities2Scenario0[[#This Row],[wins]]/ParagonAbilities2Scenario0[[#This Row],[takes]],0)</f>
        <v>0.5</v>
      </c>
      <c r="Q10" s="20"/>
      <c r="R10" s="20"/>
      <c r="S10" s="20"/>
      <c r="T10" s="20"/>
      <c r="U10" s="22"/>
      <c r="W10" t="s">
        <v>390</v>
      </c>
      <c r="X10" s="18">
        <f>SUM(ParagonAbilities4[takes])/SUM(ParagonAbilities1[takes])</f>
        <v>0.13392857142857142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672</v>
      </c>
      <c r="X11" s="39">
        <f>(SUM(ParagonAbilities2[takes])+SUM(ParagonAbilities3[takes])+SUM(ParagonAbilities4[takes])+SUM(H4:H5)+SUM(I4:I5)+SUM(J4:J5))/SUM(ParagonAbilities1[takes])</f>
        <v>2.2589285714285716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26" t="s">
        <v>114</v>
      </c>
      <c r="B13" s="1">
        <f>M13+M34+M55</f>
        <v>22</v>
      </c>
      <c r="C13" s="1">
        <f>N13+N34+N55</f>
        <v>18</v>
      </c>
      <c r="D13" s="15">
        <f>IF(SUM(ParagonAbilities3[[#This Row],[takes]]) &gt; 0,ParagonAbilities3[[#This Row],[takes]]/SUM(ParagonAbilities3[takes]),0)</f>
        <v>0.35483870967741937</v>
      </c>
      <c r="E13" s="15">
        <f>IF(ParagonAbilities3[[#This Row],[takes]]&gt;0,ParagonAbilities3[[#This Row],[wins]]/ParagonAbilities3[[#This Row],[takes]],0)</f>
        <v>0.81818181818181823</v>
      </c>
      <c r="F13" s="20"/>
      <c r="G13" s="20"/>
      <c r="H13" s="20"/>
      <c r="I13" s="20"/>
      <c r="J13" s="22"/>
      <c r="L13" s="26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17</v>
      </c>
      <c r="N13" s="1">
        <f>COUNTIF(Scenario0[winner1-ability3],ParagonAbilities3Scenario0[[#This Row],[ability]])+COUNTIF(Scenario0[winner2-ability3],ParagonAbilities3Scenario0[[#This Row],[ability]])</f>
        <v>13</v>
      </c>
      <c r="O13" s="15">
        <f>IF(SUM(ParagonAbilities3Scenario0[[#This Row],[takes]]) &gt; 0,ParagonAbilities3Scenario0[[#This Row],[takes]]/SUM(ParagonAbilities3Scenario0[takes]),0)</f>
        <v>0.4358974358974359</v>
      </c>
      <c r="P13" s="15">
        <f>IF(ParagonAbilities3Scenario0[[#This Row],[takes]]&gt;0,ParagonAbilities3Scenario0[[#This Row],[wins]]/ParagonAbilities3Scenario0[[#This Row],[takes]],0)</f>
        <v>0.76470588235294112</v>
      </c>
      <c r="Q13" s="20"/>
      <c r="R13" s="20"/>
      <c r="S13" s="20"/>
      <c r="T13" s="20"/>
      <c r="U13" s="22"/>
    </row>
    <row r="14" spans="1:24" x14ac:dyDescent="0.4">
      <c r="A14" s="24" t="s">
        <v>105</v>
      </c>
      <c r="B14" s="2">
        <f t="shared" ref="B14:B15" si="7">M14+M35+M56</f>
        <v>11</v>
      </c>
      <c r="C14" s="2">
        <f t="shared" ref="C14:C15" si="8">N14+N35+N56</f>
        <v>9</v>
      </c>
      <c r="D14" s="13">
        <f>IF(SUM(ParagonAbilities3[[#This Row],[takes]]) &gt; 0,ParagonAbilities3[[#This Row],[takes]]/SUM(ParagonAbilities3[takes]),0)</f>
        <v>0.17741935483870969</v>
      </c>
      <c r="E14" s="13">
        <f>IF(ParagonAbilities3[[#This Row],[takes]]&gt;0,ParagonAbilities3[[#This Row],[wins]]/ParagonAbilities3[[#This Row],[takes]],0)</f>
        <v>0.81818181818181823</v>
      </c>
      <c r="F14" s="20"/>
      <c r="G14" s="20"/>
      <c r="H14" s="20"/>
      <c r="I14" s="20"/>
      <c r="J14" s="22"/>
      <c r="L14" s="24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3</v>
      </c>
      <c r="N14" s="2">
        <f>COUNTIF(Scenario0[winner1-ability3],ParagonAbilities3Scenario0[[#This Row],[ability]])+COUNTIF(Scenario0[winner2-ability3],ParagonAbilities3Scenario0[[#This Row],[ability]])</f>
        <v>3</v>
      </c>
      <c r="O14" s="13">
        <f>IF(SUM(ParagonAbilities3Scenario0[[#This Row],[takes]]) &gt; 0,ParagonAbilities3Scenario0[[#This Row],[takes]]/SUM(ParagonAbilities3Scenario0[takes]),0)</f>
        <v>7.6923076923076927E-2</v>
      </c>
      <c r="P14" s="13">
        <f>IF(ParagonAbilities3Scenario0[[#This Row],[takes]]&gt;0,ParagonAbilities3Scenario0[[#This Row],[wins]]/ParagonAbilities3Scenario0[[#This Row],[takes]],0)</f>
        <v>1</v>
      </c>
      <c r="Q14" s="20"/>
      <c r="R14" s="20"/>
      <c r="S14" s="20"/>
      <c r="T14" s="20"/>
      <c r="U14" s="22"/>
    </row>
    <row r="15" spans="1:24" x14ac:dyDescent="0.4">
      <c r="A15" s="27" t="s">
        <v>97</v>
      </c>
      <c r="B15" s="1">
        <f t="shared" si="7"/>
        <v>29</v>
      </c>
      <c r="C15" s="1">
        <f t="shared" si="8"/>
        <v>10</v>
      </c>
      <c r="D15" s="16">
        <f>IF(SUM(ParagonAbilities3[[#This Row],[takes]]) &gt; 0,ParagonAbilities3[[#This Row],[takes]]/SUM(ParagonAbilities3[takes]),0)</f>
        <v>0.46774193548387094</v>
      </c>
      <c r="E15" s="16">
        <f>IF(ParagonAbilities3[[#This Row],[takes]]&gt;0,ParagonAbilities3[[#This Row],[wins]]/ParagonAbilities3[[#This Row],[takes]],0)</f>
        <v>0.34482758620689657</v>
      </c>
      <c r="F15" s="20"/>
      <c r="G15" s="20"/>
      <c r="H15" s="20"/>
      <c r="I15" s="20"/>
      <c r="J15" s="22"/>
      <c r="L15" s="27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19</v>
      </c>
      <c r="N15" s="1">
        <f>COUNTIF(Scenario0[winner1-ability3],ParagonAbilities3Scenario0[[#This Row],[ability]])+COUNTIF(Scenario0[winner2-ability3],ParagonAbilities3Scenario0[[#This Row],[ability]])</f>
        <v>7</v>
      </c>
      <c r="O15" s="16">
        <f>IF(SUM(ParagonAbilities3Scenario0[[#This Row],[takes]]) &gt; 0,ParagonAbilities3Scenario0[[#This Row],[takes]]/SUM(ParagonAbilities3Scenario0[takes]),0)</f>
        <v>0.48717948717948717</v>
      </c>
      <c r="P15" s="16">
        <f>IF(ParagonAbilities3Scenario0[[#This Row],[takes]]&gt;0,ParagonAbilities3Scenario0[[#This Row],[wins]]/ParagonAbilities3Scenario0[[#This Row],[takes]],0)</f>
        <v>0.36842105263157893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4" t="s">
        <v>98</v>
      </c>
      <c r="B18" s="2">
        <f>M18+M39+M60</f>
        <v>15</v>
      </c>
      <c r="C18" s="2">
        <f>N18+N39+N60</f>
        <v>12</v>
      </c>
      <c r="D18" s="13">
        <f>IF(SUM(ParagonAbilities4[[#This Row],[takes]]) &gt; 0,ParagonAbilities4[[#This Row],[takes]]/SUM(ParagonAbilities4[takes]),0)</f>
        <v>0.5</v>
      </c>
      <c r="E18" s="13">
        <f>IF(ParagonAbilities4[[#This Row],[takes]]&gt;0,ParagonAbilities4[[#This Row],[wins]]/ParagonAbilities4[[#This Row],[takes]],0)</f>
        <v>0.8</v>
      </c>
      <c r="F18" s="20"/>
      <c r="G18" s="20"/>
      <c r="H18" s="20"/>
      <c r="I18" s="20"/>
      <c r="J18" s="22"/>
      <c r="L18" s="24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12</v>
      </c>
      <c r="N18" s="2">
        <f>COUNTIF(Scenario0[winner1-ability4],ParagonAbilities4Scenario0[[#This Row],[ability]])+COUNTIF(Scenario0[winner2-ability4],ParagonAbilities4Scenario0[[#This Row],[ability]])</f>
        <v>9</v>
      </c>
      <c r="O18" s="13">
        <f>IF(SUM(ParagonAbilities4Scenario0[[#This Row],[takes]]) &gt; 0,ParagonAbilities4Scenario0[[#This Row],[takes]]/SUM(ParagonAbilities4Scenario0[takes]),0)</f>
        <v>0.8</v>
      </c>
      <c r="P18" s="13">
        <f>IF(ParagonAbilities4Scenario0[[#This Row],[takes]]&gt;0,ParagonAbilities4Scenario0[[#This Row],[wins]]/ParagonAbilities4Scenario0[[#This Row],[takes]],0)</f>
        <v>0.75</v>
      </c>
      <c r="Q18" s="20"/>
      <c r="R18" s="20"/>
      <c r="S18" s="20"/>
      <c r="T18" s="20"/>
      <c r="U18" s="22"/>
    </row>
    <row r="19" spans="1:21" x14ac:dyDescent="0.4">
      <c r="A19" s="24" t="s">
        <v>115</v>
      </c>
      <c r="B19" s="2">
        <f t="shared" ref="B19:B20" si="9">M19+M40+M61</f>
        <v>11</v>
      </c>
      <c r="C19" s="2">
        <f t="shared" ref="C19:C20" si="10">N19+N40+N61</f>
        <v>5</v>
      </c>
      <c r="D19" s="13">
        <f>IF(SUM(ParagonAbilities4[[#This Row],[takes]]) &gt; 0,ParagonAbilities4[[#This Row],[takes]]/SUM(ParagonAbilities4[takes]),0)</f>
        <v>0.36666666666666664</v>
      </c>
      <c r="E19" s="13">
        <f>IF(ParagonAbilities4[[#This Row],[takes]]&gt;0,ParagonAbilities4[[#This Row],[wins]]/ParagonAbilities4[[#This Row],[takes]],0)</f>
        <v>0.45454545454545453</v>
      </c>
      <c r="F19" s="20"/>
      <c r="G19" s="20"/>
      <c r="H19" s="20"/>
      <c r="I19" s="20"/>
      <c r="J19" s="22"/>
      <c r="L19" s="24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9" s="2">
        <f>COUNTIF(Scenario0[winner1-ability4],ParagonAbilities4Scenario0[[#This Row],[ability]])+COUNTIF(Scenario0[winner2-ability4],ParagonAbilities4Scenario0[[#This Row],[ability]])</f>
        <v>1</v>
      </c>
      <c r="O19" s="13">
        <f>IF(SUM(ParagonAbilities4Scenario0[[#This Row],[takes]]) &gt; 0,ParagonAbilities4Scenario0[[#This Row],[takes]]/SUM(ParagonAbilities4Scenario0[takes]),0)</f>
        <v>6.6666666666666666E-2</v>
      </c>
      <c r="P19" s="13">
        <f>IF(ParagonAbilities4Scenario0[[#This Row],[takes]]&gt;0,ParagonAbilities4Scenario0[[#This Row],[wins]]/ParagonAbilities4Scenario0[[#This Row],[takes]],0)</f>
        <v>1</v>
      </c>
      <c r="Q19" s="20"/>
      <c r="R19" s="20"/>
      <c r="S19" s="20"/>
      <c r="T19" s="20"/>
      <c r="U19" s="22"/>
    </row>
    <row r="20" spans="1:21" ht="15" thickBot="1" x14ac:dyDescent="0.45">
      <c r="A20" s="28" t="s">
        <v>116</v>
      </c>
      <c r="B20" s="2">
        <f t="shared" si="9"/>
        <v>4</v>
      </c>
      <c r="C20" s="2">
        <f t="shared" si="10"/>
        <v>4</v>
      </c>
      <c r="D20" s="30">
        <f>IF(SUM(ParagonAbilities4[[#This Row],[takes]]) &gt; 0,ParagonAbilities4[[#This Row],[takes]]/SUM(ParagonAbilities4[takes]),0)</f>
        <v>0.13333333333333333</v>
      </c>
      <c r="E20" s="30">
        <f>IF(ParagonAbilities4[[#This Row],[takes]]&gt;0,ParagonAbilities4[[#This Row],[wins]]/ParagonAbilities4[[#This Row],[takes]],0)</f>
        <v>1</v>
      </c>
      <c r="F20" s="31"/>
      <c r="G20" s="31"/>
      <c r="H20" s="31"/>
      <c r="I20" s="31"/>
      <c r="J20" s="32"/>
      <c r="L20" s="28" t="s">
        <v>116</v>
      </c>
      <c r="M20" s="29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20" s="29">
        <f>COUNTIF(Scenario0[winner1-ability4],ParagonAbilities4Scenario0[[#This Row],[ability]])+COUNTIF(Scenario0[winner2-ability4],ParagonAbilities4Scenario0[[#This Row],[ability]])</f>
        <v>2</v>
      </c>
      <c r="O20" s="30">
        <f>IF(SUM(ParagonAbilities4Scenario0[[#This Row],[takes]]) &gt; 0,ParagonAbilities4Scenario0[[#This Row],[takes]]/SUM(ParagonAbilities4Scenario0[takes]),0)</f>
        <v>0.13333333333333333</v>
      </c>
      <c r="P20" s="30">
        <f>IF(ParagonAbilities4Scenario0[[#This Row],[takes]]&gt;0,ParagonAbilities4Scenario0[[#This Row],[wins]]/ParagonAbilities4Scenario0[[#This Row],[takes]],0)</f>
        <v>1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0" t="s">
        <v>633</v>
      </c>
      <c r="M22" s="41"/>
      <c r="N22" s="41"/>
      <c r="O22" s="41"/>
      <c r="P22" s="41"/>
      <c r="Q22" s="41"/>
      <c r="R22" s="41"/>
      <c r="S22" s="41"/>
      <c r="T22" s="41"/>
      <c r="U22" s="42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s="20" t="s">
        <v>162</v>
      </c>
      <c r="T23" s="20" t="s">
        <v>163</v>
      </c>
      <c r="U23" s="22" t="s">
        <v>164</v>
      </c>
    </row>
    <row r="24" spans="1:21" x14ac:dyDescent="0.4">
      <c r="L24" s="19" t="s">
        <v>54</v>
      </c>
      <c r="M24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103</v>
      </c>
      <c r="N24" s="20">
        <f>COUNTIF(Scenario1[winner1-ability1],ParagonAbilities1Scenario1[[#This Row],[ability]])+COUNTIF(Scenario1[winner2-ability1],ParagonAbilities1Scenario1[[#This Row],[ability]])</f>
        <v>61</v>
      </c>
      <c r="O24" s="21">
        <f>IF(SUM(ParagonAbilities1Scenario1[[#This Row],[takes]]) &gt; 0,ParagonAbilities1Scenario1[[#This Row],[takes]]/SUM(ParagonAbilities1Scenario1[takes]),0)</f>
        <v>0.98095238095238091</v>
      </c>
      <c r="P24" s="21">
        <f>IF(ParagonAbilities1Scenario1[[#This Row],[takes]]&gt;0,ParagonAbilities1Scenario1[[#This Row],[wins]]/ParagonAbilities1Scenario1[[#This Row],[takes]],0)</f>
        <v>0.59223300970873782</v>
      </c>
      <c r="Q24" s="20"/>
      <c r="R24" s="20">
        <v>1</v>
      </c>
      <c r="S24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33</v>
      </c>
      <c r="T24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102</v>
      </c>
      <c r="U24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80</v>
      </c>
    </row>
    <row r="25" spans="1:21" x14ac:dyDescent="0.4">
      <c r="L25" s="19" t="s">
        <v>111</v>
      </c>
      <c r="M25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</v>
      </c>
      <c r="N25" s="20">
        <f>COUNTIF(Scenario1[winner1-ability1],ParagonAbilities1Scenario1[[#This Row],[ability]])+COUNTIF(Scenario1[winner2-ability1],ParagonAbilities1Scenario1[[#This Row],[ability]])</f>
        <v>1</v>
      </c>
      <c r="O25" s="21">
        <f>IF(SUM(ParagonAbilities1Scenario1[[#This Row],[takes]]) &gt; 0,ParagonAbilities1Scenario1[[#This Row],[takes]]/SUM(ParagonAbilities1Scenario1[takes]),0)</f>
        <v>1.9047619047619049E-2</v>
      </c>
      <c r="P25" s="21">
        <f>IF(ParagonAbilities1Scenario1[[#This Row],[takes]]&gt;0,ParagonAbilities1Scenario1[[#This Row],[wins]]/ParagonAbilities1Scenario1[[#This Row],[takes]],0)</f>
        <v>0.5</v>
      </c>
      <c r="Q25" s="20"/>
      <c r="R25" s="20">
        <v>2</v>
      </c>
      <c r="S25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57</v>
      </c>
      <c r="T25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3</v>
      </c>
      <c r="U25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14</v>
      </c>
    </row>
    <row r="26" spans="1:21" x14ac:dyDescent="0.4">
      <c r="L26" s="19" t="s">
        <v>112</v>
      </c>
      <c r="M26" s="20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 s="20">
        <f>COUNTIF(Scenario1[winner1-ability1],ParagonAbilities1Scenario1[[#This Row],[ability]])+COUNTIF(Scenario1[winner2-ability1],ParagonAbilities1Scenario1[[#This Row],[ability]])</f>
        <v>0</v>
      </c>
      <c r="O26" s="21">
        <f>IF(SUM(ParagonAbilities1Scenario1[[#This Row],[takes]]) &gt; 0,ParagonAbilities1Scenario1[[#This Row],[takes]]/SUM(ParagonAbilities1Scenario1[takes]),0)</f>
        <v>0</v>
      </c>
      <c r="P26" s="21">
        <f>IF(ParagonAbilities1Scenario1[[#This Row],[takes]]&gt;0,ParagonAbilities1Scenario1[[#This Row],[wins]]/ParagonAbilities1Scenario1[[#This Row],[takes]],0)</f>
        <v>0</v>
      </c>
      <c r="Q26" s="20"/>
      <c r="R26" s="20">
        <v>3</v>
      </c>
      <c r="S26" s="20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15</v>
      </c>
      <c r="T26" s="20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22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11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4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29" s="2">
        <f>COUNTIF(Scenario1[winner1-ability2],ParagonAbilities2Scenario1[[#This Row],[ability]])+COUNTIF(Scenario1[winner2-ability2],ParagonAbilities2Scenario1[[#This Row],[ability]])</f>
        <v>10</v>
      </c>
      <c r="O29" s="13">
        <f>IF(SUM(ParagonAbilities2Scenario1[[#This Row],[takes]]) &gt; 0,ParagonAbilities2Scenario1[[#This Row],[takes]]/SUM(ParagonAbilities2Scenario1[takes]),0)</f>
        <v>0.28205128205128205</v>
      </c>
      <c r="P29" s="13">
        <f>IF(ParagonAbilities2Scenario1[[#This Row],[takes]]&gt;0,ParagonAbilities2Scenario1[[#This Row],[wins]]/ParagonAbilities2Scenario1[[#This Row],[takes]],0)</f>
        <v>0.90909090909090906</v>
      </c>
      <c r="Q29" s="20"/>
      <c r="R29" s="20"/>
      <c r="S29" s="20"/>
      <c r="T29" s="20"/>
      <c r="U29" s="22"/>
    </row>
    <row r="30" spans="1:21" x14ac:dyDescent="0.4">
      <c r="L30" s="19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21</v>
      </c>
      <c r="N30" s="2">
        <f>COUNTIF(Scenario1[winner1-ability2],ParagonAbilities2Scenario1[[#This Row],[ability]])+COUNTIF(Scenario1[winner2-ability2],ParagonAbilities2Scenario1[[#This Row],[ability]])</f>
        <v>13</v>
      </c>
      <c r="O30" s="21">
        <f>IF(SUM(ParagonAbilities2Scenario1[[#This Row],[takes]]) &gt; 0,ParagonAbilities2Scenario1[[#This Row],[takes]]/SUM(ParagonAbilities2Scenario1[takes]),0)</f>
        <v>0.53846153846153844</v>
      </c>
      <c r="P30" s="21">
        <f>IF(ParagonAbilities2Scenario1[[#This Row],[takes]]&gt;0,ParagonAbilities2Scenario1[[#This Row],[wins]]/ParagonAbilities2Scenario1[[#This Row],[takes]],0)</f>
        <v>0.61904761904761907</v>
      </c>
      <c r="Q30" s="20"/>
      <c r="R30" s="20"/>
      <c r="S30" s="20"/>
      <c r="T30" s="20"/>
      <c r="U30" s="22"/>
    </row>
    <row r="31" spans="1:21" x14ac:dyDescent="0.4">
      <c r="L31" s="25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7</v>
      </c>
      <c r="N31" s="2">
        <f>COUNTIF(Scenario1[winner1-ability2],ParagonAbilities2Scenario1[[#This Row],[ability]])+COUNTIF(Scenario1[winner2-ability2],ParagonAbilities2Scenario1[[#This Row],[ability]])</f>
        <v>3</v>
      </c>
      <c r="O31" s="14">
        <f>IF(SUM(ParagonAbilities2Scenario1[[#This Row],[takes]]) &gt; 0,ParagonAbilities2Scenario1[[#This Row],[takes]]/SUM(ParagonAbilities2Scenario1[takes]),0)</f>
        <v>0.17948717948717949</v>
      </c>
      <c r="P31" s="14">
        <f>IF(ParagonAbilities2Scenario1[[#This Row],[takes]]&gt;0,ParagonAbilities2Scenario1[[#This Row],[wins]]/ParagonAbilities2Scenario1[[#This Row],[takes]],0)</f>
        <v>0.42857142857142855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26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4" s="1">
        <f>COUNTIF(Scenario1[winner1-ability3],ParagonAbilities3Scenario1[[#This Row],[ability]])+COUNTIF(Scenario1[winner2-ability3],ParagonAbilities3Scenario1[[#This Row],[ability]])</f>
        <v>4</v>
      </c>
      <c r="O34" s="15">
        <f>IF(SUM(ParagonAbilities3Scenario1[[#This Row],[takes]]) &gt; 0,ParagonAbilities3Scenario1[[#This Row],[takes]]/SUM(ParagonAbilities3Scenario1[takes]),0)</f>
        <v>0.36363636363636365</v>
      </c>
      <c r="P34" s="15">
        <f>IF(ParagonAbilities3Scenario1[[#This Row],[takes]]&gt;0,ParagonAbilities3Scenario1[[#This Row],[wins]]/ParagonAbilities3Scenario1[[#This Row],[takes]],0)</f>
        <v>1</v>
      </c>
      <c r="Q34" s="20"/>
      <c r="R34" s="20"/>
      <c r="S34" s="20"/>
      <c r="T34" s="20"/>
      <c r="U34" s="22"/>
    </row>
    <row r="35" spans="12:21" x14ac:dyDescent="0.4">
      <c r="L35" s="24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3</v>
      </c>
      <c r="N35" s="2">
        <f>COUNTIF(Scenario1[winner1-ability3],ParagonAbilities3Scenario1[[#This Row],[ability]])+COUNTIF(Scenario1[winner2-ability3],ParagonAbilities3Scenario1[[#This Row],[ability]])</f>
        <v>2</v>
      </c>
      <c r="O35" s="13">
        <f>IF(SUM(ParagonAbilities3Scenario1[[#This Row],[takes]]) &gt; 0,ParagonAbilities3Scenario1[[#This Row],[takes]]/SUM(ParagonAbilities3Scenario1[takes]),0)</f>
        <v>0.27272727272727271</v>
      </c>
      <c r="P35" s="13">
        <f>IF(ParagonAbilities3Scenario1[[#This Row],[takes]]&gt;0,ParagonAbilities3Scenario1[[#This Row],[wins]]/ParagonAbilities3Scenario1[[#This Row],[takes]],0)</f>
        <v>0.66666666666666663</v>
      </c>
      <c r="Q35" s="20"/>
      <c r="R35" s="20"/>
      <c r="S35" s="20"/>
      <c r="T35" s="20"/>
      <c r="U35" s="22"/>
    </row>
    <row r="36" spans="12:21" x14ac:dyDescent="0.4">
      <c r="L36" s="27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6" s="1">
        <f>COUNTIF(Scenario1[winner1-ability3],ParagonAbilities3Scenario1[[#This Row],[ability]])+COUNTIF(Scenario1[winner2-ability3],ParagonAbilities3Scenario1[[#This Row],[ability]])</f>
        <v>2</v>
      </c>
      <c r="O36" s="16">
        <f>IF(SUM(ParagonAbilities3Scenario1[[#This Row],[takes]]) &gt; 0,ParagonAbilities3Scenario1[[#This Row],[takes]]/SUM(ParagonAbilities3Scenario1[takes]),0)</f>
        <v>0.36363636363636365</v>
      </c>
      <c r="P36" s="16">
        <f>IF(ParagonAbilities3Scenario1[[#This Row],[takes]]&gt;0,ParagonAbilities3Scenario1[[#This Row],[wins]]/ParagonAbilities3Scenario1[[#This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4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3">
        <f>IF(SUM(ParagonAbilities4Scenario1[[#This Row],[takes]]) &gt; 0,ParagonAbilities4Scenario1[[#This Row],[takes]]/SUM(ParagonAbilities4Scenario1[takes]),0)</f>
        <v>0.25</v>
      </c>
      <c r="P39" s="13">
        <f>IF(ParagonAbilities4Scenario1[[#This Row],[takes]]&gt;0,ParagonAbilities4Scenario1[[#This Row],[wins]]/ParagonAbilities4Scenario1[[#This Row],[takes]],0)</f>
        <v>1</v>
      </c>
      <c r="Q39" s="20"/>
      <c r="R39" s="20"/>
      <c r="S39" s="20"/>
      <c r="T39" s="20"/>
      <c r="U39" s="22"/>
    </row>
    <row r="40" spans="12:21" x14ac:dyDescent="0.4">
      <c r="L40" s="24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0" s="2">
        <f>COUNTIF(Scenario1[winner1-ability4],ParagonAbilities4Scenario1[[#This Row],[ability]])+COUNTIF(Scenario1[winner2-ability4],ParagonAbilities4Scenario1[[#This Row],[ability]])</f>
        <v>1</v>
      </c>
      <c r="O40" s="13">
        <f>IF(SUM(ParagonAbilities4Scenario1[[#This Row],[takes]]) &gt; 0,ParagonAbilities4Scenario1[[#This Row],[takes]]/SUM(ParagonAbilities4Scenario1[takes]),0)</f>
        <v>0.25</v>
      </c>
      <c r="P40" s="13">
        <f>IF(ParagonAbilities4Scenario1[[#This Row],[takes]]&gt;0,ParagonAbilities4Scenario1[[#This Row],[wins]]/ParagonAbilities4Scenario1[[#This Row],[takes]],0)</f>
        <v>1</v>
      </c>
      <c r="Q40" s="20"/>
      <c r="R40" s="20"/>
      <c r="S40" s="20"/>
      <c r="T40" s="20"/>
      <c r="U40" s="22"/>
    </row>
    <row r="41" spans="12:21" ht="15" thickBot="1" x14ac:dyDescent="0.45">
      <c r="L41" s="28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1" s="2">
        <f>COUNTIF(Scenario1[winner1-ability4],ParagonAbilities4Scenario1[[#This Row],[ability]])+COUNTIF(Scenario1[winner2-ability4],ParagonAbilities4Scenario1[[#This Row],[ability]])</f>
        <v>2</v>
      </c>
      <c r="O41" s="30">
        <f>IF(SUM(ParagonAbilities4Scenario1[[#This Row],[takes]]) &gt; 0,ParagonAbilities4Scenario1[[#This Row],[takes]]/SUM(ParagonAbilities4Scenario1[takes]),0)</f>
        <v>0.5</v>
      </c>
      <c r="P41" s="30">
        <f>IF(ParagonAbilities4Scenario1[[#This Row],[takes]]&gt;0,ParagonAbilities4Scenario1[[#This Row],[wins]]/ParagonAbilities4Scenario1[[#This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0" t="s">
        <v>634</v>
      </c>
      <c r="M43" s="41"/>
      <c r="N43" s="41"/>
      <c r="O43" s="41"/>
      <c r="P43" s="41"/>
      <c r="Q43" s="41"/>
      <c r="R43" s="41"/>
      <c r="S43" s="41"/>
      <c r="T43" s="41"/>
      <c r="U43" s="42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s="20" t="s">
        <v>162</v>
      </c>
      <c r="T44" s="20" t="s">
        <v>163</v>
      </c>
      <c r="U44" s="22" t="s">
        <v>164</v>
      </c>
    </row>
    <row r="45" spans="12:21" x14ac:dyDescent="0.4">
      <c r="L45" s="19" t="s">
        <v>54</v>
      </c>
      <c r="M45" s="20">
        <f>COUNTIF(Scenario2[winner1-ability1],ParagonAbilities1Scenario2[[#This Row],[ability]])+COUNTIF(Scenario2[loser1-ability1],ParagonAbilities1Scenario2[[#This Row],[ability]])</f>
        <v>6</v>
      </c>
      <c r="N45" s="20">
        <f>COUNTIF(Scenario2[winner1-ability1],ParagonAbilities1Scenario2[[#This Row],[ability]])</f>
        <v>3</v>
      </c>
      <c r="O45" s="21">
        <f>IF(SUM(ParagonAbilities1Scenario2[[#This Row],[takes]]) &gt; 0,ParagonAbilities1Scenario2[[#This Row],[takes]]/SUM(ParagonAbilities1Scenario2[takes]),0)</f>
        <v>0.42857142857142855</v>
      </c>
      <c r="P45" s="21">
        <f>IF(ParagonAbilities1Scenario2[[#This Row],[takes]]&gt;0,ParagonAbilities1Scenario2[[#This Row],[wins]]/ParagonAbilities1Scenario2[[#This Row],[takes]],0)</f>
        <v>0.5</v>
      </c>
      <c r="Q45" s="20"/>
      <c r="R45" s="20">
        <v>1</v>
      </c>
      <c r="S45" s="20">
        <f>COUNTIFS(Scenario2[winner1],"paragon",Scenario2[winner1-pw],ParagonEquipScenario2[[#This Row],[level]])+COUNTIFS(Scenario2[loser1],"paragon",Scenario2[loser1-pw],ParagonEquipScenario2[[#This Row],[level]])</f>
        <v>5</v>
      </c>
      <c r="T45" s="20">
        <f>COUNTIFS(Scenario2[winner1],"paragon",Scenario2[winner1-sw],ParagonEquipScenario2[[#This Row],[level]])+COUNTIFS(Scenario2[loser1],"paragon",Scenario2[loser1-sw],ParagonEquipScenario2[[#This Row],[level]])</f>
        <v>7</v>
      </c>
      <c r="U45" s="22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4">
      <c r="L46" s="19" t="s">
        <v>111</v>
      </c>
      <c r="M46" s="20">
        <f>COUNTIF(Scenario2[winner1-ability1],ParagonAbilities1Scenario2[[#This Row],[ability]])+COUNTIF(Scenario2[loser1-ability1],ParagonAbilities1Scenario2[[#This Row],[ability]])</f>
        <v>3</v>
      </c>
      <c r="N46" s="20">
        <f>COUNTIF(Scenario2[winner1-ability1],ParagonAbilities1Scenario2[[#This Row],[ability]])</f>
        <v>1</v>
      </c>
      <c r="O46" s="21">
        <f>IF(SUM(ParagonAbilities1Scenario2[[#This Row],[takes]]) &gt; 0,ParagonAbilities1Scenario2[[#This Row],[takes]]/SUM(ParagonAbilities1Scenario2[takes]),0)</f>
        <v>0.21428571428571427</v>
      </c>
      <c r="P46" s="21">
        <f>IF(ParagonAbilities1Scenario2[[#This Row],[takes]]&gt;0,ParagonAbilities1Scenario2[[#This Row],[wins]]/ParagonAbilities1Scenario2[[#This Row],[takes]],0)</f>
        <v>0.33333333333333331</v>
      </c>
      <c r="Q46" s="20"/>
      <c r="R46" s="20">
        <v>2</v>
      </c>
      <c r="S46" s="20">
        <f>COUNTIFS(Scenario2[winner1],"paragon",Scenario2[winner1-pw],ParagonEquipScenario2[[#This Row],[level]])+COUNTIFS(Scenario2[loser1],"paragon",Scenario2[loser1-pw],ParagonEquipScenario2[[#This Row],[level]])</f>
        <v>2</v>
      </c>
      <c r="T46" s="20">
        <f>COUNTIFS(Scenario2[winner1],"paragon",Scenario2[winner1-sw],ParagonEquipScenario2[[#This Row],[level]])+COUNTIFS(Scenario2[loser1],"paragon",Scenario2[loser1-sw],ParagonEquipScenario2[[#This Row],[level]])</f>
        <v>2</v>
      </c>
      <c r="U46" s="22">
        <f>COUNTIFS(Scenario2[winner1],"paragon",Scenario2[winner1-cp],ParagonEquipScenario2[[#This Row],[level]])+COUNTIFS(Scenario2[loser1],"paragon",Scenario2[loser1-cp],ParagonEquipScenario2[[#This Row],[level]])</f>
        <v>4</v>
      </c>
    </row>
    <row r="47" spans="12:21" x14ac:dyDescent="0.4">
      <c r="L47" s="19" t="s">
        <v>112</v>
      </c>
      <c r="M47" s="20">
        <f>COUNTIF(Scenario2[winner1-ability1],ParagonAbilities1Scenario2[[#This Row],[ability]])+COUNTIF(Scenario2[loser1-ability1],ParagonAbilities1Scenario2[[#This Row],[ability]])</f>
        <v>5</v>
      </c>
      <c r="N47" s="20">
        <f>COUNTIF(Scenario2[winner1-ability1],ParagonAbilities1Scenario2[[#This Row],[ability]])</f>
        <v>4</v>
      </c>
      <c r="O47" s="21">
        <f>IF(SUM(ParagonAbilities1Scenario2[[#This Row],[takes]]) &gt; 0,ParagonAbilities1Scenario2[[#This Row],[takes]]/SUM(ParagonAbilities1Scenario2[takes]),0)</f>
        <v>0.35714285714285715</v>
      </c>
      <c r="P47" s="21">
        <f>IF(ParagonAbilities1Scenario2[[#This Row],[takes]]&gt;0,ParagonAbilities1Scenario2[[#This Row],[wins]]/ParagonAbilities1Scenario2[[#This Row],[takes]],0)</f>
        <v>0.8</v>
      </c>
      <c r="Q47" s="20"/>
      <c r="R47" s="20">
        <v>3</v>
      </c>
      <c r="S47" s="20">
        <f>COUNTIFS(Scenario2[winner1],"paragon",Scenario2[winner1-pw],ParagonEquipScenario2[[#This Row],[level]])+COUNTIFS(Scenario2[loser1],"paragon",Scenario2[loser1-pw],ParagonEquipScenario2[[#This Row],[level]])</f>
        <v>7</v>
      </c>
      <c r="T47" s="20">
        <f>COUNTIFS(Scenario2[winner1],"paragon",Scenario2[winner1-sw],ParagonEquipScenario2[[#This Row],[level]])+COUNTIFS(Scenario2[loser1],"paragon",Scenario2[loser1-sw],ParagonEquipScenario2[[#This Row],[level]])</f>
        <v>5</v>
      </c>
      <c r="U47" s="22">
        <f>COUNTIFS(Scenario2[winner1],"paragon",Scenario2[winner1-cp],ParagonEquipScenario2[[#This Row],[level]])+COUNTIFS(Scenario2[loser1],"paragon",Scenario2[loser1-cp],ParagonEquipScenario2[[#This Row],[level]])</f>
        <v>9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4" t="s">
        <v>55</v>
      </c>
      <c r="M50" s="2">
        <f>COUNTIF(Scenario2[winner1-ability2],ParagonAbilities2Scenario2[[#This Row],[ability]])+COUNTIF(Scenario2[loser1-ability2],ParagonAbilities2Scenario2[[#This Row],[ability]])</f>
        <v>0</v>
      </c>
      <c r="N50" s="2">
        <f>COUNTIF(Scenario2[winner1-ability2],ParagonAbilities2Scenario2[[#This Row],[ability]])</f>
        <v>0</v>
      </c>
      <c r="O50" s="13">
        <f>IF(SUM(ParagonAbilities2Scenario2[[#This Row],[takes]]) &gt; 0,ParagonAbilities2Scenario2[[#This Row],[takes]]/SUM(ParagonAbilities2Scenario2[takes]),0)</f>
        <v>0</v>
      </c>
      <c r="P50" s="13">
        <f>IF(ParagonAbilities2Scenario2[[#This Row],[takes]]&gt;0,ParagonAbilities2Scenario2[[#This Row],[wins]]/ParagonAbilities2Scenario2[[#This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s="19" t="s">
        <v>83</v>
      </c>
      <c r="M51" s="2">
        <f>COUNTIF(Scenario2[winner1-ability2],ParagonAbilities2Scenario2[[#This Row],[ability]])+COUNTIF(Scenario2[loser1-ability2],ParagonAbilities2Scenario2[[#This Row],[ability]])</f>
        <v>12</v>
      </c>
      <c r="N51" s="2">
        <f>COUNTIF(Scenario2[winner1-ability2],ParagonAbilities2Scenario2[[#This Row],[ability]])</f>
        <v>6</v>
      </c>
      <c r="O51" s="21">
        <f>IF(SUM(ParagonAbilities2Scenario2[[#This Row],[takes]]) &gt; 0,ParagonAbilities2Scenario2[[#This Row],[takes]]/SUM(ParagonAbilities2Scenario2[takes]),0)</f>
        <v>1</v>
      </c>
      <c r="P51" s="21">
        <f>IF(ParagonAbilities2Scenario2[[#This Row],[takes]]&gt;0,ParagonAbilities2Scenario2[[#This Row],[wins]]/ParagonAbilities2Scenario2[[#This Row],[takes]],0)</f>
        <v>0.5</v>
      </c>
      <c r="Q51" s="20"/>
      <c r="R51" s="20"/>
      <c r="S51" s="20"/>
      <c r="T51" s="20"/>
      <c r="U51" s="22"/>
    </row>
    <row r="52" spans="12:21" x14ac:dyDescent="0.4">
      <c r="L52" s="25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4">
        <f>IF(SUM(ParagonAbilities2Scenario2[[#This Row],[takes]]) &gt; 0,ParagonAbilities2Scenario2[[#This Row],[takes]]/SUM(ParagonAbilities2Scenario2[takes]),0)</f>
        <v>0</v>
      </c>
      <c r="P52" s="14">
        <f>IF(ParagonAbilities2Scenario2[[#This Row],[takes]]&gt;0,ParagonAbilities2Scenario2[[#This Row],[wins]]/ParagonAbilities2Scenario2[[#This Row],[takes]],0)</f>
        <v>0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26" t="s">
        <v>114</v>
      </c>
      <c r="M55" s="1">
        <f>COUNTIF(Scenario2[winner1-ability3],ParagonAbilities3Scenario2[[#This Row],[ability]])+COUNTIF(Scenario2[loser1-ability3],ParagonAbilities3Scenario2[[#This Row],[ability]])</f>
        <v>1</v>
      </c>
      <c r="N55" s="1">
        <f>COUNTIF(Scenario2[winner1-ability3],ParagonAbilities3Scenario2[[#This Row],[ability]])</f>
        <v>1</v>
      </c>
      <c r="O55" s="15">
        <f>IF(SUM(ParagonAbilities3Scenario2[[#This Row],[takes]]) &gt; 0,ParagonAbilities3Scenario2[[#This Row],[takes]]/SUM(ParagonAbilities3Scenario2[takes]),0)</f>
        <v>8.3333333333333329E-2</v>
      </c>
      <c r="P55" s="15">
        <f>IF(ParagonAbilities3Scenario2[[#This Row],[takes]]&gt;0,ParagonAbilities3Scenario2[[#This Row],[wins]]/ParagonAbilities3Scenario2[[#This Row],[takes]],0)</f>
        <v>1</v>
      </c>
      <c r="Q55" s="20"/>
      <c r="R55" s="20"/>
      <c r="S55" s="20"/>
      <c r="T55" s="20"/>
      <c r="U55" s="22"/>
    </row>
    <row r="56" spans="12:21" x14ac:dyDescent="0.4">
      <c r="L56" s="24" t="s">
        <v>105</v>
      </c>
      <c r="M56" s="2">
        <f>COUNTIF(Scenario2[winner1-ability3],ParagonAbilities3Scenario2[[#This Row],[ability]])+COUNTIF(Scenario2[loser1-ability3],ParagonAbilities3Scenario2[[#This Row],[ability]])</f>
        <v>5</v>
      </c>
      <c r="N56" s="2">
        <f>COUNTIF(Scenario2[winner1-ability3],ParagonAbilities3Scenario2[[#This Row],[ability]])</f>
        <v>4</v>
      </c>
      <c r="O56" s="13">
        <f>IF(SUM(ParagonAbilities3Scenario2[[#This Row],[takes]]) &gt; 0,ParagonAbilities3Scenario2[[#This Row],[takes]]/SUM(ParagonAbilities3Scenario2[takes]),0)</f>
        <v>0.41666666666666669</v>
      </c>
      <c r="P56" s="13">
        <f>IF(ParagonAbilities3Scenario2[[#This Row],[takes]]&gt;0,ParagonAbilities3Scenario2[[#This Row],[wins]]/ParagonAbilities3Scenario2[[#This Row],[takes]],0)</f>
        <v>0.8</v>
      </c>
      <c r="Q56" s="20"/>
      <c r="R56" s="20"/>
      <c r="S56" s="20"/>
      <c r="T56" s="20"/>
      <c r="U56" s="22"/>
    </row>
    <row r="57" spans="12:21" x14ac:dyDescent="0.4">
      <c r="L57" s="27" t="s">
        <v>97</v>
      </c>
      <c r="M57" s="1">
        <f>COUNTIF(Scenario2[winner1-ability3],ParagonAbilities3Scenario2[[#This Row],[ability]])+COUNTIF(Scenario2[loser1-ability3],ParagonAbilities3Scenario2[[#This Row],[ability]])</f>
        <v>6</v>
      </c>
      <c r="N57" s="1">
        <f>COUNTIF(Scenario2[winner1-ability3],ParagonAbilities3Scenario2[[#This Row],[ability]])</f>
        <v>1</v>
      </c>
      <c r="O57" s="16">
        <f>IF(SUM(ParagonAbilities3Scenario2[[#This Row],[takes]]) &gt; 0,ParagonAbilities3Scenario2[[#This Row],[takes]]/SUM(ParagonAbilities3Scenario2[takes]),0)</f>
        <v>0.5</v>
      </c>
      <c r="P57" s="16">
        <f>IF(ParagonAbilities3Scenario2[[#This Row],[takes]]&gt;0,ParagonAbilities3Scenario2[[#This Row],[wins]]/ParagonAbilities3Scenario2[[#This Row],[takes]],0)</f>
        <v>0.16666666666666666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4" t="s">
        <v>98</v>
      </c>
      <c r="M60" s="2">
        <f>COUNTIF(Scenario2[winner1-ability4],ParagonAbilities4Scenario2[[#This Row],[ability]])+COUNTIF(Scenario2[loser1-ability4],ParagonAbilities4Scenario2[[#This Row],[ability]])</f>
        <v>2</v>
      </c>
      <c r="N60" s="2">
        <f>COUNTIF(Scenario2[winner1-ability4],ParagonAbilities4Scenario2[[#This Row],[ability]])</f>
        <v>2</v>
      </c>
      <c r="O60" s="13">
        <f>IF(SUM(ParagonAbilities4Scenario2[[#This Row],[takes]]) &gt; 0,ParagonAbilities4Scenario2[[#This Row],[takes]]/SUM(ParagonAbilities4Scenario2[takes]),0)</f>
        <v>0.18181818181818182</v>
      </c>
      <c r="P60" s="13">
        <f>IF(ParagonAbilities4Scenario2[[#This Row],[takes]]&gt;0,ParagonAbilities4Scenario2[[#This Row],[wins]]/ParagonAbilities4Scenario2[[#This Row],[takes]],0)</f>
        <v>1</v>
      </c>
      <c r="Q60" s="20"/>
      <c r="R60" s="20"/>
      <c r="S60" s="20"/>
      <c r="T60" s="20"/>
      <c r="U60" s="22"/>
    </row>
    <row r="61" spans="12:21" x14ac:dyDescent="0.4">
      <c r="L61" s="24" t="s">
        <v>115</v>
      </c>
      <c r="M61" s="2">
        <f>COUNTIF(Scenario2[winner1-ability4],ParagonAbilities4Scenario2[[#This Row],[ability]])+COUNTIF(Scenario2[loser1-ability4],ParagonAbilities4Scenario2[[#This Row],[ability]])</f>
        <v>9</v>
      </c>
      <c r="N61" s="2">
        <f>COUNTIF(Scenario2[winner1-ability4],ParagonAbilities4Scenario2[[#This Row],[ability]])</f>
        <v>3</v>
      </c>
      <c r="O61" s="13">
        <f>IF(SUM(ParagonAbilities4Scenario2[[#This Row],[takes]]) &gt; 0,ParagonAbilities4Scenario2[[#This Row],[takes]]/SUM(ParagonAbilities4Scenario2[takes]),0)</f>
        <v>0.81818181818181823</v>
      </c>
      <c r="P61" s="13">
        <f>IF(ParagonAbilities4Scenario2[[#This Row],[takes]]&gt;0,ParagonAbilities4Scenario2[[#This Row],[wins]]/ParagonAbilities4Scenario2[[#This Row],[takes]],0)</f>
        <v>0.33333333333333331</v>
      </c>
      <c r="Q61" s="20"/>
      <c r="R61" s="20"/>
      <c r="S61" s="20"/>
      <c r="T61" s="20"/>
      <c r="U61" s="22"/>
    </row>
    <row r="62" spans="12:21" ht="15" thickBot="1" x14ac:dyDescent="0.45">
      <c r="L62" s="28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30">
        <f>IF(SUM(ParagonAbilities4Scenario2[[#This Row],[takes]]) &gt; 0,ParagonAbilities4Scenario2[[#This Row],[takes]]/SUM(ParagonAbilities4Scenario2[takes]),0)</f>
        <v>0</v>
      </c>
      <c r="P62" s="30">
        <f>IF(ParagonAbilities4Scenario2[[#This Row],[takes]]&gt;0,ParagonAbilities4Scenario2[[#This Row],[wins]]/ParagonAbilities4Scenario2[[#This Row],[takes]],0)</f>
        <v>0</v>
      </c>
      <c r="Q62" s="31"/>
      <c r="R62" s="31"/>
      <c r="S62" s="31"/>
      <c r="T62" s="31"/>
      <c r="U62" s="32"/>
    </row>
  </sheetData>
  <mergeCells count="4">
    <mergeCell ref="A1:J1"/>
    <mergeCell ref="L1:U1"/>
    <mergeCell ref="L22:U22"/>
    <mergeCell ref="L43:U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62"/>
  <sheetViews>
    <sheetView topLeftCell="D1" workbookViewId="0">
      <selection activeCell="T15" sqref="T15"/>
    </sheetView>
  </sheetViews>
  <sheetFormatPr defaultRowHeight="14.6" x14ac:dyDescent="0.4"/>
  <cols>
    <col min="1" max="1" width="16.8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8.15234375" bestFit="1" customWidth="1"/>
    <col min="9" max="9" width="11.84375" bestFit="1" customWidth="1"/>
    <col min="10" max="10" width="3.84375" customWidth="1"/>
    <col min="11" max="11" width="16.8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8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165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165</v>
      </c>
      <c r="S2" s="22" t="s">
        <v>164</v>
      </c>
      <c r="T2" s="20"/>
      <c r="U2" t="s">
        <v>670</v>
      </c>
      <c r="V2" s="3">
        <f>H4/SUM(HighlanderEquip[sword])</f>
        <v>0.24107142857142858</v>
      </c>
    </row>
    <row r="3" spans="1:22" x14ac:dyDescent="0.4">
      <c r="A3" t="s">
        <v>68</v>
      </c>
      <c r="B3" s="20">
        <f>L3+L24+L45</f>
        <v>66</v>
      </c>
      <c r="C3" s="20">
        <f>M3+M24+M45</f>
        <v>30</v>
      </c>
      <c r="D3" s="21">
        <f>IF(SUM(HighlanderAbilities1[[#This Row],[takes]]) &gt; 0,HighlanderAbilities1[[#This Row],[takes]]/SUM(HighlanderAbilities1[takes]),0)</f>
        <v>0.29464285714285715</v>
      </c>
      <c r="E3" s="21">
        <f>IF(HighlanderAbilities1[[#This Row],[takes]]&gt;0,HighlanderAbilities1[[#This Row],[wins]]/HighlanderAbilities1[[#This Row],[takes]],0)</f>
        <v>0.45454545454545453</v>
      </c>
      <c r="F3" s="20"/>
      <c r="G3" s="20">
        <v>1</v>
      </c>
      <c r="H3" s="20">
        <f t="shared" ref="H3:I5" si="0">R3+R24+R45</f>
        <v>137</v>
      </c>
      <c r="I3" s="22">
        <f t="shared" si="0"/>
        <v>143</v>
      </c>
      <c r="K3" s="19" t="s">
        <v>68</v>
      </c>
      <c r="L3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23</v>
      </c>
      <c r="M3" s="20">
        <f>COUNTIF(Scenario0[winner1-ability1],HighlanderAbilities1Scenario0[[#This Row],[ability]])+COUNTIF(Scenario0[winner2-ability1],HighlanderAbilities1Scenario0[[#This Row],[ability]])</f>
        <v>10</v>
      </c>
      <c r="N3" s="21">
        <f>IF(SUM(HighlanderAbilities1Scenario0[[#This Row],[takes]]) &gt; 0,HighlanderAbilities1Scenario0[[#This Row],[takes]]/SUM(HighlanderAbilities1Scenario0[takes]),0)</f>
        <v>0.21904761904761905</v>
      </c>
      <c r="O3" s="21">
        <f>IF(HighlanderAbilities1Scenario0[[#This Row],[takes]]&gt;0,HighlanderAbilities1Scenario0[[#This Row],[wins]]/HighlanderAbilities1Scenario0[[#This Row],[takes]],0)</f>
        <v>0.43478260869565216</v>
      </c>
      <c r="P3" s="20"/>
      <c r="Q3" s="20">
        <v>1</v>
      </c>
      <c r="R3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58</v>
      </c>
      <c r="S3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63</v>
      </c>
      <c r="T3" s="20"/>
      <c r="U3" t="s">
        <v>671</v>
      </c>
      <c r="V3" s="18">
        <f>H5/SUM(HighlanderEquip[sword])</f>
        <v>0.14732142857142858</v>
      </c>
    </row>
    <row r="4" spans="1:22" x14ac:dyDescent="0.4">
      <c r="A4" t="s">
        <v>120</v>
      </c>
      <c r="B4" s="20">
        <f>L4+L25+L46</f>
        <v>75</v>
      </c>
      <c r="C4" s="20">
        <f t="shared" ref="C4:C5" si="1">M4+M25+M46</f>
        <v>42</v>
      </c>
      <c r="D4" s="21">
        <f>IF(SUM(HighlanderAbilities1[[#This Row],[takes]]) &gt; 0,HighlanderAbilities1[[#This Row],[takes]]/SUM(HighlanderAbilities1[takes]),0)</f>
        <v>0.33482142857142855</v>
      </c>
      <c r="E4" s="21">
        <f>IF(HighlanderAbilities1[[#This Row],[takes]]&gt;0,HighlanderAbilities1[[#This Row],[wins]]/HighlanderAbilities1[[#This Row],[takes]],0)</f>
        <v>0.56000000000000005</v>
      </c>
      <c r="F4" s="20"/>
      <c r="G4" s="20">
        <v>2</v>
      </c>
      <c r="H4" s="20">
        <f t="shared" si="0"/>
        <v>54</v>
      </c>
      <c r="I4" s="22">
        <f t="shared" si="0"/>
        <v>51</v>
      </c>
      <c r="K4" s="19" t="s">
        <v>120</v>
      </c>
      <c r="L4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48</v>
      </c>
      <c r="M4" s="20">
        <f>COUNTIF(Scenario0[winner1-ability1],HighlanderAbilities1Scenario0[[#This Row],[ability]])+COUNTIF(Scenario0[winner2-ability1],HighlanderAbilities1Scenario0[[#This Row],[ability]])</f>
        <v>25</v>
      </c>
      <c r="N4" s="21">
        <f>IF(SUM(HighlanderAbilities1Scenario0[[#This Row],[takes]]) &gt; 0,HighlanderAbilities1Scenario0[[#This Row],[takes]]/SUM(HighlanderAbilities1Scenario0[takes]),0)</f>
        <v>0.45714285714285713</v>
      </c>
      <c r="O4" s="21">
        <f>IF(HighlanderAbilities1Scenario0[[#This Row],[takes]]&gt;0,HighlanderAbilities1Scenario0[[#This Row],[wins]]/HighlanderAbilities1Scenario0[[#This Row],[takes]],0)</f>
        <v>0.52083333333333337</v>
      </c>
      <c r="P4" s="20"/>
      <c r="Q4" s="20">
        <v>2</v>
      </c>
      <c r="R4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29</v>
      </c>
      <c r="S4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25</v>
      </c>
      <c r="T4" s="20"/>
      <c r="U4" t="s">
        <v>391</v>
      </c>
      <c r="V4" s="3">
        <f>HighlanderEquip[[#This Row],[chestpiece]]/SUM(HighlanderEquip[chestpiece])</f>
        <v>0.22767857142857142</v>
      </c>
    </row>
    <row r="5" spans="1:22" x14ac:dyDescent="0.4">
      <c r="A5" t="s">
        <v>57</v>
      </c>
      <c r="B5" s="20">
        <f t="shared" ref="B5" si="2">L5+L26+L47</f>
        <v>83</v>
      </c>
      <c r="C5" s="20">
        <f t="shared" si="1"/>
        <v>43</v>
      </c>
      <c r="D5" s="21">
        <f>IF(SUM(HighlanderAbilities1[[#This Row],[takes]]) &gt; 0,HighlanderAbilities1[[#This Row],[takes]]/SUM(HighlanderAbilities1[takes]),0)</f>
        <v>0.3705357142857143</v>
      </c>
      <c r="E5" s="21">
        <f>IF(HighlanderAbilities1[[#This Row],[takes]]&gt;0,HighlanderAbilities1[[#This Row],[wins]]/HighlanderAbilities1[[#This Row],[takes]],0)</f>
        <v>0.51807228915662651</v>
      </c>
      <c r="F5" s="20"/>
      <c r="G5" s="20">
        <v>3</v>
      </c>
      <c r="H5" s="20">
        <f t="shared" si="0"/>
        <v>33</v>
      </c>
      <c r="I5" s="22">
        <f t="shared" si="0"/>
        <v>30</v>
      </c>
      <c r="K5" s="19" t="s">
        <v>57</v>
      </c>
      <c r="L5" s="20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34</v>
      </c>
      <c r="M5" s="20">
        <f>COUNTIF(Scenario0[winner1-ability1],HighlanderAbilities1Scenario0[[#This Row],[ability]])+COUNTIF(Scenario0[winner2-ability1],HighlanderAbilities1Scenario0[[#This Row],[ability]])</f>
        <v>14</v>
      </c>
      <c r="N5" s="21">
        <f>IF(SUM(HighlanderAbilities1Scenario0[[#This Row],[takes]]) &gt; 0,HighlanderAbilities1Scenario0[[#This Row],[takes]]/SUM(HighlanderAbilities1Scenario0[takes]),0)</f>
        <v>0.32380952380952382</v>
      </c>
      <c r="O5" s="21">
        <f>IF(HighlanderAbilities1Scenario0[[#This Row],[takes]]&gt;0,HighlanderAbilities1Scenario0[[#This Row],[wins]]/HighlanderAbilities1Scenario0[[#This Row],[takes]],0)</f>
        <v>0.41176470588235292</v>
      </c>
      <c r="P5" s="20"/>
      <c r="Q5" s="20">
        <v>3</v>
      </c>
      <c r="R5" s="20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18</v>
      </c>
      <c r="S5" s="22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17</v>
      </c>
      <c r="T5" s="20"/>
      <c r="U5" t="s">
        <v>392</v>
      </c>
      <c r="V5" s="18">
        <f>HighlanderEquip[[#This Row],[chestpiece]]/SUM(HighlanderEquip[chestpiece])</f>
        <v>0.13392857142857142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SUM(HighlanderAbilities2[takes])/SUM(HighlanderAbilities1[takes])</f>
        <v>0.4419642857142857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SUM(HighlanderAbilities3[takes])/SUM(HighlanderAbilities1[takes])</f>
        <v>0.1875</v>
      </c>
    </row>
    <row r="8" spans="1:22" x14ac:dyDescent="0.4">
      <c r="A8" s="2" t="s">
        <v>69</v>
      </c>
      <c r="B8" s="2">
        <f>L8+L29+L50</f>
        <v>41</v>
      </c>
      <c r="C8" s="2">
        <f>M8+M29+M50</f>
        <v>21</v>
      </c>
      <c r="D8" s="13">
        <f>IF(SUM(HighlanderAbilities2[[#This Row],[takes]]) &gt; 0,HighlanderAbilities2[[#This Row],[takes]]/SUM(HighlanderAbilities2[takes]),0)</f>
        <v>0.41414141414141414</v>
      </c>
      <c r="E8" s="13">
        <f>IF(HighlanderAbilities2[[#This Row],[takes]]&gt;0,HighlanderAbilities2[[#This Row],[wins]]/HighlanderAbilities2[[#This Row],[takes]],0)</f>
        <v>0.51219512195121952</v>
      </c>
      <c r="F8" s="20"/>
      <c r="G8" s="20"/>
      <c r="H8" s="20"/>
      <c r="I8" s="22"/>
      <c r="K8" s="24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30</v>
      </c>
      <c r="M8" s="2">
        <f>COUNTIF(Scenario0[winner1-ability2],HighlanderAbilities2Scenario0[[#This Row],[ability]])+COUNTIF(Scenario0[winner2-ability2],HighlanderAbilities2Scenario0[[#This Row],[ability]])</f>
        <v>15</v>
      </c>
      <c r="N8" s="13">
        <f>IF(SUM(HighlanderAbilities2Scenario0[[#This Row],[takes]]) &gt; 0,HighlanderAbilities2Scenario0[[#This Row],[takes]]/SUM(HighlanderAbilities2Scenario0[takes]),0)</f>
        <v>0.55555555555555558</v>
      </c>
      <c r="O8" s="13">
        <f>IF(HighlanderAbilities2Scenario0[[#This Row],[takes]]&gt;0,HighlanderAbilities2Scenario0[[#This Row],[wins]]/HighlanderAbilities2Scenario0[[#This Row],[takes]],0)</f>
        <v>0.5</v>
      </c>
      <c r="P8" s="20"/>
      <c r="Q8" s="20"/>
      <c r="R8" s="20"/>
      <c r="S8" s="22"/>
      <c r="T8" s="20"/>
      <c r="U8" t="s">
        <v>390</v>
      </c>
      <c r="V8" s="18">
        <f>SUM(HighlanderAbilities4[takes])/SUM(HighlanderAbilities1[takes])</f>
        <v>3.125E-2</v>
      </c>
    </row>
    <row r="9" spans="1:22" x14ac:dyDescent="0.4">
      <c r="A9" t="s">
        <v>121</v>
      </c>
      <c r="B9" s="2">
        <f t="shared" ref="B9:C10" si="3">L9+L30+L51</f>
        <v>5</v>
      </c>
      <c r="C9" s="2">
        <f t="shared" si="3"/>
        <v>4</v>
      </c>
      <c r="D9" s="21">
        <f>IF(SUM(HighlanderAbilities2[[#This Row],[takes]]) &gt; 0,HighlanderAbilities2[[#This Row],[takes]]/SUM(HighlanderAbilities2[takes]),0)</f>
        <v>5.0505050505050504E-2</v>
      </c>
      <c r="E9" s="21">
        <f>IF(HighlanderAbilities2[[#This Row],[takes]]&gt;0,HighlanderAbilities2[[#This Row],[wins]]/HighlanderAbilities2[[#This Row],[takes]],0)</f>
        <v>0.8</v>
      </c>
      <c r="F9" s="20"/>
      <c r="G9" s="20"/>
      <c r="H9" s="20"/>
      <c r="I9" s="22"/>
      <c r="K9" s="19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4</v>
      </c>
      <c r="M9" s="2">
        <f>COUNTIF(Scenario0[winner1-ability2],HighlanderAbilities2Scenario0[[#This Row],[ability]])+COUNTIF(Scenario0[winner2-ability2],HighlanderAbilities2Scenario0[[#This Row],[ability]])</f>
        <v>3</v>
      </c>
      <c r="N9" s="21">
        <f>IF(SUM(HighlanderAbilities2Scenario0[[#This Row],[takes]]) &gt; 0,HighlanderAbilities2Scenario0[[#This Row],[takes]]/SUM(HighlanderAbilities2Scenario0[takes]),0)</f>
        <v>7.407407407407407E-2</v>
      </c>
      <c r="O9" s="21">
        <f>IF(HighlanderAbilities2Scenario0[[#This Row],[takes]]&gt;0,HighlanderAbilities2Scenario0[[#This Row],[wins]]/HighlanderAbilities2Scenario0[[#This Row],[takes]],0)</f>
        <v>0.75</v>
      </c>
      <c r="P9" s="20"/>
      <c r="Q9" s="20"/>
      <c r="R9" s="20"/>
      <c r="S9" s="22"/>
      <c r="T9" s="20"/>
      <c r="U9" t="s">
        <v>672</v>
      </c>
      <c r="V9" s="39">
        <f>(SUM(HighlanderAbilities2[takes])+SUM(HighlanderAbilities3[takes])+SUM(HighlanderAbilities4[takes])+SUM(H4:H5)+SUM(I4:I5))/SUM(HighlanderAbilities1[takes])</f>
        <v>1.4107142857142858</v>
      </c>
    </row>
    <row r="10" spans="1:22" x14ac:dyDescent="0.4">
      <c r="A10" s="11" t="s">
        <v>122</v>
      </c>
      <c r="B10" s="2">
        <f t="shared" si="3"/>
        <v>53</v>
      </c>
      <c r="C10" s="2">
        <f t="shared" si="3"/>
        <v>32</v>
      </c>
      <c r="D10" s="14">
        <f>IF(SUM(HighlanderAbilities2[[#This Row],[takes]]) &gt; 0,HighlanderAbilities2[[#This Row],[takes]]/SUM(HighlanderAbilities2[takes]),0)</f>
        <v>0.53535353535353536</v>
      </c>
      <c r="E10" s="14">
        <f>IF(HighlanderAbilities2[[#This Row],[takes]]&gt;0,HighlanderAbilities2[[#This Row],[wins]]/HighlanderAbilities2[[#This Row],[takes]],0)</f>
        <v>0.60377358490566035</v>
      </c>
      <c r="F10" s="20"/>
      <c r="G10" s="20"/>
      <c r="H10" s="20"/>
      <c r="I10" s="22"/>
      <c r="K10" s="25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20</v>
      </c>
      <c r="M10" s="2">
        <f>COUNTIF(Scenario0[winner1-ability2],HighlanderAbilities2Scenario0[[#This Row],[ability]])+COUNTIF(Scenario0[winner2-ability2],HighlanderAbilities2Scenario0[[#This Row],[ability]])</f>
        <v>10</v>
      </c>
      <c r="N10" s="14">
        <f>IF(SUM(HighlanderAbilities2Scenario0[[#This Row],[takes]]) &gt; 0,HighlanderAbilities2Scenario0[[#This Row],[takes]]/SUM(HighlanderAbilities2Scenario0[takes]),0)</f>
        <v>0.37037037037037035</v>
      </c>
      <c r="O10" s="14">
        <f>IF(HighlanderAbilities2Scenario0[[#This Row],[takes]]&gt;0,HighlanderAbilities2Scenario0[[#This Row],[wins]]/HighlanderAbilities2Scenario0[[#This Row],[takes]],0)</f>
        <v>0.5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123</v>
      </c>
      <c r="B13" s="1">
        <f>L13+L34+L55</f>
        <v>10</v>
      </c>
      <c r="C13" s="1">
        <f>M13+M34+M55</f>
        <v>7</v>
      </c>
      <c r="D13" s="15">
        <f>IF(SUM(HighlanderAbilities3[[#This Row],[takes]]) &gt; 0,HighlanderAbilities3[[#This Row],[takes]]/SUM(HighlanderAbilities3[takes]),0)</f>
        <v>0.23809523809523808</v>
      </c>
      <c r="E13" s="15">
        <f>IF(HighlanderAbilities3[[#This Row],[takes]]&gt;0,HighlanderAbilities3[[#This Row],[wins]]/HighlanderAbilities3[[#This Row],[takes]],0)</f>
        <v>0.7</v>
      </c>
      <c r="F13" s="20"/>
      <c r="G13" s="20"/>
      <c r="H13" s="20"/>
      <c r="I13" s="22"/>
      <c r="K13" s="26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8</v>
      </c>
      <c r="M13" s="1">
        <f>COUNTIF(Scenario0[winner1-ability3],HighlanderAbilities3Scenario0[[#This Row],[ability]])+COUNTIF(Scenario0[winner2-ability3],HighlanderAbilities3Scenario0[[#This Row],[ability]])</f>
        <v>6</v>
      </c>
      <c r="N13" s="15">
        <f>IF(SUM(HighlanderAbilities3Scenario0[[#This Row],[takes]]) &gt; 0,HighlanderAbilities3Scenario0[[#This Row],[takes]]/SUM(HighlanderAbilities3Scenario0[takes]),0)</f>
        <v>0.26666666666666666</v>
      </c>
      <c r="O13" s="15">
        <f>IF(HighlanderAbilities3Scenario0[[#This Row],[takes]]&gt;0,HighlanderAbilities3Scenario0[[#This Row],[wins]]/HighlanderAbilities3Scenario0[[#This Row],[takes]],0)</f>
        <v>0.75</v>
      </c>
      <c r="P13" s="20"/>
      <c r="Q13" s="20"/>
      <c r="R13" s="20"/>
      <c r="S13" s="22"/>
      <c r="T13" s="20"/>
    </row>
    <row r="14" spans="1:22" x14ac:dyDescent="0.4">
      <c r="A14" s="2" t="s">
        <v>87</v>
      </c>
      <c r="B14" s="2">
        <f t="shared" ref="B14:C15" si="4">L14+L35+L56</f>
        <v>18</v>
      </c>
      <c r="C14" s="2">
        <f t="shared" si="4"/>
        <v>10</v>
      </c>
      <c r="D14" s="13">
        <f>IF(SUM(HighlanderAbilities3[[#This Row],[takes]]) &gt; 0,HighlanderAbilities3[[#This Row],[takes]]/SUM(HighlanderAbilities3[takes]),0)</f>
        <v>0.42857142857142855</v>
      </c>
      <c r="E14" s="13">
        <f>IF(HighlanderAbilities3[[#This Row],[takes]]&gt;0,HighlanderAbilities3[[#This Row],[wins]]/HighlanderAbilities3[[#This Row],[takes]],0)</f>
        <v>0.55555555555555558</v>
      </c>
      <c r="F14" s="20"/>
      <c r="G14" s="20"/>
      <c r="H14" s="20"/>
      <c r="I14" s="22"/>
      <c r="K14" s="24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15</v>
      </c>
      <c r="M14" s="2">
        <f>COUNTIF(Scenario0[winner1-ability3],HighlanderAbilities3Scenario0[[#This Row],[ability]])+COUNTIF(Scenario0[winner2-ability3],HighlanderAbilities3Scenario0[[#This Row],[ability]])</f>
        <v>7</v>
      </c>
      <c r="N14" s="13">
        <f>IF(SUM(HighlanderAbilities3Scenario0[[#This Row],[takes]]) &gt; 0,HighlanderAbilities3Scenario0[[#This Row],[takes]]/SUM(HighlanderAbilities3Scenario0[takes]),0)</f>
        <v>0.5</v>
      </c>
      <c r="O14" s="13">
        <f>IF(HighlanderAbilities3Scenario0[[#This Row],[takes]]&gt;0,HighlanderAbilities3Scenario0[[#This Row],[wins]]/HighlanderAbilities3Scenario0[[#This Row],[takes]],0)</f>
        <v>0.46666666666666667</v>
      </c>
      <c r="P14" s="20"/>
      <c r="Q14" s="20"/>
      <c r="R14" s="20"/>
      <c r="S14" s="22"/>
      <c r="T14" s="20"/>
    </row>
    <row r="15" spans="1:22" x14ac:dyDescent="0.4">
      <c r="A15" s="12" t="s">
        <v>85</v>
      </c>
      <c r="B15" s="1">
        <f t="shared" si="4"/>
        <v>14</v>
      </c>
      <c r="C15" s="1">
        <f t="shared" si="4"/>
        <v>7</v>
      </c>
      <c r="D15" s="16">
        <f>IF(SUM(HighlanderAbilities3[[#This Row],[takes]]) &gt; 0,HighlanderAbilities3[[#This Row],[takes]]/SUM(HighlanderAbilities3[takes]),0)</f>
        <v>0.33333333333333331</v>
      </c>
      <c r="E15" s="16">
        <f>IF(HighlanderAbilities3[[#This Row],[takes]]&gt;0,HighlanderAbilities3[[#This Row],[wins]]/HighlanderAbilities3[[#This Row],[takes]],0)</f>
        <v>0.5</v>
      </c>
      <c r="F15" s="20"/>
      <c r="G15" s="20"/>
      <c r="H15" s="20"/>
      <c r="I15" s="22"/>
      <c r="K15" s="27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7</v>
      </c>
      <c r="M15" s="1">
        <f>COUNTIF(Scenario0[winner1-ability3],HighlanderAbilities3Scenario0[[#This Row],[ability]])+COUNTIF(Scenario0[winner2-ability3],HighlanderAbilities3Scenario0[[#This Row],[ability]])</f>
        <v>4</v>
      </c>
      <c r="N15" s="16">
        <f>IF(SUM(HighlanderAbilities3Scenario0[[#This Row],[takes]]) &gt; 0,HighlanderAbilities3Scenario0[[#This Row],[takes]]/SUM(HighlanderAbilities3Scenario0[takes]),0)</f>
        <v>0.23333333333333334</v>
      </c>
      <c r="O15" s="16">
        <f>IF(HighlanderAbilities3Scenario0[[#This Row],[takes]]&gt;0,HighlanderAbilities3Scenario0[[#This Row],[wins]]/HighlanderAbilities3Scenario0[[#This Row],[takes]],0)</f>
        <v>0.5714285714285714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88</v>
      </c>
      <c r="B18" s="2">
        <f>L18+L39+L60</f>
        <v>0</v>
      </c>
      <c r="C18" s="2">
        <f>M18+M39+M60</f>
        <v>0</v>
      </c>
      <c r="D18" s="13">
        <f>IF(SUM(HighlanderAbilities4[[#This Row],[takes]]) &gt; 0,HighlanderAbilities4[[#This Row],[takes]]/SUM(HighlanderAbilities4[takes]),0)</f>
        <v>0</v>
      </c>
      <c r="E18" s="13">
        <f>IF(HighlanderAbilities4[[#This Row],[takes]]&gt;0,HighlanderAbilities4[[#This Row],[wins]]/HighlanderAbilities4[[#This Row],[takes]],0)</f>
        <v>0</v>
      </c>
      <c r="F18" s="20"/>
      <c r="G18" s="20"/>
      <c r="H18" s="20"/>
      <c r="I18" s="22"/>
      <c r="K18" s="24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3">
        <f>IF(SUM(HighlanderAbilities4Scenario0[[#This Row],[takes]]) &gt; 0,HighlanderAbilities4Scenario0[[#This Row],[takes]]/SUM(HighlanderAbilities4Scenario0[takes]),0)</f>
        <v>0</v>
      </c>
      <c r="O18" s="13">
        <f>IF(HighlanderAbilities4Scenario0[[#This Row],[takes]]&gt;0,HighlanderAbilities4Scenario0[[#This Row],[wins]]/HighlanderAbilities4Scenario0[[#This Row],[takes]],0)</f>
        <v>0</v>
      </c>
      <c r="P18" s="20"/>
      <c r="Q18" s="20"/>
      <c r="R18" s="20"/>
      <c r="S18" s="22"/>
      <c r="T18" s="20"/>
    </row>
    <row r="19" spans="1:20" x14ac:dyDescent="0.4">
      <c r="A19" s="2" t="s">
        <v>124</v>
      </c>
      <c r="B19" s="2">
        <f t="shared" ref="B19:C20" si="5">L19+L40+L61</f>
        <v>4</v>
      </c>
      <c r="C19" s="2">
        <f t="shared" si="5"/>
        <v>1</v>
      </c>
      <c r="D19" s="13">
        <f>IF(SUM(HighlanderAbilities4[[#This Row],[takes]]) &gt; 0,HighlanderAbilities4[[#This Row],[takes]]/SUM(HighlanderAbilities4[takes]),0)</f>
        <v>0.5714285714285714</v>
      </c>
      <c r="E19" s="13">
        <f>IF(HighlanderAbilities4[[#This Row],[takes]]&gt;0,HighlanderAbilities4[[#This Row],[wins]]/HighlanderAbilities4[[#This Row],[takes]],0)</f>
        <v>0.25</v>
      </c>
      <c r="F19" s="20"/>
      <c r="G19" s="20"/>
      <c r="H19" s="20"/>
      <c r="I19" s="22"/>
      <c r="K19" s="24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3">
        <f>IF(SUM(HighlanderAbilities4Scenario0[[#This Row],[takes]]) &gt; 0,HighlanderAbilities4Scenario0[[#This Row],[takes]]/SUM(HighlanderAbilities4Scenario0[takes]),0)</f>
        <v>0</v>
      </c>
      <c r="O19" s="13">
        <f>IF(HighlanderAbilities4Scenario0[[#This Row],[takes]]&gt;0,HighlanderAbilities4Scenario0[[#This Row],[wins]]/HighlanderAbilities4Scenario0[[#This Row],[takes]],0)</f>
        <v>0</v>
      </c>
      <c r="P19" s="20"/>
      <c r="Q19" s="20"/>
      <c r="R19" s="20"/>
      <c r="S19" s="22"/>
      <c r="T19" s="20"/>
    </row>
    <row r="20" spans="1:20" ht="15" thickBot="1" x14ac:dyDescent="0.45">
      <c r="A20" s="11" t="s">
        <v>125</v>
      </c>
      <c r="B20" s="2">
        <f t="shared" si="5"/>
        <v>3</v>
      </c>
      <c r="C20" s="2">
        <f t="shared" si="5"/>
        <v>2</v>
      </c>
      <c r="D20" s="30">
        <f>IF(SUM(HighlanderAbilities4[[#This Row],[takes]]) &gt; 0,HighlanderAbilities4[[#This Row],[takes]]/SUM(HighlanderAbilities4[takes]),0)</f>
        <v>0.42857142857142855</v>
      </c>
      <c r="E20" s="30">
        <f>IF(HighlanderAbilities4[[#This Row],[takes]]&gt;0,HighlanderAbilities4[[#This Row],[wins]]/HighlanderAbilities4[[#This Row],[takes]],0)</f>
        <v>0.66666666666666663</v>
      </c>
      <c r="F20" s="31"/>
      <c r="G20" s="31"/>
      <c r="H20" s="31"/>
      <c r="I20" s="32"/>
      <c r="K20" s="28" t="s">
        <v>125</v>
      </c>
      <c r="L20" s="29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20" s="29">
        <f>COUNTIF(Scenario0[winner1-ability4],HighlanderAbilities4Scenario0[[#This Row],[ability]])+COUNTIF(Scenario0[winner2-ability4],HighlanderAbilities4Scenario0[[#This Row],[ability]])</f>
        <v>1</v>
      </c>
      <c r="N20" s="30">
        <f>IF(SUM(HighlanderAbilities4Scenario0[[#This Row],[takes]]) &gt; 0,HighlanderAbilities4Scenario0[[#This Row],[takes]]/SUM(HighlanderAbilities4Scenario0[takes]),0)</f>
        <v>1</v>
      </c>
      <c r="O20" s="30">
        <f>IF(HighlanderAbilities4Scenario0[[#This Row],[takes]]&gt;0,HighlanderAbilities4Scenario0[[#This Row],[wins]]/HighlanderAbilities4Scenario0[[#This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165</v>
      </c>
      <c r="S23" s="22" t="s">
        <v>164</v>
      </c>
      <c r="T23" s="20"/>
    </row>
    <row r="24" spans="1:20" x14ac:dyDescent="0.4">
      <c r="K24" s="19" t="s">
        <v>68</v>
      </c>
      <c r="L24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43</v>
      </c>
      <c r="M24" s="20">
        <f>COUNTIF(Scenario1[winner1-ability1],HighlanderAbilities1Scenario1[[#This Row],[ability]])+COUNTIF(Scenario1[winner2-ability1],HighlanderAbilities1Scenario1[[#This Row],[ability]])</f>
        <v>20</v>
      </c>
      <c r="N24" s="21">
        <f>IF(SUM(HighlanderAbilities1Scenario1[[#This Row],[takes]]) &gt; 0,HighlanderAbilities1Scenario1[[#This Row],[takes]]/SUM(HighlanderAbilities1Scenario1[takes]),0)</f>
        <v>0.40952380952380951</v>
      </c>
      <c r="O24" s="21">
        <f>IF(HighlanderAbilities1Scenario1[[#This Row],[takes]]&gt;0,HighlanderAbilities1Scenario1[[#This Row],[wins]]/HighlanderAbilities1Scenario1[[#This Row],[takes]],0)</f>
        <v>0.46511627906976744</v>
      </c>
      <c r="P24" s="20"/>
      <c r="Q24" s="20">
        <v>1</v>
      </c>
      <c r="R24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76</v>
      </c>
      <c r="S24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75</v>
      </c>
      <c r="T24" s="20"/>
    </row>
    <row r="25" spans="1:20" x14ac:dyDescent="0.4">
      <c r="K25" s="19" t="s">
        <v>120</v>
      </c>
      <c r="L25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17</v>
      </c>
      <c r="M25" s="20">
        <f>COUNTIF(Scenario1[winner1-ability1],HighlanderAbilities1Scenario1[[#This Row],[ability]])+COUNTIF(Scenario1[winner2-ability1],HighlanderAbilities1Scenario1[[#This Row],[ability]])</f>
        <v>11</v>
      </c>
      <c r="N25" s="21">
        <f>IF(SUM(HighlanderAbilities1Scenario1[[#This Row],[takes]]) &gt; 0,HighlanderAbilities1Scenario1[[#This Row],[takes]]/SUM(HighlanderAbilities1Scenario1[takes]),0)</f>
        <v>0.16190476190476191</v>
      </c>
      <c r="O25" s="21">
        <f>IF(HighlanderAbilities1Scenario1[[#This Row],[takes]]&gt;0,HighlanderAbilities1Scenario1[[#This Row],[wins]]/HighlanderAbilities1Scenario1[[#This Row],[takes]],0)</f>
        <v>0.6470588235294118</v>
      </c>
      <c r="P25" s="20"/>
      <c r="Q25" s="20">
        <v>2</v>
      </c>
      <c r="R25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21</v>
      </c>
      <c r="S25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22</v>
      </c>
      <c r="T25" s="20"/>
    </row>
    <row r="26" spans="1:20" x14ac:dyDescent="0.4">
      <c r="K26" s="19" t="s">
        <v>57</v>
      </c>
      <c r="L26" s="20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45</v>
      </c>
      <c r="M26" s="20">
        <f>COUNTIF(Scenario1[winner1-ability1],HighlanderAbilities1Scenario1[[#This Row],[ability]])+COUNTIF(Scenario1[winner2-ability1],HighlanderAbilities1Scenario1[[#This Row],[ability]])</f>
        <v>27</v>
      </c>
      <c r="N26" s="21">
        <f>IF(SUM(HighlanderAbilities1Scenario1[[#This Row],[takes]]) &gt; 0,HighlanderAbilities1Scenario1[[#This Row],[takes]]/SUM(HighlanderAbilities1Scenario1[takes]),0)</f>
        <v>0.42857142857142855</v>
      </c>
      <c r="O26" s="21">
        <f>IF(HighlanderAbilities1Scenario1[[#This Row],[takes]]&gt;0,HighlanderAbilities1Scenario1[[#This Row],[wins]]/HighlanderAbilities1Scenario1[[#This Row],[takes]],0)</f>
        <v>0.6</v>
      </c>
      <c r="P26" s="20"/>
      <c r="Q26" s="20">
        <v>3</v>
      </c>
      <c r="R26" s="20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8</v>
      </c>
      <c r="S26" s="22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4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6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3">
        <f>IF(SUM(HighlanderAbilities2Scenario1[[#This Row],[takes]]) &gt; 0,HighlanderAbilities2Scenario1[[#This Row],[takes]]/SUM(HighlanderAbilities2Scenario1[takes]),0)</f>
        <v>0.17142857142857143</v>
      </c>
      <c r="O29" s="13">
        <f>IF(HighlanderAbilities2Scenario1[[#This Row],[takes]]&gt;0,HighlanderAbilities2Scenario1[[#This Row],[wins]]/HighlanderAbilities2Scenario1[[#This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s="19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</v>
      </c>
      <c r="M30" s="2">
        <f>COUNTIF(Scenario1[winner1-ability2],HighlanderAbilities2Scenario1[[#This Row],[ability]])+COUNTIF(Scenario1[winner2-ability2],HighlanderAbilities2Scenario1[[#This Row],[ability]])</f>
        <v>1</v>
      </c>
      <c r="N30" s="21">
        <f>IF(SUM(HighlanderAbilities2Scenario1[[#This Row],[takes]]) &gt; 0,HighlanderAbilities2Scenario1[[#This Row],[takes]]/SUM(HighlanderAbilities2Scenario1[takes]),0)</f>
        <v>2.8571428571428571E-2</v>
      </c>
      <c r="O30" s="21">
        <f>IF(HighlanderAbilities2Scenario1[[#This Row],[takes]]&gt;0,HighlanderAbilities2Scenario1[[#This Row],[wins]]/HighlanderAbilities2Scenario1[[#This Row],[takes]],0)</f>
        <v>1</v>
      </c>
      <c r="P30" s="20"/>
      <c r="Q30" s="20"/>
      <c r="R30" s="20"/>
      <c r="S30" s="22"/>
      <c r="T30" s="20"/>
    </row>
    <row r="31" spans="1:20" x14ac:dyDescent="0.4">
      <c r="K31" s="25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28</v>
      </c>
      <c r="M31" s="2">
        <f>COUNTIF(Scenario1[winner1-ability2],HighlanderAbilities2Scenario1[[#This Row],[ability]])+COUNTIF(Scenario1[winner2-ability2],HighlanderAbilities2Scenario1[[#This Row],[ability]])</f>
        <v>19</v>
      </c>
      <c r="N31" s="14">
        <f>IF(SUM(HighlanderAbilities2Scenario1[[#This Row],[takes]]) &gt; 0,HighlanderAbilities2Scenario1[[#This Row],[takes]]/SUM(HighlanderAbilities2Scenario1[takes]),0)</f>
        <v>0.8</v>
      </c>
      <c r="O31" s="14">
        <f>IF(HighlanderAbilities2Scenario1[[#This Row],[takes]]&gt;0,HighlanderAbilities2Scenario1[[#This Row],[wins]]/HighlanderAbilities2Scenario1[[#This Row],[takes]],0)</f>
        <v>0.6785714285714286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26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5">
        <f>IF(SUM(HighlanderAbilities3Scenario1[[#This Row],[takes]]) &gt; 0,HighlanderAbilities3Scenario1[[#This Row],[takes]]/SUM(HighlanderAbilities3Scenario1[takes]),0)</f>
        <v>0.16666666666666666</v>
      </c>
      <c r="O34" s="15">
        <f>IF(HighlanderAbilities3Scenario1[[#This Row],[takes]]&gt;0,HighlanderAbilities3Scenario1[[#This Row],[wins]]/HighlanderAbilities3Scenario1[[#This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4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3">
        <f>IF(SUM(HighlanderAbilities3Scenario1[[#This Row],[takes]]) &gt; 0,HighlanderAbilities3Scenario1[[#This Row],[takes]]/SUM(HighlanderAbilities3Scenario1[takes]),0)</f>
        <v>0</v>
      </c>
      <c r="O35" s="13">
        <f>IF(HighlanderAbilities3Scenario1[[#This Row],[takes]]&gt;0,HighlanderAbilities3Scenario1[[#This Row],[wins]]/HighlanderAbilities3Scenario1[[#This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27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6" s="1">
        <f>COUNTIF(Scenario1[winner1-ability3],HighlanderAbilities3Scenario1[[#This Row],[ability]])+COUNTIF(Scenario1[winner2-ability3],HighlanderAbilities3Scenario1[[#This Row],[ability]])</f>
        <v>3</v>
      </c>
      <c r="N36" s="16">
        <f>IF(SUM(HighlanderAbilities3Scenario1[[#This Row],[takes]]) &gt; 0,HighlanderAbilities3Scenario1[[#This Row],[takes]]/SUM(HighlanderAbilities3Scenario1[takes]),0)</f>
        <v>0.83333333333333337</v>
      </c>
      <c r="O36" s="16">
        <f>IF(HighlanderAbilities3Scenario1[[#This Row],[takes]]&gt;0,HighlanderAbilities3Scenario1[[#This Row],[wins]]/HighlanderAbilities3Scenario1[[#This Row],[takes]],0)</f>
        <v>0.6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4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3">
        <f>IF(SUM(HighlanderAbilities4Scenario1[[#This Row],[takes]]) &gt; 0,HighlanderAbilities4Scenario1[[#This Row],[takes]]/SUM(HighlanderAbilities4Scenario1[takes]),0)</f>
        <v>0</v>
      </c>
      <c r="O39" s="13">
        <f>IF(HighlanderAbilities4Scenario1[[#This Row],[takes]]&gt;0,HighlanderAbilities4Scenario1[[#This Row],[wins]]/HighlanderAbilities4Scenario1[[#This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4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3">
        <f>IF(SUM(HighlanderAbilities4Scenario1[[#This Row],[takes]]) &gt; 0,HighlanderAbilities4Scenario1[[#This Row],[takes]]/SUM(HighlanderAbilities4Scenario1[takes]),0)</f>
        <v>1</v>
      </c>
      <c r="O40" s="13">
        <f>IF(HighlanderAbilities4Scenario1[[#This Row],[takes]]&gt;0,HighlanderAbilities4Scenario1[[#This Row],[wins]]/HighlanderAbilities4Scenario1[[#This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28" t="s">
        <v>125</v>
      </c>
      <c r="L41" s="29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9">
        <f>COUNTIF(Scenario1[winner1-ability4],HighlanderAbilities4Scenario1[[#This Row],[ability]])+COUNTIF(Scenario1[winner2-ability4],HighlanderAbilities4Scenario1[[#This Row],[ability]])</f>
        <v>0</v>
      </c>
      <c r="N41" s="30">
        <f>IF(SUM(HighlanderAbilities4Scenario1[[#This Row],[takes]]) &gt; 0,HighlanderAbilities4Scenario1[[#This Row],[takes]]/SUM(HighlanderAbilities4Scenario1[takes]),0)</f>
        <v>0</v>
      </c>
      <c r="O41" s="30">
        <f>IF(HighlanderAbilities4Scenario1[[#This Row],[takes]]&gt;0,HighlanderAbilities4Scenario1[[#This Row],[wins]]/HighlanderAbilities4Scenario1[[#This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165</v>
      </c>
      <c r="S44" s="22" t="s">
        <v>164</v>
      </c>
    </row>
    <row r="45" spans="11:20" x14ac:dyDescent="0.4">
      <c r="K45" s="19" t="s">
        <v>68</v>
      </c>
      <c r="L45" s="20">
        <f>COUNTIF(Scenario2[winner1-ability1],HighlanderAbilities1Scenario2[[#This Row],[ability]])+COUNTIF(Scenario2[loser1-ability1],HighlanderAbilities1Scenario2[[#This Row],[ability]])</f>
        <v>0</v>
      </c>
      <c r="M45" s="20">
        <f>COUNTIF(Scenario2[winner1-ability1],HighlanderAbilities1Scenario2[[#This Row],[ability]])</f>
        <v>0</v>
      </c>
      <c r="N45" s="21">
        <f>IF(SUM(HighlanderAbilities1Scenario2[[#This Row],[takes]]) &gt; 0,HighlanderAbilities1Scenario2[[#This Row],[takes]]/SUM(HighlanderAbilities1Scenario2[takes]),0)</f>
        <v>0</v>
      </c>
      <c r="O45" s="21">
        <f>IF(HighlanderAbilities1Scenario2[[#This Row],[takes]]&gt;0,HighlanderAbilities1Scenario2[[#This Row],[wins]]/HighlanderAbilities1Scenario2[[#This Row],[takes]],0)</f>
        <v>0</v>
      </c>
      <c r="P45" s="20"/>
      <c r="Q45" s="20">
        <v>1</v>
      </c>
      <c r="R45" s="20">
        <f>COUNTIFS(Scenario2[winner1],"highlander",Scenario2[winner1-pw],HighlanderEquipScenario2[[#This Row],[level]])+COUNTIFS(Scenario2[loser1],"highlander",Scenario2[loser1-pw],HighlanderEquipScenario2[[#This Row],[level]])</f>
        <v>3</v>
      </c>
      <c r="S45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6" spans="11:20" x14ac:dyDescent="0.4">
      <c r="K46" s="19" t="s">
        <v>120</v>
      </c>
      <c r="L46" s="20">
        <f>COUNTIF(Scenario2[winner1-ability1],HighlanderAbilities1Scenario2[[#This Row],[ability]])+COUNTIF(Scenario2[loser1-ability1],HighlanderAbilities1Scenario2[[#This Row],[ability]])</f>
        <v>10</v>
      </c>
      <c r="M46" s="20">
        <f>COUNTIF(Scenario2[winner1-ability1],HighlanderAbilities1Scenario2[[#This Row],[ability]])</f>
        <v>6</v>
      </c>
      <c r="N46" s="21">
        <f>IF(SUM(HighlanderAbilities1Scenario2[[#This Row],[takes]]) &gt; 0,HighlanderAbilities1Scenario2[[#This Row],[takes]]/SUM(HighlanderAbilities1Scenario2[takes]),0)</f>
        <v>0.7142857142857143</v>
      </c>
      <c r="O46" s="21">
        <f>IF(HighlanderAbilities1Scenario2[[#This Row],[takes]]&gt;0,HighlanderAbilities1Scenario2[[#This Row],[wins]]/HighlanderAbilities1Scenario2[[#This Row],[takes]],0)</f>
        <v>0.6</v>
      </c>
      <c r="P46" s="20"/>
      <c r="Q46" s="20">
        <v>2</v>
      </c>
      <c r="R46" s="20">
        <f>COUNTIFS(Scenario2[winner1],"highlander",Scenario2[winner1-pw],HighlanderEquipScenario2[[#This Row],[level]])+COUNTIFS(Scenario2[loser1],"highlander",Scenario2[loser1-pw],HighlanderEquipScenario2[[#This Row],[level]])</f>
        <v>4</v>
      </c>
      <c r="S46" s="22">
        <f>COUNTIFS(Scenario2[winner1],"highlander",Scenario2[winner1-cp],HighlanderEquipScenario2[[#This Row],[level]])+COUNTIFS(Scenario2[loser1],"highlander",Scenario2[loser1-cp],HighlanderEquipScenario2[[#This Row],[level]])</f>
        <v>4</v>
      </c>
    </row>
    <row r="47" spans="11:20" x14ac:dyDescent="0.4">
      <c r="K47" s="19" t="s">
        <v>57</v>
      </c>
      <c r="L47" s="20">
        <f>COUNTIF(Scenario2[winner1-ability1],HighlanderAbilities1Scenario2[[#This Row],[ability]])+COUNTIF(Scenario2[loser1-ability1],HighlanderAbilities1Scenario2[[#This Row],[ability]])</f>
        <v>4</v>
      </c>
      <c r="M47" s="20">
        <f>COUNTIF(Scenario2[winner1-ability1],HighlanderAbilities1Scenario2[[#This Row],[ability]])</f>
        <v>2</v>
      </c>
      <c r="N47" s="21">
        <f>IF(SUM(HighlanderAbilities1Scenario2[[#This Row],[takes]]) &gt; 0,HighlanderAbilities1Scenario2[[#This Row],[takes]]/SUM(HighlanderAbilities1Scenario2[takes]),0)</f>
        <v>0.2857142857142857</v>
      </c>
      <c r="O47" s="21">
        <f>IF(HighlanderAbilities1Scenario2[[#This Row],[takes]]&gt;0,HighlanderAbilities1Scenario2[[#This Row],[wins]]/HighlanderAbilities1Scenario2[[#This Row],[takes]],0)</f>
        <v>0.5</v>
      </c>
      <c r="P47" s="20"/>
      <c r="Q47" s="20">
        <v>3</v>
      </c>
      <c r="R47" s="20">
        <f>COUNTIFS(Scenario2[winner1],"highlander",Scenario2[winner1-pw],HighlanderEquipScenario2[[#This Row],[level]])+COUNTIFS(Scenario2[loser1],"highlander",Scenario2[loser1-pw],HighlanderEquipScenario2[[#This Row],[level]])</f>
        <v>7</v>
      </c>
      <c r="S47" s="22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4" t="s">
        <v>69</v>
      </c>
      <c r="L50" s="2">
        <f>COUNTIF(Scenario2[winner1-ability2],HighlanderAbilities2Scenario2[[#This Row],[ability]])+COUNTIF(Scenario2[loser1-ability2],HighlanderAbilities2Scenario2[[#This Row],[ability]])</f>
        <v>5</v>
      </c>
      <c r="M50" s="2">
        <f>COUNTIF(Scenario2[winner1-ability2],HighlanderAbilities2Scenario2[[#This Row],[ability]])</f>
        <v>3</v>
      </c>
      <c r="N50" s="13">
        <f>IF(SUM(HighlanderAbilities2Scenario2[[#This Row],[takes]]) &gt; 0,HighlanderAbilities2Scenario2[[#This Row],[takes]]/SUM(HighlanderAbilities2Scenario2[takes]),0)</f>
        <v>0.5</v>
      </c>
      <c r="O50" s="13">
        <f>IF(HighlanderAbilities2Scenario2[[#This Row],[takes]]&gt;0,HighlanderAbilities2Scenario2[[#This Row],[wins]]/HighlanderAbilities2Scenario2[[#This Row],[takes]],0)</f>
        <v>0.6</v>
      </c>
      <c r="P50" s="20"/>
      <c r="Q50" s="20"/>
      <c r="R50" s="20"/>
      <c r="S50" s="22"/>
      <c r="T50" s="20"/>
    </row>
    <row r="51" spans="11:20" x14ac:dyDescent="0.4">
      <c r="K51" s="19" t="s">
        <v>121</v>
      </c>
      <c r="L51" s="2">
        <f>COUNTIF(Scenario2[winner1-ability2],HighlanderAbilities2Scenario2[[#This Row],[ability]])+COUNTIF(Scenario2[loser1-ability2],HighlanderAbilities2Scenario2[[#This Row],[ability]])</f>
        <v>0</v>
      </c>
      <c r="M51" s="2">
        <f>COUNTIF(Scenario2[winner1-ability2],HighlanderAbilities2Scenario2[[#This Row],[ability]])</f>
        <v>0</v>
      </c>
      <c r="N51" s="21">
        <f>IF(SUM(HighlanderAbilities2Scenario2[[#This Row],[takes]]) &gt; 0,HighlanderAbilities2Scenario2[[#This Row],[takes]]/SUM(HighlanderAbilities2Scenario2[takes]),0)</f>
        <v>0</v>
      </c>
      <c r="O51" s="21">
        <f>IF(HighlanderAbilities2Scenario2[[#This Row],[takes]]&gt;0,HighlanderAbilities2Scenario2[[#This Row],[wins]]/HighlanderAbilities2Scenario2[[#This Row],[takes]],0)</f>
        <v>0</v>
      </c>
      <c r="P51" s="20"/>
      <c r="Q51" s="20"/>
      <c r="R51" s="20"/>
      <c r="S51" s="22"/>
      <c r="T51" s="20"/>
    </row>
    <row r="52" spans="11:20" x14ac:dyDescent="0.4">
      <c r="K52" s="25" t="s">
        <v>122</v>
      </c>
      <c r="L52" s="2">
        <f>COUNTIF(Scenario2[winner1-ability2],HighlanderAbilities2Scenario2[[#This Row],[ability]])+COUNTIF(Scenario2[loser1-ability2],HighlanderAbilities2Scenario2[[#This Row],[ability]])</f>
        <v>5</v>
      </c>
      <c r="M52" s="2">
        <f>COUNTIF(Scenario2[winner1-ability2],HighlanderAbilities2Scenario2[[#This Row],[ability]])</f>
        <v>3</v>
      </c>
      <c r="N52" s="14">
        <f>IF(SUM(HighlanderAbilities2Scenario2[[#This Row],[takes]]) &gt; 0,HighlanderAbilities2Scenario2[[#This Row],[takes]]/SUM(HighlanderAbilities2Scenario2[takes]),0)</f>
        <v>0.5</v>
      </c>
      <c r="O52" s="14">
        <f>IF(HighlanderAbilities2Scenario2[[#This Row],[takes]]&gt;0,HighlanderAbilities2Scenario2[[#This Row],[wins]]/HighlanderAbilities2Scenario2[[#This Row],[takes]],0)</f>
        <v>0.6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26" t="s">
        <v>123</v>
      </c>
      <c r="L55" s="1">
        <f>COUNTIF(Scenario2[winner1-ability3],HighlanderAbilities3Scenario2[[#This Row],[ability]])+COUNTIF(Scenario2[loser1-ability3],HighlanderAbilities3Scenario2[[#This Row],[ability]])</f>
        <v>1</v>
      </c>
      <c r="M55" s="1">
        <f>COUNTIF(Scenario2[winner1-ability3],HighlanderAbilities3Scenario2[[#This Row],[ability]])</f>
        <v>0</v>
      </c>
      <c r="N55" s="15">
        <f>IF(SUM(HighlanderAbilities3Scenario2[[#This Row],[takes]]) &gt; 0,HighlanderAbilities3Scenario2[[#This Row],[takes]]/SUM(HighlanderAbilities3Scenario2[takes]),0)</f>
        <v>0.16666666666666666</v>
      </c>
      <c r="O55" s="15">
        <f>IF(HighlanderAbilities3Scenario2[[#This Row],[takes]]&gt;0,HighlanderAbilities3Scenario2[[#This Row],[wins]]/HighlanderAbilities3Scenario2[[#This Row],[takes]],0)</f>
        <v>0</v>
      </c>
      <c r="P55" s="20"/>
      <c r="Q55" s="20"/>
      <c r="R55" s="20"/>
      <c r="S55" s="22"/>
      <c r="T55" s="20"/>
    </row>
    <row r="56" spans="11:20" x14ac:dyDescent="0.4">
      <c r="K56" s="24" t="s">
        <v>87</v>
      </c>
      <c r="L56" s="2">
        <f>COUNTIF(Scenario2[winner1-ability3],HighlanderAbilities3Scenario2[[#This Row],[ability]])+COUNTIF(Scenario2[loser1-ability3],HighlanderAbilities3Scenario2[[#This Row],[ability]])</f>
        <v>3</v>
      </c>
      <c r="M56" s="2">
        <f>COUNTIF(Scenario2[winner1-ability3],HighlanderAbilities3Scenario2[[#This Row],[ability]])</f>
        <v>3</v>
      </c>
      <c r="N56" s="13">
        <f>IF(SUM(HighlanderAbilities3Scenario2[[#This Row],[takes]]) &gt; 0,HighlanderAbilities3Scenario2[[#This Row],[takes]]/SUM(HighlanderAbilities3Scenario2[takes]),0)</f>
        <v>0.5</v>
      </c>
      <c r="O56" s="13">
        <f>IF(HighlanderAbilities3Scenario2[[#This Row],[takes]]&gt;0,HighlanderAbilities3Scenario2[[#This Row],[wins]]/HighlanderAbilities3Scenario2[[#This Row],[takes]],0)</f>
        <v>1</v>
      </c>
      <c r="P56" s="20"/>
      <c r="Q56" s="20"/>
      <c r="R56" s="20"/>
      <c r="S56" s="22"/>
      <c r="T56" s="20"/>
    </row>
    <row r="57" spans="11:20" x14ac:dyDescent="0.4">
      <c r="K57" s="27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0</v>
      </c>
      <c r="N57" s="16">
        <f>IF(SUM(HighlanderAbilities3Scenario2[[#This Row],[takes]]) &gt; 0,HighlanderAbilities3Scenario2[[#This Row],[takes]]/SUM(HighlanderAbilities3Scenario2[takes]),0)</f>
        <v>0.33333333333333331</v>
      </c>
      <c r="O57" s="16">
        <f>IF(HighlanderAbilities3Scenario2[[#This Row],[takes]]&gt;0,HighlanderAbilities3Scenario2[[#This Row],[wins]]/HighlanderAbilities3Scenario2[[#This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4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3">
        <f>IF(SUM(HighlanderAbilities4Scenario2[[#This Row],[takes]]) &gt; 0,HighlanderAbilities4Scenario2[[#This Row],[takes]]/SUM(HighlanderAbilities4Scenario2[takes]),0)</f>
        <v>0</v>
      </c>
      <c r="O60" s="13">
        <f>IF(HighlanderAbilities4Scenario2[[#This Row],[takes]]&gt;0,HighlanderAbilities4Scenario2[[#This Row],[wins]]/HighlanderAbilities4Scenario2[[#This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4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1</v>
      </c>
      <c r="N61" s="13">
        <f>IF(SUM(HighlanderAbilities4Scenario2[[#This Row],[takes]]) &gt; 0,HighlanderAbilities4Scenario2[[#This Row],[takes]]/SUM(HighlanderAbilities4Scenario2[takes]),0)</f>
        <v>0.6</v>
      </c>
      <c r="O61" s="13">
        <f>IF(HighlanderAbilities4Scenario2[[#This Row],[takes]]&gt;0,HighlanderAbilities4Scenario2[[#This Row],[wins]]/HighlanderAbilities4Scenario2[[#This Row],[takes]],0)</f>
        <v>0.33333333333333331</v>
      </c>
      <c r="P61" s="20"/>
      <c r="Q61" s="20"/>
      <c r="R61" s="20"/>
      <c r="S61" s="22"/>
      <c r="T61" s="20"/>
    </row>
    <row r="62" spans="11:20" ht="15" thickBot="1" x14ac:dyDescent="0.45">
      <c r="K62" s="28" t="s">
        <v>125</v>
      </c>
      <c r="L62" s="29">
        <f>COUNTIF(Scenario2[winner1-ability4],HighlanderAbilities4Scenario2[[#This Row],[ability]])+COUNTIF(Scenario2[loser1-ability4],HighlanderAbilities4Scenario2[[#This Row],[ability]])</f>
        <v>2</v>
      </c>
      <c r="M62" s="29">
        <f>COUNTIF(Scenario2[winner1-ability4],HighlanderAbilities4Scenario2[[#This Row],[ability]])</f>
        <v>1</v>
      </c>
      <c r="N62" s="30">
        <f>IF(SUM(HighlanderAbilities4Scenario2[[#This Row],[takes]]) &gt; 0,HighlanderAbilities4Scenario2[[#This Row],[takes]]/SUM(HighlanderAbilities4Scenario2[takes]),0)</f>
        <v>0.4</v>
      </c>
      <c r="O62" s="30">
        <f>IF(HighlanderAbilities4Scenario2[[#This Row],[takes]]&gt;0,HighlanderAbilities4Scenario2[[#This Row],[wins]]/HighlanderAbilities4Scenario2[[#This Row],[takes]],0)</f>
        <v>0.5</v>
      </c>
      <c r="P62" s="31"/>
      <c r="Q62" s="31"/>
      <c r="R62" s="31"/>
      <c r="S62" s="32"/>
      <c r="T62" s="20"/>
    </row>
  </sheetData>
  <mergeCells count="4">
    <mergeCell ref="K22:S22"/>
    <mergeCell ref="K43:S43"/>
    <mergeCell ref="A1:I1"/>
    <mergeCell ref="K1:S1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62"/>
  <sheetViews>
    <sheetView workbookViewId="0">
      <selection activeCell="U12" sqref="U12"/>
    </sheetView>
  </sheetViews>
  <sheetFormatPr defaultRowHeight="14.6" x14ac:dyDescent="0.4"/>
  <cols>
    <col min="1" max="1" width="19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765625" bestFit="1" customWidth="1"/>
    <col min="9" max="9" width="11.84375" bestFit="1" customWidth="1"/>
    <col min="10" max="10" width="3.84375" customWidth="1"/>
    <col min="11" max="11" width="19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6.765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166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166</v>
      </c>
      <c r="S2" s="22" t="s">
        <v>164</v>
      </c>
      <c r="T2" s="20"/>
      <c r="U2" t="s">
        <v>673</v>
      </c>
      <c r="V2" s="3">
        <f>H4/SUM(DruidEquip[staff])</f>
        <v>0.29464285714285715</v>
      </c>
    </row>
    <row r="3" spans="1:22" x14ac:dyDescent="0.4">
      <c r="A3" t="s">
        <v>49</v>
      </c>
      <c r="B3" s="20">
        <f>L3+L24+L45</f>
        <v>115</v>
      </c>
      <c r="C3" s="20">
        <f>M3+M24+M45</f>
        <v>42</v>
      </c>
      <c r="D3" s="21">
        <f>IF(SUM(DruidAbilities1[[#This Row],[takes]]) &gt; 0,DruidAbilities1[[#This Row],[takes]]/SUM(DruidAbilities1[takes]),0)</f>
        <v>0.5133928571428571</v>
      </c>
      <c r="E3" s="21">
        <f>IF(DruidAbilities1[[#This Row],[takes]]&gt;0,DruidAbilities1[[#This Row],[wins]]/DruidAbilities1[[#This Row],[takes]],0)</f>
        <v>0.36521739130434783</v>
      </c>
      <c r="F3" s="20"/>
      <c r="G3" s="20">
        <v>1</v>
      </c>
      <c r="H3" s="20">
        <f t="shared" ref="H3:I5" si="0">R3+R24+R45</f>
        <v>94</v>
      </c>
      <c r="I3" s="22">
        <f t="shared" si="0"/>
        <v>181</v>
      </c>
      <c r="K3" t="s">
        <v>49</v>
      </c>
      <c r="L3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59</v>
      </c>
      <c r="M3" s="20">
        <f>COUNTIF(Scenario0[winner1-ability1],DruidAbilities1Scenario0[[#This Row],[ability]])+COUNTIF(Scenario0[winner2-ability1],DruidAbilities1Scenario0[[#This Row],[ability]])</f>
        <v>24</v>
      </c>
      <c r="N3" s="21">
        <f>IF(SUM(DruidAbilities1Scenario0[[#This Row],[takes]]) &gt; 0,DruidAbilities1Scenario0[[#This Row],[takes]]/SUM(DruidAbilities1Scenario0[takes]),0)</f>
        <v>0.56190476190476191</v>
      </c>
      <c r="O3" s="21">
        <f>IF(DruidAbilities1Scenario0[[#This Row],[takes]]&gt;0,DruidAbilities1Scenario0[[#This Row],[wins]]/DruidAbilities1Scenario0[[#This Row],[takes]],0)</f>
        <v>0.40677966101694918</v>
      </c>
      <c r="P3" s="20"/>
      <c r="Q3" s="20">
        <v>1</v>
      </c>
      <c r="R3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55</v>
      </c>
      <c r="S3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81</v>
      </c>
      <c r="T3" s="20"/>
      <c r="U3" t="s">
        <v>674</v>
      </c>
      <c r="V3" s="18">
        <f>H5/SUM(DruidEquip[staff])</f>
        <v>0.2857142857142857</v>
      </c>
    </row>
    <row r="4" spans="1:22" x14ac:dyDescent="0.4">
      <c r="A4" t="s">
        <v>89</v>
      </c>
      <c r="B4" s="20">
        <f>L4+L25+L46</f>
        <v>69</v>
      </c>
      <c r="C4" s="20">
        <f t="shared" ref="C4:C5" si="1">M4+M25+M46</f>
        <v>30</v>
      </c>
      <c r="D4" s="21">
        <f>IF(SUM(DruidAbilities1[[#This Row],[takes]]) &gt; 0,DruidAbilities1[[#This Row],[takes]]/SUM(DruidAbilities1[takes]),0)</f>
        <v>0.3080357142857143</v>
      </c>
      <c r="E4" s="21">
        <f>IF(DruidAbilities1[[#This Row],[takes]]&gt;0,DruidAbilities1[[#This Row],[wins]]/DruidAbilities1[[#This Row],[takes]],0)</f>
        <v>0.43478260869565216</v>
      </c>
      <c r="F4" s="20"/>
      <c r="G4" s="20">
        <v>2</v>
      </c>
      <c r="H4" s="20">
        <f t="shared" si="0"/>
        <v>66</v>
      </c>
      <c r="I4" s="22">
        <f t="shared" si="0"/>
        <v>29</v>
      </c>
      <c r="K4" t="s">
        <v>89</v>
      </c>
      <c r="L4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11</v>
      </c>
      <c r="M4" s="20">
        <f>COUNTIF(Scenario0[winner1-ability1],DruidAbilities1Scenario0[[#This Row],[ability]])+COUNTIF(Scenario0[winner2-ability1],DruidAbilities1Scenario0[[#This Row],[ability]])</f>
        <v>5</v>
      </c>
      <c r="N4" s="21">
        <f>IF(SUM(DruidAbilities1Scenario0[[#This Row],[takes]]) &gt; 0,DruidAbilities1Scenario0[[#This Row],[takes]]/SUM(DruidAbilities1Scenario0[takes]),0)</f>
        <v>0.10476190476190476</v>
      </c>
      <c r="O4" s="21">
        <f>IF(DruidAbilities1Scenario0[[#This Row],[takes]]&gt;0,DruidAbilities1Scenario0[[#This Row],[wins]]/DruidAbilities1Scenario0[[#This Row],[takes]],0)</f>
        <v>0.45454545454545453</v>
      </c>
      <c r="P4" s="20"/>
      <c r="Q4" s="20">
        <v>2</v>
      </c>
      <c r="R4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20</v>
      </c>
      <c r="S4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18</v>
      </c>
      <c r="T4" s="20"/>
      <c r="U4" t="s">
        <v>391</v>
      </c>
      <c r="V4" s="3">
        <f>DruidEquip[[#This Row],[chestpiece]]/SUM(DruidEquip[chestpiece])</f>
        <v>0.12946428571428573</v>
      </c>
    </row>
    <row r="5" spans="1:22" x14ac:dyDescent="0.4">
      <c r="A5" t="s">
        <v>126</v>
      </c>
      <c r="B5" s="20">
        <f t="shared" ref="B5" si="2">L5+L26+L47</f>
        <v>40</v>
      </c>
      <c r="C5" s="20">
        <f t="shared" si="1"/>
        <v>22</v>
      </c>
      <c r="D5" s="21">
        <f>IF(SUM(DruidAbilities1[[#This Row],[takes]]) &gt; 0,DruidAbilities1[[#This Row],[takes]]/SUM(DruidAbilities1[takes]),0)</f>
        <v>0.17857142857142858</v>
      </c>
      <c r="E5" s="21">
        <f>IF(DruidAbilities1[[#This Row],[takes]]&gt;0,DruidAbilities1[[#This Row],[wins]]/DruidAbilities1[[#This Row],[takes]],0)</f>
        <v>0.55000000000000004</v>
      </c>
      <c r="F5" s="20"/>
      <c r="G5" s="20">
        <v>3</v>
      </c>
      <c r="H5" s="20">
        <f t="shared" si="0"/>
        <v>64</v>
      </c>
      <c r="I5" s="22">
        <f t="shared" si="0"/>
        <v>14</v>
      </c>
      <c r="K5" t="s">
        <v>126</v>
      </c>
      <c r="L5" s="20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35</v>
      </c>
      <c r="M5" s="20">
        <f>COUNTIF(Scenario0[winner1-ability1],DruidAbilities1Scenario0[[#This Row],[ability]])+COUNTIF(Scenario0[winner2-ability1],DruidAbilities1Scenario0[[#This Row],[ability]])</f>
        <v>19</v>
      </c>
      <c r="N5" s="21">
        <f>IF(SUM(DruidAbilities1Scenario0[[#This Row],[takes]]) &gt; 0,DruidAbilities1Scenario0[[#This Row],[takes]]/SUM(DruidAbilities1Scenario0[takes]),0)</f>
        <v>0.33333333333333331</v>
      </c>
      <c r="O5" s="21">
        <f>IF(DruidAbilities1Scenario0[[#This Row],[takes]]&gt;0,DruidAbilities1Scenario0[[#This Row],[wins]]/DruidAbilities1Scenario0[[#This Row],[takes]],0)</f>
        <v>0.54285714285714282</v>
      </c>
      <c r="P5" s="20"/>
      <c r="Q5" s="20">
        <v>3</v>
      </c>
      <c r="R5" s="20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30</v>
      </c>
      <c r="S5" s="22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6</v>
      </c>
      <c r="T5" s="20"/>
      <c r="U5" t="s">
        <v>392</v>
      </c>
      <c r="V5" s="18">
        <f>DruidEquip[[#This Row],[chestpiece]]/SUM(DruidEquip[chestpiece])</f>
        <v>6.25E-2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SUM(DruidAbilities2[takes])/SUM(DruidAbilities1[takes])</f>
        <v>0.5178571428571429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SUM(DruidAbilities3[takes])/SUM(DruidAbilities1[takes])</f>
        <v>0.28125</v>
      </c>
    </row>
    <row r="8" spans="1:22" x14ac:dyDescent="0.4">
      <c r="A8" s="2" t="s">
        <v>71</v>
      </c>
      <c r="B8" s="2">
        <f>L8+L29+L50</f>
        <v>44</v>
      </c>
      <c r="C8" s="2">
        <f>M8+M29+M50</f>
        <v>28</v>
      </c>
      <c r="D8" s="13">
        <f>IF(SUM(DruidAbilities2[[#This Row],[takes]]) &gt; 0,DruidAbilities2[[#This Row],[takes]]/SUM(DruidAbilities2[takes]),0)</f>
        <v>0.37931034482758619</v>
      </c>
      <c r="E8" s="13">
        <f>IF(DruidAbilities2[[#This Row],[takes]]&gt;0,DruidAbilities2[[#This Row],[wins]]/DruidAbilities2[[#This Row],[takes]],0)</f>
        <v>0.63636363636363635</v>
      </c>
      <c r="F8" s="20"/>
      <c r="G8" s="20"/>
      <c r="H8" s="20"/>
      <c r="I8" s="22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33</v>
      </c>
      <c r="M8" s="2">
        <f>COUNTIF(Scenario0[winner1-ability2],DruidAbilities2Scenario0[[#This Row],[ability]])+COUNTIF(Scenario0[winner2-ability2],DruidAbilities2Scenario0[[#This Row],[ability]])</f>
        <v>22</v>
      </c>
      <c r="N8" s="13">
        <f>IF(SUM(DruidAbilities2Scenario0[[#This Row],[takes]]) &gt; 0,DruidAbilities2Scenario0[[#This Row],[takes]]/SUM(DruidAbilities2Scenario0[takes]),0)</f>
        <v>0.44</v>
      </c>
      <c r="O8" s="13">
        <f>IF(DruidAbilities2Scenario0[[#This Row],[takes]]&gt;0,DruidAbilities2Scenario0[[#This Row],[wins]]/DruidAbilities2Scenario0[[#This Row],[takes]],0)</f>
        <v>0.66666666666666663</v>
      </c>
      <c r="P8" s="20"/>
      <c r="Q8" s="20"/>
      <c r="R8" s="20"/>
      <c r="S8" s="22"/>
      <c r="T8" s="20"/>
      <c r="U8" t="s">
        <v>390</v>
      </c>
      <c r="V8" s="18">
        <f>SUM(DruidAbilities4[takes])/SUM(DruidAbilities1[takes])</f>
        <v>0.16517857142857142</v>
      </c>
    </row>
    <row r="9" spans="1:22" x14ac:dyDescent="0.4">
      <c r="A9" t="s">
        <v>50</v>
      </c>
      <c r="B9" s="2">
        <f t="shared" ref="B9:C10" si="3">L9+L30+L51</f>
        <v>48</v>
      </c>
      <c r="C9" s="2">
        <f t="shared" si="3"/>
        <v>20</v>
      </c>
      <c r="D9" s="21">
        <f>IF(SUM(DruidAbilities2[[#This Row],[takes]]) &gt; 0,DruidAbilities2[[#This Row],[takes]]/SUM(DruidAbilities2[takes]),0)</f>
        <v>0.41379310344827586</v>
      </c>
      <c r="E9" s="21">
        <f>IF(DruidAbilities2[[#This Row],[takes]]&gt;0,DruidAbilities2[[#This Row],[wins]]/DruidAbilities2[[#This Row],[takes]],0)</f>
        <v>0.41666666666666669</v>
      </c>
      <c r="F9" s="20"/>
      <c r="G9" s="20"/>
      <c r="H9" s="20"/>
      <c r="I9" s="22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28</v>
      </c>
      <c r="M9" s="2">
        <f>COUNTIF(Scenario0[winner1-ability2],DruidAbilities2Scenario0[[#This Row],[ability]])+COUNTIF(Scenario0[winner2-ability2],DruidAbilities2Scenario0[[#This Row],[ability]])</f>
        <v>15</v>
      </c>
      <c r="N9" s="21">
        <f>IF(SUM(DruidAbilities2Scenario0[[#This Row],[takes]]) &gt; 0,DruidAbilities2Scenario0[[#This Row],[takes]]/SUM(DruidAbilities2Scenario0[takes]),0)</f>
        <v>0.37333333333333335</v>
      </c>
      <c r="O9" s="21">
        <f>IF(DruidAbilities2Scenario0[[#This Row],[takes]]&gt;0,DruidAbilities2Scenario0[[#This Row],[wins]]/DruidAbilities2Scenario0[[#This Row],[takes]],0)</f>
        <v>0.5357142857142857</v>
      </c>
      <c r="P9" s="20"/>
      <c r="Q9" s="20"/>
      <c r="R9" s="20"/>
      <c r="S9" s="22"/>
      <c r="T9" s="20"/>
      <c r="U9" t="s">
        <v>672</v>
      </c>
      <c r="V9" s="39">
        <f>(SUM(DruidAbilities2[takes])+SUM(DruidAbilities3[takes])+SUM(DruidAbilities4[takes])+SUM(H4:H5)+SUM(I4:I5))/SUM(DruidAbilities1[takes])</f>
        <v>1.7366071428571428</v>
      </c>
    </row>
    <row r="10" spans="1:22" x14ac:dyDescent="0.4">
      <c r="A10" s="11" t="s">
        <v>84</v>
      </c>
      <c r="B10" s="2">
        <f t="shared" si="3"/>
        <v>24</v>
      </c>
      <c r="C10" s="2">
        <f t="shared" si="3"/>
        <v>10</v>
      </c>
      <c r="D10" s="14">
        <f>IF(SUM(DruidAbilities2[[#This Row],[takes]]) &gt; 0,DruidAbilities2[[#This Row],[takes]]/SUM(DruidAbilities2[takes]),0)</f>
        <v>0.20689655172413793</v>
      </c>
      <c r="E10" s="14">
        <f>IF(DruidAbilities2[[#This Row],[takes]]&gt;0,DruidAbilities2[[#This Row],[wins]]/DruidAbilities2[[#This Row],[takes]],0)</f>
        <v>0.41666666666666669</v>
      </c>
      <c r="F10" s="20"/>
      <c r="G10" s="20"/>
      <c r="H10" s="20"/>
      <c r="I10" s="22"/>
      <c r="K10" s="11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14</v>
      </c>
      <c r="M10" s="2">
        <f>COUNTIF(Scenario0[winner1-ability2],DruidAbilities2Scenario0[[#This Row],[ability]])+COUNTIF(Scenario0[winner2-ability2],DruidAbilities2Scenario0[[#This Row],[ability]])</f>
        <v>5</v>
      </c>
      <c r="N10" s="14">
        <f>IF(SUM(DruidAbilities2Scenario0[[#This Row],[takes]]) &gt; 0,DruidAbilities2Scenario0[[#This Row],[takes]]/SUM(DruidAbilities2Scenario0[takes]),0)</f>
        <v>0.18666666666666668</v>
      </c>
      <c r="O10" s="14">
        <f>IF(DruidAbilities2Scenario0[[#This Row],[takes]]&gt;0,DruidAbilities2Scenario0[[#This Row],[wins]]/DruidAbilities2Scenario0[[#This Row],[takes]],0)</f>
        <v>0.35714285714285715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51</v>
      </c>
      <c r="B13" s="1">
        <f>L13+L34+L55</f>
        <v>23</v>
      </c>
      <c r="C13" s="1">
        <f>M13+M34+M55</f>
        <v>18</v>
      </c>
      <c r="D13" s="15">
        <f>IF(SUM(DruidAbilities3[[#This Row],[takes]]) &gt; 0,DruidAbilities3[[#This Row],[takes]]/SUM(DruidAbilities3[takes]),0)</f>
        <v>0.36507936507936506</v>
      </c>
      <c r="E13" s="15">
        <f>IF(DruidAbilities3[[#This Row],[takes]]&gt;0,DruidAbilities3[[#This Row],[wins]]/DruidAbilities3[[#This Row],[takes]],0)</f>
        <v>0.78260869565217395</v>
      </c>
      <c r="F13" s="20"/>
      <c r="G13" s="20"/>
      <c r="H13" s="20"/>
      <c r="I13" s="22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17</v>
      </c>
      <c r="M13" s="1">
        <f>COUNTIF(Scenario0[winner1-ability3],DruidAbilities3Scenario0[[#This Row],[ability]])+COUNTIF(Scenario0[winner2-ability3],DruidAbilities3Scenario0[[#This Row],[ability]])</f>
        <v>14</v>
      </c>
      <c r="N13" s="15">
        <f>IF(SUM(DruidAbilities3Scenario0[[#This Row],[takes]]) &gt; 0,DruidAbilities3Scenario0[[#This Row],[takes]]/SUM(DruidAbilities3Scenario0[takes]),0)</f>
        <v>0.37777777777777777</v>
      </c>
      <c r="O13" s="15">
        <f>IF(DruidAbilities3Scenario0[[#This Row],[takes]]&gt;0,DruidAbilities3Scenario0[[#This Row],[wins]]/DruidAbilities3Scenario0[[#This Row],[takes]],0)</f>
        <v>0.82352941176470584</v>
      </c>
      <c r="P13" s="20"/>
      <c r="Q13" s="20"/>
      <c r="R13" s="20"/>
      <c r="S13" s="22"/>
      <c r="T13" s="20"/>
    </row>
    <row r="14" spans="1:22" x14ac:dyDescent="0.4">
      <c r="A14" s="2" t="s">
        <v>127</v>
      </c>
      <c r="B14" s="2">
        <f t="shared" ref="B14:C15" si="4">L14+L35+L56</f>
        <v>15</v>
      </c>
      <c r="C14" s="2">
        <f t="shared" si="4"/>
        <v>6</v>
      </c>
      <c r="D14" s="13">
        <f>IF(SUM(DruidAbilities3[[#This Row],[takes]]) &gt; 0,DruidAbilities3[[#This Row],[takes]]/SUM(DruidAbilities3[takes]),0)</f>
        <v>0.23809523809523808</v>
      </c>
      <c r="E14" s="13">
        <f>IF(DruidAbilities3[[#This Row],[takes]]&gt;0,DruidAbilities3[[#This Row],[wins]]/DruidAbilities3[[#This Row],[takes]],0)</f>
        <v>0.4</v>
      </c>
      <c r="F14" s="20"/>
      <c r="G14" s="20"/>
      <c r="H14" s="20"/>
      <c r="I14" s="22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11</v>
      </c>
      <c r="M14" s="2">
        <f>COUNTIF(Scenario0[winner1-ability3],DruidAbilities3Scenario0[[#This Row],[ability]])+COUNTIF(Scenario0[winner2-ability3],DruidAbilities3Scenario0[[#This Row],[ability]])</f>
        <v>5</v>
      </c>
      <c r="N14" s="13">
        <f>IF(SUM(DruidAbilities3Scenario0[[#This Row],[takes]]) &gt; 0,DruidAbilities3Scenario0[[#This Row],[takes]]/SUM(DruidAbilities3Scenario0[takes]),0)</f>
        <v>0.24444444444444444</v>
      </c>
      <c r="O14" s="13">
        <f>IF(DruidAbilities3Scenario0[[#This Row],[takes]]&gt;0,DruidAbilities3Scenario0[[#This Row],[wins]]/DruidAbilities3Scenario0[[#This Row],[takes]],0)</f>
        <v>0.45454545454545453</v>
      </c>
      <c r="P14" s="20"/>
      <c r="Q14" s="20"/>
      <c r="R14" s="20"/>
      <c r="S14" s="22"/>
      <c r="T14" s="20"/>
    </row>
    <row r="15" spans="1:22" x14ac:dyDescent="0.4">
      <c r="A15" s="12" t="s">
        <v>90</v>
      </c>
      <c r="B15" s="1">
        <f t="shared" si="4"/>
        <v>25</v>
      </c>
      <c r="C15" s="1">
        <f t="shared" si="4"/>
        <v>12</v>
      </c>
      <c r="D15" s="16">
        <f>IF(SUM(DruidAbilities3[[#This Row],[takes]]) &gt; 0,DruidAbilities3[[#This Row],[takes]]/SUM(DruidAbilities3[takes]),0)</f>
        <v>0.3968253968253968</v>
      </c>
      <c r="E15" s="16">
        <f>IF(DruidAbilities3[[#This Row],[takes]]&gt;0,DruidAbilities3[[#This Row],[wins]]/DruidAbilities3[[#This Row],[takes]],0)</f>
        <v>0.48</v>
      </c>
      <c r="F15" s="20"/>
      <c r="G15" s="20"/>
      <c r="H15" s="20"/>
      <c r="I15" s="22"/>
      <c r="K15" s="12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17</v>
      </c>
      <c r="M15" s="1">
        <f>COUNTIF(Scenario0[winner1-ability3],DruidAbilities3Scenario0[[#This Row],[ability]])+COUNTIF(Scenario0[winner2-ability3],DruidAbilities3Scenario0[[#This Row],[ability]])</f>
        <v>9</v>
      </c>
      <c r="N15" s="16">
        <f>IF(SUM(DruidAbilities3Scenario0[[#This Row],[takes]]) &gt; 0,DruidAbilities3Scenario0[[#This Row],[takes]]/SUM(DruidAbilities3Scenario0[takes]),0)</f>
        <v>0.37777777777777777</v>
      </c>
      <c r="O15" s="16">
        <f>IF(DruidAbilities3Scenario0[[#This Row],[takes]]&gt;0,DruidAbilities3Scenario0[[#This Row],[wins]]/DruidAbilities3Scenario0[[#This Row],[takes]],0)</f>
        <v>0.52941176470588236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128</v>
      </c>
      <c r="B18" s="2">
        <f>L18+L39+L60</f>
        <v>10</v>
      </c>
      <c r="C18" s="2">
        <f>M18+M39+M60</f>
        <v>7</v>
      </c>
      <c r="D18" s="13">
        <f>IF(SUM(DruidAbilities4[[#This Row],[takes]]) &gt; 0,DruidAbilities4[[#This Row],[takes]]/SUM(DruidAbilities4[takes]),0)</f>
        <v>0.27027027027027029</v>
      </c>
      <c r="E18" s="13">
        <f>IF(DruidAbilities4[[#This Row],[takes]]&gt;0,DruidAbilities4[[#This Row],[wins]]/DruidAbilities4[[#This Row],[takes]],0)</f>
        <v>0.7</v>
      </c>
      <c r="F18" s="20"/>
      <c r="G18" s="20"/>
      <c r="H18" s="20"/>
      <c r="I18" s="22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7</v>
      </c>
      <c r="M18" s="2">
        <f>COUNTIF(Scenario0[winner1-ability4],DruidAbilities4Scenario0[[#This Row],[ability]])+COUNTIF(Scenario0[winner2-ability4],DruidAbilities4Scenario0[[#This Row],[ability]])</f>
        <v>4</v>
      </c>
      <c r="N18" s="13">
        <f>IF(SUM(DruidAbilities4Scenario0[[#This Row],[takes]]) &gt; 0,DruidAbilities4Scenario0[[#This Row],[takes]]/SUM(DruidAbilities4Scenario0[takes]),0)</f>
        <v>0.28000000000000003</v>
      </c>
      <c r="O18" s="13">
        <f>IF(DruidAbilities4Scenario0[[#This Row],[takes]]&gt;0,DruidAbilities4Scenario0[[#This Row],[wins]]/DruidAbilities4Scenario0[[#This Row],[takes]],0)</f>
        <v>0.5714285714285714</v>
      </c>
      <c r="P18" s="20"/>
      <c r="Q18" s="20"/>
      <c r="R18" s="20"/>
      <c r="S18" s="22"/>
      <c r="T18" s="20"/>
    </row>
    <row r="19" spans="1:20" x14ac:dyDescent="0.4">
      <c r="A19" s="2" t="s">
        <v>52</v>
      </c>
      <c r="B19" s="2">
        <f t="shared" ref="B19:C20" si="5">L19+L40+L61</f>
        <v>25</v>
      </c>
      <c r="C19" s="2">
        <f t="shared" si="5"/>
        <v>12</v>
      </c>
      <c r="D19" s="13">
        <f>IF(SUM(DruidAbilities4[[#This Row],[takes]]) &gt; 0,DruidAbilities4[[#This Row],[takes]]/SUM(DruidAbilities4[takes]),0)</f>
        <v>0.67567567567567566</v>
      </c>
      <c r="E19" s="13">
        <f>IF(DruidAbilities4[[#This Row],[takes]]&gt;0,DruidAbilities4[[#This Row],[wins]]/DruidAbilities4[[#This Row],[takes]],0)</f>
        <v>0.48</v>
      </c>
      <c r="F19" s="20"/>
      <c r="G19" s="20"/>
      <c r="H19" s="20"/>
      <c r="I19" s="22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16</v>
      </c>
      <c r="M19" s="2">
        <f>COUNTIF(Scenario0[winner1-ability4],DruidAbilities4Scenario0[[#This Row],[ability]])+COUNTIF(Scenario0[winner2-ability4],DruidAbilities4Scenario0[[#This Row],[ability]])</f>
        <v>11</v>
      </c>
      <c r="N19" s="13">
        <f>IF(SUM(DruidAbilities4Scenario0[[#This Row],[takes]]) &gt; 0,DruidAbilities4Scenario0[[#This Row],[takes]]/SUM(DruidAbilities4Scenario0[takes]),0)</f>
        <v>0.64</v>
      </c>
      <c r="O19" s="13">
        <f>IF(DruidAbilities4Scenario0[[#This Row],[takes]]&gt;0,DruidAbilities4Scenario0[[#This Row],[wins]]/DruidAbilities4Scenario0[[#This Row],[takes]],0)</f>
        <v>0.6875</v>
      </c>
      <c r="P19" s="20"/>
      <c r="Q19" s="20"/>
      <c r="R19" s="20"/>
      <c r="S19" s="22"/>
      <c r="T19" s="20"/>
    </row>
    <row r="20" spans="1:20" ht="15" thickBot="1" x14ac:dyDescent="0.45">
      <c r="A20" s="11" t="s">
        <v>129</v>
      </c>
      <c r="B20" s="2">
        <f t="shared" si="5"/>
        <v>2</v>
      </c>
      <c r="C20" s="2">
        <f t="shared" si="5"/>
        <v>1</v>
      </c>
      <c r="D20" s="30">
        <f>IF(SUM(DruidAbilities4[[#This Row],[takes]]) &gt; 0,DruidAbilities4[[#This Row],[takes]]/SUM(DruidAbilities4[takes]),0)</f>
        <v>5.4054054054054057E-2</v>
      </c>
      <c r="E20" s="30">
        <f>IF(DruidAbilities4[[#This Row],[takes]]&gt;0,DruidAbilities4[[#This Row],[wins]]/DruidAbilities4[[#This Row],[takes]],0)</f>
        <v>0.5</v>
      </c>
      <c r="F20" s="31"/>
      <c r="G20" s="31"/>
      <c r="H20" s="31"/>
      <c r="I20" s="32"/>
      <c r="K20" s="11" t="s">
        <v>129</v>
      </c>
      <c r="L20" s="29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20" s="29">
        <f>COUNTIF(Scenario0[winner1-ability4],DruidAbilities4Scenario0[[#This Row],[ability]])+COUNTIF(Scenario0[winner2-ability4],DruidAbilities4Scenario0[[#This Row],[ability]])</f>
        <v>1</v>
      </c>
      <c r="N20" s="30">
        <f>IF(SUM(DruidAbilities4Scenario0[[#This Row],[takes]]) &gt; 0,DruidAbilities4Scenario0[[#This Row],[takes]]/SUM(DruidAbilities4Scenario0[takes]),0)</f>
        <v>0.08</v>
      </c>
      <c r="O20" s="30">
        <f>IF(DruidAbilities4Scenario0[[#This Row],[takes]]&gt;0,DruidAbilities4Scenario0[[#This Row],[wins]]/DruidAbilities4Scenario0[[#This Row],[takes]],0)</f>
        <v>0.5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166</v>
      </c>
      <c r="S23" s="22" t="s">
        <v>164</v>
      </c>
      <c r="T23" s="20"/>
    </row>
    <row r="24" spans="1:20" x14ac:dyDescent="0.4">
      <c r="K24" t="s">
        <v>49</v>
      </c>
      <c r="L24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52</v>
      </c>
      <c r="M24" s="20">
        <f>COUNTIF(Scenario1[winner1-ability1],DruidAbilities1Scenario1[[#This Row],[ability]])+COUNTIF(Scenario1[winner2-ability1],DruidAbilities1Scenario1[[#This Row],[ability]])</f>
        <v>17</v>
      </c>
      <c r="N24" s="21">
        <f>IF(SUM(DruidAbilities1Scenario1[[#This Row],[takes]]) &gt; 0,DruidAbilities1Scenario1[[#This Row],[takes]]/SUM(DruidAbilities1Scenario1[takes]),0)</f>
        <v>0.49523809523809526</v>
      </c>
      <c r="O24" s="21">
        <f>IF(DruidAbilities1Scenario1[[#This Row],[takes]]&gt;0,DruidAbilities1Scenario1[[#This Row],[wins]]/DruidAbilities1Scenario1[[#This Row],[takes]],0)</f>
        <v>0.32692307692307693</v>
      </c>
      <c r="P24" s="20"/>
      <c r="Q24" s="20">
        <v>1</v>
      </c>
      <c r="R24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34</v>
      </c>
      <c r="S24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93</v>
      </c>
      <c r="T24" s="20"/>
    </row>
    <row r="25" spans="1:20" x14ac:dyDescent="0.4">
      <c r="K25" t="s">
        <v>89</v>
      </c>
      <c r="L25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53</v>
      </c>
      <c r="M25" s="20">
        <f>COUNTIF(Scenario1[winner1-ability1],DruidAbilities1Scenario1[[#This Row],[ability]])+COUNTIF(Scenario1[winner2-ability1],DruidAbilities1Scenario1[[#This Row],[ability]])</f>
        <v>22</v>
      </c>
      <c r="N25" s="21">
        <f>IF(SUM(DruidAbilities1Scenario1[[#This Row],[takes]]) &gt; 0,DruidAbilities1Scenario1[[#This Row],[takes]]/SUM(DruidAbilities1Scenario1[takes]),0)</f>
        <v>0.50476190476190474</v>
      </c>
      <c r="O25" s="21">
        <f>IF(DruidAbilities1Scenario1[[#This Row],[takes]]&gt;0,DruidAbilities1Scenario1[[#This Row],[wins]]/DruidAbilities1Scenario1[[#This Row],[takes]],0)</f>
        <v>0.41509433962264153</v>
      </c>
      <c r="P25" s="20"/>
      <c r="Q25" s="20">
        <v>2</v>
      </c>
      <c r="R25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41</v>
      </c>
      <c r="S25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</v>
      </c>
      <c r="T25" s="20"/>
    </row>
    <row r="26" spans="1:20" x14ac:dyDescent="0.4">
      <c r="K26" t="s">
        <v>126</v>
      </c>
      <c r="L26" s="20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 s="20">
        <f>COUNTIF(Scenario1[winner1-ability1],DruidAbilities1Scenario1[[#This Row],[ability]])+COUNTIF(Scenario1[winner2-ability1],DruidAbilities1Scenario1[[#This Row],[ability]])</f>
        <v>0</v>
      </c>
      <c r="N26" s="21">
        <f>IF(SUM(DruidAbilities1Scenario1[[#This Row],[takes]]) &gt; 0,DruidAbilities1Scenario1[[#This Row],[takes]]/SUM(DruidAbilities1Scenario1[takes]),0)</f>
        <v>0</v>
      </c>
      <c r="O26" s="21">
        <f>IF(DruidAbilities1Scenario1[[#This Row],[takes]]&gt;0,DruidAbilities1Scenario1[[#This Row],[wins]]/DruidAbilities1Scenario1[[#This Row],[takes]],0)</f>
        <v>0</v>
      </c>
      <c r="P26" s="20"/>
      <c r="Q26" s="20">
        <v>3</v>
      </c>
      <c r="R26" s="20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30</v>
      </c>
      <c r="S26" s="22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3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</v>
      </c>
      <c r="M29" s="2">
        <f>COUNTIF(Scenario1[winner1-ability2],DruidAbilities2Scenario1[[#This Row],[ability]])+COUNTIF(Scenario1[winner2-ability2],DruidAbilities2Scenario1[[#This Row],[ability]])</f>
        <v>1</v>
      </c>
      <c r="N29" s="13">
        <f>IF(SUM(DruidAbilities2Scenario1[[#This Row],[takes]]) &gt; 0,DruidAbilities2Scenario1[[#This Row],[takes]]/SUM(DruidAbilities2Scenario1[takes]),0)</f>
        <v>7.407407407407407E-2</v>
      </c>
      <c r="O29" s="13">
        <f>IF(DruidAbilities2Scenario1[[#This Row],[takes]]&gt;0,DruidAbilities2Scenario1[[#This Row],[wins]]/DruidAbilities2Scenario1[[#This Row],[takes]],0)</f>
        <v>0.5</v>
      </c>
      <c r="P29" s="20"/>
      <c r="Q29" s="20"/>
      <c r="R29" s="20"/>
      <c r="S29" s="22"/>
      <c r="T29" s="20"/>
    </row>
    <row r="30" spans="1:20" x14ac:dyDescent="0.4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30" s="2">
        <f>COUNTIF(Scenario1[winner1-ability2],DruidAbilities2Scenario1[[#This Row],[ability]])+COUNTIF(Scenario1[winner2-ability2],DruidAbilities2Scenario1[[#This Row],[ability]])</f>
        <v>4</v>
      </c>
      <c r="N30" s="21">
        <f>IF(SUM(DruidAbilities2Scenario1[[#This Row],[takes]]) &gt; 0,DruidAbilities2Scenario1[[#This Row],[takes]]/SUM(DruidAbilities2Scenario1[takes]),0)</f>
        <v>0.62962962962962965</v>
      </c>
      <c r="O30" s="21">
        <f>IF(DruidAbilities2Scenario1[[#This Row],[takes]]&gt;0,DruidAbilities2Scenario1[[#This Row],[wins]]/DruidAbilities2Scenario1[[#This Row],[takes]],0)</f>
        <v>0.23529411764705882</v>
      </c>
      <c r="P30" s="20"/>
      <c r="Q30" s="20"/>
      <c r="R30" s="20"/>
      <c r="S30" s="22"/>
      <c r="T30" s="20"/>
    </row>
    <row r="31" spans="1:20" x14ac:dyDescent="0.4">
      <c r="K31" s="11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8</v>
      </c>
      <c r="M31" s="2">
        <f>COUNTIF(Scenario1[winner1-ability2],DruidAbilities2Scenario1[[#This Row],[ability]])+COUNTIF(Scenario1[winner2-ability2],DruidAbilities2Scenario1[[#This Row],[ability]])</f>
        <v>4</v>
      </c>
      <c r="N31" s="14">
        <f>IF(SUM(DruidAbilities2Scenario1[[#This Row],[takes]]) &gt; 0,DruidAbilities2Scenario1[[#This Row],[takes]]/SUM(DruidAbilities2Scenario1[takes]),0)</f>
        <v>0.29629629629629628</v>
      </c>
      <c r="O31" s="14">
        <f>IF(DruidAbilities2Scenario1[[#This Row],[takes]]&gt;0,DruidAbilities2Scenario1[[#This Row],[wins]]/DruidAbilities2Scenario1[[#This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4" s="1">
        <f>COUNTIF(Scenario1[winner1-ability3],DruidAbilities3Scenario1[[#This Row],[ability]])+COUNTIF(Scenario1[winner2-ability3],DruidAbilities3Scenario1[[#This Row],[ability]])</f>
        <v>2</v>
      </c>
      <c r="N34" s="15">
        <f>IF(SUM(DruidAbilities3Scenario1[[#This Row],[takes]]) &gt; 0,DruidAbilities3Scenario1[[#This Row],[takes]]/SUM(DruidAbilities3Scenario1[takes]),0)</f>
        <v>0.42857142857142855</v>
      </c>
      <c r="O34" s="15">
        <f>IF(DruidAbilities3Scenario1[[#This Row],[takes]]&gt;0,DruidAbilities3Scenario1[[#This Row],[wins]]/DruidAbilities3Scenario1[[#This Row],[takes]],0)</f>
        <v>0.66666666666666663</v>
      </c>
      <c r="P34" s="20"/>
      <c r="Q34" s="20"/>
      <c r="R34" s="20"/>
      <c r="S34" s="22"/>
      <c r="T34" s="20"/>
    </row>
    <row r="35" spans="11:20" x14ac:dyDescent="0.4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</v>
      </c>
      <c r="M35" s="2">
        <f>COUNTIF(Scenario1[winner1-ability3],DruidAbilities3Scenario1[[#This Row],[ability]])+COUNTIF(Scenario1[winner2-ability3],DruidAbilities3Scenario1[[#This Row],[ability]])</f>
        <v>0</v>
      </c>
      <c r="N35" s="13">
        <f>IF(SUM(DruidAbilities3Scenario1[[#This Row],[takes]]) &gt; 0,DruidAbilities3Scenario1[[#This Row],[takes]]/SUM(DruidAbilities3Scenario1[takes]),0)</f>
        <v>0.14285714285714285</v>
      </c>
      <c r="O35" s="13">
        <f>IF(DruidAbilities3Scenario1[[#This Row],[takes]]&gt;0,DruidAbilities3Scenario1[[#This Row],[wins]]/DruidAbilities3Scenario1[[#This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</v>
      </c>
      <c r="M36" s="1">
        <f>COUNTIF(Scenario1[winner1-ability3],DruidAbilities3Scenario1[[#This Row],[ability]])+COUNTIF(Scenario1[winner2-ability3],DruidAbilities3Scenario1[[#This Row],[ability]])</f>
        <v>1</v>
      </c>
      <c r="N36" s="16">
        <f>IF(SUM(DruidAbilities3Scenario1[[#This Row],[takes]]) &gt; 0,DruidAbilities3Scenario1[[#This Row],[takes]]/SUM(DruidAbilities3Scenario1[takes]),0)</f>
        <v>0.42857142857142855</v>
      </c>
      <c r="O36" s="16">
        <f>IF(DruidAbilities3Scenario1[[#This Row],[takes]]&gt;0,DruidAbilities3Scenario1[[#This Row],[wins]]/DruidAbilities3Scenario1[[#This Row],[takes]],0)</f>
        <v>0.33333333333333331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3">
        <f>IF(SUM(DruidAbilities4Scenario1[[#This Row],[takes]]) &gt; 0,DruidAbilities4Scenario1[[#This Row],[takes]]/SUM(DruidAbilities4Scenario1[takes]),0)</f>
        <v>0</v>
      </c>
      <c r="O39" s="13">
        <f>IF(DruidAbilities4Scenario1[[#This Row],[takes]]&gt;0,DruidAbilities4Scenario1[[#This Row],[wins]]/DruidAbilities4Scenario1[[#This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3</v>
      </c>
      <c r="M40" s="2">
        <f>COUNTIF(Scenario1[winner1-ability4],DruidAbilities4Scenario1[[#This Row],[ability]])+COUNTIF(Scenario1[winner2-ability4],DruidAbilities4Scenario1[[#This Row],[ability]])</f>
        <v>0</v>
      </c>
      <c r="N40" s="13">
        <f>IF(SUM(DruidAbilities4Scenario1[[#This Row],[takes]]) &gt; 0,DruidAbilities4Scenario1[[#This Row],[takes]]/SUM(DruidAbilities4Scenario1[takes]),0)</f>
        <v>1</v>
      </c>
      <c r="O40" s="13">
        <f>IF(DruidAbilities4Scenario1[[#This Row],[takes]]&gt;0,DruidAbilities4Scenario1[[#This Row],[wins]]/DruidAbilities4Scenario1[[#This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129</v>
      </c>
      <c r="L41" s="29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9">
        <f>COUNTIF(Scenario1[winner1-ability4],DruidAbilities4Scenario1[[#This Row],[ability]])+COUNTIF(Scenario1[winner2-ability4],DruidAbilities4Scenario1[[#This Row],[ability]])</f>
        <v>0</v>
      </c>
      <c r="N41" s="30">
        <f>IF(SUM(DruidAbilities4Scenario1[[#This Row],[takes]]) &gt; 0,DruidAbilities4Scenario1[[#This Row],[takes]]/SUM(DruidAbilities4Scenario1[takes]),0)</f>
        <v>0</v>
      </c>
      <c r="O41" s="30">
        <f>IF(DruidAbilities4Scenario1[[#This Row],[takes]]&gt;0,DruidAbilities4Scenario1[[#This Row],[wins]]/DruidAbilities4Scenario1[[#This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166</v>
      </c>
      <c r="S44" s="22" t="s">
        <v>164</v>
      </c>
    </row>
    <row r="45" spans="11:20" x14ac:dyDescent="0.4">
      <c r="K45" t="s">
        <v>49</v>
      </c>
      <c r="L45" s="20">
        <f>COUNTIF(Scenario2[winner1-ability1],DruidAbilities1Scenario2[[#This Row],[ability]])+COUNTIF(Scenario2[loser1-ability1],DruidAbilities1Scenario2[[#This Row],[ability]])</f>
        <v>4</v>
      </c>
      <c r="M45" s="20">
        <f>COUNTIF(Scenario2[winner1-ability1],DruidAbilities1Scenario2[[#This Row],[ability]])</f>
        <v>1</v>
      </c>
      <c r="N45" s="21">
        <f>IF(SUM(DruidAbilities1Scenario2[[#This Row],[takes]]) &gt; 0,DruidAbilities1Scenario2[[#This Row],[takes]]/SUM(DruidAbilities1Scenario2[takes]),0)</f>
        <v>0.2857142857142857</v>
      </c>
      <c r="O45" s="21">
        <f>IF(DruidAbilities1Scenario2[[#This Row],[takes]]&gt;0,DruidAbilities1Scenario2[[#This Row],[wins]]/DruidAbilities1Scenario2[[#This Row],[takes]],0)</f>
        <v>0.25</v>
      </c>
      <c r="P45" s="20"/>
      <c r="Q45" s="20">
        <v>1</v>
      </c>
      <c r="R45" s="20">
        <f>COUNTIFS(Scenario2[winner1],"druid",Scenario2[winner1-pw],DruidEquipScenario2[[#This Row],[level]])+COUNTIFS(Scenario2[loser1],"druid",Scenario2[loser1-pw],DruidEquipScenario2[[#This Row],[level]])</f>
        <v>5</v>
      </c>
      <c r="S45" s="22">
        <f>COUNTIFS(Scenario2[winner1],"druid",Scenario2[winner1-cp],DruidEquipScenario2[[#This Row],[level]])+COUNTIFS(Scenario2[loser1],"druid",Scenario2[loser1-cp],DruidEquipScenario2[[#This Row],[level]])</f>
        <v>7</v>
      </c>
    </row>
    <row r="46" spans="11:20" x14ac:dyDescent="0.4">
      <c r="K46" t="s">
        <v>89</v>
      </c>
      <c r="L46" s="20">
        <f>COUNTIF(Scenario2[winner1-ability1],DruidAbilities1Scenario2[[#This Row],[ability]])+COUNTIF(Scenario2[loser1-ability1],DruidAbilities1Scenario2[[#This Row],[ability]])</f>
        <v>5</v>
      </c>
      <c r="M46" s="20">
        <f>COUNTIF(Scenario2[winner1-ability1],DruidAbilities1Scenario2[[#This Row],[ability]])</f>
        <v>3</v>
      </c>
      <c r="N46" s="21">
        <f>IF(SUM(DruidAbilities1Scenario2[[#This Row],[takes]]) &gt; 0,DruidAbilities1Scenario2[[#This Row],[takes]]/SUM(DruidAbilities1Scenario2[takes]),0)</f>
        <v>0.35714285714285715</v>
      </c>
      <c r="O46" s="21">
        <f>IF(DruidAbilities1Scenario2[[#This Row],[takes]]&gt;0,DruidAbilities1Scenario2[[#This Row],[wins]]/DruidAbilities1Scenario2[[#This Row],[takes]],0)</f>
        <v>0.6</v>
      </c>
      <c r="P46" s="20"/>
      <c r="Q46" s="20">
        <v>2</v>
      </c>
      <c r="R46" s="20">
        <f>COUNTIFS(Scenario2[winner1],"druid",Scenario2[winner1-pw],DruidEquipScenario2[[#This Row],[level]])+COUNTIFS(Scenario2[loser1],"druid",Scenario2[loser1-pw],DruidEquipScenario2[[#This Row],[level]])</f>
        <v>5</v>
      </c>
      <c r="S46" s="22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4">
      <c r="K47" t="s">
        <v>126</v>
      </c>
      <c r="L47" s="20">
        <f>COUNTIF(Scenario2[winner1-ability1],DruidAbilities1Scenario2[[#This Row],[ability]])+COUNTIF(Scenario2[loser1-ability1],DruidAbilities1Scenario2[[#This Row],[ability]])</f>
        <v>5</v>
      </c>
      <c r="M47" s="20">
        <f>COUNTIF(Scenario2[winner1-ability1],DruidAbilities1Scenario2[[#This Row],[ability]])</f>
        <v>3</v>
      </c>
      <c r="N47" s="21">
        <f>IF(SUM(DruidAbilities1Scenario2[[#This Row],[takes]]) &gt; 0,DruidAbilities1Scenario2[[#This Row],[takes]]/SUM(DruidAbilities1Scenario2[takes]),0)</f>
        <v>0.35714285714285715</v>
      </c>
      <c r="O47" s="21">
        <f>IF(DruidAbilities1Scenario2[[#This Row],[takes]]&gt;0,DruidAbilities1Scenario2[[#This Row],[wins]]/DruidAbilities1Scenario2[[#This Row],[takes]],0)</f>
        <v>0.6</v>
      </c>
      <c r="P47" s="20"/>
      <c r="Q47" s="20">
        <v>3</v>
      </c>
      <c r="R47" s="20">
        <f>COUNTIFS(Scenario2[winner1],"druid",Scenario2[winner1-pw],DruidEquipScenario2[[#This Row],[level]])+COUNTIFS(Scenario2[loser1],"druid",Scenario2[loser1-pw],DruidEquipScenario2[[#This Row],[level]])</f>
        <v>4</v>
      </c>
      <c r="S47" s="22">
        <f>COUNTIFS(Scenario2[winner1],"druid",Scenario2[winner1-cp],DruidEquipScenario2[[#This Row],[level]])+COUNTIFS(Scenario2[loser1],"druid",Scenario2[loser1-cp],DruidEquipScenario2[[#This Row],[level]])</f>
        <v>5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9</v>
      </c>
      <c r="M50" s="2">
        <f>COUNTIF(Scenario2[winner1-ability2],DruidAbilities2Scenario2[[#This Row],[ability]])</f>
        <v>5</v>
      </c>
      <c r="N50" s="13">
        <f>IF(SUM(DruidAbilities2Scenario2[[#This Row],[takes]]) &gt; 0,DruidAbilities2Scenario2[[#This Row],[takes]]/SUM(DruidAbilities2Scenario2[takes]),0)</f>
        <v>0.6428571428571429</v>
      </c>
      <c r="O50" s="13">
        <f>IF(DruidAbilities2Scenario2[[#This Row],[takes]]&gt;0,DruidAbilities2Scenario2[[#This Row],[wins]]/DruidAbilities2Scenario2[[#This Row],[takes]],0)</f>
        <v>0.55555555555555558</v>
      </c>
      <c r="P50" s="20"/>
      <c r="Q50" s="20"/>
      <c r="R50" s="20"/>
      <c r="S50" s="22"/>
      <c r="T50" s="20"/>
    </row>
    <row r="51" spans="11:20" x14ac:dyDescent="0.4">
      <c r="K51" t="s">
        <v>50</v>
      </c>
      <c r="L51" s="2">
        <f>COUNTIF(Scenario2[winner1-ability2],DruidAbilities2Scenario2[[#This Row],[ability]])+COUNTIF(Scenario2[loser1-ability2],DruidAbilities2Scenario2[[#This Row],[ability]])</f>
        <v>3</v>
      </c>
      <c r="M51" s="2">
        <f>COUNTIF(Scenario2[winner1-ability2],DruidAbilities2Scenario2[[#This Row],[ability]])</f>
        <v>1</v>
      </c>
      <c r="N51" s="21">
        <f>IF(SUM(DruidAbilities2Scenario2[[#This Row],[takes]]) &gt; 0,DruidAbilities2Scenario2[[#This Row],[takes]]/SUM(DruidAbilities2Scenario2[takes]),0)</f>
        <v>0.21428571428571427</v>
      </c>
      <c r="O51" s="21">
        <f>IF(DruidAbilities2Scenario2[[#This Row],[takes]]&gt;0,DruidAbilities2Scenario2[[#This Row],[wins]]/DruidAbilities2Scenario2[[#This Row],[takes]],0)</f>
        <v>0.33333333333333331</v>
      </c>
      <c r="P51" s="20"/>
      <c r="Q51" s="20"/>
      <c r="R51" s="20"/>
      <c r="S51" s="22"/>
      <c r="T51" s="20"/>
    </row>
    <row r="52" spans="11:20" x14ac:dyDescent="0.4">
      <c r="K52" s="11" t="s">
        <v>84</v>
      </c>
      <c r="L52" s="2">
        <f>COUNTIF(Scenario2[winner1-ability2],DruidAbilities2Scenario2[[#This Row],[ability]])+COUNTIF(Scenario2[loser1-ability2],DruidAbilities2Scenario2[[#This Row],[ability]])</f>
        <v>2</v>
      </c>
      <c r="M52" s="2">
        <f>COUNTIF(Scenario2[winner1-ability2],DruidAbilities2Scenario2[[#This Row],[ability]])</f>
        <v>1</v>
      </c>
      <c r="N52" s="14">
        <f>IF(SUM(DruidAbilities2Scenario2[[#This Row],[takes]]) &gt; 0,DruidAbilities2Scenario2[[#This Row],[takes]]/SUM(DruidAbilities2Scenario2[takes]),0)</f>
        <v>0.14285714285714285</v>
      </c>
      <c r="O52" s="14">
        <f>IF(DruidAbilities2Scenario2[[#This Row],[takes]]&gt;0,DruidAbilities2Scenario2[[#This Row],[wins]]/DruidAbilities2Scenario2[[#This Row],[takes]],0)</f>
        <v>0.5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51</v>
      </c>
      <c r="L55" s="1">
        <f>COUNTIF(Scenario2[winner1-ability3],HighlanderAbilities3Scenario2120[[#This Row],[ability]])+COUNTIF(Scenario2[loser1-ability3],HighlanderAbilities3Scenario2120[[#This Row],[ability]])</f>
        <v>3</v>
      </c>
      <c r="M55" s="1">
        <f>COUNTIF(Scenario2[winner1-ability3],HighlanderAbilities3Scenario2120[[#This Row],[ability]])</f>
        <v>2</v>
      </c>
      <c r="N55" s="15">
        <f>IF(SUM(HighlanderAbilities3Scenario2120[[#This Row],[takes]]) &gt; 0,HighlanderAbilities3Scenario2120[[#This Row],[takes]]/SUM(HighlanderAbilities3Scenario2120[takes]),0)</f>
        <v>0.27272727272727271</v>
      </c>
      <c r="O55" s="15">
        <f>IF(HighlanderAbilities3Scenario2120[[#This Row],[takes]]&gt;0,HighlanderAbilities3Scenario2120[[#This Row],[wins]]/HighlanderAbilities3Scenario2120[[#This Row],[takes]],0)</f>
        <v>0.66666666666666663</v>
      </c>
      <c r="P55" s="20"/>
      <c r="Q55" s="20"/>
      <c r="R55" s="20"/>
      <c r="S55" s="22"/>
      <c r="T55" s="20"/>
    </row>
    <row r="56" spans="11:20" x14ac:dyDescent="0.4">
      <c r="K56" s="2" t="s">
        <v>127</v>
      </c>
      <c r="L56" s="2">
        <f>COUNTIF(Scenario2[winner1-ability3],HighlanderAbilities3Scenario2120[[#This Row],[ability]])+COUNTIF(Scenario2[loser1-ability3],HighlanderAbilities3Scenario2120[[#This Row],[ability]])</f>
        <v>3</v>
      </c>
      <c r="M56" s="2">
        <f>COUNTIF(Scenario2[winner1-ability3],HighlanderAbilities3Scenario2120[[#This Row],[ability]])</f>
        <v>1</v>
      </c>
      <c r="N56" s="13">
        <f>IF(SUM(HighlanderAbilities3Scenario2120[[#This Row],[takes]]) &gt; 0,HighlanderAbilities3Scenario2120[[#This Row],[takes]]/SUM(HighlanderAbilities3Scenario2120[takes]),0)</f>
        <v>0.27272727272727271</v>
      </c>
      <c r="O56" s="13">
        <f>IF(HighlanderAbilities3Scenario2120[[#This Row],[takes]]&gt;0,HighlanderAbilities3Scenario2120[[#This Row],[wins]]/HighlanderAbilities3Scenario2120[[#This Row],[takes]],0)</f>
        <v>0.33333333333333331</v>
      </c>
      <c r="P56" s="20"/>
      <c r="Q56" s="20"/>
      <c r="R56" s="20"/>
      <c r="S56" s="22"/>
      <c r="T56" s="20"/>
    </row>
    <row r="57" spans="11:20" x14ac:dyDescent="0.4">
      <c r="K57" s="12" t="s">
        <v>90</v>
      </c>
      <c r="L57" s="1">
        <f>COUNTIF(Scenario2[winner1-ability3],HighlanderAbilities3Scenario2120[[#This Row],[ability]])+COUNTIF(Scenario2[loser1-ability3],HighlanderAbilities3Scenario2120[[#This Row],[ability]])</f>
        <v>5</v>
      </c>
      <c r="M57" s="1">
        <f>COUNTIF(Scenario2[winner1-ability3],HighlanderAbilities3Scenario2120[[#This Row],[ability]])</f>
        <v>2</v>
      </c>
      <c r="N57" s="16">
        <f>IF(SUM(HighlanderAbilities3Scenario2120[[#This Row],[takes]]) &gt; 0,HighlanderAbilities3Scenario2120[[#This Row],[takes]]/SUM(HighlanderAbilities3Scenario2120[takes]),0)</f>
        <v>0.45454545454545453</v>
      </c>
      <c r="O57" s="16">
        <f>IF(HighlanderAbilities3Scenario2120[[#This Row],[takes]]&gt;0,HighlanderAbilities3Scenario2120[[#This Row],[wins]]/HighlanderAbilities3Scenario2120[[#This Row],[takes]],0)</f>
        <v>0.4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3</v>
      </c>
      <c r="M60" s="2">
        <f>COUNTIF(Scenario2[winner1-ability4],DruidAbilities4Scenario2[[#This Row],[ability]])</f>
        <v>3</v>
      </c>
      <c r="N60" s="13">
        <f>IF(SUM(DruidAbilities4Scenario2[[#This Row],[takes]]) &gt; 0,DruidAbilities4Scenario2[[#This Row],[takes]]/SUM(DruidAbilities4Scenario2[takes]),0)</f>
        <v>0.33333333333333331</v>
      </c>
      <c r="O60" s="13">
        <f>IF(DruidAbilities4Scenario2[[#This Row],[takes]]&gt;0,DruidAbilities4Scenario2[[#This Row],[wins]]/DruidAbilities4Scenario2[[#This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6</v>
      </c>
      <c r="M61" s="2">
        <f>COUNTIF(Scenario2[winner1-ability4],DruidAbilities4Scenario2[[#This Row],[ability]])</f>
        <v>1</v>
      </c>
      <c r="N61" s="13">
        <f>IF(SUM(DruidAbilities4Scenario2[[#This Row],[takes]]) &gt; 0,DruidAbilities4Scenario2[[#This Row],[takes]]/SUM(DruidAbilities4Scenario2[takes]),0)</f>
        <v>0.66666666666666663</v>
      </c>
      <c r="O61" s="13">
        <f>IF(DruidAbilities4Scenario2[[#This Row],[takes]]&gt;0,DruidAbilities4Scenario2[[#This Row],[wins]]/DruidAbilities4Scenario2[[#This Row],[takes]],0)</f>
        <v>0.16666666666666666</v>
      </c>
      <c r="P61" s="20"/>
      <c r="Q61" s="20"/>
      <c r="R61" s="20"/>
      <c r="S61" s="22"/>
      <c r="T61" s="20"/>
    </row>
    <row r="62" spans="11:20" ht="15" thickBot="1" x14ac:dyDescent="0.45">
      <c r="K62" s="11" t="s">
        <v>129</v>
      </c>
      <c r="L62" s="29">
        <f>COUNTIF(Scenario2[winner1-ability4],DruidAbilities4Scenario2[[#This Row],[ability]])+COUNTIF(Scenario2[loser1-ability4],DruidAbilities4Scenario2[[#This Row],[ability]])</f>
        <v>0</v>
      </c>
      <c r="M62" s="29">
        <f>COUNTIF(Scenario2[winner1-ability4],DruidAbilities4Scenario2[[#This Row],[ability]])</f>
        <v>0</v>
      </c>
      <c r="N62" s="30">
        <f>IF(SUM(DruidAbilities4Scenario2[[#This Row],[takes]]) &gt; 0,DruidAbilities4Scenario2[[#This Row],[takes]]/SUM(DruidAbilities4Scenario2[takes]),0)</f>
        <v>0</v>
      </c>
      <c r="O62" s="30">
        <f>IF(DruidAbilities4Scenario2[[#This Row],[takes]]&gt;0,DruidAbilities4Scenario2[[#This Row],[wins]]/DruidAbilities4Scenario2[[#This Row],[takes]],0)</f>
        <v>0</v>
      </c>
      <c r="P62" s="31"/>
      <c r="Q62" s="31"/>
      <c r="R62" s="31"/>
      <c r="S62" s="32"/>
      <c r="T62" s="20"/>
    </row>
  </sheetData>
  <mergeCells count="4">
    <mergeCell ref="A1:I1"/>
    <mergeCell ref="K1:S1"/>
    <mergeCell ref="K22:S22"/>
    <mergeCell ref="K43:S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62"/>
  <sheetViews>
    <sheetView topLeftCell="D1" workbookViewId="0">
      <selection activeCell="U17" sqref="U17"/>
    </sheetView>
  </sheetViews>
  <sheetFormatPr defaultRowHeight="14.6" x14ac:dyDescent="0.4"/>
  <cols>
    <col min="1" max="1" width="21.921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23046875" bestFit="1" customWidth="1"/>
    <col min="9" max="9" width="11.84375" bestFit="1" customWidth="1"/>
    <col min="10" max="10" width="3.84375" customWidth="1"/>
    <col min="11" max="11" width="21.921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7.23046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167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167</v>
      </c>
      <c r="S2" s="22" t="s">
        <v>164</v>
      </c>
      <c r="T2" s="20"/>
      <c r="U2" t="s">
        <v>675</v>
      </c>
      <c r="V2" s="3">
        <f>H4/SUM(OracleEquip[book])</f>
        <v>0.4107142857142857</v>
      </c>
    </row>
    <row r="3" spans="1:22" x14ac:dyDescent="0.4">
      <c r="A3" t="s">
        <v>46</v>
      </c>
      <c r="B3" s="20">
        <f>L3+L24+L45</f>
        <v>159</v>
      </c>
      <c r="C3" s="20">
        <f>M3+M24+M45</f>
        <v>82</v>
      </c>
      <c r="D3" s="21">
        <f>IF(SUM(OracleAbilities1[[#This Row],[takes]]) &gt; 0,OracleAbilities1[[#This Row],[takes]]/SUM(OracleAbilities1[takes]),0)</f>
        <v>0.7098214285714286</v>
      </c>
      <c r="E3" s="21">
        <f>IF(OracleAbilities1[[#This Row],[takes]]&gt;0,OracleAbilities1[[#This Row],[wins]]/OracleAbilities1[[#This Row],[takes]],0)</f>
        <v>0.51572327044025157</v>
      </c>
      <c r="F3" s="20"/>
      <c r="G3" s="20">
        <v>1</v>
      </c>
      <c r="H3" s="20">
        <f t="shared" ref="H3:I5" si="0">R3+R24+R45</f>
        <v>63</v>
      </c>
      <c r="I3" s="22">
        <f t="shared" si="0"/>
        <v>151</v>
      </c>
      <c r="K3" t="s">
        <v>46</v>
      </c>
      <c r="L3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92</v>
      </c>
      <c r="M3" s="20">
        <f>COUNTIF(Scenario0[winner1-ability1],OracleAbilities1Scenario0[[#This Row],[ability]])+COUNTIF(Scenario0[winner2-ability1],OracleAbilities1Scenario0[[#This Row],[ability]])</f>
        <v>43</v>
      </c>
      <c r="N3" s="21">
        <f>IF(SUM(OracleAbilities1Scenario0[[#This Row],[takes]]) &gt; 0,OracleAbilities1Scenario0[[#This Row],[takes]]/SUM(OracleAbilities1Scenario0[takes]),0)</f>
        <v>0.87619047619047619</v>
      </c>
      <c r="O3" s="21">
        <f>IF(OracleAbilities1Scenario0[[#This Row],[takes]]&gt;0,OracleAbilities1Scenario0[[#This Row],[wins]]/OracleAbilities1Scenario0[[#This Row],[takes]],0)</f>
        <v>0.46739130434782611</v>
      </c>
      <c r="P3" s="20"/>
      <c r="Q3" s="20">
        <v>1</v>
      </c>
      <c r="R3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32</v>
      </c>
      <c r="S3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67</v>
      </c>
      <c r="T3" s="20"/>
      <c r="U3" t="s">
        <v>676</v>
      </c>
      <c r="V3" s="18">
        <f>H5/SUM(OracleEquip[book])</f>
        <v>0.3080357142857143</v>
      </c>
    </row>
    <row r="4" spans="1:22" x14ac:dyDescent="0.4">
      <c r="A4" t="s">
        <v>65</v>
      </c>
      <c r="B4" s="20">
        <f>L4+L25+L46</f>
        <v>47</v>
      </c>
      <c r="C4" s="20">
        <f t="shared" ref="C4:C5" si="1">M4+M25+M46</f>
        <v>19</v>
      </c>
      <c r="D4" s="21">
        <f>IF(SUM(OracleAbilities1[[#This Row],[takes]]) &gt; 0,OracleAbilities1[[#This Row],[takes]]/SUM(OracleAbilities1[takes]),0)</f>
        <v>0.20982142857142858</v>
      </c>
      <c r="E4" s="21">
        <f>IF(OracleAbilities1[[#This Row],[takes]]&gt;0,OracleAbilities1[[#This Row],[wins]]/OracleAbilities1[[#This Row],[takes]],0)</f>
        <v>0.40425531914893614</v>
      </c>
      <c r="F4" s="20"/>
      <c r="G4" s="20">
        <v>2</v>
      </c>
      <c r="H4" s="20">
        <f t="shared" si="0"/>
        <v>92</v>
      </c>
      <c r="I4" s="22">
        <f t="shared" si="0"/>
        <v>45</v>
      </c>
      <c r="K4" t="s">
        <v>65</v>
      </c>
      <c r="L4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</v>
      </c>
      <c r="M4" s="20">
        <f>COUNTIF(Scenario0[winner1-ability1],OracleAbilities1Scenario0[[#This Row],[ability]])+COUNTIF(Scenario0[winner2-ability1],OracleAbilities1Scenario0[[#This Row],[ability]])</f>
        <v>5</v>
      </c>
      <c r="N4" s="21">
        <f>IF(SUM(OracleAbilities1Scenario0[[#This Row],[takes]]) &gt; 0,OracleAbilities1Scenario0[[#This Row],[takes]]/SUM(OracleAbilities1Scenario0[takes]),0)</f>
        <v>9.5238095238095233E-2</v>
      </c>
      <c r="O4" s="21">
        <f>IF(OracleAbilities1Scenario0[[#This Row],[takes]]&gt;0,OracleAbilities1Scenario0[[#This Row],[wins]]/OracleAbilities1Scenario0[[#This Row],[takes]],0)</f>
        <v>0.5</v>
      </c>
      <c r="P4" s="20"/>
      <c r="Q4" s="20">
        <v>2</v>
      </c>
      <c r="R4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39</v>
      </c>
      <c r="S4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20</v>
      </c>
      <c r="T4" s="20"/>
      <c r="U4" t="s">
        <v>391</v>
      </c>
      <c r="V4" s="3">
        <f>OracleEquip[[#This Row],[chestpiece]]/SUM(OracleEquip[chestpiece])</f>
        <v>0.20089285714285715</v>
      </c>
    </row>
    <row r="5" spans="1:22" x14ac:dyDescent="0.4">
      <c r="A5" t="s">
        <v>34</v>
      </c>
      <c r="B5" s="20">
        <f t="shared" ref="B5" si="2">L5+L26+L47</f>
        <v>18</v>
      </c>
      <c r="C5" s="20">
        <f t="shared" si="1"/>
        <v>5</v>
      </c>
      <c r="D5" s="21">
        <f>IF(SUM(OracleAbilities1[[#This Row],[takes]]) &gt; 0,OracleAbilities1[[#This Row],[takes]]/SUM(OracleAbilities1[takes]),0)</f>
        <v>8.0357142857142863E-2</v>
      </c>
      <c r="E5" s="21">
        <f>IF(OracleAbilities1[[#This Row],[takes]]&gt;0,OracleAbilities1[[#This Row],[wins]]/OracleAbilities1[[#This Row],[takes]],0)</f>
        <v>0.27777777777777779</v>
      </c>
      <c r="F5" s="20"/>
      <c r="G5" s="20">
        <v>3</v>
      </c>
      <c r="H5" s="20">
        <f t="shared" si="0"/>
        <v>69</v>
      </c>
      <c r="I5" s="22">
        <f t="shared" si="0"/>
        <v>28</v>
      </c>
      <c r="K5" t="s">
        <v>34</v>
      </c>
      <c r="L5" s="20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3</v>
      </c>
      <c r="M5" s="20">
        <f>COUNTIF(Scenario0[winner1-ability1],OracleAbilities1Scenario0[[#This Row],[ability]])+COUNTIF(Scenario0[winner2-ability1],OracleAbilities1Scenario0[[#This Row],[ability]])</f>
        <v>1</v>
      </c>
      <c r="N5" s="21">
        <f>IF(SUM(OracleAbilities1Scenario0[[#This Row],[takes]]) &gt; 0,OracleAbilities1Scenario0[[#This Row],[takes]]/SUM(OracleAbilities1Scenario0[takes]),0)</f>
        <v>2.8571428571428571E-2</v>
      </c>
      <c r="O5" s="21">
        <f>IF(OracleAbilities1Scenario0[[#This Row],[takes]]&gt;0,OracleAbilities1Scenario0[[#This Row],[wins]]/OracleAbilities1Scenario0[[#This Row],[takes]],0)</f>
        <v>0.33333333333333331</v>
      </c>
      <c r="P5" s="20"/>
      <c r="Q5" s="20">
        <v>3</v>
      </c>
      <c r="R5" s="20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34</v>
      </c>
      <c r="S5" s="22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18</v>
      </c>
      <c r="T5" s="20"/>
      <c r="U5" t="s">
        <v>392</v>
      </c>
      <c r="V5" s="18">
        <f>OracleEquip[[#This Row],[chestpiece]]/SUM(OracleEquip[chestpiece])</f>
        <v>0.125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SUM(OracleAbilities2[takes])/SUM(OracleAbilities1[takes])</f>
        <v>0.5089285714285714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SUM(OracleAbilities3[takes])/SUM(OracleAbilities1[takes])</f>
        <v>0.20089285714285715</v>
      </c>
    </row>
    <row r="8" spans="1:22" x14ac:dyDescent="0.4">
      <c r="A8" s="2" t="s">
        <v>66</v>
      </c>
      <c r="B8" s="2">
        <f>L8+L29+L50</f>
        <v>33</v>
      </c>
      <c r="C8" s="2">
        <f>M8+M29+M50</f>
        <v>20</v>
      </c>
      <c r="D8" s="13">
        <f>IF(SUM(OracleAbilities2[[#This Row],[takes]]) &gt; 0,OracleAbilities2[[#This Row],[takes]]/SUM(OracleAbilities2[takes]),0)</f>
        <v>0.28947368421052633</v>
      </c>
      <c r="E8" s="13">
        <f>IF(OracleAbilities2[[#This Row],[takes]]&gt;0,OracleAbilities2[[#This Row],[wins]]/OracleAbilities2[[#This Row],[takes]],0)</f>
        <v>0.60606060606060608</v>
      </c>
      <c r="F8" s="20"/>
      <c r="G8" s="20"/>
      <c r="H8" s="20"/>
      <c r="I8" s="22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18</v>
      </c>
      <c r="M8" s="2">
        <f>COUNTIF(Scenario0[winner1-ability2],OracleAbilities2Scenario0[[#This Row],[ability]])+COUNTIF(Scenario0[winner2-ability2],OracleAbilities2Scenario0[[#This Row],[ability]])</f>
        <v>12</v>
      </c>
      <c r="N8" s="13">
        <f>IF(SUM(OracleAbilities2Scenario0[[#This Row],[takes]]) &gt; 0,OracleAbilities2Scenario0[[#This Row],[takes]]/SUM(OracleAbilities2Scenario0[takes]),0)</f>
        <v>0.28125</v>
      </c>
      <c r="O8" s="13">
        <f>IF(OracleAbilities2Scenario0[[#This Row],[takes]]&gt;0,OracleAbilities2Scenario0[[#This Row],[wins]]/OracleAbilities2Scenario0[[#This Row],[takes]],0)</f>
        <v>0.66666666666666663</v>
      </c>
      <c r="P8" s="20"/>
      <c r="Q8" s="20"/>
      <c r="R8" s="20"/>
      <c r="S8" s="22"/>
      <c r="T8" s="20"/>
      <c r="U8" t="s">
        <v>390</v>
      </c>
      <c r="V8" s="18">
        <f>SUM(OracleAbilities4[takes])/SUM(OracleAbilities1[takes])</f>
        <v>6.25E-2</v>
      </c>
    </row>
    <row r="9" spans="1:22" x14ac:dyDescent="0.4">
      <c r="A9" t="s">
        <v>130</v>
      </c>
      <c r="B9" s="2">
        <f t="shared" ref="B9:C10" si="3">L9+L30+L51</f>
        <v>24</v>
      </c>
      <c r="C9" s="2">
        <f t="shared" si="3"/>
        <v>9</v>
      </c>
      <c r="D9" s="21">
        <f>IF(SUM(OracleAbilities2[[#This Row],[takes]]) &gt; 0,OracleAbilities2[[#This Row],[takes]]/SUM(OracleAbilities2[takes]),0)</f>
        <v>0.21052631578947367</v>
      </c>
      <c r="E9" s="21">
        <f>IF(OracleAbilities2[[#This Row],[takes]]&gt;0,OracleAbilities2[[#This Row],[wins]]/OracleAbilities2[[#This Row],[takes]],0)</f>
        <v>0.375</v>
      </c>
      <c r="F9" s="20"/>
      <c r="G9" s="20"/>
      <c r="H9" s="20"/>
      <c r="I9" s="22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17</v>
      </c>
      <c r="M9" s="2">
        <f>COUNTIF(Scenario0[winner1-ability2],OracleAbilities2Scenario0[[#This Row],[ability]])+COUNTIF(Scenario0[winner2-ability2],OracleAbilities2Scenario0[[#This Row],[ability]])</f>
        <v>8</v>
      </c>
      <c r="N9" s="21">
        <f>IF(SUM(OracleAbilities2Scenario0[[#This Row],[takes]]) &gt; 0,OracleAbilities2Scenario0[[#This Row],[takes]]/SUM(OracleAbilities2Scenario0[takes]),0)</f>
        <v>0.265625</v>
      </c>
      <c r="O9" s="21">
        <f>IF(OracleAbilities2Scenario0[[#This Row],[takes]]&gt;0,OracleAbilities2Scenario0[[#This Row],[wins]]/OracleAbilities2Scenario0[[#This Row],[takes]],0)</f>
        <v>0.47058823529411764</v>
      </c>
      <c r="P9" s="20"/>
      <c r="Q9" s="20"/>
      <c r="R9" s="20"/>
      <c r="S9" s="22"/>
      <c r="T9" s="20"/>
      <c r="U9" t="s">
        <v>672</v>
      </c>
      <c r="V9" s="39">
        <f>(SUM(OracleAbilities2[takes])+SUM(OracleAbilities3[takes])+SUM(OracleAbilities4[takes])+SUM(H4:H5)+SUM(I4:I5))/SUM(OracleAbilities1[takes])</f>
        <v>1.8169642857142858</v>
      </c>
    </row>
    <row r="10" spans="1:22" x14ac:dyDescent="0.4">
      <c r="A10" s="11" t="s">
        <v>35</v>
      </c>
      <c r="B10" s="2">
        <f t="shared" si="3"/>
        <v>57</v>
      </c>
      <c r="C10" s="2">
        <f t="shared" si="3"/>
        <v>40</v>
      </c>
      <c r="D10" s="14">
        <f>IF(SUM(OracleAbilities2[[#This Row],[takes]]) &gt; 0,OracleAbilities2[[#This Row],[takes]]/SUM(OracleAbilities2[takes]),0)</f>
        <v>0.5</v>
      </c>
      <c r="E10" s="14">
        <f>IF(OracleAbilities2[[#This Row],[takes]]&gt;0,OracleAbilities2[[#This Row],[wins]]/OracleAbilities2[[#This Row],[takes]],0)</f>
        <v>0.70175438596491224</v>
      </c>
      <c r="F10" s="20"/>
      <c r="G10" s="20"/>
      <c r="H10" s="20"/>
      <c r="I10" s="22"/>
      <c r="K10" s="11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29</v>
      </c>
      <c r="M10" s="2">
        <f>COUNTIF(Scenario0[winner1-ability2],OracleAbilities2Scenario0[[#This Row],[ability]])+COUNTIF(Scenario0[winner2-ability2],OracleAbilities2Scenario0[[#This Row],[ability]])</f>
        <v>21</v>
      </c>
      <c r="N10" s="14">
        <f>IF(SUM(OracleAbilities2Scenario0[[#This Row],[takes]]) &gt; 0,OracleAbilities2Scenario0[[#This Row],[takes]]/SUM(OracleAbilities2Scenario0[takes]),0)</f>
        <v>0.453125</v>
      </c>
      <c r="O10" s="14">
        <f>IF(OracleAbilities2Scenario0[[#This Row],[takes]]&gt;0,OracleAbilities2Scenario0[[#This Row],[wins]]/OracleAbilities2Scenario0[[#This Row],[takes]],0)</f>
        <v>0.72413793103448276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36</v>
      </c>
      <c r="B13" s="1">
        <f>L13+L34+L55</f>
        <v>13</v>
      </c>
      <c r="C13" s="1">
        <f>M13+M34+M55</f>
        <v>12</v>
      </c>
      <c r="D13" s="15">
        <f>IF(SUM(OracleAbilities3[[#This Row],[takes]]) &gt; 0,OracleAbilities3[[#This Row],[takes]]/SUM(OracleAbilities3[takes]),0)</f>
        <v>0.28888888888888886</v>
      </c>
      <c r="E13" s="15">
        <f>IF(OracleAbilities3[[#This Row],[takes]]&gt;0,OracleAbilities3[[#This Row],[wins]]/OracleAbilities3[[#This Row],[takes]],0)</f>
        <v>0.92307692307692313</v>
      </c>
      <c r="F13" s="20"/>
      <c r="G13" s="20"/>
      <c r="H13" s="20"/>
      <c r="I13" s="22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10</v>
      </c>
      <c r="M13" s="1">
        <f>COUNTIF(Scenario0[winner1-ability3],OracleAbilities3Scenario0[[#This Row],[ability]])+COUNTIF(Scenario0[winner2-ability3],OracleAbilities3Scenario0[[#This Row],[ability]])</f>
        <v>9</v>
      </c>
      <c r="N13" s="15">
        <f>IF(SUM(OracleAbilities3Scenario0[[#This Row],[takes]]) &gt; 0,OracleAbilities3Scenario0[[#This Row],[takes]]/SUM(OracleAbilities3Scenario0[takes]),0)</f>
        <v>0.3125</v>
      </c>
      <c r="O13" s="15">
        <f>IF(OracleAbilities3Scenario0[[#This Row],[takes]]&gt;0,OracleAbilities3Scenario0[[#This Row],[wins]]/OracleAbilities3Scenario0[[#This Row],[takes]],0)</f>
        <v>0.9</v>
      </c>
      <c r="P13" s="20"/>
      <c r="Q13" s="20"/>
      <c r="R13" s="20"/>
      <c r="S13" s="22"/>
      <c r="T13" s="20"/>
    </row>
    <row r="14" spans="1:22" x14ac:dyDescent="0.4">
      <c r="A14" s="2" t="s">
        <v>131</v>
      </c>
      <c r="B14" s="2">
        <f t="shared" ref="B14:C15" si="4">L14+L35+L56</f>
        <v>21</v>
      </c>
      <c r="C14" s="2">
        <f t="shared" si="4"/>
        <v>14</v>
      </c>
      <c r="D14" s="13">
        <f>IF(SUM(OracleAbilities3[[#This Row],[takes]]) &gt; 0,OracleAbilities3[[#This Row],[takes]]/SUM(OracleAbilities3[takes]),0)</f>
        <v>0.46666666666666667</v>
      </c>
      <c r="E14" s="13">
        <f>IF(OracleAbilities3[[#This Row],[takes]]&gt;0,OracleAbilities3[[#This Row],[wins]]/OracleAbilities3[[#This Row],[takes]],0)</f>
        <v>0.66666666666666663</v>
      </c>
      <c r="F14" s="20"/>
      <c r="G14" s="20"/>
      <c r="H14" s="20"/>
      <c r="I14" s="22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13</v>
      </c>
      <c r="M14" s="2">
        <f>COUNTIF(Scenario0[winner1-ability3],OracleAbilities3Scenario0[[#This Row],[ability]])+COUNTIF(Scenario0[winner2-ability3],OracleAbilities3Scenario0[[#This Row],[ability]])</f>
        <v>9</v>
      </c>
      <c r="N14" s="13">
        <f>IF(SUM(OracleAbilities3Scenario0[[#This Row],[takes]]) &gt; 0,OracleAbilities3Scenario0[[#This Row],[takes]]/SUM(OracleAbilities3Scenario0[takes]),0)</f>
        <v>0.40625</v>
      </c>
      <c r="O14" s="13">
        <f>IF(OracleAbilities3Scenario0[[#This Row],[takes]]&gt;0,OracleAbilities3Scenario0[[#This Row],[wins]]/OracleAbilities3Scenario0[[#This Row],[takes]],0)</f>
        <v>0.69230769230769229</v>
      </c>
      <c r="P14" s="20"/>
      <c r="Q14" s="20"/>
      <c r="R14" s="20"/>
      <c r="S14" s="22"/>
      <c r="T14" s="20"/>
    </row>
    <row r="15" spans="1:22" x14ac:dyDescent="0.4">
      <c r="A15" s="12" t="s">
        <v>132</v>
      </c>
      <c r="B15" s="1">
        <f t="shared" si="4"/>
        <v>11</v>
      </c>
      <c r="C15" s="1">
        <f t="shared" si="4"/>
        <v>7</v>
      </c>
      <c r="D15" s="16">
        <f>IF(SUM(OracleAbilities3[[#This Row],[takes]]) &gt; 0,OracleAbilities3[[#This Row],[takes]]/SUM(OracleAbilities3[takes]),0)</f>
        <v>0.24444444444444444</v>
      </c>
      <c r="E15" s="16">
        <f>IF(OracleAbilities3[[#This Row],[takes]]&gt;0,OracleAbilities3[[#This Row],[wins]]/OracleAbilities3[[#This Row],[takes]],0)</f>
        <v>0.63636363636363635</v>
      </c>
      <c r="F15" s="20"/>
      <c r="G15" s="20"/>
      <c r="H15" s="20"/>
      <c r="I15" s="22"/>
      <c r="K15" s="12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9</v>
      </c>
      <c r="M15" s="1">
        <f>COUNTIF(Scenario0[winner1-ability3],OracleAbilities3Scenario0[[#This Row],[ability]])+COUNTIF(Scenario0[winner2-ability3],OracleAbilities3Scenario0[[#This Row],[ability]])</f>
        <v>6</v>
      </c>
      <c r="N15" s="16">
        <f>IF(SUM(OracleAbilities3Scenario0[[#This Row],[takes]]) &gt; 0,OracleAbilities3Scenario0[[#This Row],[takes]]/SUM(OracleAbilities3Scenario0[takes]),0)</f>
        <v>0.28125</v>
      </c>
      <c r="O15" s="16">
        <f>IF(OracleAbilities3Scenario0[[#This Row],[takes]]&gt;0,OracleAbilities3Scenario0[[#This Row],[wins]]/OracleAbilities3Scenario0[[#This Row],[takes]],0)</f>
        <v>0.66666666666666663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133</v>
      </c>
      <c r="B18" s="2">
        <f>L18+L39+L60</f>
        <v>10</v>
      </c>
      <c r="C18" s="2">
        <f>M18+M39+M60</f>
        <v>8</v>
      </c>
      <c r="D18" s="13">
        <f>IF(SUM(OracleAbilities4[[#This Row],[takes]]) &gt; 0,OracleAbilities4[[#This Row],[takes]]/SUM(OracleAbilities4[takes]),0)</f>
        <v>0.7142857142857143</v>
      </c>
      <c r="E18" s="13">
        <f>IF(OracleAbilities4[[#This Row],[takes]]&gt;0,OracleAbilities4[[#This Row],[wins]]/OracleAbilities4[[#This Row],[takes]],0)</f>
        <v>0.8</v>
      </c>
      <c r="F18" s="20"/>
      <c r="G18" s="20"/>
      <c r="H18" s="20"/>
      <c r="I18" s="22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9</v>
      </c>
      <c r="M18" s="2">
        <f>COUNTIF(Scenario0[winner1-ability4],OracleAbilities4Scenario0[[#This Row],[ability]])+COUNTIF(Scenario0[winner2-ability4],OracleAbilities4Scenario0[[#This Row],[ability]])</f>
        <v>7</v>
      </c>
      <c r="N18" s="13">
        <f>IF(SUM(OracleAbilities4Scenario0[[#This Row],[takes]]) &gt; 0,OracleAbilities4Scenario0[[#This Row],[takes]]/SUM(OracleAbilities4Scenario0[takes]),0)</f>
        <v>0.69230769230769229</v>
      </c>
      <c r="O18" s="13">
        <f>IF(OracleAbilities4Scenario0[[#This Row],[takes]]&gt;0,OracleAbilities4Scenario0[[#This Row],[wins]]/OracleAbilities4Scenario0[[#This Row],[takes]],0)</f>
        <v>0.77777777777777779</v>
      </c>
      <c r="P18" s="20"/>
      <c r="Q18" s="20"/>
      <c r="R18" s="20"/>
      <c r="S18" s="22"/>
      <c r="T18" s="20"/>
    </row>
    <row r="19" spans="1:20" x14ac:dyDescent="0.4">
      <c r="A19" s="2" t="s">
        <v>37</v>
      </c>
      <c r="B19" s="2">
        <f t="shared" ref="B19:C20" si="5">L19+L40+L61</f>
        <v>1</v>
      </c>
      <c r="C19" s="2">
        <f t="shared" si="5"/>
        <v>1</v>
      </c>
      <c r="D19" s="13">
        <f>IF(SUM(OracleAbilities4[[#This Row],[takes]]) &gt; 0,OracleAbilities4[[#This Row],[takes]]/SUM(OracleAbilities4[takes]),0)</f>
        <v>7.1428571428571425E-2</v>
      </c>
      <c r="E19" s="13">
        <f>IF(OracleAbilities4[[#This Row],[takes]]&gt;0,OracleAbilities4[[#This Row],[wins]]/OracleAbilities4[[#This Row],[takes]],0)</f>
        <v>1</v>
      </c>
      <c r="F19" s="20"/>
      <c r="G19" s="20"/>
      <c r="H19" s="20"/>
      <c r="I19" s="22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9" s="2">
        <f>COUNTIF(Scenario0[winner1-ability4],OracleAbilities4Scenario0[[#This Row],[ability]])+COUNTIF(Scenario0[winner2-ability4],OracleAbilities4Scenario0[[#This Row],[ability]])</f>
        <v>1</v>
      </c>
      <c r="N19" s="13">
        <f>IF(SUM(OracleAbilities4Scenario0[[#This Row],[takes]]) &gt; 0,OracleAbilities4Scenario0[[#This Row],[takes]]/SUM(OracleAbilities4Scenario0[takes]),0)</f>
        <v>7.6923076923076927E-2</v>
      </c>
      <c r="O19" s="13">
        <f>IF(OracleAbilities4Scenario0[[#This Row],[takes]]&gt;0,OracleAbilities4Scenario0[[#This Row],[wins]]/OracleAbilities4Scenario0[[#This Row],[takes]],0)</f>
        <v>1</v>
      </c>
      <c r="P19" s="20"/>
      <c r="Q19" s="20"/>
      <c r="R19" s="20"/>
      <c r="S19" s="22"/>
      <c r="T19" s="20"/>
    </row>
    <row r="20" spans="1:20" ht="15" thickBot="1" x14ac:dyDescent="0.45">
      <c r="A20" s="11" t="s">
        <v>134</v>
      </c>
      <c r="B20" s="2">
        <f t="shared" si="5"/>
        <v>3</v>
      </c>
      <c r="C20" s="2">
        <f t="shared" si="5"/>
        <v>2</v>
      </c>
      <c r="D20" s="30">
        <f>IF(SUM(OracleAbilities4[[#This Row],[takes]]) &gt; 0,OracleAbilities4[[#This Row],[takes]]/SUM(OracleAbilities4[takes]),0)</f>
        <v>0.21428571428571427</v>
      </c>
      <c r="E20" s="30">
        <f>IF(OracleAbilities4[[#This Row],[takes]]&gt;0,OracleAbilities4[[#This Row],[wins]]/OracleAbilities4[[#This Row],[takes]],0)</f>
        <v>0.66666666666666663</v>
      </c>
      <c r="F20" s="31"/>
      <c r="G20" s="31"/>
      <c r="H20" s="31"/>
      <c r="I20" s="32"/>
      <c r="K20" s="11" t="s">
        <v>134</v>
      </c>
      <c r="L20" s="29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3</v>
      </c>
      <c r="M20" s="29">
        <f>COUNTIF(Scenario0[winner1-ability4],OracleAbilities4Scenario0[[#This Row],[ability]])+COUNTIF(Scenario0[winner2-ability4],OracleAbilities4Scenario0[[#This Row],[ability]])</f>
        <v>2</v>
      </c>
      <c r="N20" s="30">
        <f>IF(SUM(OracleAbilities4Scenario0[[#This Row],[takes]]) &gt; 0,OracleAbilities4Scenario0[[#This Row],[takes]]/SUM(OracleAbilities4Scenario0[takes]),0)</f>
        <v>0.23076923076923078</v>
      </c>
      <c r="O20" s="30">
        <f>IF(OracleAbilities4Scenario0[[#This Row],[takes]]&gt;0,OracleAbilities4Scenario0[[#This Row],[wins]]/OracleAbilities4Scenario0[[#This Row],[takes]],0)</f>
        <v>0.66666666666666663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167</v>
      </c>
      <c r="S23" s="22" t="s">
        <v>164</v>
      </c>
      <c r="T23" s="20"/>
    </row>
    <row r="24" spans="1:20" x14ac:dyDescent="0.4">
      <c r="K24" t="s">
        <v>46</v>
      </c>
      <c r="L24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63</v>
      </c>
      <c r="M24" s="20">
        <f>COUNTIF(Scenario1[winner1-ability1],OracleAbilities1Scenario1[[#This Row],[ability]])+COUNTIF(Scenario1[winner2-ability1],OracleAbilities1Scenario1[[#This Row],[ability]])</f>
        <v>36</v>
      </c>
      <c r="N24" s="21">
        <f>IF(SUM(OracleAbilities1Scenario1[[#This Row],[takes]]) &gt; 0,OracleAbilities1Scenario1[[#This Row],[takes]]/SUM(OracleAbilities1Scenario1[takes]),0)</f>
        <v>0.6</v>
      </c>
      <c r="O24" s="21">
        <f>IF(OracleAbilities1Scenario1[[#This Row],[takes]]&gt;0,OracleAbilities1Scenario1[[#This Row],[wins]]/OracleAbilities1Scenario1[[#This Row],[takes]],0)</f>
        <v>0.5714285714285714</v>
      </c>
      <c r="P24" s="20"/>
      <c r="Q24" s="20">
        <v>1</v>
      </c>
      <c r="R24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23</v>
      </c>
      <c r="S24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74</v>
      </c>
      <c r="T24" s="20"/>
    </row>
    <row r="25" spans="1:20" x14ac:dyDescent="0.4">
      <c r="K25" t="s">
        <v>65</v>
      </c>
      <c r="L25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37</v>
      </c>
      <c r="M25" s="20">
        <f>COUNTIF(Scenario1[winner1-ability1],OracleAbilities1Scenario1[[#This Row],[ability]])+COUNTIF(Scenario1[winner2-ability1],OracleAbilities1Scenario1[[#This Row],[ability]])</f>
        <v>14</v>
      </c>
      <c r="N25" s="21">
        <f>IF(SUM(OracleAbilities1Scenario1[[#This Row],[takes]]) &gt; 0,OracleAbilities1Scenario1[[#This Row],[takes]]/SUM(OracleAbilities1Scenario1[takes]),0)</f>
        <v>0.35238095238095241</v>
      </c>
      <c r="O25" s="21">
        <f>IF(OracleAbilities1Scenario1[[#This Row],[takes]]&gt;0,OracleAbilities1Scenario1[[#This Row],[wins]]/OracleAbilities1Scenario1[[#This Row],[takes]],0)</f>
        <v>0.3783783783783784</v>
      </c>
      <c r="P25" s="20"/>
      <c r="Q25" s="20">
        <v>2</v>
      </c>
      <c r="R25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22</v>
      </c>
      <c r="T25" s="20"/>
    </row>
    <row r="26" spans="1:20" x14ac:dyDescent="0.4">
      <c r="K26" t="s">
        <v>34</v>
      </c>
      <c r="L26" s="20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</v>
      </c>
      <c r="M26" s="20">
        <f>COUNTIF(Scenario1[winner1-ability1],OracleAbilities1Scenario1[[#This Row],[ability]])+COUNTIF(Scenario1[winner2-ability1],OracleAbilities1Scenario1[[#This Row],[ability]])</f>
        <v>2</v>
      </c>
      <c r="N26" s="21">
        <f>IF(SUM(OracleAbilities1Scenario1[[#This Row],[takes]]) &gt; 0,OracleAbilities1Scenario1[[#This Row],[takes]]/SUM(OracleAbilities1Scenario1[takes]),0)</f>
        <v>4.7619047619047616E-2</v>
      </c>
      <c r="O26" s="21">
        <f>IF(OracleAbilities1Scenario1[[#This Row],[takes]]&gt;0,OracleAbilities1Scenario1[[#This Row],[wins]]/OracleAbilities1Scenario1[[#This Row],[takes]],0)</f>
        <v>0.4</v>
      </c>
      <c r="P26" s="20"/>
      <c r="Q26" s="20">
        <v>3</v>
      </c>
      <c r="R26" s="20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32</v>
      </c>
      <c r="S26" s="22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13</v>
      </c>
      <c r="M29" s="2">
        <f>COUNTIF(Scenario1[winner1-ability2],OracleAbilities2Scenario1[[#This Row],[ability]])+COUNTIF(Scenario1[winner2-ability2],OracleAbilities2Scenario1[[#This Row],[ability]])</f>
        <v>8</v>
      </c>
      <c r="N29" s="13">
        <f>IF(SUM(OracleAbilities2Scenario1[[#This Row],[takes]]) &gt; 0,OracleAbilities2Scenario1[[#This Row],[takes]]/SUM(OracleAbilities2Scenario1[takes]),0)</f>
        <v>0.33333333333333331</v>
      </c>
      <c r="O29" s="13">
        <f>IF(OracleAbilities2Scenario1[[#This Row],[takes]]&gt;0,OracleAbilities2Scenario1[[#This Row],[wins]]/OracleAbilities2Scenario1[[#This Row],[takes]],0)</f>
        <v>0.61538461538461542</v>
      </c>
      <c r="P29" s="20"/>
      <c r="Q29" s="20"/>
      <c r="R29" s="20"/>
      <c r="S29" s="22"/>
      <c r="T29" s="20"/>
    </row>
    <row r="30" spans="1:20" x14ac:dyDescent="0.4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4</v>
      </c>
      <c r="M30" s="2">
        <f>COUNTIF(Scenario1[winner1-ability2],OracleAbilities2Scenario1[[#This Row],[ability]])+COUNTIF(Scenario1[winner2-ability2],OracleAbilities2Scenario1[[#This Row],[ability]])</f>
        <v>0</v>
      </c>
      <c r="N30" s="21">
        <f>IF(SUM(OracleAbilities2Scenario1[[#This Row],[takes]]) &gt; 0,OracleAbilities2Scenario1[[#This Row],[takes]]/SUM(OracleAbilities2Scenario1[takes]),0)</f>
        <v>0.10256410256410256</v>
      </c>
      <c r="O30" s="21">
        <f>IF(OracleAbilities2Scenario1[[#This Row],[takes]]&gt;0,OracleAbilities2Scenario1[[#This Row],[wins]]/OracleAbilities2Scenario1[[#This Row],[takes]],0)</f>
        <v>0</v>
      </c>
      <c r="P30" s="20"/>
      <c r="Q30" s="20"/>
      <c r="R30" s="20"/>
      <c r="S30" s="22"/>
      <c r="T30" s="20"/>
    </row>
    <row r="31" spans="1:20" x14ac:dyDescent="0.4">
      <c r="K31" s="11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22</v>
      </c>
      <c r="M31" s="2">
        <f>COUNTIF(Scenario1[winner1-ability2],OracleAbilities2Scenario1[[#This Row],[ability]])+COUNTIF(Scenario1[winner2-ability2],OracleAbilities2Scenario1[[#This Row],[ability]])</f>
        <v>16</v>
      </c>
      <c r="N31" s="14">
        <f>IF(SUM(OracleAbilities2Scenario1[[#This Row],[takes]]) &gt; 0,OracleAbilities2Scenario1[[#This Row],[takes]]/SUM(OracleAbilities2Scenario1[takes]),0)</f>
        <v>0.5641025641025641</v>
      </c>
      <c r="O31" s="14">
        <f>IF(OracleAbilities2Scenario1[[#This Row],[takes]]&gt;0,OracleAbilities2Scenario1[[#This Row],[wins]]/OracleAbilities2Scenario1[[#This Row],[takes]],0)</f>
        <v>0.72727272727272729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5">
        <f>IF(SUM(OracleAbilities3Scenario1[[#This Row],[takes]]) &gt; 0,OracleAbilities3Scenario1[[#This Row],[takes]]/SUM(OracleAbilities3Scenario1[takes]),0)</f>
        <v>0</v>
      </c>
      <c r="O34" s="15">
        <f>IF(OracleAbilities3Scenario1[[#This Row],[takes]]&gt;0,OracleAbilities3Scenario1[[#This Row],[wins]]/OracleAbilities3Scenario1[[#This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6</v>
      </c>
      <c r="M35" s="2">
        <f>COUNTIF(Scenario1[winner1-ability3],OracleAbilities3Scenario1[[#This Row],[ability]])+COUNTIF(Scenario1[winner2-ability3],OracleAbilities3Scenario1[[#This Row],[ability]])</f>
        <v>4</v>
      </c>
      <c r="N35" s="13">
        <f>IF(SUM(OracleAbilities3Scenario1[[#This Row],[takes]]) &gt; 0,OracleAbilities3Scenario1[[#This Row],[takes]]/SUM(OracleAbilities3Scenario1[takes]),0)</f>
        <v>0.75</v>
      </c>
      <c r="O35" s="13">
        <f>IF(OracleAbilities3Scenario1[[#This Row],[takes]]&gt;0,OracleAbilities3Scenario1[[#This Row],[wins]]/OracleAbilities3Scenario1[[#This Row],[takes]],0)</f>
        <v>0.66666666666666663</v>
      </c>
      <c r="P35" s="20"/>
      <c r="Q35" s="20"/>
      <c r="R35" s="20"/>
      <c r="S35" s="22"/>
      <c r="T35" s="20"/>
    </row>
    <row r="36" spans="11:20" x14ac:dyDescent="0.4">
      <c r="K36" s="12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6" s="1">
        <f>COUNTIF(Scenario1[winner1-ability3],OracleAbilities3Scenario1[[#This Row],[ability]])+COUNTIF(Scenario1[winner2-ability3],OracleAbilities3Scenario1[[#This Row],[ability]])</f>
        <v>1</v>
      </c>
      <c r="N36" s="16">
        <f>IF(SUM(OracleAbilities3Scenario1[[#This Row],[takes]]) &gt; 0,OracleAbilities3Scenario1[[#This Row],[takes]]/SUM(OracleAbilities3Scenario1[takes]),0)</f>
        <v>0.25</v>
      </c>
      <c r="O36" s="16">
        <f>IF(OracleAbilities3Scenario1[[#This Row],[takes]]&gt;0,OracleAbilities3Scenario1[[#This Row],[wins]]/OracleAbilities3Scenario1[[#This Row],[takes]],0)</f>
        <v>0.5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3">
        <f>IF(SUM(OracleAbilities4Scenario1[[#This Row],[takes]]) &gt; 0,OracleAbilities4Scenario1[[#This Row],[takes]]/SUM(OracleAbilities4Scenario1[takes]),0)</f>
        <v>0</v>
      </c>
      <c r="O39" s="13">
        <f>IF(OracleAbilities4Scenario1[[#This Row],[takes]]&gt;0,OracleAbilities4Scenario1[[#This Row],[wins]]/OracleAbilities4Scenario1[[#This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3">
        <f>IF(SUM(OracleAbilities4Scenario1[[#This Row],[takes]]) &gt; 0,OracleAbilities4Scenario1[[#This Row],[takes]]/SUM(OracleAbilities4Scenario1[takes]),0)</f>
        <v>0</v>
      </c>
      <c r="O40" s="13">
        <f>IF(OracleAbilities4Scenario1[[#This Row],[takes]]&gt;0,OracleAbilities4Scenario1[[#This Row],[wins]]/OracleAbilities4Scenario1[[#This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134</v>
      </c>
      <c r="L41" s="29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9">
        <f>COUNTIF(Scenario1[winner1-ability4],OracleAbilities4Scenario1[[#This Row],[ability]])+COUNTIF(Scenario1[winner2-ability4],OracleAbilities4Scenario1[[#This Row],[ability]])</f>
        <v>0</v>
      </c>
      <c r="N41" s="30">
        <f>IF(SUM(OracleAbilities4Scenario1[[#This Row],[takes]]) &gt; 0,OracleAbilities4Scenario1[[#This Row],[takes]]/SUM(OracleAbilities4Scenario1[takes]),0)</f>
        <v>0</v>
      </c>
      <c r="O41" s="30">
        <f>IF(OracleAbilities4Scenario1[[#This Row],[takes]]&gt;0,OracleAbilities4Scenario1[[#This Row],[wins]]/OracleAbilities4Scenario1[[#This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167</v>
      </c>
      <c r="S44" s="22" t="s">
        <v>164</v>
      </c>
    </row>
    <row r="45" spans="11:20" x14ac:dyDescent="0.4">
      <c r="K45" t="s">
        <v>46</v>
      </c>
      <c r="L45" s="20">
        <f>COUNTIF(Scenario2[winner1-ability1],OracleAbilities1Scenario2[[#This Row],[ability]])+COUNTIF(Scenario2[loser1-ability1],OracleAbilities1Scenario2[[#This Row],[ability]])</f>
        <v>4</v>
      </c>
      <c r="M45" s="20">
        <f>COUNTIF(Scenario2[winner1-ability1],OracleAbilities1Scenario2[[#This Row],[ability]])</f>
        <v>3</v>
      </c>
      <c r="N45" s="21">
        <f>IF(SUM(OracleAbilities1Scenario2[[#This Row],[takes]]) &gt; 0,OracleAbilities1Scenario2[[#This Row],[takes]]/SUM(OracleAbilities1Scenario2[takes]),0)</f>
        <v>0.2857142857142857</v>
      </c>
      <c r="O45" s="21">
        <f>IF(OracleAbilities1Scenario2[[#This Row],[takes]]&gt;0,OracleAbilities1Scenario2[[#This Row],[wins]]/OracleAbilities1Scenario2[[#This Row],[takes]],0)</f>
        <v>0.75</v>
      </c>
      <c r="P45" s="20"/>
      <c r="Q45" s="20">
        <v>1</v>
      </c>
      <c r="R45" s="20">
        <f>COUNTIFS(Scenario2[winner1],"oracle",Scenario2[winner1-pw],OracleEquipScenario2[[#This Row],[level]])+COUNTIFS(Scenario2[loser1],"oracle",Scenario2[loser1-pw],OracleEquipScenario2[[#This Row],[level]])</f>
        <v>8</v>
      </c>
      <c r="S45" s="22">
        <f>COUNTIFS(Scenario2[winner1],"oracle",Scenario2[winner1-cp],OracleEquipScenario2[[#This Row],[level]])+COUNTIFS(Scenario2[loser1],"oracle",Scenario2[loser1-cp],OracleEquipScenario2[[#This Row],[level]])</f>
        <v>10</v>
      </c>
    </row>
    <row r="46" spans="11:20" x14ac:dyDescent="0.4">
      <c r="K46" t="s">
        <v>65</v>
      </c>
      <c r="L46" s="20">
        <f>COUNTIF(Scenario2[winner1-ability1],OracleAbilities1Scenario2[[#This Row],[ability]])+COUNTIF(Scenario2[loser1-ability1],OracleAbilities1Scenario2[[#This Row],[ability]])</f>
        <v>0</v>
      </c>
      <c r="M46" s="20">
        <f>COUNTIF(Scenario2[winner1-ability1],OracleAbilities1Scenario2[[#This Row],[ability]])</f>
        <v>0</v>
      </c>
      <c r="N46" s="21">
        <f>IF(SUM(OracleAbilities1Scenario2[[#This Row],[takes]]) &gt; 0,OracleAbilities1Scenario2[[#This Row],[takes]]/SUM(OracleAbilities1Scenario2[takes]),0)</f>
        <v>0</v>
      </c>
      <c r="O46" s="21">
        <f>IF(OracleAbilities1Scenario2[[#This Row],[takes]]&gt;0,OracleAbilities1Scenario2[[#This Row],[wins]]/OracleAbilities1Scenario2[[#This Row],[takes]],0)</f>
        <v>0</v>
      </c>
      <c r="P46" s="20"/>
      <c r="Q46" s="20">
        <v>2</v>
      </c>
      <c r="R46" s="20">
        <f>COUNTIFS(Scenario2[winner1],"oracle",Scenario2[winner1-pw],OracleEquipScenario2[[#This Row],[level]])+COUNTIFS(Scenario2[loser1],"oracle",Scenario2[loser1-pw],OracleEquipScenario2[[#This Row],[level]])</f>
        <v>3</v>
      </c>
      <c r="S46" s="22">
        <f>COUNTIFS(Scenario2[winner1],"oracle",Scenario2[winner1-cp],OracleEquipScenario2[[#This Row],[level]])+COUNTIFS(Scenario2[loser1],"oracle",Scenario2[loser1-cp],OracleEquipScenario2[[#This Row],[level]])</f>
        <v>3</v>
      </c>
    </row>
    <row r="47" spans="11:20" x14ac:dyDescent="0.4">
      <c r="K47" t="s">
        <v>34</v>
      </c>
      <c r="L47" s="20">
        <f>COUNTIF(Scenario2[winner1-ability1],OracleAbilities1Scenario2[[#This Row],[ability]])+COUNTIF(Scenario2[loser1-ability1],OracleAbilities1Scenario2[[#This Row],[ability]])</f>
        <v>10</v>
      </c>
      <c r="M47" s="20">
        <f>COUNTIF(Scenario2[winner1-ability1],OracleAbilities1Scenario2[[#This Row],[ability]])</f>
        <v>2</v>
      </c>
      <c r="N47" s="21">
        <f>IF(SUM(OracleAbilities1Scenario2[[#This Row],[takes]]) &gt; 0,OracleAbilities1Scenario2[[#This Row],[takes]]/SUM(OracleAbilities1Scenario2[takes]),0)</f>
        <v>0.7142857142857143</v>
      </c>
      <c r="O47" s="21">
        <f>IF(OracleAbilities1Scenario2[[#This Row],[takes]]&gt;0,OracleAbilities1Scenario2[[#This Row],[wins]]/OracleAbilities1Scenario2[[#This Row],[takes]],0)</f>
        <v>0.2</v>
      </c>
      <c r="P47" s="20"/>
      <c r="Q47" s="20">
        <v>3</v>
      </c>
      <c r="R47" s="20">
        <f>COUNTIFS(Scenario2[winner1],"oracle",Scenario2[winner1-pw],OracleEquipScenario2[[#This Row],[level]])+COUNTIFS(Scenario2[loser1],"oracle",Scenario2[loser1-pw],OracleEquipScenario2[[#This Row],[level]])</f>
        <v>3</v>
      </c>
      <c r="S47" s="22">
        <f>COUNTIFS(Scenario2[winner1],"oracle",Scenario2[winner1-cp],OracleEquipScenario2[[#This Row],[level]])+COUNTIFS(Scenario2[loser1],"oracle",Scenario2[loser1-cp],OracleEquipScenario2[[#This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2</v>
      </c>
      <c r="M50" s="2">
        <f>COUNTIF(Scenario2[winner1-ability2],OracleAbilities2Scenario2[[#This Row],[ability]])</f>
        <v>0</v>
      </c>
      <c r="N50" s="13">
        <f>IF(SUM(OracleAbilities2Scenario2[[#This Row],[takes]]) &gt; 0,OracleAbilities2Scenario2[[#This Row],[takes]]/SUM(OracleAbilities2Scenario2[takes]),0)</f>
        <v>0.18181818181818182</v>
      </c>
      <c r="O50" s="13">
        <f>IF(OracleAbilities2Scenario2[[#This Row],[takes]]&gt;0,OracleAbilities2Scenario2[[#This Row],[wins]]/OracleAbilities2Scenario2[[#This Row],[takes]],0)</f>
        <v>0</v>
      </c>
      <c r="P50" s="20"/>
      <c r="Q50" s="20"/>
      <c r="R50" s="20"/>
      <c r="S50" s="22"/>
      <c r="T50" s="20"/>
    </row>
    <row r="51" spans="11:20" x14ac:dyDescent="0.4">
      <c r="K51" t="s">
        <v>130</v>
      </c>
      <c r="L51" s="2">
        <f>COUNTIF(Scenario2[winner1-ability2],OracleAbilities2Scenario2[[#This Row],[ability]])+COUNTIF(Scenario2[loser1-ability2],OracleAbilities2Scenario2[[#This Row],[ability]])</f>
        <v>3</v>
      </c>
      <c r="M51" s="2">
        <f>COUNTIF(Scenario2[winner1-ability2],OracleAbilities2Scenario2[[#This Row],[ability]])</f>
        <v>1</v>
      </c>
      <c r="N51" s="21">
        <f>IF(SUM(OracleAbilities2Scenario2[[#This Row],[takes]]) &gt; 0,OracleAbilities2Scenario2[[#This Row],[takes]]/SUM(OracleAbilities2Scenario2[takes]),0)</f>
        <v>0.27272727272727271</v>
      </c>
      <c r="O51" s="21">
        <f>IF(OracleAbilities2Scenario2[[#This Row],[takes]]&gt;0,OracleAbilities2Scenario2[[#This Row],[wins]]/OracleAbilities2Scenario2[[#This Row],[takes]],0)</f>
        <v>0.33333333333333331</v>
      </c>
      <c r="P51" s="20"/>
      <c r="Q51" s="20"/>
      <c r="R51" s="20"/>
      <c r="S51" s="22"/>
      <c r="T51" s="20"/>
    </row>
    <row r="52" spans="11:20" x14ac:dyDescent="0.4">
      <c r="K52" s="11" t="s">
        <v>35</v>
      </c>
      <c r="L52" s="2">
        <f>COUNTIF(Scenario2[winner1-ability2],OracleAbilities2Scenario2[[#This Row],[ability]])+COUNTIF(Scenario2[loser1-ability2],OracleAbilities2Scenario2[[#This Row],[ability]])</f>
        <v>6</v>
      </c>
      <c r="M52" s="2">
        <f>COUNTIF(Scenario2[winner1-ability2],OracleAbilities2Scenario2[[#This Row],[ability]])</f>
        <v>3</v>
      </c>
      <c r="N52" s="14">
        <f>IF(SUM(OracleAbilities2Scenario2[[#This Row],[takes]]) &gt; 0,OracleAbilities2Scenario2[[#This Row],[takes]]/SUM(OracleAbilities2Scenario2[takes]),0)</f>
        <v>0.54545454545454541</v>
      </c>
      <c r="O52" s="14">
        <f>IF(OracleAbilities2Scenario2[[#This Row],[takes]]&gt;0,OracleAbilities2Scenario2[[#This Row],[wins]]/OracleAbilities2Scenario2[[#This Row],[takes]],0)</f>
        <v>0.5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3</v>
      </c>
      <c r="M55" s="1">
        <f>COUNTIF(Scenario2[winner1-ability3],OracleAbilities3Scenario2[[#This Row],[ability]])</f>
        <v>3</v>
      </c>
      <c r="N55" s="15">
        <f>IF(SUM(OracleAbilities3Scenario2[[#This Row],[takes]]) &gt; 0,OracleAbilities3Scenario2[[#This Row],[takes]]/SUM(OracleAbilities3Scenario2[takes]),0)</f>
        <v>0.6</v>
      </c>
      <c r="O55" s="15">
        <f>IF(OracleAbilities3Scenario2[[#This Row],[takes]]&gt;0,OracleAbilities3Scenario2[[#This Row],[wins]]/OracleAbilities3Scenario2[[#This Row],[takes]],0)</f>
        <v>1</v>
      </c>
      <c r="P55" s="20"/>
      <c r="Q55" s="20"/>
      <c r="R55" s="20"/>
      <c r="S55" s="22"/>
      <c r="T55" s="20"/>
    </row>
    <row r="56" spans="11:20" x14ac:dyDescent="0.4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2</v>
      </c>
      <c r="M56" s="2">
        <f>COUNTIF(Scenario2[winner1-ability3],OracleAbilities3Scenario2[[#This Row],[ability]])</f>
        <v>1</v>
      </c>
      <c r="N56" s="13">
        <f>IF(SUM(OracleAbilities3Scenario2[[#This Row],[takes]]) &gt; 0,OracleAbilities3Scenario2[[#This Row],[takes]]/SUM(OracleAbilities3Scenario2[takes]),0)</f>
        <v>0.4</v>
      </c>
      <c r="O56" s="13">
        <f>IF(OracleAbilities3Scenario2[[#This Row],[takes]]&gt;0,OracleAbilities3Scenario2[[#This Row],[wins]]/OracleAbilities3Scenario2[[#This Row],[takes]],0)</f>
        <v>0.5</v>
      </c>
      <c r="P56" s="20"/>
      <c r="Q56" s="20"/>
      <c r="R56" s="20"/>
      <c r="S56" s="22"/>
      <c r="T56" s="20"/>
    </row>
    <row r="57" spans="11:20" x14ac:dyDescent="0.4">
      <c r="K57" s="12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6">
        <f>IF(SUM(OracleAbilities3Scenario2[[#This Row],[takes]]) &gt; 0,OracleAbilities3Scenario2[[#This Row],[takes]]/SUM(OracleAbilities3Scenario2[takes]),0)</f>
        <v>0</v>
      </c>
      <c r="O57" s="16">
        <f>IF(OracleAbilities3Scenario2[[#This Row],[takes]]&gt;0,OracleAbilities3Scenario2[[#This Row],[wins]]/OracleAbilities3Scenario2[[#This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1</v>
      </c>
      <c r="M60" s="2">
        <f>COUNTIF(Scenario2[winner1-ability4],OracleAbilities4Scenario2[[#This Row],[ability]])</f>
        <v>1</v>
      </c>
      <c r="N60" s="13">
        <f>IF(SUM(OracleAbilities4Scenario2[[#This Row],[takes]]) &gt; 0,OracleAbilities4Scenario2[[#This Row],[takes]]/SUM(OracleAbilities4Scenario2[takes]),0)</f>
        <v>1</v>
      </c>
      <c r="O60" s="13">
        <f>IF(OracleAbilities4Scenario2[[#This Row],[takes]]&gt;0,OracleAbilities4Scenario2[[#This Row],[wins]]/OracleAbilities4Scenario2[[#This Row],[takes]],0)</f>
        <v>1</v>
      </c>
      <c r="P60" s="20"/>
      <c r="Q60" s="20"/>
      <c r="R60" s="20"/>
      <c r="S60" s="22"/>
      <c r="T60" s="20"/>
    </row>
    <row r="61" spans="11:20" x14ac:dyDescent="0.4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3">
        <f>IF(SUM(OracleAbilities4Scenario2[[#This Row],[takes]]) &gt; 0,OracleAbilities4Scenario2[[#This Row],[takes]]/SUM(OracleAbilities4Scenario2[takes]),0)</f>
        <v>0</v>
      </c>
      <c r="O61" s="13">
        <f>IF(OracleAbilities4Scenario2[[#This Row],[takes]]&gt;0,OracleAbilities4Scenario2[[#This Row],[wins]]/OracleAbilities4Scenario2[[#This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134</v>
      </c>
      <c r="L62" s="29">
        <f>COUNTIF(Scenario2[winner1-ability4],OracleAbilities4Scenario2[[#This Row],[ability]])+COUNTIF(Scenario2[loser1-ability4],OracleAbilities4Scenario2[[#This Row],[ability]])</f>
        <v>0</v>
      </c>
      <c r="M62" s="29">
        <f>COUNTIF(Scenario2[winner1-ability4],OracleAbilities4Scenario2[[#This Row],[ability]])</f>
        <v>0</v>
      </c>
      <c r="N62" s="30">
        <f>IF(SUM(OracleAbilities4Scenario2[[#This Row],[takes]]) &gt; 0,OracleAbilities4Scenario2[[#This Row],[takes]]/SUM(OracleAbilities4Scenario2[takes]),0)</f>
        <v>0</v>
      </c>
      <c r="O62" s="30">
        <f>IF(OracleAbilities4Scenario2[[#This Row],[takes]]&gt;0,OracleAbilities4Scenario2[[#This Row],[wins]]/OracleAbilities4Scenario2[[#This Row],[takes]],0)</f>
        <v>0</v>
      </c>
      <c r="P62" s="31"/>
      <c r="Q62" s="31"/>
      <c r="R62" s="31"/>
      <c r="S62" s="32"/>
      <c r="T62" s="20"/>
    </row>
  </sheetData>
  <mergeCells count="4">
    <mergeCell ref="A1:I1"/>
    <mergeCell ref="K1:S1"/>
    <mergeCell ref="K22:S22"/>
    <mergeCell ref="K43:S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62"/>
  <sheetViews>
    <sheetView topLeftCell="E1" workbookViewId="0">
      <selection activeCell="V17" sqref="V17"/>
    </sheetView>
  </sheetViews>
  <sheetFormatPr defaultRowHeight="14.6" x14ac:dyDescent="0.4"/>
  <cols>
    <col min="1" max="1" width="17.76562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9.15234375" bestFit="1" customWidth="1"/>
    <col min="9" max="9" width="11.84375" bestFit="1" customWidth="1"/>
    <col min="10" max="10" width="3.84375" customWidth="1"/>
    <col min="11" max="11" width="17.76562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9.152343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168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168</v>
      </c>
      <c r="S2" s="22" t="s">
        <v>164</v>
      </c>
      <c r="T2" s="20"/>
      <c r="U2" t="s">
        <v>677</v>
      </c>
      <c r="V2" s="3">
        <f>H4/SUM(AvatarEquip[bracers])</f>
        <v>0.3705357142857143</v>
      </c>
    </row>
    <row r="3" spans="1:22" x14ac:dyDescent="0.4">
      <c r="A3" t="s">
        <v>44</v>
      </c>
      <c r="B3" s="20">
        <f>L3+L24+L45</f>
        <v>2</v>
      </c>
      <c r="C3" s="20">
        <f>M3+M24+M45</f>
        <v>0</v>
      </c>
      <c r="D3" s="21">
        <f>IF(SUM(AvatarAbilities1[[#This Row],[takes]]) &gt; 0,AvatarAbilities1[[#This Row],[takes]]/SUM(AvatarAbilities1[takes]),0)</f>
        <v>8.9285714285714281E-3</v>
      </c>
      <c r="E3" s="21">
        <f>IF(AvatarAbilities1[[#This Row],[takes]]&gt;0,AvatarAbilities1[[#This Row],[wins]]/AvatarAbilities1[[#This Row],[takes]],0)</f>
        <v>0</v>
      </c>
      <c r="F3" s="20"/>
      <c r="G3" s="20">
        <v>1</v>
      </c>
      <c r="H3" s="20">
        <f t="shared" ref="H3:I5" si="0">R3+R24+R45</f>
        <v>89</v>
      </c>
      <c r="I3" s="22">
        <f t="shared" si="0"/>
        <v>171</v>
      </c>
      <c r="K3" t="s">
        <v>44</v>
      </c>
      <c r="L3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 s="20">
        <f>COUNTIF(Scenario0[winner1-ability1],AvatarAbilities1Scenario0[[#This Row],[ability]])+COUNTIF(Scenario0[winner2-ability1],AvatarAbilities1Scenario0[[#This Row],[ability]])</f>
        <v>0</v>
      </c>
      <c r="N3" s="21">
        <f>IF(SUM(AvatarAbilities1Scenario0[[#This Row],[takes]]) &gt; 0,AvatarAbilities1Scenario0[[#This Row],[takes]]/SUM(AvatarAbilities1Scenario0[takes]),0)</f>
        <v>0</v>
      </c>
      <c r="O3" s="21">
        <f>IF(AvatarAbilities1Scenario0[[#This Row],[takes]]&gt;0,AvatarAbilities1Scenario0[[#This Row],[wins]]/AvatarAbilities1Scenario0[[#This Row],[takes]],0)</f>
        <v>0</v>
      </c>
      <c r="P3" s="20"/>
      <c r="Q3" s="20">
        <v>1</v>
      </c>
      <c r="R3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41</v>
      </c>
      <c r="S3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68</v>
      </c>
      <c r="T3" s="20"/>
      <c r="U3" t="s">
        <v>678</v>
      </c>
      <c r="V3" s="18">
        <f>H5/SUM(AvatarEquip[bracers])</f>
        <v>0.23214285714285715</v>
      </c>
    </row>
    <row r="4" spans="1:22" x14ac:dyDescent="0.4">
      <c r="A4" t="s">
        <v>135</v>
      </c>
      <c r="B4" s="20">
        <f>L4+L25+L46</f>
        <v>217</v>
      </c>
      <c r="C4" s="20">
        <f t="shared" ref="C4:C5" si="1">M4+M25+M46</f>
        <v>107</v>
      </c>
      <c r="D4" s="21">
        <f>IF(SUM(AvatarAbilities1[[#This Row],[takes]]) &gt; 0,AvatarAbilities1[[#This Row],[takes]]/SUM(AvatarAbilities1[takes]),0)</f>
        <v>0.96875</v>
      </c>
      <c r="E4" s="21">
        <f>IF(AvatarAbilities1[[#This Row],[takes]]&gt;0,AvatarAbilities1[[#This Row],[wins]]/AvatarAbilities1[[#This Row],[takes]],0)</f>
        <v>0.49308755760368661</v>
      </c>
      <c r="F4" s="20"/>
      <c r="G4" s="20">
        <v>2</v>
      </c>
      <c r="H4" s="20">
        <f t="shared" si="0"/>
        <v>83</v>
      </c>
      <c r="I4" s="22">
        <f t="shared" si="0"/>
        <v>22</v>
      </c>
      <c r="K4" t="s">
        <v>135</v>
      </c>
      <c r="L4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100</v>
      </c>
      <c r="M4" s="20">
        <f>COUNTIF(Scenario0[winner1-ability1],AvatarAbilities1Scenario0[[#This Row],[ability]])+COUNTIF(Scenario0[winner2-ability1],AvatarAbilities1Scenario0[[#This Row],[ability]])</f>
        <v>43</v>
      </c>
      <c r="N4" s="21">
        <f>IF(SUM(AvatarAbilities1Scenario0[[#This Row],[takes]]) &gt; 0,AvatarAbilities1Scenario0[[#This Row],[takes]]/SUM(AvatarAbilities1Scenario0[takes]),0)</f>
        <v>0.95238095238095233</v>
      </c>
      <c r="O4" s="21">
        <f>IF(AvatarAbilities1Scenario0[[#This Row],[takes]]&gt;0,AvatarAbilities1Scenario0[[#This Row],[wins]]/AvatarAbilities1Scenario0[[#This Row],[takes]],0)</f>
        <v>0.43</v>
      </c>
      <c r="P4" s="20"/>
      <c r="Q4" s="20">
        <v>2</v>
      </c>
      <c r="R4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36</v>
      </c>
      <c r="S4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T4" s="20"/>
      <c r="U4" t="s">
        <v>391</v>
      </c>
      <c r="V4" s="3">
        <f>AvatarEquip[[#This Row],[chestpiece]]/SUM(AvatarEquip[chestpiece])</f>
        <v>9.8214285714285712E-2</v>
      </c>
    </row>
    <row r="5" spans="1:22" x14ac:dyDescent="0.4">
      <c r="A5" t="s">
        <v>73</v>
      </c>
      <c r="B5" s="20">
        <f t="shared" ref="B5" si="2">L5+L26+L47</f>
        <v>5</v>
      </c>
      <c r="C5" s="20">
        <f t="shared" si="1"/>
        <v>1</v>
      </c>
      <c r="D5" s="21">
        <f>IF(SUM(AvatarAbilities1[[#This Row],[takes]]) &gt; 0,AvatarAbilities1[[#This Row],[takes]]/SUM(AvatarAbilities1[takes]),0)</f>
        <v>2.2321428571428572E-2</v>
      </c>
      <c r="E5" s="21">
        <f>IF(AvatarAbilities1[[#This Row],[takes]]&gt;0,AvatarAbilities1[[#This Row],[wins]]/AvatarAbilities1[[#This Row],[takes]],0)</f>
        <v>0.2</v>
      </c>
      <c r="F5" s="20"/>
      <c r="G5" s="20">
        <v>3</v>
      </c>
      <c r="H5" s="20">
        <f t="shared" si="0"/>
        <v>52</v>
      </c>
      <c r="I5" s="22">
        <f t="shared" si="0"/>
        <v>31</v>
      </c>
      <c r="K5" t="s">
        <v>73</v>
      </c>
      <c r="L5" s="20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5</v>
      </c>
      <c r="M5" s="20">
        <f>COUNTIF(Scenario0[winner1-ability1],AvatarAbilities1Scenario0[[#This Row],[ability]])+COUNTIF(Scenario0[winner2-ability1],AvatarAbilities1Scenario0[[#This Row],[ability]])</f>
        <v>1</v>
      </c>
      <c r="N5" s="21">
        <f>IF(SUM(AvatarAbilities1Scenario0[[#This Row],[takes]]) &gt; 0,AvatarAbilities1Scenario0[[#This Row],[takes]]/SUM(AvatarAbilities1Scenario0[takes]),0)</f>
        <v>4.7619047619047616E-2</v>
      </c>
      <c r="O5" s="21">
        <f>IF(AvatarAbilities1Scenario0[[#This Row],[takes]]&gt;0,AvatarAbilities1Scenario0[[#This Row],[wins]]/AvatarAbilities1Scenario0[[#This Row],[takes]],0)</f>
        <v>0.2</v>
      </c>
      <c r="P5" s="20"/>
      <c r="Q5" s="20">
        <v>3</v>
      </c>
      <c r="R5" s="20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28</v>
      </c>
      <c r="S5" s="22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24</v>
      </c>
      <c r="T5" s="20"/>
      <c r="U5" t="s">
        <v>392</v>
      </c>
      <c r="V5" s="18">
        <f>AvatarEquip[[#This Row],[chestpiece]]/SUM(AvatarEquip[chestpiece])</f>
        <v>0.13839285714285715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SUM(AvatarAbilities2[takes])/SUM(AvatarAbilities1[takes])</f>
        <v>0.8169642857142857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SUM(AvatarAbilities3[takes])/SUM(AvatarAbilities1[takes])</f>
        <v>0.3080357142857143</v>
      </c>
    </row>
    <row r="8" spans="1:22" x14ac:dyDescent="0.4">
      <c r="A8" s="2" t="s">
        <v>74</v>
      </c>
      <c r="B8" s="2">
        <f>L8+L29+L50</f>
        <v>33</v>
      </c>
      <c r="C8" s="2">
        <f>M8+M29+M50</f>
        <v>21</v>
      </c>
      <c r="D8" s="13">
        <f>IF(SUM(AvatarAbilities2[[#This Row],[takes]]) &gt; 0,AvatarAbilities2[[#This Row],[takes]]/SUM(AvatarAbilities2[takes]),0)</f>
        <v>0.18032786885245902</v>
      </c>
      <c r="E8" s="13">
        <f>IF(AvatarAbilities2[[#This Row],[takes]]&gt;0,AvatarAbilities2[[#This Row],[wins]]/AvatarAbilities2[[#This Row],[takes]],0)</f>
        <v>0.63636363636363635</v>
      </c>
      <c r="F8" s="20"/>
      <c r="G8" s="20"/>
      <c r="H8" s="20"/>
      <c r="I8" s="22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21</v>
      </c>
      <c r="M8" s="2">
        <f>COUNTIF(Scenario0[winner1-ability2],AvatarAbilities2Scenario0[[#This Row],[ability]])+COUNTIF(Scenario0[winner2-ability2],AvatarAbilities2Scenario0[[#This Row],[ability]])</f>
        <v>13</v>
      </c>
      <c r="N8" s="13">
        <f>IF(SUM(AvatarAbilities2Scenario0[[#This Row],[takes]]) &gt; 0,AvatarAbilities2Scenario0[[#This Row],[takes]]/SUM(AvatarAbilities2Scenario0[takes]),0)</f>
        <v>0.25</v>
      </c>
      <c r="O8" s="13">
        <f>IF(AvatarAbilities2Scenario0[[#This Row],[takes]]&gt;0,AvatarAbilities2Scenario0[[#This Row],[wins]]/AvatarAbilities2Scenario0[[#This Row],[takes]],0)</f>
        <v>0.61904761904761907</v>
      </c>
      <c r="P8" s="20"/>
      <c r="Q8" s="20"/>
      <c r="R8" s="20"/>
      <c r="S8" s="22"/>
      <c r="T8" s="20"/>
      <c r="U8" t="s">
        <v>390</v>
      </c>
      <c r="V8" s="18">
        <f>SUM(AvatarAbilities4[takes])/SUM(AvatarAbilities1[takes])</f>
        <v>0.11607142857142858</v>
      </c>
    </row>
    <row r="9" spans="1:22" x14ac:dyDescent="0.4">
      <c r="A9" t="s">
        <v>136</v>
      </c>
      <c r="B9" s="2">
        <f t="shared" ref="B9:C10" si="3">L9+L30+L51</f>
        <v>63</v>
      </c>
      <c r="C9" s="2">
        <f t="shared" si="3"/>
        <v>26</v>
      </c>
      <c r="D9" s="21">
        <f>IF(SUM(AvatarAbilities2[[#This Row],[takes]]) &gt; 0,AvatarAbilities2[[#This Row],[takes]]/SUM(AvatarAbilities2[takes]),0)</f>
        <v>0.34426229508196721</v>
      </c>
      <c r="E9" s="21">
        <f>IF(AvatarAbilities2[[#This Row],[takes]]&gt;0,AvatarAbilities2[[#This Row],[wins]]/AvatarAbilities2[[#This Row],[takes]],0)</f>
        <v>0.41269841269841268</v>
      </c>
      <c r="F9" s="20"/>
      <c r="G9" s="20"/>
      <c r="H9" s="20"/>
      <c r="I9" s="22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34</v>
      </c>
      <c r="M9" s="2">
        <f>COUNTIF(Scenario0[winner1-ability2],AvatarAbilities2Scenario0[[#This Row],[ability]])+COUNTIF(Scenario0[winner2-ability2],AvatarAbilities2Scenario0[[#This Row],[ability]])</f>
        <v>12</v>
      </c>
      <c r="N9" s="21">
        <f>IF(SUM(AvatarAbilities2Scenario0[[#This Row],[takes]]) &gt; 0,AvatarAbilities2Scenario0[[#This Row],[takes]]/SUM(AvatarAbilities2Scenario0[takes]),0)</f>
        <v>0.40476190476190477</v>
      </c>
      <c r="O9" s="21">
        <f>IF(AvatarAbilities2Scenario0[[#This Row],[takes]]&gt;0,AvatarAbilities2Scenario0[[#This Row],[wins]]/AvatarAbilities2Scenario0[[#This Row],[takes]],0)</f>
        <v>0.35294117647058826</v>
      </c>
      <c r="P9" s="20"/>
      <c r="Q9" s="20"/>
      <c r="R9" s="20"/>
      <c r="S9" s="22"/>
      <c r="T9" s="20"/>
      <c r="U9" t="s">
        <v>672</v>
      </c>
      <c r="V9" s="39">
        <f>(SUM(AvatarAbilities2[takes])+SUM(AvatarAbilities3[takes])+SUM(AvatarAbilities4[takes])+SUM(H4:H5)+SUM(I4:I5))/SUM(AvatarAbilities1[takes])</f>
        <v>2.0803571428571428</v>
      </c>
    </row>
    <row r="10" spans="1:22" x14ac:dyDescent="0.4">
      <c r="A10" s="11" t="s">
        <v>99</v>
      </c>
      <c r="B10" s="2">
        <f t="shared" si="3"/>
        <v>87</v>
      </c>
      <c r="C10" s="2">
        <f t="shared" si="3"/>
        <v>50</v>
      </c>
      <c r="D10" s="14">
        <f>IF(SUM(AvatarAbilities2[[#This Row],[takes]]) &gt; 0,AvatarAbilities2[[#This Row],[takes]]/SUM(AvatarAbilities2[takes]),0)</f>
        <v>0.47540983606557374</v>
      </c>
      <c r="E10" s="14">
        <f>IF(AvatarAbilities2[[#This Row],[takes]]&gt;0,AvatarAbilities2[[#This Row],[wins]]/AvatarAbilities2[[#This Row],[takes]],0)</f>
        <v>0.57471264367816088</v>
      </c>
      <c r="F10" s="20"/>
      <c r="G10" s="20"/>
      <c r="H10" s="20"/>
      <c r="I10" s="22"/>
      <c r="K10" s="11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29</v>
      </c>
      <c r="M10" s="2">
        <f>COUNTIF(Scenario0[winner1-ability2],AvatarAbilities2Scenario0[[#This Row],[ability]])+COUNTIF(Scenario0[winner2-ability2],AvatarAbilities2Scenario0[[#This Row],[ability]])</f>
        <v>15</v>
      </c>
      <c r="N10" s="14">
        <f>IF(SUM(AvatarAbilities2Scenario0[[#This Row],[takes]]) &gt; 0,AvatarAbilities2Scenario0[[#This Row],[takes]]/SUM(AvatarAbilities2Scenario0[takes]),0)</f>
        <v>0.34523809523809523</v>
      </c>
      <c r="O10" s="14">
        <f>IF(AvatarAbilities2Scenario0[[#This Row],[takes]]&gt;0,AvatarAbilities2Scenario0[[#This Row],[wins]]/AvatarAbilities2Scenario0[[#This Row],[takes]],0)</f>
        <v>0.51724137931034486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137</v>
      </c>
      <c r="B13" s="1">
        <f>L13+L34+L55</f>
        <v>33</v>
      </c>
      <c r="C13" s="1">
        <f>M13+M34+M55</f>
        <v>21</v>
      </c>
      <c r="D13" s="15">
        <f>IF(SUM(AvatarAbilities3[[#This Row],[takes]]) &gt; 0,AvatarAbilities3[[#This Row],[takes]]/SUM(AvatarAbilities3[takes]),0)</f>
        <v>0.47826086956521741</v>
      </c>
      <c r="E13" s="15">
        <f>IF(AvatarAbilities3[[#This Row],[takes]]&gt;0,AvatarAbilities3[[#This Row],[wins]]/AvatarAbilities3[[#This Row],[takes]],0)</f>
        <v>0.63636363636363635</v>
      </c>
      <c r="F13" s="20"/>
      <c r="G13" s="20"/>
      <c r="H13" s="20"/>
      <c r="I13" s="22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19</v>
      </c>
      <c r="M13" s="1">
        <f>COUNTIF(Scenario0[winner1-ability3],AvatarAbilities3Scenario0[[#This Row],[ability]])+COUNTIF(Scenario0[winner2-ability3],AvatarAbilities3Scenario0[[#This Row],[ability]])</f>
        <v>11</v>
      </c>
      <c r="N13" s="15">
        <f>IF(SUM(AvatarAbilities3Scenario0[[#This Row],[takes]]) &gt; 0,AvatarAbilities3Scenario0[[#This Row],[takes]]/SUM(AvatarAbilities3Scenario0[takes]),0)</f>
        <v>0.44186046511627908</v>
      </c>
      <c r="O13" s="15">
        <f>IF(AvatarAbilities3Scenario0[[#This Row],[takes]]&gt;0,AvatarAbilities3Scenario0[[#This Row],[wins]]/AvatarAbilities3Scenario0[[#This Row],[takes]],0)</f>
        <v>0.57894736842105265</v>
      </c>
      <c r="P13" s="20"/>
      <c r="Q13" s="20"/>
      <c r="R13" s="20"/>
      <c r="S13" s="22"/>
      <c r="T13" s="20"/>
    </row>
    <row r="14" spans="1:22" x14ac:dyDescent="0.4">
      <c r="A14" s="2" t="s">
        <v>100</v>
      </c>
      <c r="B14" s="2">
        <f t="shared" ref="B14:C15" si="4">L14+L35+L56</f>
        <v>11</v>
      </c>
      <c r="C14" s="2">
        <f t="shared" si="4"/>
        <v>8</v>
      </c>
      <c r="D14" s="13">
        <f>IF(SUM(AvatarAbilities3[[#This Row],[takes]]) &gt; 0,AvatarAbilities3[[#This Row],[takes]]/SUM(AvatarAbilities3[takes]),0)</f>
        <v>0.15942028985507245</v>
      </c>
      <c r="E14" s="13">
        <f>IF(AvatarAbilities3[[#This Row],[takes]]&gt;0,AvatarAbilities3[[#This Row],[wins]]/AvatarAbilities3[[#This Row],[takes]],0)</f>
        <v>0.72727272727272729</v>
      </c>
      <c r="F14" s="20"/>
      <c r="G14" s="20"/>
      <c r="H14" s="20"/>
      <c r="I14" s="22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5</v>
      </c>
      <c r="M14" s="2">
        <f>COUNTIF(Scenario0[winner1-ability3],AvatarAbilities3Scenario0[[#This Row],[ability]])+COUNTIF(Scenario0[winner2-ability3],AvatarAbilities3Scenario0[[#This Row],[ability]])</f>
        <v>2</v>
      </c>
      <c r="N14" s="13">
        <f>IF(SUM(AvatarAbilities3Scenario0[[#This Row],[takes]]) &gt; 0,AvatarAbilities3Scenario0[[#This Row],[takes]]/SUM(AvatarAbilities3Scenario0[takes]),0)</f>
        <v>0.11627906976744186</v>
      </c>
      <c r="O14" s="13">
        <f>IF(AvatarAbilities3Scenario0[[#This Row],[takes]]&gt;0,AvatarAbilities3Scenario0[[#This Row],[wins]]/AvatarAbilities3Scenario0[[#This Row],[takes]],0)</f>
        <v>0.4</v>
      </c>
      <c r="P14" s="20"/>
      <c r="Q14" s="20"/>
      <c r="R14" s="20"/>
      <c r="S14" s="22"/>
      <c r="T14" s="20"/>
    </row>
    <row r="15" spans="1:22" x14ac:dyDescent="0.4">
      <c r="A15" s="12" t="s">
        <v>75</v>
      </c>
      <c r="B15" s="1">
        <f t="shared" si="4"/>
        <v>25</v>
      </c>
      <c r="C15" s="1">
        <f t="shared" si="4"/>
        <v>11</v>
      </c>
      <c r="D15" s="16">
        <f>IF(SUM(AvatarAbilities3[[#This Row],[takes]]) &gt; 0,AvatarAbilities3[[#This Row],[takes]]/SUM(AvatarAbilities3[takes]),0)</f>
        <v>0.36231884057971014</v>
      </c>
      <c r="E15" s="16">
        <f>IF(AvatarAbilities3[[#This Row],[takes]]&gt;0,AvatarAbilities3[[#This Row],[wins]]/AvatarAbilities3[[#This Row],[takes]],0)</f>
        <v>0.44</v>
      </c>
      <c r="F15" s="20"/>
      <c r="G15" s="20"/>
      <c r="H15" s="20"/>
      <c r="I15" s="22"/>
      <c r="K15" s="12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19</v>
      </c>
      <c r="M15" s="1">
        <f>COUNTIF(Scenario0[winner1-ability3],AvatarAbilities3Scenario0[[#This Row],[ability]])+COUNTIF(Scenario0[winner2-ability3],AvatarAbilities3Scenario0[[#This Row],[ability]])</f>
        <v>7</v>
      </c>
      <c r="N15" s="16">
        <f>IF(SUM(AvatarAbilities3Scenario0[[#This Row],[takes]]) &gt; 0,AvatarAbilities3Scenario0[[#This Row],[takes]]/SUM(AvatarAbilities3Scenario0[takes]),0)</f>
        <v>0.44186046511627908</v>
      </c>
      <c r="O15" s="16">
        <f>IF(AvatarAbilities3Scenario0[[#This Row],[takes]]&gt;0,AvatarAbilities3Scenario0[[#This Row],[wins]]/AvatarAbilities3Scenario0[[#This Row],[takes]],0)</f>
        <v>0.36842105263157893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138</v>
      </c>
      <c r="B18" s="2">
        <f>L18+L39+L60</f>
        <v>14</v>
      </c>
      <c r="C18" s="2">
        <f>M18+M39+M60</f>
        <v>7</v>
      </c>
      <c r="D18" s="13">
        <f>IF(SUM(AvatarAbilities4[[#This Row],[takes]]) &gt; 0,AvatarAbilities4[[#This Row],[takes]]/SUM(AvatarAbilities4[takes]),0)</f>
        <v>0.53846153846153844</v>
      </c>
      <c r="E18" s="13">
        <f>IF(AvatarAbilities4[[#This Row],[takes]]&gt;0,AvatarAbilities4[[#This Row],[wins]]/AvatarAbilities4[[#This Row],[takes]],0)</f>
        <v>0.5</v>
      </c>
      <c r="F18" s="20"/>
      <c r="G18" s="20"/>
      <c r="H18" s="20"/>
      <c r="I18" s="22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9</v>
      </c>
      <c r="M18" s="2">
        <f>COUNTIF(Scenario0[winner1-ability4],AvatarAbilities4Scenario0[[#This Row],[ability]])+COUNTIF(Scenario0[winner2-ability4],AvatarAbilities4Scenario0[[#This Row],[ability]])</f>
        <v>4</v>
      </c>
      <c r="N18" s="13">
        <f>IF(SUM(AvatarAbilities4Scenario0[[#This Row],[takes]]) &gt; 0,AvatarAbilities4Scenario0[[#This Row],[takes]]/SUM(AvatarAbilities4Scenario0[takes]),0)</f>
        <v>0.5625</v>
      </c>
      <c r="O18" s="13">
        <f>IF(AvatarAbilities4Scenario0[[#This Row],[takes]]&gt;0,AvatarAbilities4Scenario0[[#This Row],[wins]]/AvatarAbilities4Scenario0[[#This Row],[takes]],0)</f>
        <v>0.44444444444444442</v>
      </c>
      <c r="P18" s="20"/>
      <c r="Q18" s="20"/>
      <c r="R18" s="20"/>
      <c r="S18" s="22"/>
      <c r="T18" s="20"/>
    </row>
    <row r="19" spans="1:20" x14ac:dyDescent="0.4">
      <c r="A19" s="2" t="s">
        <v>101</v>
      </c>
      <c r="B19" s="2">
        <f t="shared" ref="B19:C20" si="5">L19+L40+L61</f>
        <v>3</v>
      </c>
      <c r="C19" s="2">
        <f t="shared" si="5"/>
        <v>1</v>
      </c>
      <c r="D19" s="13">
        <f>IF(SUM(AvatarAbilities4[[#This Row],[takes]]) &gt; 0,AvatarAbilities4[[#This Row],[takes]]/SUM(AvatarAbilities4[takes]),0)</f>
        <v>0.11538461538461539</v>
      </c>
      <c r="E19" s="13">
        <f>IF(AvatarAbilities4[[#This Row],[takes]]&gt;0,AvatarAbilities4[[#This Row],[wins]]/AvatarAbilities4[[#This Row],[takes]],0)</f>
        <v>0.33333333333333331</v>
      </c>
      <c r="F19" s="20"/>
      <c r="G19" s="20"/>
      <c r="H19" s="20"/>
      <c r="I19" s="22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9" s="2">
        <f>COUNTIF(Scenario0[winner1-ability4],AvatarAbilities4Scenario0[[#This Row],[ability]])+COUNTIF(Scenario0[winner2-ability4],AvatarAbilities4Scenario0[[#This Row],[ability]])</f>
        <v>1</v>
      </c>
      <c r="N19" s="13">
        <f>IF(SUM(AvatarAbilities4Scenario0[[#This Row],[takes]]) &gt; 0,AvatarAbilities4Scenario0[[#This Row],[takes]]/SUM(AvatarAbilities4Scenario0[takes]),0)</f>
        <v>0.1875</v>
      </c>
      <c r="O19" s="13">
        <f>IF(AvatarAbilities4Scenario0[[#This Row],[takes]]&gt;0,AvatarAbilities4Scenario0[[#This Row],[wins]]/AvatarAbilities4Scenario0[[#This Row],[takes]],0)</f>
        <v>0.33333333333333331</v>
      </c>
      <c r="P19" s="20"/>
      <c r="Q19" s="20"/>
      <c r="R19" s="20"/>
      <c r="S19" s="22"/>
      <c r="T19" s="20"/>
    </row>
    <row r="20" spans="1:20" ht="15" thickBot="1" x14ac:dyDescent="0.45">
      <c r="A20" s="11" t="s">
        <v>139</v>
      </c>
      <c r="B20" s="2">
        <f t="shared" si="5"/>
        <v>9</v>
      </c>
      <c r="C20" s="2">
        <f t="shared" si="5"/>
        <v>5</v>
      </c>
      <c r="D20" s="30">
        <f>IF(SUM(AvatarAbilities4[[#This Row],[takes]]) &gt; 0,AvatarAbilities4[[#This Row],[takes]]/SUM(AvatarAbilities4[takes]),0)</f>
        <v>0.34615384615384615</v>
      </c>
      <c r="E20" s="30">
        <f>IF(AvatarAbilities4[[#This Row],[takes]]&gt;0,AvatarAbilities4[[#This Row],[wins]]/AvatarAbilities4[[#This Row],[takes]],0)</f>
        <v>0.55555555555555558</v>
      </c>
      <c r="F20" s="31"/>
      <c r="G20" s="31"/>
      <c r="H20" s="31"/>
      <c r="I20" s="32"/>
      <c r="K20" s="11" t="s">
        <v>139</v>
      </c>
      <c r="L20" s="29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20" s="29">
        <f>COUNTIF(Scenario0[winner1-ability4],AvatarAbilities4Scenario0[[#This Row],[ability]])+COUNTIF(Scenario0[winner2-ability4],AvatarAbilities4Scenario0[[#This Row],[ability]])</f>
        <v>2</v>
      </c>
      <c r="N20" s="30">
        <f>IF(SUM(AvatarAbilities4Scenario0[[#This Row],[takes]]) &gt; 0,AvatarAbilities4Scenario0[[#This Row],[takes]]/SUM(AvatarAbilities4Scenario0[takes]),0)</f>
        <v>0.25</v>
      </c>
      <c r="O20" s="30">
        <f>IF(AvatarAbilities4Scenario0[[#This Row],[takes]]&gt;0,AvatarAbilities4Scenario0[[#This Row],[wins]]/AvatarAbilities4Scenario0[[#This Row],[takes]],0)</f>
        <v>0.5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168</v>
      </c>
      <c r="S23" s="22" t="s">
        <v>164</v>
      </c>
      <c r="T23" s="20"/>
    </row>
    <row r="24" spans="1:20" x14ac:dyDescent="0.4">
      <c r="K24" t="s">
        <v>44</v>
      </c>
      <c r="L24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 s="20">
        <f>COUNTIF(Scenario1[winner1-ability1],AvatarAbilities1Scenario1[[#This Row],[ability]])+COUNTIF(Scenario1[winner2-ability1],AvatarAbilities1Scenario1[[#This Row],[ability]])</f>
        <v>0</v>
      </c>
      <c r="N24" s="21">
        <f>IF(SUM(AvatarAbilities1Scenario1[[#This Row],[takes]]) &gt; 0,AvatarAbilities1Scenario1[[#This Row],[takes]]/SUM(AvatarAbilities1Scenario1[takes]),0)</f>
        <v>0</v>
      </c>
      <c r="O24" s="21">
        <f>IF(AvatarAbilities1Scenario1[[#This Row],[takes]]&gt;0,AvatarAbilities1Scenario1[[#This Row],[wins]]/AvatarAbilities1Scenario1[[#This Row],[takes]],0)</f>
        <v>0</v>
      </c>
      <c r="P24" s="20"/>
      <c r="Q24" s="20">
        <v>1</v>
      </c>
      <c r="R24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46</v>
      </c>
      <c r="S24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93</v>
      </c>
      <c r="T24" s="20"/>
    </row>
    <row r="25" spans="1:20" x14ac:dyDescent="0.4">
      <c r="K25" t="s">
        <v>135</v>
      </c>
      <c r="L25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105</v>
      </c>
      <c r="M25" s="20">
        <f>COUNTIF(Scenario1[winner1-ability1],AvatarAbilities1Scenario1[[#This Row],[ability]])+COUNTIF(Scenario1[winner2-ability1],AvatarAbilities1Scenario1[[#This Row],[ability]])</f>
        <v>58</v>
      </c>
      <c r="N25" s="21">
        <f>IF(SUM(AvatarAbilities1Scenario1[[#This Row],[takes]]) &gt; 0,AvatarAbilities1Scenario1[[#This Row],[takes]]/SUM(AvatarAbilities1Scenario1[takes]),0)</f>
        <v>1</v>
      </c>
      <c r="O25" s="21">
        <f>IF(AvatarAbilities1Scenario1[[#This Row],[takes]]&gt;0,AvatarAbilities1Scenario1[[#This Row],[wins]]/AvatarAbilities1Scenario1[[#This Row],[takes]],0)</f>
        <v>0.55238095238095242</v>
      </c>
      <c r="P25" s="20"/>
      <c r="Q25" s="20">
        <v>2</v>
      </c>
      <c r="R25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44</v>
      </c>
      <c r="S25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</v>
      </c>
      <c r="T25" s="20"/>
    </row>
    <row r="26" spans="1:20" x14ac:dyDescent="0.4">
      <c r="K26" t="s">
        <v>73</v>
      </c>
      <c r="L26" s="20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 s="20">
        <f>COUNTIF(Scenario1[winner1-ability1],AvatarAbilities1Scenario1[[#This Row],[ability]])+COUNTIF(Scenario1[winner2-ability1],AvatarAbilities1Scenario1[[#This Row],[ability]])</f>
        <v>0</v>
      </c>
      <c r="N26" s="21">
        <f>IF(SUM(AvatarAbilities1Scenario1[[#This Row],[takes]]) &gt; 0,AvatarAbilities1Scenario1[[#This Row],[takes]]/SUM(AvatarAbilities1Scenario1[takes]),0)</f>
        <v>0</v>
      </c>
      <c r="O26" s="21">
        <f>IF(AvatarAbilities1Scenario1[[#This Row],[takes]]&gt;0,AvatarAbilities1Scenario1[[#This Row],[wins]]/AvatarAbilities1Scenario1[[#This Row],[takes]],0)</f>
        <v>0</v>
      </c>
      <c r="P26" s="20"/>
      <c r="Q26" s="20">
        <v>3</v>
      </c>
      <c r="R26" s="20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15</v>
      </c>
      <c r="S26" s="22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4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12</v>
      </c>
      <c r="M29" s="2">
        <f>COUNTIF(Scenario1[winner1-ability2],AvatarAbilities2Scenario1[[#This Row],[ability]])+COUNTIF(Scenario1[winner2-ability2],AvatarAbilities2Scenario1[[#This Row],[ability]])</f>
        <v>8</v>
      </c>
      <c r="N29" s="13">
        <f>IF(SUM(AvatarAbilities2Scenario1[[#This Row],[takes]]) &gt; 0,AvatarAbilities2Scenario1[[#This Row],[takes]]/SUM(AvatarAbilities2Scenario1[takes]),0)</f>
        <v>0.13793103448275862</v>
      </c>
      <c r="O29" s="13">
        <f>IF(AvatarAbilities2Scenario1[[#This Row],[takes]]&gt;0,AvatarAbilities2Scenario1[[#This Row],[wins]]/AvatarAbilities2Scenario1[[#This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25</v>
      </c>
      <c r="M30" s="2">
        <f>COUNTIF(Scenario1[winner1-ability2],AvatarAbilities2Scenario1[[#This Row],[ability]])+COUNTIF(Scenario1[winner2-ability2],AvatarAbilities2Scenario1[[#This Row],[ability]])</f>
        <v>14</v>
      </c>
      <c r="N30" s="21">
        <f>IF(SUM(AvatarAbilities2Scenario1[[#This Row],[takes]]) &gt; 0,AvatarAbilities2Scenario1[[#This Row],[takes]]/SUM(AvatarAbilities2Scenario1[takes]),0)</f>
        <v>0.28735632183908044</v>
      </c>
      <c r="O30" s="21">
        <f>IF(AvatarAbilities2Scenario1[[#This Row],[takes]]&gt;0,AvatarAbilities2Scenario1[[#This Row],[wins]]/AvatarAbilities2Scenario1[[#This Row],[takes]],0)</f>
        <v>0.56000000000000005</v>
      </c>
      <c r="P30" s="20"/>
      <c r="Q30" s="20"/>
      <c r="R30" s="20"/>
      <c r="S30" s="22"/>
      <c r="T30" s="20"/>
    </row>
    <row r="31" spans="1:20" x14ac:dyDescent="0.4">
      <c r="K31" s="11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50</v>
      </c>
      <c r="M31" s="2">
        <f>COUNTIF(Scenario1[winner1-ability2],AvatarAbilities2Scenario1[[#This Row],[ability]])+COUNTIF(Scenario1[winner2-ability2],AvatarAbilities2Scenario1[[#This Row],[ability]])</f>
        <v>31</v>
      </c>
      <c r="N31" s="14">
        <f>IF(SUM(AvatarAbilities2Scenario1[[#This Row],[takes]]) &gt; 0,AvatarAbilities2Scenario1[[#This Row],[takes]]/SUM(AvatarAbilities2Scenario1[takes]),0)</f>
        <v>0.57471264367816088</v>
      </c>
      <c r="O31" s="14">
        <f>IF(AvatarAbilities2Scenario1[[#This Row],[takes]]&gt;0,AvatarAbilities2Scenario1[[#This Row],[wins]]/AvatarAbilities2Scenario1[[#This Row],[takes]],0)</f>
        <v>0.62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7</v>
      </c>
      <c r="M34" s="1">
        <f>COUNTIF(Scenario1[winner1-ability3],AvatarAbilities3Scenario1[[#This Row],[ability]])+COUNTIF(Scenario1[winner2-ability3],AvatarAbilities3Scenario1[[#This Row],[ability]])</f>
        <v>7</v>
      </c>
      <c r="N34" s="15">
        <f>IF(SUM(AvatarAbilities3Scenario1[[#This Row],[takes]]) &gt; 0,AvatarAbilities3Scenario1[[#This Row],[takes]]/SUM(AvatarAbilities3Scenario1[takes]),0)</f>
        <v>0.3888888888888889</v>
      </c>
      <c r="O34" s="15">
        <f>IF(AvatarAbilities3Scenario1[[#This Row],[takes]]&gt;0,AvatarAbilities3Scenario1[[#This Row],[wins]]/AvatarAbilities3Scenario1[[#This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6</v>
      </c>
      <c r="M35" s="2">
        <f>COUNTIF(Scenario1[winner1-ability3],AvatarAbilities3Scenario1[[#This Row],[ability]])+COUNTIF(Scenario1[winner2-ability3],AvatarAbilities3Scenario1[[#This Row],[ability]])</f>
        <v>6</v>
      </c>
      <c r="N35" s="13">
        <f>IF(SUM(AvatarAbilities3Scenario1[[#This Row],[takes]]) &gt; 0,AvatarAbilities3Scenario1[[#This Row],[takes]]/SUM(AvatarAbilities3Scenario1[takes]),0)</f>
        <v>0.33333333333333331</v>
      </c>
      <c r="O35" s="13">
        <f>IF(AvatarAbilities3Scenario1[[#This Row],[takes]]&gt;0,AvatarAbilities3Scenario1[[#This Row],[wins]]/AvatarAbilities3Scenario1[[#This Row],[takes]],0)</f>
        <v>1</v>
      </c>
      <c r="P35" s="20"/>
      <c r="Q35" s="20"/>
      <c r="R35" s="20"/>
      <c r="S35" s="22"/>
      <c r="T35" s="20"/>
    </row>
    <row r="36" spans="11:20" x14ac:dyDescent="0.4">
      <c r="K36" s="12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5</v>
      </c>
      <c r="M36" s="1">
        <f>COUNTIF(Scenario1[winner1-ability3],AvatarAbilities3Scenario1[[#This Row],[ability]])+COUNTIF(Scenario1[winner2-ability3],AvatarAbilities3Scenario1[[#This Row],[ability]])</f>
        <v>4</v>
      </c>
      <c r="N36" s="16">
        <f>IF(SUM(AvatarAbilities3Scenario1[[#This Row],[takes]]) &gt; 0,AvatarAbilities3Scenario1[[#This Row],[takes]]/SUM(AvatarAbilities3Scenario1[takes]),0)</f>
        <v>0.27777777777777779</v>
      </c>
      <c r="O36" s="16">
        <f>IF(AvatarAbilities3Scenario1[[#This Row],[takes]]&gt;0,AvatarAbilities3Scenario1[[#This Row],[wins]]/AvatarAbilities3Scenario1[[#This Row],[takes]],0)</f>
        <v>0.8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3</v>
      </c>
      <c r="M39" s="2">
        <f>COUNTIF(Scenario1[winner1-ability4],AvatarAbilities4Scenario1[[#This Row],[ability]])+COUNTIF(Scenario1[winner2-ability4],AvatarAbilities4Scenario1[[#This Row],[ability]])</f>
        <v>3</v>
      </c>
      <c r="N39" s="13">
        <f>IF(SUM(AvatarAbilities4Scenario1[[#This Row],[takes]]) &gt; 0,AvatarAbilities4Scenario1[[#This Row],[takes]]/SUM(AvatarAbilities4Scenario1[takes]),0)</f>
        <v>0.75</v>
      </c>
      <c r="O39" s="13">
        <f>IF(AvatarAbilities4Scenario1[[#This Row],[takes]]&gt;0,AvatarAbilities4Scenario1[[#This Row],[wins]]/AvatarAbilities4Scenario1[[#This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3">
        <f>IF(SUM(AvatarAbilities4Scenario1[[#This Row],[takes]]) &gt; 0,AvatarAbilities4Scenario1[[#This Row],[takes]]/SUM(AvatarAbilities4Scenario1[takes]),0)</f>
        <v>0</v>
      </c>
      <c r="O40" s="13">
        <f>IF(AvatarAbilities4Scenario1[[#This Row],[takes]]&gt;0,AvatarAbilities4Scenario1[[#This Row],[wins]]/AvatarAbilities4Scenario1[[#This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139</v>
      </c>
      <c r="L41" s="29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41" s="29">
        <f>COUNTIF(Scenario1[winner1-ability4],AvatarAbilities4Scenario1[[#This Row],[ability]])+COUNTIF(Scenario1[winner2-ability4],AvatarAbilities4Scenario1[[#This Row],[ability]])</f>
        <v>1</v>
      </c>
      <c r="N41" s="30">
        <f>IF(SUM(AvatarAbilities4Scenario1[[#This Row],[takes]]) &gt; 0,AvatarAbilities4Scenario1[[#This Row],[takes]]/SUM(AvatarAbilities4Scenario1[takes]),0)</f>
        <v>0.25</v>
      </c>
      <c r="O41" s="30">
        <f>IF(AvatarAbilities4Scenario1[[#This Row],[takes]]&gt;0,AvatarAbilities4Scenario1[[#This Row],[wins]]/AvatarAbilities4Scenario1[[#This Row],[takes]],0)</f>
        <v>1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168</v>
      </c>
      <c r="S44" s="22" t="s">
        <v>164</v>
      </c>
    </row>
    <row r="45" spans="11:20" x14ac:dyDescent="0.4">
      <c r="K45" t="s">
        <v>44</v>
      </c>
      <c r="L45" s="20">
        <f>COUNTIF(Scenario2[winner1-ability1],AvatarAbilities1Scenario2[[#This Row],[ability]])+COUNTIF(Scenario2[loser1-ability1],AvatarAbilities1Scenario2[[#This Row],[ability]])</f>
        <v>2</v>
      </c>
      <c r="M45" s="20">
        <f>COUNTIF(Scenario2[winner1-ability1],AvatarAbilities1Scenario2[[#This Row],[ability]])</f>
        <v>0</v>
      </c>
      <c r="N45" s="21">
        <f>IF(SUM(AvatarAbilities1Scenario2[[#This Row],[takes]]) &gt; 0,AvatarAbilities1Scenario2[[#This Row],[takes]]/SUM(AvatarAbilities1Scenario2[takes]),0)</f>
        <v>0.14285714285714285</v>
      </c>
      <c r="O45" s="21">
        <f>IF(AvatarAbilities1Scenario2[[#This Row],[takes]]&gt;0,AvatarAbilities1Scenario2[[#This Row],[wins]]/AvatarAbilities1Scenario2[[#This Row],[takes]],0)</f>
        <v>0</v>
      </c>
      <c r="P45" s="20"/>
      <c r="Q45" s="20">
        <v>1</v>
      </c>
      <c r="R45" s="20">
        <f>COUNTIFS(Scenario2[winner1],"avatar",Scenario2[winner1-pw],AvatarEquipScenario2[[#This Row],[level]])+COUNTIFS(Scenario2[loser1],"avatar",Scenario2[loser1-pw],AvatarEquipScenario2[[#This Row],[level]])</f>
        <v>2</v>
      </c>
      <c r="S45" s="22">
        <f>COUNTIFS(Scenario2[winner1],"avatar",Scenario2[winner1-cp],AvatarEquipScenario2[[#This Row],[level]])+COUNTIFS(Scenario2[loser1],"avatar",Scenario2[loser1-cp],AvatarEquipScenario2[[#This Row],[level]])</f>
        <v>10</v>
      </c>
    </row>
    <row r="46" spans="11:20" x14ac:dyDescent="0.4">
      <c r="K46" t="s">
        <v>135</v>
      </c>
      <c r="L46" s="20">
        <f>COUNTIF(Scenario2[winner1-ability1],AvatarAbilities1Scenario2[[#This Row],[ability]])+COUNTIF(Scenario2[loser1-ability1],AvatarAbilities1Scenario2[[#This Row],[ability]])</f>
        <v>12</v>
      </c>
      <c r="M46" s="20">
        <f>COUNTIF(Scenario2[winner1-ability1],AvatarAbilities1Scenario2[[#This Row],[ability]])</f>
        <v>6</v>
      </c>
      <c r="N46" s="21">
        <f>IF(SUM(AvatarAbilities1Scenario2[[#This Row],[takes]]) &gt; 0,AvatarAbilities1Scenario2[[#This Row],[takes]]/SUM(AvatarAbilities1Scenario2[takes]),0)</f>
        <v>0.8571428571428571</v>
      </c>
      <c r="O46" s="21">
        <f>IF(AvatarAbilities1Scenario2[[#This Row],[takes]]&gt;0,AvatarAbilities1Scenario2[[#This Row],[wins]]/AvatarAbilities1Scenario2[[#This Row],[takes]],0)</f>
        <v>0.5</v>
      </c>
      <c r="P46" s="20"/>
      <c r="Q46" s="20">
        <v>2</v>
      </c>
      <c r="R46" s="20">
        <f>COUNTIFS(Scenario2[winner1],"avatar",Scenario2[winner1-pw],AvatarEquipScenario2[[#This Row],[level]])+COUNTIFS(Scenario2[loser1],"avatar",Scenario2[loser1-pw],AvatarEquipScenario2[[#This Row],[level]])</f>
        <v>3</v>
      </c>
      <c r="S46" s="22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4">
      <c r="K47" t="s">
        <v>73</v>
      </c>
      <c r="L47" s="20">
        <f>COUNTIF(Scenario2[winner1-ability1],AvatarAbilities1Scenario2[[#This Row],[ability]])+COUNTIF(Scenario2[loser1-ability1],AvatarAbilities1Scenario2[[#This Row],[ability]])</f>
        <v>0</v>
      </c>
      <c r="M47" s="20">
        <f>COUNTIF(Scenario2[winner1-ability1],AvatarAbilities1Scenario2[[#This Row],[ability]])</f>
        <v>0</v>
      </c>
      <c r="N47" s="21">
        <f>IF(SUM(AvatarAbilities1Scenario2[[#This Row],[takes]]) &gt; 0,AvatarAbilities1Scenario2[[#This Row],[takes]]/SUM(AvatarAbilities1Scenario2[takes]),0)</f>
        <v>0</v>
      </c>
      <c r="O47" s="21">
        <f>IF(AvatarAbilities1Scenario2[[#This Row],[takes]]&gt;0,AvatarAbilities1Scenario2[[#This Row],[wins]]/AvatarAbilities1Scenario2[[#This Row],[takes]],0)</f>
        <v>0</v>
      </c>
      <c r="P47" s="20"/>
      <c r="Q47" s="20">
        <v>3</v>
      </c>
      <c r="R47" s="20">
        <f>COUNTIFS(Scenario2[winner1],"avatar",Scenario2[winner1-pw],AvatarEquipScenario2[[#This Row],[level]])+COUNTIFS(Scenario2[loser1],"avatar",Scenario2[loser1-pw],AvatarEquipScenario2[[#This Row],[level]])</f>
        <v>9</v>
      </c>
      <c r="S47" s="22">
        <f>COUNTIFS(Scenario2[winner1],"avatar",Scenario2[winner1-cp],AvatarEquipScenario2[[#This Row],[level]])+COUNTIFS(Scenario2[loser1],"avatar",Scenario2[loser1-cp],AvatarEquipScenario2[[#This Row],[level]])</f>
        <v>3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0</v>
      </c>
      <c r="M50" s="2">
        <f>COUNTIF(Scenario2[winner1-ability2],AvatarAbilities2Scenario2[[#This Row],[ability]])</f>
        <v>0</v>
      </c>
      <c r="N50" s="13">
        <f>IF(SUM(AvatarAbilities2Scenario2[[#This Row],[takes]]) &gt; 0,AvatarAbilities2Scenario2[[#This Row],[takes]]/SUM(AvatarAbilities2Scenario2[takes]),0)</f>
        <v>0</v>
      </c>
      <c r="O50" s="13">
        <f>IF(AvatarAbilities2Scenario2[[#This Row],[takes]]&gt;0,AvatarAbilities2Scenario2[[#This Row],[wins]]/AvatarAbilities2Scenario2[[#This Row],[takes]],0)</f>
        <v>0</v>
      </c>
      <c r="P50" s="20"/>
      <c r="Q50" s="20"/>
      <c r="R50" s="20"/>
      <c r="S50" s="22"/>
      <c r="T50" s="20"/>
    </row>
    <row r="51" spans="11:20" x14ac:dyDescent="0.4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0</v>
      </c>
      <c r="N51" s="21">
        <f>IF(SUM(AvatarAbilities2Scenario2[[#This Row],[takes]]) &gt; 0,AvatarAbilities2Scenario2[[#This Row],[takes]]/SUM(AvatarAbilities2Scenario2[takes]),0)</f>
        <v>0.33333333333333331</v>
      </c>
      <c r="O51" s="21">
        <f>IF(AvatarAbilities2Scenario2[[#This Row],[takes]]&gt;0,AvatarAbilities2Scenario2[[#This Row],[wins]]/AvatarAbilities2Scenario2[[#This Row],[takes]],0)</f>
        <v>0</v>
      </c>
      <c r="P51" s="20"/>
      <c r="Q51" s="20"/>
      <c r="R51" s="20"/>
      <c r="S51" s="22"/>
      <c r="T51" s="20"/>
    </row>
    <row r="52" spans="11:20" x14ac:dyDescent="0.4">
      <c r="K52" s="11" t="s">
        <v>99</v>
      </c>
      <c r="L52" s="2">
        <f>COUNTIF(Scenario2[winner1-ability2],AvatarAbilities2Scenario2[[#This Row],[ability]])+COUNTIF(Scenario2[loser1-ability2],AvatarAbilities2Scenario2[[#This Row],[ability]])</f>
        <v>8</v>
      </c>
      <c r="M52" s="2">
        <f>COUNTIF(Scenario2[winner1-ability2],AvatarAbilities2Scenario2[[#This Row],[ability]])</f>
        <v>4</v>
      </c>
      <c r="N52" s="14">
        <f>IF(SUM(AvatarAbilities2Scenario2[[#This Row],[takes]]) &gt; 0,AvatarAbilities2Scenario2[[#This Row],[takes]]/SUM(AvatarAbilities2Scenario2[takes]),0)</f>
        <v>0.66666666666666663</v>
      </c>
      <c r="O52" s="14">
        <f>IF(AvatarAbilities2Scenario2[[#This Row],[takes]]&gt;0,AvatarAbilities2Scenario2[[#This Row],[wins]]/AvatarAbilities2Scenario2[[#This Row],[takes]],0)</f>
        <v>0.5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3</v>
      </c>
      <c r="N55" s="15">
        <f>IF(SUM(AvatarAbilities3Scenario2[[#This Row],[takes]]) &gt; 0,AvatarAbilities3Scenario2[[#This Row],[takes]]/SUM(AvatarAbilities3Scenario2[takes]),0)</f>
        <v>0.875</v>
      </c>
      <c r="O55" s="15">
        <f>IF(AvatarAbilities3Scenario2[[#This Row],[takes]]&gt;0,AvatarAbilities3Scenario2[[#This Row],[wins]]/AvatarAbilities3Scenario2[[#This Row],[takes]],0)</f>
        <v>0.42857142857142855</v>
      </c>
      <c r="P55" s="20"/>
      <c r="Q55" s="20"/>
      <c r="R55" s="20"/>
      <c r="S55" s="22"/>
      <c r="T55" s="20"/>
    </row>
    <row r="56" spans="11:20" x14ac:dyDescent="0.4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3">
        <f>IF(SUM(AvatarAbilities3Scenario2[[#This Row],[takes]]) &gt; 0,AvatarAbilities3Scenario2[[#This Row],[takes]]/SUM(AvatarAbilities3Scenario2[takes]),0)</f>
        <v>0</v>
      </c>
      <c r="O56" s="13">
        <f>IF(AvatarAbilities3Scenario2[[#This Row],[takes]]&gt;0,AvatarAbilities3Scenario2[[#This Row],[wins]]/AvatarAbilities3Scenario2[[#This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0</v>
      </c>
      <c r="N57" s="16">
        <f>IF(SUM(AvatarAbilities3Scenario2[[#This Row],[takes]]) &gt; 0,AvatarAbilities3Scenario2[[#This Row],[takes]]/SUM(AvatarAbilities3Scenario2[takes]),0)</f>
        <v>0.125</v>
      </c>
      <c r="O57" s="16">
        <f>IF(AvatarAbilities3Scenario2[[#This Row],[takes]]&gt;0,AvatarAbilities3Scenario2[[#This Row],[wins]]/AvatarAbilities3Scenario2[[#This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0</v>
      </c>
      <c r="N60" s="13">
        <f>IF(SUM(AvatarAbilities4Scenario2[[#This Row],[takes]]) &gt; 0,AvatarAbilities4Scenario2[[#This Row],[takes]]/SUM(AvatarAbilities4Scenario2[takes]),0)</f>
        <v>0.33333333333333331</v>
      </c>
      <c r="O60" s="13">
        <f>IF(AvatarAbilities4Scenario2[[#This Row],[takes]]&gt;0,AvatarAbilities4Scenario2[[#This Row],[wins]]/AvatarAbilities4Scenario2[[#This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3">
        <f>IF(SUM(AvatarAbilities4Scenario2[[#This Row],[takes]]) &gt; 0,AvatarAbilities4Scenario2[[#This Row],[takes]]/SUM(AvatarAbilities4Scenario2[takes]),0)</f>
        <v>0</v>
      </c>
      <c r="O61" s="13">
        <f>IF(AvatarAbilities4Scenario2[[#This Row],[takes]]&gt;0,AvatarAbilities4Scenario2[[#This Row],[wins]]/AvatarAbilities4Scenario2[[#This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139</v>
      </c>
      <c r="L62" s="29">
        <f>COUNTIF(Scenario2[winner1-ability4],AvatarAbilities4Scenario2[[#This Row],[ability]])+COUNTIF(Scenario2[loser1-ability4],AvatarAbilities4Scenario2[[#This Row],[ability]])</f>
        <v>4</v>
      </c>
      <c r="M62" s="29">
        <f>COUNTIF(Scenario2[winner1-ability4],AvatarAbilities4Scenario2[[#This Row],[ability]])</f>
        <v>2</v>
      </c>
      <c r="N62" s="30">
        <f>IF(SUM(AvatarAbilities4Scenario2[[#This Row],[takes]]) &gt; 0,AvatarAbilities4Scenario2[[#This Row],[takes]]/SUM(AvatarAbilities4Scenario2[takes]),0)</f>
        <v>0.66666666666666663</v>
      </c>
      <c r="O62" s="30">
        <f>IF(AvatarAbilities4Scenario2[[#This Row],[takes]]&gt;0,AvatarAbilities4Scenario2[[#This Row],[wins]]/AvatarAbilities4Scenario2[[#This Row],[takes]],0)</f>
        <v>0.5</v>
      </c>
      <c r="P62" s="31"/>
      <c r="Q62" s="31"/>
      <c r="R62" s="31"/>
      <c r="S62" s="32"/>
      <c r="T62" s="20"/>
    </row>
  </sheetData>
  <mergeCells count="4">
    <mergeCell ref="A1:I1"/>
    <mergeCell ref="K1:S1"/>
    <mergeCell ref="K22:S22"/>
    <mergeCell ref="K43:S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62"/>
  <sheetViews>
    <sheetView topLeftCell="D1" workbookViewId="0">
      <selection activeCell="V15" sqref="V15"/>
    </sheetView>
  </sheetViews>
  <sheetFormatPr defaultRowHeight="14.6" x14ac:dyDescent="0.4"/>
  <cols>
    <col min="1" max="1" width="17.152343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6.69140625" bestFit="1" customWidth="1"/>
    <col min="9" max="9" width="11.84375" bestFit="1" customWidth="1"/>
    <col min="10" max="10" width="3.84375" customWidth="1"/>
    <col min="11" max="11" width="17.152343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6.6914062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169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169</v>
      </c>
      <c r="S2" s="22" t="s">
        <v>164</v>
      </c>
      <c r="T2" s="20"/>
      <c r="U2" t="s">
        <v>679</v>
      </c>
      <c r="V2" s="3">
        <f>H4/SUM(ShadowEquip[bow])</f>
        <v>0.4642857142857143</v>
      </c>
    </row>
    <row r="3" spans="1:22" x14ac:dyDescent="0.4">
      <c r="A3" t="s">
        <v>47</v>
      </c>
      <c r="B3" s="20">
        <f>L3+L24+L45</f>
        <v>118</v>
      </c>
      <c r="C3" s="20">
        <f>M3+M24+M45</f>
        <v>64</v>
      </c>
      <c r="D3" s="21">
        <f>IF(SUM(ShadowAbilities1[[#This Row],[takes]]) &gt; 0,ShadowAbilities1[[#This Row],[takes]]/SUM(ShadowAbilities1[takes]),0)</f>
        <v>0.5267857142857143</v>
      </c>
      <c r="E3" s="21">
        <f>IF(ShadowAbilities1[[#This Row],[takes]]&gt;0,ShadowAbilities1[[#This Row],[wins]]/ShadowAbilities1[[#This Row],[takes]],0)</f>
        <v>0.5423728813559322</v>
      </c>
      <c r="F3" s="20"/>
      <c r="G3" s="20">
        <v>1</v>
      </c>
      <c r="H3" s="20">
        <f t="shared" ref="H3:I5" si="0">R3+R24+R45</f>
        <v>8</v>
      </c>
      <c r="I3" s="22">
        <f t="shared" si="0"/>
        <v>184</v>
      </c>
      <c r="K3" t="s">
        <v>47</v>
      </c>
      <c r="L3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46</v>
      </c>
      <c r="M3" s="20">
        <f>COUNTIF(Scenario0[winner1-ability1],ShadowAbilities1Scenario0[[#This Row],[ability]])+COUNTIF(Scenario0[winner2-ability1],ShadowAbilities1Scenario0[[#This Row],[ability]])</f>
        <v>26</v>
      </c>
      <c r="N3" s="21">
        <f>IF(SUM(ShadowAbilities1Scenario0[[#This Row],[takes]]) &gt; 0,ShadowAbilities1Scenario0[[#This Row],[takes]]/SUM(ShadowAbilities1Scenario0[takes]),0)</f>
        <v>0.43809523809523809</v>
      </c>
      <c r="O3" s="21">
        <f>IF(ShadowAbilities1Scenario0[[#This Row],[takes]]&gt;0,ShadowAbilities1Scenario0[[#This Row],[wins]]/ShadowAbilities1Scenario0[[#This Row],[takes]],0)</f>
        <v>0.56521739130434778</v>
      </c>
      <c r="P3" s="20"/>
      <c r="Q3" s="20">
        <v>1</v>
      </c>
      <c r="R3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6</v>
      </c>
      <c r="S3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78</v>
      </c>
      <c r="T3" s="20"/>
      <c r="U3" t="s">
        <v>680</v>
      </c>
      <c r="V3" s="18">
        <f>H5/SUM(ShadowEquip[bow])</f>
        <v>0.5</v>
      </c>
    </row>
    <row r="4" spans="1:22" x14ac:dyDescent="0.4">
      <c r="A4" t="s">
        <v>86</v>
      </c>
      <c r="B4" s="20">
        <f>L4+L25+L46</f>
        <v>81</v>
      </c>
      <c r="C4" s="20">
        <f t="shared" ref="C4:C5" si="1">M4+M25+M46</f>
        <v>40</v>
      </c>
      <c r="D4" s="21">
        <f>IF(SUM(ShadowAbilities1[[#This Row],[takes]]) &gt; 0,ShadowAbilities1[[#This Row],[takes]]/SUM(ShadowAbilities1[takes]),0)</f>
        <v>0.36160714285714285</v>
      </c>
      <c r="E4" s="21">
        <f>IF(ShadowAbilities1[[#This Row],[takes]]&gt;0,ShadowAbilities1[[#This Row],[wins]]/ShadowAbilities1[[#This Row],[takes]],0)</f>
        <v>0.49382716049382713</v>
      </c>
      <c r="F4" s="20"/>
      <c r="G4" s="20">
        <v>2</v>
      </c>
      <c r="H4" s="20">
        <f t="shared" si="0"/>
        <v>104</v>
      </c>
      <c r="I4" s="22">
        <f t="shared" si="0"/>
        <v>26</v>
      </c>
      <c r="K4" t="s">
        <v>86</v>
      </c>
      <c r="L4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51</v>
      </c>
      <c r="M4" s="20">
        <f>COUNTIF(Scenario0[winner1-ability1],ShadowAbilities1Scenario0[[#This Row],[ability]])+COUNTIF(Scenario0[winner2-ability1],ShadowAbilities1Scenario0[[#This Row],[ability]])</f>
        <v>21</v>
      </c>
      <c r="N4" s="21">
        <f>IF(SUM(ShadowAbilities1Scenario0[[#This Row],[takes]]) &gt; 0,ShadowAbilities1Scenario0[[#This Row],[takes]]/SUM(ShadowAbilities1Scenario0[takes]),0)</f>
        <v>0.48571428571428571</v>
      </c>
      <c r="O4" s="21">
        <f>IF(ShadowAbilities1Scenario0[[#This Row],[takes]]&gt;0,ShadowAbilities1Scenario0[[#This Row],[wins]]/ShadowAbilities1Scenario0[[#This Row],[takes]],0)</f>
        <v>0.41176470588235292</v>
      </c>
      <c r="P4" s="20"/>
      <c r="Q4" s="20">
        <v>2</v>
      </c>
      <c r="R4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40</v>
      </c>
      <c r="S4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15</v>
      </c>
      <c r="T4" s="20"/>
      <c r="U4" t="s">
        <v>391</v>
      </c>
      <c r="V4" s="3">
        <f>ShadowEquip[[#This Row],[chestpiece]]/SUM(ShadowEquip[chestpiece])</f>
        <v>0.11607142857142858</v>
      </c>
    </row>
    <row r="5" spans="1:22" x14ac:dyDescent="0.4">
      <c r="A5" t="s">
        <v>140</v>
      </c>
      <c r="B5" s="20">
        <f t="shared" ref="B5" si="2">L5+L26+L47</f>
        <v>25</v>
      </c>
      <c r="C5" s="20">
        <f t="shared" si="1"/>
        <v>16</v>
      </c>
      <c r="D5" s="21">
        <f>IF(SUM(ShadowAbilities1[[#This Row],[takes]]) &gt; 0,ShadowAbilities1[[#This Row],[takes]]/SUM(ShadowAbilities1[takes]),0)</f>
        <v>0.11160714285714286</v>
      </c>
      <c r="E5" s="21">
        <f>IF(ShadowAbilities1[[#This Row],[takes]]&gt;0,ShadowAbilities1[[#This Row],[wins]]/ShadowAbilities1[[#This Row],[takes]],0)</f>
        <v>0.64</v>
      </c>
      <c r="F5" s="20"/>
      <c r="G5" s="20">
        <v>3</v>
      </c>
      <c r="H5" s="20">
        <f t="shared" si="0"/>
        <v>112</v>
      </c>
      <c r="I5" s="22">
        <f t="shared" si="0"/>
        <v>14</v>
      </c>
      <c r="K5" t="s">
        <v>140</v>
      </c>
      <c r="L5" s="20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</v>
      </c>
      <c r="M5" s="20">
        <f>COUNTIF(Scenario0[winner1-ability1],ShadowAbilities1Scenario0[[#This Row],[ability]])+COUNTIF(Scenario0[winner2-ability1],ShadowAbilities1Scenario0[[#This Row],[ability]])</f>
        <v>5</v>
      </c>
      <c r="N5" s="21">
        <f>IF(SUM(ShadowAbilities1Scenario0[[#This Row],[takes]]) &gt; 0,ShadowAbilities1Scenario0[[#This Row],[takes]]/SUM(ShadowAbilities1Scenario0[takes]),0)</f>
        <v>7.6190476190476197E-2</v>
      </c>
      <c r="O5" s="21">
        <f>IF(ShadowAbilities1Scenario0[[#This Row],[takes]]&gt;0,ShadowAbilities1Scenario0[[#This Row],[wins]]/ShadowAbilities1Scenario0[[#This Row],[takes]],0)</f>
        <v>0.625</v>
      </c>
      <c r="P5" s="20"/>
      <c r="Q5" s="20">
        <v>3</v>
      </c>
      <c r="R5" s="20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59</v>
      </c>
      <c r="S5" s="22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12</v>
      </c>
      <c r="T5" s="20"/>
      <c r="U5" t="s">
        <v>392</v>
      </c>
      <c r="V5" s="18">
        <f>ShadowEquip[[#This Row],[chestpiece]]/SUM(ShadowEquip[chestpiece])</f>
        <v>6.25E-2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SUM(ShadowAbilities2[takes])/SUM(ShadowAbilities1[takes])</f>
        <v>0.29017857142857145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SUM(ShadowAbilities3[takes])/SUM(ShadowAbilities1[takes])</f>
        <v>0.15625</v>
      </c>
    </row>
    <row r="8" spans="1:22" x14ac:dyDescent="0.4">
      <c r="A8" s="2" t="s">
        <v>141</v>
      </c>
      <c r="B8" s="2">
        <f>L8+L29+L50</f>
        <v>20</v>
      </c>
      <c r="C8" s="2">
        <f>M8+M29+M50</f>
        <v>13</v>
      </c>
      <c r="D8" s="13">
        <f>IF(SUM(ShadowAbilities2[[#This Row],[takes]]) &gt; 0,ShadowAbilities2[[#This Row],[takes]]/SUM(ShadowAbilities2[takes]),0)</f>
        <v>0.30769230769230771</v>
      </c>
      <c r="E8" s="13">
        <f>IF(ShadowAbilities2[[#This Row],[takes]]&gt;0,ShadowAbilities2[[#This Row],[wins]]/ShadowAbilities2[[#This Row],[takes]],0)</f>
        <v>0.65</v>
      </c>
      <c r="F8" s="20"/>
      <c r="G8" s="20"/>
      <c r="H8" s="20"/>
      <c r="I8" s="22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13</v>
      </c>
      <c r="M8" s="2">
        <f>COUNTIF(Scenario0[winner1-ability2],ShadowAbilities2Scenario0[[#This Row],[ability]])+COUNTIF(Scenario0[winner2-ability2],ShadowAbilities2Scenario0[[#This Row],[ability]])</f>
        <v>6</v>
      </c>
      <c r="N8" s="13">
        <f>IF(SUM(ShadowAbilities2Scenario0[[#This Row],[takes]]) &gt; 0,ShadowAbilities2Scenario0[[#This Row],[takes]]/SUM(ShadowAbilities2Scenario0[takes]),0)</f>
        <v>0.34210526315789475</v>
      </c>
      <c r="O8" s="13">
        <f>IF(ShadowAbilities2Scenario0[[#This Row],[takes]]&gt;0,ShadowAbilities2Scenario0[[#This Row],[wins]]/ShadowAbilities2Scenario0[[#This Row],[takes]],0)</f>
        <v>0.46153846153846156</v>
      </c>
      <c r="P8" s="20"/>
      <c r="Q8" s="20"/>
      <c r="R8" s="20"/>
      <c r="S8" s="22"/>
      <c r="T8" s="20"/>
      <c r="U8" t="s">
        <v>390</v>
      </c>
      <c r="V8" s="18">
        <f>SUM(ShadowAbilities4[takes])/SUM(ShadowAbilities1[takes])</f>
        <v>5.8035714285714288E-2</v>
      </c>
    </row>
    <row r="9" spans="1:22" x14ac:dyDescent="0.4">
      <c r="A9" t="s">
        <v>92</v>
      </c>
      <c r="B9" s="2">
        <f t="shared" ref="B9:C10" si="3">L9+L30+L51</f>
        <v>8</v>
      </c>
      <c r="C9" s="2">
        <f t="shared" si="3"/>
        <v>3</v>
      </c>
      <c r="D9" s="21">
        <f>IF(SUM(ShadowAbilities2[[#This Row],[takes]]) &gt; 0,ShadowAbilities2[[#This Row],[takes]]/SUM(ShadowAbilities2[takes]),0)</f>
        <v>0.12307692307692308</v>
      </c>
      <c r="E9" s="21">
        <f>IF(ShadowAbilities2[[#This Row],[takes]]&gt;0,ShadowAbilities2[[#This Row],[wins]]/ShadowAbilities2[[#This Row],[takes]],0)</f>
        <v>0.375</v>
      </c>
      <c r="F9" s="20"/>
      <c r="G9" s="20"/>
      <c r="H9" s="20"/>
      <c r="I9" s="22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5</v>
      </c>
      <c r="M9" s="2">
        <f>COUNTIF(Scenario0[winner1-ability2],ShadowAbilities2Scenario0[[#This Row],[ability]])+COUNTIF(Scenario0[winner2-ability2],ShadowAbilities2Scenario0[[#This Row],[ability]])</f>
        <v>2</v>
      </c>
      <c r="N9" s="21">
        <f>IF(SUM(ShadowAbilities2Scenario0[[#This Row],[takes]]) &gt; 0,ShadowAbilities2Scenario0[[#This Row],[takes]]/SUM(ShadowAbilities2Scenario0[takes]),0)</f>
        <v>0.13157894736842105</v>
      </c>
      <c r="O9" s="21">
        <f>IF(ShadowAbilities2Scenario0[[#This Row],[takes]]&gt;0,ShadowAbilities2Scenario0[[#This Row],[wins]]/ShadowAbilities2Scenario0[[#This Row],[takes]],0)</f>
        <v>0.4</v>
      </c>
      <c r="P9" s="20"/>
      <c r="Q9" s="20"/>
      <c r="R9" s="20"/>
      <c r="S9" s="22"/>
      <c r="T9" s="20"/>
      <c r="U9" t="s">
        <v>672</v>
      </c>
      <c r="V9" s="39">
        <f>(SUM(ShadowAbilities2[takes])+SUM(ShadowAbilities3[takes])+SUM(ShadowAbilities4[takes])+SUM(H4:H5)+SUM(I4:I5))/SUM(ShadowAbilities1[takes])</f>
        <v>1.6473214285714286</v>
      </c>
    </row>
    <row r="10" spans="1:22" x14ac:dyDescent="0.4">
      <c r="A10" s="11" t="s">
        <v>76</v>
      </c>
      <c r="B10" s="2">
        <f t="shared" si="3"/>
        <v>37</v>
      </c>
      <c r="C10" s="2">
        <f t="shared" si="3"/>
        <v>17</v>
      </c>
      <c r="D10" s="14">
        <f>IF(SUM(ShadowAbilities2[[#This Row],[takes]]) &gt; 0,ShadowAbilities2[[#This Row],[takes]]/SUM(ShadowAbilities2[takes]),0)</f>
        <v>0.56923076923076921</v>
      </c>
      <c r="E10" s="14">
        <f>IF(ShadowAbilities2[[#This Row],[takes]]&gt;0,ShadowAbilities2[[#This Row],[wins]]/ShadowAbilities2[[#This Row],[takes]],0)</f>
        <v>0.45945945945945948</v>
      </c>
      <c r="F10" s="20"/>
      <c r="G10" s="20"/>
      <c r="H10" s="20"/>
      <c r="I10" s="22"/>
      <c r="K10" s="11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20</v>
      </c>
      <c r="M10" s="2">
        <f>COUNTIF(Scenario0[winner1-ability2],ShadowAbilities2Scenario0[[#This Row],[ability]])+COUNTIF(Scenario0[winner2-ability2],ShadowAbilities2Scenario0[[#This Row],[ability]])</f>
        <v>8</v>
      </c>
      <c r="N10" s="14">
        <f>IF(SUM(ShadowAbilities2Scenario0[[#This Row],[takes]]) &gt; 0,ShadowAbilities2Scenario0[[#This Row],[takes]]/SUM(ShadowAbilities2Scenario0[takes]),0)</f>
        <v>0.52631578947368418</v>
      </c>
      <c r="O10" s="14">
        <f>IF(ShadowAbilities2Scenario0[[#This Row],[takes]]&gt;0,ShadowAbilities2Scenario0[[#This Row],[wins]]/ShadowAbilities2Scenario0[[#This Row],[takes]],0)</f>
        <v>0.4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102</v>
      </c>
      <c r="B13" s="1">
        <f>L13+L34+L55</f>
        <v>5</v>
      </c>
      <c r="C13" s="1">
        <f>M13+M34+M55</f>
        <v>3</v>
      </c>
      <c r="D13" s="15">
        <f>IF(SUM(ShadowAbilities3[[#This Row],[takes]]) &gt; 0,ShadowAbilities3[[#This Row],[takes]]/SUM(ShadowAbilities3[takes]),0)</f>
        <v>0.14285714285714285</v>
      </c>
      <c r="E13" s="15">
        <f>IF(ShadowAbilities3[[#This Row],[takes]]&gt;0,ShadowAbilities3[[#This Row],[wins]]/ShadowAbilities3[[#This Row],[takes]],0)</f>
        <v>0.6</v>
      </c>
      <c r="F13" s="20"/>
      <c r="G13" s="20"/>
      <c r="H13" s="20"/>
      <c r="I13" s="22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4</v>
      </c>
      <c r="M13" s="1">
        <f>COUNTIF(Scenario0[winner1-ability3],ShadowAbilities3Scenario0[[#This Row],[ability]])+COUNTIF(Scenario0[winner2-ability3],ShadowAbilities3Scenario0[[#This Row],[ability]])</f>
        <v>2</v>
      </c>
      <c r="N13" s="15">
        <f>IF(SUM(ShadowAbilities3Scenario0[[#This Row],[takes]]) &gt; 0,ShadowAbilities3Scenario0[[#This Row],[takes]]/SUM(ShadowAbilities3Scenario0[takes]),0)</f>
        <v>0.16</v>
      </c>
      <c r="O13" s="15">
        <f>IF(ShadowAbilities3Scenario0[[#This Row],[takes]]&gt;0,ShadowAbilities3Scenario0[[#This Row],[wins]]/ShadowAbilities3Scenario0[[#This Row],[takes]],0)</f>
        <v>0.5</v>
      </c>
      <c r="P13" s="20"/>
      <c r="Q13" s="20"/>
      <c r="R13" s="20"/>
      <c r="S13" s="22"/>
      <c r="T13" s="20"/>
    </row>
    <row r="14" spans="1:22" x14ac:dyDescent="0.4">
      <c r="A14" s="2" t="s">
        <v>142</v>
      </c>
      <c r="B14" s="2">
        <f t="shared" ref="B14:C15" si="4">L14+L35+L56</f>
        <v>9</v>
      </c>
      <c r="C14" s="2">
        <f t="shared" si="4"/>
        <v>4</v>
      </c>
      <c r="D14" s="13">
        <f>IF(SUM(ShadowAbilities3[[#This Row],[takes]]) &gt; 0,ShadowAbilities3[[#This Row],[takes]]/SUM(ShadowAbilities3[takes]),0)</f>
        <v>0.25714285714285712</v>
      </c>
      <c r="E14" s="13">
        <f>IF(ShadowAbilities3[[#This Row],[takes]]&gt;0,ShadowAbilities3[[#This Row],[wins]]/ShadowAbilities3[[#This Row],[takes]],0)</f>
        <v>0.44444444444444442</v>
      </c>
      <c r="F14" s="20"/>
      <c r="G14" s="20"/>
      <c r="H14" s="20"/>
      <c r="I14" s="22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7</v>
      </c>
      <c r="M14" s="2">
        <f>COUNTIF(Scenario0[winner1-ability3],ShadowAbilities3Scenario0[[#This Row],[ability]])+COUNTIF(Scenario0[winner2-ability3],ShadowAbilities3Scenario0[[#This Row],[ability]])</f>
        <v>4</v>
      </c>
      <c r="N14" s="13">
        <f>IF(SUM(ShadowAbilities3Scenario0[[#This Row],[takes]]) &gt; 0,ShadowAbilities3Scenario0[[#This Row],[takes]]/SUM(ShadowAbilities3Scenario0[takes]),0)</f>
        <v>0.28000000000000003</v>
      </c>
      <c r="O14" s="13">
        <f>IF(ShadowAbilities3Scenario0[[#This Row],[takes]]&gt;0,ShadowAbilities3Scenario0[[#This Row],[wins]]/ShadowAbilities3Scenario0[[#This Row],[takes]],0)</f>
        <v>0.5714285714285714</v>
      </c>
      <c r="P14" s="20"/>
      <c r="Q14" s="20"/>
      <c r="R14" s="20"/>
      <c r="S14" s="22"/>
      <c r="T14" s="20"/>
    </row>
    <row r="15" spans="1:22" x14ac:dyDescent="0.4">
      <c r="A15" s="12" t="s">
        <v>93</v>
      </c>
      <c r="B15" s="1">
        <f t="shared" si="4"/>
        <v>21</v>
      </c>
      <c r="C15" s="1">
        <f t="shared" si="4"/>
        <v>7</v>
      </c>
      <c r="D15" s="16">
        <f>IF(SUM(ShadowAbilities3[[#This Row],[takes]]) &gt; 0,ShadowAbilities3[[#This Row],[takes]]/SUM(ShadowAbilities3[takes]),0)</f>
        <v>0.6</v>
      </c>
      <c r="E15" s="16">
        <f>IF(ShadowAbilities3[[#This Row],[takes]]&gt;0,ShadowAbilities3[[#This Row],[wins]]/ShadowAbilities3[[#This Row],[takes]],0)</f>
        <v>0.33333333333333331</v>
      </c>
      <c r="F15" s="20"/>
      <c r="G15" s="20"/>
      <c r="H15" s="20"/>
      <c r="I15" s="22"/>
      <c r="K15" s="12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14</v>
      </c>
      <c r="M15" s="1">
        <f>COUNTIF(Scenario0[winner1-ability3],ShadowAbilities3Scenario0[[#This Row],[ability]])+COUNTIF(Scenario0[winner2-ability3],ShadowAbilities3Scenario0[[#This Row],[ability]])</f>
        <v>5</v>
      </c>
      <c r="N15" s="16">
        <f>IF(SUM(ShadowAbilities3Scenario0[[#This Row],[takes]]) &gt; 0,ShadowAbilities3Scenario0[[#This Row],[takes]]/SUM(ShadowAbilities3Scenario0[takes]),0)</f>
        <v>0.56000000000000005</v>
      </c>
      <c r="O15" s="16">
        <f>IF(ShadowAbilities3Scenario0[[#This Row],[takes]]&gt;0,ShadowAbilities3Scenario0[[#This Row],[wins]]/ShadowAbilities3Scenario0[[#This Row],[takes]],0)</f>
        <v>0.35714285714285715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143</v>
      </c>
      <c r="B18" s="2">
        <f>L18+L39+L60</f>
        <v>3</v>
      </c>
      <c r="C18" s="2">
        <f>M18+M39+M60</f>
        <v>1</v>
      </c>
      <c r="D18" s="13">
        <f>IF(SUM(ShadowAbilities4[[#This Row],[takes]]) &gt; 0,ShadowAbilities4[[#This Row],[takes]]/SUM(ShadowAbilities4[takes]),0)</f>
        <v>0.23076923076923078</v>
      </c>
      <c r="E18" s="13">
        <f>IF(ShadowAbilities4[[#This Row],[takes]]&gt;0,ShadowAbilities4[[#This Row],[wins]]/ShadowAbilities4[[#This Row],[takes]],0)</f>
        <v>0.33333333333333331</v>
      </c>
      <c r="F18" s="20"/>
      <c r="G18" s="20"/>
      <c r="H18" s="20"/>
      <c r="I18" s="22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2</v>
      </c>
      <c r="M18" s="2">
        <f>COUNTIF(Scenario0[winner1-ability4],ShadowAbilities4Scenario0[[#This Row],[ability]])+COUNTIF(Scenario0[winner2-ability4],ShadowAbilities4Scenario0[[#This Row],[ability]])</f>
        <v>1</v>
      </c>
      <c r="N18" s="13">
        <f>IF(SUM(ShadowAbilities4Scenario0[[#This Row],[takes]]) &gt; 0,ShadowAbilities4Scenario0[[#This Row],[takes]]/SUM(ShadowAbilities4Scenario0[takes]),0)</f>
        <v>0.18181818181818182</v>
      </c>
      <c r="O18" s="13">
        <f>IF(ShadowAbilities4Scenario0[[#This Row],[takes]]&gt;0,ShadowAbilities4Scenario0[[#This Row],[wins]]/ShadowAbilities4Scenario0[[#This Row],[takes]],0)</f>
        <v>0.5</v>
      </c>
      <c r="P18" s="20"/>
      <c r="Q18" s="20"/>
      <c r="R18" s="20"/>
      <c r="S18" s="22"/>
      <c r="T18" s="20"/>
    </row>
    <row r="19" spans="1:20" x14ac:dyDescent="0.4">
      <c r="A19" s="2" t="s">
        <v>144</v>
      </c>
      <c r="B19" s="2">
        <f t="shared" ref="B19:C20" si="5">L19+L40+L61</f>
        <v>6</v>
      </c>
      <c r="C19" s="2">
        <f t="shared" si="5"/>
        <v>1</v>
      </c>
      <c r="D19" s="13">
        <f>IF(SUM(ShadowAbilities4[[#This Row],[takes]]) &gt; 0,ShadowAbilities4[[#This Row],[takes]]/SUM(ShadowAbilities4[takes]),0)</f>
        <v>0.46153846153846156</v>
      </c>
      <c r="E19" s="13">
        <f>IF(ShadowAbilities4[[#This Row],[takes]]&gt;0,ShadowAbilities4[[#This Row],[wins]]/ShadowAbilities4[[#This Row],[takes]],0)</f>
        <v>0.16666666666666666</v>
      </c>
      <c r="F19" s="20"/>
      <c r="G19" s="20"/>
      <c r="H19" s="20"/>
      <c r="I19" s="22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6</v>
      </c>
      <c r="M19" s="2">
        <f>COUNTIF(Scenario0[winner1-ability4],ShadowAbilities4Scenario0[[#This Row],[ability]])+COUNTIF(Scenario0[winner2-ability4],ShadowAbilities4Scenario0[[#This Row],[ability]])</f>
        <v>1</v>
      </c>
      <c r="N19" s="13">
        <f>IF(SUM(ShadowAbilities4Scenario0[[#This Row],[takes]]) &gt; 0,ShadowAbilities4Scenario0[[#This Row],[takes]]/SUM(ShadowAbilities4Scenario0[takes]),0)</f>
        <v>0.54545454545454541</v>
      </c>
      <c r="O19" s="13">
        <f>IF(ShadowAbilities4Scenario0[[#This Row],[takes]]&gt;0,ShadowAbilities4Scenario0[[#This Row],[wins]]/ShadowAbilities4Scenario0[[#This Row],[takes]],0)</f>
        <v>0.16666666666666666</v>
      </c>
      <c r="P19" s="20"/>
      <c r="Q19" s="20"/>
      <c r="R19" s="20"/>
      <c r="S19" s="22"/>
      <c r="T19" s="20"/>
    </row>
    <row r="20" spans="1:20" ht="15" thickBot="1" x14ac:dyDescent="0.45">
      <c r="A20" s="11" t="s">
        <v>94</v>
      </c>
      <c r="B20" s="2">
        <f t="shared" si="5"/>
        <v>4</v>
      </c>
      <c r="C20" s="2">
        <f t="shared" si="5"/>
        <v>1</v>
      </c>
      <c r="D20" s="30">
        <f>IF(SUM(ShadowAbilities4[[#This Row],[takes]]) &gt; 0,ShadowAbilities4[[#This Row],[takes]]/SUM(ShadowAbilities4[takes]),0)</f>
        <v>0.30769230769230771</v>
      </c>
      <c r="E20" s="30">
        <f>IF(ShadowAbilities4[[#This Row],[takes]]&gt;0,ShadowAbilities4[[#This Row],[wins]]/ShadowAbilities4[[#This Row],[takes]],0)</f>
        <v>0.25</v>
      </c>
      <c r="F20" s="31"/>
      <c r="G20" s="31"/>
      <c r="H20" s="31"/>
      <c r="I20" s="32"/>
      <c r="K20" s="11" t="s">
        <v>94</v>
      </c>
      <c r="L20" s="29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3</v>
      </c>
      <c r="M20" s="29">
        <f>COUNTIF(Scenario0[winner1-ability4],ShadowAbilities4Scenario0[[#This Row],[ability]])+COUNTIF(Scenario0[winner2-ability4],ShadowAbilities4Scenario0[[#This Row],[ability]])</f>
        <v>1</v>
      </c>
      <c r="N20" s="30">
        <f>IF(SUM(ShadowAbilities4Scenario0[[#This Row],[takes]]) &gt; 0,ShadowAbilities4Scenario0[[#This Row],[takes]]/SUM(ShadowAbilities4Scenario0[takes]),0)</f>
        <v>0.27272727272727271</v>
      </c>
      <c r="O20" s="30">
        <f>IF(ShadowAbilities4Scenario0[[#This Row],[takes]]&gt;0,ShadowAbilities4Scenario0[[#This Row],[wins]]/ShadowAbilities4Scenario0[[#This Row],[takes]],0)</f>
        <v>0.33333333333333331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169</v>
      </c>
      <c r="S23" s="22" t="s">
        <v>164</v>
      </c>
      <c r="T23" s="20"/>
    </row>
    <row r="24" spans="1:20" x14ac:dyDescent="0.4">
      <c r="K24" t="s">
        <v>47</v>
      </c>
      <c r="L24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72</v>
      </c>
      <c r="M24" s="20">
        <f>COUNTIF(Scenario1[winner1-ability1],ShadowAbilities1Scenario1[[#This Row],[ability]])+COUNTIF(Scenario1[winner2-ability1],ShadowAbilities1Scenario1[[#This Row],[ability]])</f>
        <v>38</v>
      </c>
      <c r="N24" s="21">
        <f>IF(SUM(ShadowAbilities1Scenario1[[#This Row],[takes]]) &gt; 0,ShadowAbilities1Scenario1[[#This Row],[takes]]/SUM(ShadowAbilities1Scenario1[takes]),0)</f>
        <v>0.68571428571428572</v>
      </c>
      <c r="O24" s="21">
        <f>IF(ShadowAbilities1Scenario1[[#This Row],[takes]]&gt;0,ShadowAbilities1Scenario1[[#This Row],[wins]]/ShadowAbilities1Scenario1[[#This Row],[takes]],0)</f>
        <v>0.52777777777777779</v>
      </c>
      <c r="P24" s="20"/>
      <c r="Q24" s="20">
        <v>1</v>
      </c>
      <c r="R24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96</v>
      </c>
      <c r="T24" s="20"/>
    </row>
    <row r="25" spans="1:20" x14ac:dyDescent="0.4">
      <c r="K25" t="s">
        <v>86</v>
      </c>
      <c r="L25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23</v>
      </c>
      <c r="M25" s="20">
        <f>COUNTIF(Scenario1[winner1-ability1],ShadowAbilities1Scenario1[[#This Row],[ability]])+COUNTIF(Scenario1[winner2-ability1],ShadowAbilities1Scenario1[[#This Row],[ability]])</f>
        <v>15</v>
      </c>
      <c r="N25" s="21">
        <f>IF(SUM(ShadowAbilities1Scenario1[[#This Row],[takes]]) &gt; 0,ShadowAbilities1Scenario1[[#This Row],[takes]]/SUM(ShadowAbilities1Scenario1[takes]),0)</f>
        <v>0.21904761904761905</v>
      </c>
      <c r="O25" s="21">
        <f>IF(ShadowAbilities1Scenario1[[#This Row],[takes]]&gt;0,ShadowAbilities1Scenario1[[#This Row],[wins]]/ShadowAbilities1Scenario1[[#This Row],[takes]],0)</f>
        <v>0.65217391304347827</v>
      </c>
      <c r="P25" s="20"/>
      <c r="Q25" s="20">
        <v>2</v>
      </c>
      <c r="R25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63</v>
      </c>
      <c r="S25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</v>
      </c>
      <c r="T25" s="20"/>
    </row>
    <row r="26" spans="1:20" x14ac:dyDescent="0.4">
      <c r="K26" t="s">
        <v>140</v>
      </c>
      <c r="L26" s="20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10</v>
      </c>
      <c r="M26" s="20">
        <f>COUNTIF(Scenario1[winner1-ability1],ShadowAbilities1Scenario1[[#This Row],[ability]])+COUNTIF(Scenario1[winner2-ability1],ShadowAbilities1Scenario1[[#This Row],[ability]])</f>
        <v>6</v>
      </c>
      <c r="N26" s="21">
        <f>IF(SUM(ShadowAbilities1Scenario1[[#This Row],[takes]]) &gt; 0,ShadowAbilities1Scenario1[[#This Row],[takes]]/SUM(ShadowAbilities1Scenario1[takes]),0)</f>
        <v>9.5238095238095233E-2</v>
      </c>
      <c r="O26" s="21">
        <f>IF(ShadowAbilities1Scenario1[[#This Row],[takes]]&gt;0,ShadowAbilities1Scenario1[[#This Row],[wins]]/ShadowAbilities1Scenario1[[#This Row],[takes]],0)</f>
        <v>0.6</v>
      </c>
      <c r="P26" s="20"/>
      <c r="Q26" s="20">
        <v>3</v>
      </c>
      <c r="R26" s="20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6" s="22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29" s="2">
        <f>COUNTIF(Scenario1[winner1-ability2],ShadowAbilities2Scenario1[[#This Row],[ability]])+COUNTIF(Scenario1[winner2-ability2],ShadowAbilities2Scenario1[[#This Row],[ability]])</f>
        <v>6</v>
      </c>
      <c r="N29" s="13">
        <f>IF(SUM(ShadowAbilities2Scenario1[[#This Row],[takes]]) &gt; 0,ShadowAbilities2Scenario1[[#This Row],[takes]]/SUM(ShadowAbilities2Scenario1[takes]),0)</f>
        <v>0.375</v>
      </c>
      <c r="O29" s="13">
        <f>IF(ShadowAbilities2Scenario1[[#This Row],[takes]]&gt;0,ShadowAbilities2Scenario1[[#This Row],[wins]]/ShadowAbilities2Scenario1[[#This Row],[takes]],0)</f>
        <v>1</v>
      </c>
      <c r="P29" s="20"/>
      <c r="Q29" s="20"/>
      <c r="R29" s="20"/>
      <c r="S29" s="22"/>
      <c r="T29" s="20"/>
    </row>
    <row r="30" spans="1:20" x14ac:dyDescent="0.4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0" s="2">
        <f>COUNTIF(Scenario1[winner1-ability2],ShadowAbilities2Scenario1[[#This Row],[ability]])+COUNTIF(Scenario1[winner2-ability2],ShadowAbilities2Scenario1[[#This Row],[ability]])</f>
        <v>1</v>
      </c>
      <c r="N30" s="21">
        <f>IF(SUM(ShadowAbilities2Scenario1[[#This Row],[takes]]) &gt; 0,ShadowAbilities2Scenario1[[#This Row],[takes]]/SUM(ShadowAbilities2Scenario1[takes]),0)</f>
        <v>0.125</v>
      </c>
      <c r="O30" s="21">
        <f>IF(ShadowAbilities2Scenario1[[#This Row],[takes]]&gt;0,ShadowAbilities2Scenario1[[#This Row],[wins]]/ShadowAbilities2Scenario1[[#This Row],[takes]],0)</f>
        <v>0.5</v>
      </c>
      <c r="P30" s="20"/>
      <c r="Q30" s="20"/>
      <c r="R30" s="20"/>
      <c r="S30" s="22"/>
      <c r="T30" s="20"/>
    </row>
    <row r="31" spans="1:20" x14ac:dyDescent="0.4">
      <c r="K31" s="11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31" s="2">
        <f>COUNTIF(Scenario1[winner1-ability2],ShadowAbilities2Scenario1[[#This Row],[ability]])+COUNTIF(Scenario1[winner2-ability2],ShadowAbilities2Scenario1[[#This Row],[ability]])</f>
        <v>4</v>
      </c>
      <c r="N31" s="14">
        <f>IF(SUM(ShadowAbilities2Scenario1[[#This Row],[takes]]) &gt; 0,ShadowAbilities2Scenario1[[#This Row],[takes]]/SUM(ShadowAbilities2Scenario1[takes]),0)</f>
        <v>0.5</v>
      </c>
      <c r="O31" s="14">
        <f>IF(ShadowAbilities2Scenario1[[#This Row],[takes]]&gt;0,ShadowAbilities2Scenario1[[#This Row],[wins]]/ShadowAbilities2Scenario1[[#This Row],[takes]],0)</f>
        <v>0.5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5">
        <f>IF(SUM(ShadowAbilities3Scenario1[[#This Row],[takes]]) &gt; 0,ShadowAbilities3Scenario1[[#This Row],[takes]]/SUM(ShadowAbilities3Scenario1[takes]),0)</f>
        <v>0</v>
      </c>
      <c r="O34" s="15">
        <f>IF(ShadowAbilities3Scenario1[[#This Row],[takes]]&gt;0,ShadowAbilities3Scenario1[[#This Row],[wins]]/ShadowAbilities3Scenario1[[#This Row],[takes]],0)</f>
        <v>0</v>
      </c>
      <c r="P34" s="20"/>
      <c r="Q34" s="20"/>
      <c r="R34" s="20"/>
      <c r="S34" s="22"/>
      <c r="T34" s="20"/>
    </row>
    <row r="35" spans="11:20" x14ac:dyDescent="0.4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3">
        <f>IF(SUM(ShadowAbilities3Scenario1[[#This Row],[takes]]) &gt; 0,ShadowAbilities3Scenario1[[#This Row],[takes]]/SUM(ShadowAbilities3Scenario1[takes]),0)</f>
        <v>0.5</v>
      </c>
      <c r="O35" s="13">
        <f>IF(ShadowAbilities3Scenario1[[#This Row],[takes]]&gt;0,ShadowAbilities3Scenario1[[#This Row],[wins]]/ShadowAbilities3Scenario1[[#This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0</v>
      </c>
      <c r="N36" s="16">
        <f>IF(SUM(ShadowAbilities3Scenario1[[#This Row],[takes]]) &gt; 0,ShadowAbilities3Scenario1[[#This Row],[takes]]/SUM(ShadowAbilities3Scenario1[takes]),0)</f>
        <v>0.5</v>
      </c>
      <c r="O36" s="16">
        <f>IF(ShadowAbilities3Scenario1[[#This Row],[takes]]&gt;0,ShadowAbilities3Scenario1[[#This Row],[wins]]/ShadowAbilities3Scenario1[[#This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3">
        <f>IF(SUM(ShadowAbilities4Scenario1[[#This Row],[takes]]) &gt; 0,ShadowAbilities4Scenario1[[#This Row],[takes]]/SUM(ShadowAbilities4Scenario1[takes]),0)</f>
        <v>0</v>
      </c>
      <c r="O39" s="13">
        <f>IF(ShadowAbilities4Scenario1[[#This Row],[takes]]&gt;0,ShadowAbilities4Scenario1[[#This Row],[wins]]/ShadowAbilities4Scenario1[[#This Row],[takes]],0)</f>
        <v>0</v>
      </c>
      <c r="P39" s="20"/>
      <c r="Q39" s="20"/>
      <c r="R39" s="20"/>
      <c r="S39" s="22"/>
      <c r="T39" s="20"/>
    </row>
    <row r="40" spans="11:20" x14ac:dyDescent="0.4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3">
        <f>IF(SUM(ShadowAbilities4Scenario1[[#This Row],[takes]]) &gt; 0,ShadowAbilities4Scenario1[[#This Row],[takes]]/SUM(ShadowAbilities4Scenario1[takes]),0)</f>
        <v>0</v>
      </c>
      <c r="O40" s="13">
        <f>IF(ShadowAbilities4Scenario1[[#This Row],[takes]]&gt;0,ShadowAbilities4Scenario1[[#This Row],[wins]]/ShadowAbilities4Scenario1[[#This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94</v>
      </c>
      <c r="L41" s="29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9">
        <f>COUNTIF(Scenario1[winner1-ability4],ShadowAbilities4Scenario1[[#This Row],[ability]])+COUNTIF(Scenario1[winner2-ability4],ShadowAbilities4Scenario1[[#This Row],[ability]])</f>
        <v>0</v>
      </c>
      <c r="N41" s="30">
        <f>IF(SUM(ShadowAbilities4Scenario1[[#This Row],[takes]]) &gt; 0,ShadowAbilities4Scenario1[[#This Row],[takes]]/SUM(ShadowAbilities4Scenario1[takes]),0)</f>
        <v>0</v>
      </c>
      <c r="O41" s="30">
        <f>IF(ShadowAbilities4Scenario1[[#This Row],[takes]]&gt;0,ShadowAbilities4Scenario1[[#This Row],[wins]]/ShadowAbilities4Scenario1[[#This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169</v>
      </c>
      <c r="S44" s="22" t="s">
        <v>164</v>
      </c>
    </row>
    <row r="45" spans="11:20" x14ac:dyDescent="0.4">
      <c r="K45" t="s">
        <v>47</v>
      </c>
      <c r="L45" s="20">
        <f>COUNTIF(Scenario2[winner1-ability1],ShadowAbilities1Scenario2[[#This Row],[ability]])+COUNTIF(Scenario2[loser1-ability1],ShadowAbilities1Scenario2[[#This Row],[ability]])</f>
        <v>0</v>
      </c>
      <c r="M45" s="20">
        <f>COUNTIF(Scenario2[winner1-ability1],ShadowAbilities1Scenario2[[#This Row],[ability]])</f>
        <v>0</v>
      </c>
      <c r="N45" s="21">
        <f>IF(SUM(ShadowAbilities1Scenario2[[#This Row],[takes]]) &gt; 0,ShadowAbilities1Scenario2[[#This Row],[takes]]/SUM(ShadowAbilities1Scenario2[takes]),0)</f>
        <v>0</v>
      </c>
      <c r="O45" s="21">
        <f>IF(ShadowAbilities1Scenario2[[#This Row],[takes]]&gt;0,ShadowAbilities1Scenario2[[#This Row],[wins]]/ShadowAbilities1Scenario2[[#This Row],[takes]],0)</f>
        <v>0</v>
      </c>
      <c r="P45" s="20"/>
      <c r="Q45" s="20">
        <v>1</v>
      </c>
      <c r="R45" s="20">
        <f>COUNTIFS(Scenario2[winner1],"shadow",Scenario2[winner1-pw],ShadowEquipScenario2[[#This Row],[level]])+COUNTIFS(Scenario2[loser1],"shadow",Scenario2[loser1-pw],ShadowEquipScenario2[[#This Row],[level]])</f>
        <v>0</v>
      </c>
      <c r="S45" s="22">
        <f>COUNTIFS(Scenario2[winner1],"shadow",Scenario2[winner1-cp],ShadowEquipScenario2[[#This Row],[level]])+COUNTIFS(Scenario2[loser1],"shadow",Scenario2[loser1-cp],ShadowEquipScenario2[[#This Row],[level]])</f>
        <v>10</v>
      </c>
    </row>
    <row r="46" spans="11:20" x14ac:dyDescent="0.4">
      <c r="K46" t="s">
        <v>86</v>
      </c>
      <c r="L46" s="20">
        <f>COUNTIF(Scenario2[winner1-ability1],ShadowAbilities1Scenario2[[#This Row],[ability]])+COUNTIF(Scenario2[loser1-ability1],ShadowAbilities1Scenario2[[#This Row],[ability]])</f>
        <v>7</v>
      </c>
      <c r="M46" s="20">
        <f>COUNTIF(Scenario2[winner1-ability1],ShadowAbilities1Scenario2[[#This Row],[ability]])</f>
        <v>4</v>
      </c>
      <c r="N46" s="21">
        <f>IF(SUM(ShadowAbilities1Scenario2[[#This Row],[takes]]) &gt; 0,ShadowAbilities1Scenario2[[#This Row],[takes]]/SUM(ShadowAbilities1Scenario2[takes]),0)</f>
        <v>0.5</v>
      </c>
      <c r="O46" s="21">
        <f>IF(ShadowAbilities1Scenario2[[#This Row],[takes]]&gt;0,ShadowAbilities1Scenario2[[#This Row],[wins]]/ShadowAbilities1Scenario2[[#This Row],[takes]],0)</f>
        <v>0.5714285714285714</v>
      </c>
      <c r="P46" s="20"/>
      <c r="Q46" s="20">
        <v>2</v>
      </c>
      <c r="R46" s="20">
        <f>COUNTIFS(Scenario2[winner1],"shadow",Scenario2[winner1-pw],ShadowEquipScenario2[[#This Row],[level]])+COUNTIFS(Scenario2[loser1],"shadow",Scenario2[loser1-pw],ShadowEquipScenario2[[#This Row],[level]])</f>
        <v>1</v>
      </c>
      <c r="S46" s="22">
        <f>COUNTIFS(Scenario2[winner1],"shadow",Scenario2[winner1-cp],ShadowEquipScenario2[[#This Row],[level]])+COUNTIFS(Scenario2[loser1],"shadow",Scenario2[loser1-cp],ShadowEquipScenario2[[#This Row],[level]])</f>
        <v>3</v>
      </c>
    </row>
    <row r="47" spans="11:20" x14ac:dyDescent="0.4">
      <c r="K47" t="s">
        <v>140</v>
      </c>
      <c r="L47" s="20">
        <f>COUNTIF(Scenario2[winner1-ability1],ShadowAbilities1Scenario2[[#This Row],[ability]])+COUNTIF(Scenario2[loser1-ability1],ShadowAbilities1Scenario2[[#This Row],[ability]])</f>
        <v>7</v>
      </c>
      <c r="M47" s="20">
        <f>COUNTIF(Scenario2[winner1-ability1],ShadowAbilities1Scenario2[[#This Row],[ability]])</f>
        <v>5</v>
      </c>
      <c r="N47" s="21">
        <f>IF(SUM(ShadowAbilities1Scenario2[[#This Row],[takes]]) &gt; 0,ShadowAbilities1Scenario2[[#This Row],[takes]]/SUM(ShadowAbilities1Scenario2[takes]),0)</f>
        <v>0.5</v>
      </c>
      <c r="O47" s="21">
        <f>IF(ShadowAbilities1Scenario2[[#This Row],[takes]]&gt;0,ShadowAbilities1Scenario2[[#This Row],[wins]]/ShadowAbilities1Scenario2[[#This Row],[takes]],0)</f>
        <v>0.7142857142857143</v>
      </c>
      <c r="P47" s="20"/>
      <c r="Q47" s="20">
        <v>3</v>
      </c>
      <c r="R47" s="20">
        <f>COUNTIFS(Scenario2[winner1],"shadow",Scenario2[winner1-pw],ShadowEquipScenario2[[#This Row],[level]])+COUNTIFS(Scenario2[loser1],"shadow",Scenario2[loser1-pw],ShadowEquipScenario2[[#This Row],[level]])</f>
        <v>13</v>
      </c>
      <c r="S47" s="22">
        <f>COUNTIFS(Scenario2[winner1],"shadow",Scenario2[winner1-cp],ShadowEquipScenario2[[#This Row],[level]])+COUNTIFS(Scenario2[loser1],"shadow",Scenario2[loser1-cp],ShadowEquipScenario2[[#This Row],[level]])</f>
        <v>1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1</v>
      </c>
      <c r="M50" s="2">
        <f>COUNTIF(Scenario2[winner1-ability2],ShadowAbilities2Scenario2[[#This Row],[ability]])</f>
        <v>1</v>
      </c>
      <c r="N50" s="13">
        <f>IF(SUM(ShadowAbilities2Scenario2[[#This Row],[takes]]) &gt; 0,ShadowAbilities2Scenario2[[#This Row],[takes]]/SUM(ShadowAbilities2Scenario2[takes]),0)</f>
        <v>9.0909090909090912E-2</v>
      </c>
      <c r="O50" s="13">
        <f>IF(ShadowAbilities2Scenario2[[#This Row],[takes]]&gt;0,ShadowAbilities2Scenario2[[#This Row],[wins]]/ShadowAbilities2Scenario2[[#This Row],[takes]],0)</f>
        <v>1</v>
      </c>
      <c r="P50" s="20"/>
      <c r="Q50" s="20"/>
      <c r="R50" s="20"/>
      <c r="S50" s="22"/>
      <c r="T50" s="20"/>
    </row>
    <row r="51" spans="11:20" x14ac:dyDescent="0.4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0</v>
      </c>
      <c r="N51" s="21">
        <f>IF(SUM(ShadowAbilities2Scenario2[[#This Row],[takes]]) &gt; 0,ShadowAbilities2Scenario2[[#This Row],[takes]]/SUM(ShadowAbilities2Scenario2[takes]),0)</f>
        <v>9.0909090909090912E-2</v>
      </c>
      <c r="O51" s="21">
        <f>IF(ShadowAbilities2Scenario2[[#This Row],[takes]]&gt;0,ShadowAbilities2Scenario2[[#This Row],[wins]]/ShadowAbilities2Scenario2[[#This Row],[takes]],0)</f>
        <v>0</v>
      </c>
      <c r="P51" s="20"/>
      <c r="Q51" s="20"/>
      <c r="R51" s="20"/>
      <c r="S51" s="22"/>
      <c r="T51" s="20"/>
    </row>
    <row r="52" spans="11:20" x14ac:dyDescent="0.4">
      <c r="K52" s="11" t="s">
        <v>76</v>
      </c>
      <c r="L52" s="2">
        <f>COUNTIF(Scenario2[winner1-ability2],ShadowAbilities2Scenario2[[#This Row],[ability]])+COUNTIF(Scenario2[loser1-ability2],ShadowAbilities2Scenario2[[#This Row],[ability]])</f>
        <v>9</v>
      </c>
      <c r="M52" s="2">
        <f>COUNTIF(Scenario2[winner1-ability2],ShadowAbilities2Scenario2[[#This Row],[ability]])</f>
        <v>5</v>
      </c>
      <c r="N52" s="14">
        <f>IF(SUM(ShadowAbilities2Scenario2[[#This Row],[takes]]) &gt; 0,ShadowAbilities2Scenario2[[#This Row],[takes]]/SUM(ShadowAbilities2Scenario2[takes]),0)</f>
        <v>0.81818181818181823</v>
      </c>
      <c r="O52" s="14">
        <f>IF(ShadowAbilities2Scenario2[[#This Row],[takes]]&gt;0,ShadowAbilities2Scenario2[[#This Row],[wins]]/ShadowAbilities2Scenario2[[#This Row],[takes]],0)</f>
        <v>0.55555555555555558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1</v>
      </c>
      <c r="M55" s="1">
        <f>COUNTIF(Scenario2[winner1-ability3],ShadowAbilities3Scenario2[[#This Row],[ability]])</f>
        <v>1</v>
      </c>
      <c r="N55" s="15">
        <f>IF(SUM(ShadowAbilities3Scenario2[[#This Row],[takes]]) &gt; 0,ShadowAbilities3Scenario2[[#This Row],[takes]]/SUM(ShadowAbilities3Scenario2[takes]),0)</f>
        <v>0.125</v>
      </c>
      <c r="O55" s="15">
        <f>IF(ShadowAbilities3Scenario2[[#This Row],[takes]]&gt;0,ShadowAbilities3Scenario2[[#This Row],[wins]]/ShadowAbilities3Scenario2[[#This Row],[takes]],0)</f>
        <v>1</v>
      </c>
      <c r="P55" s="20"/>
      <c r="Q55" s="20"/>
      <c r="R55" s="20"/>
      <c r="S55" s="22"/>
      <c r="T55" s="20"/>
    </row>
    <row r="56" spans="11:20" x14ac:dyDescent="0.4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1</v>
      </c>
      <c r="M56" s="2">
        <f>COUNTIF(Scenario2[winner1-ability3],ShadowAbilities3Scenario2[[#This Row],[ability]])</f>
        <v>0</v>
      </c>
      <c r="N56" s="13">
        <f>IF(SUM(ShadowAbilities3Scenario2[[#This Row],[takes]]) &gt; 0,ShadowAbilities3Scenario2[[#This Row],[takes]]/SUM(ShadowAbilities3Scenario2[takes]),0)</f>
        <v>0.125</v>
      </c>
      <c r="O56" s="13">
        <f>IF(ShadowAbilities3Scenario2[[#This Row],[takes]]&gt;0,ShadowAbilities3Scenario2[[#This Row],[wins]]/ShadowAbilities3Scenario2[[#This Row],[takes]],0)</f>
        <v>0</v>
      </c>
      <c r="P56" s="20"/>
      <c r="Q56" s="20"/>
      <c r="R56" s="20"/>
      <c r="S56" s="22"/>
      <c r="T56" s="20"/>
    </row>
    <row r="57" spans="11:20" x14ac:dyDescent="0.4">
      <c r="K57" s="12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2</v>
      </c>
      <c r="N57" s="16">
        <f>IF(SUM(ShadowAbilities3Scenario2[[#This Row],[takes]]) &gt; 0,ShadowAbilities3Scenario2[[#This Row],[takes]]/SUM(ShadowAbilities3Scenario2[takes]),0)</f>
        <v>0.75</v>
      </c>
      <c r="O57" s="16">
        <f>IF(ShadowAbilities3Scenario2[[#This Row],[takes]]&gt;0,ShadowAbilities3Scenario2[[#This Row],[wins]]/ShadowAbilities3Scenario2[[#This Row],[takes]],0)</f>
        <v>0.33333333333333331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1</v>
      </c>
      <c r="M60" s="2">
        <f>COUNTIF(Scenario2[winner1-ability4],ShadowAbilities4Scenario2[[#This Row],[ability]])</f>
        <v>0</v>
      </c>
      <c r="N60" s="13">
        <f>IF(SUM(ShadowAbilities4Scenario2[[#This Row],[takes]]) &gt; 0,ShadowAbilities4Scenario2[[#This Row],[takes]]/SUM(ShadowAbilities4Scenario2[takes]),0)</f>
        <v>0.5</v>
      </c>
      <c r="O60" s="13">
        <f>IF(ShadowAbilities4Scenario2[[#This Row],[takes]]&gt;0,ShadowAbilities4Scenario2[[#This Row],[wins]]/ShadowAbilities4Scenario2[[#This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3">
        <f>IF(SUM(ShadowAbilities4Scenario2[[#This Row],[takes]]) &gt; 0,ShadowAbilities4Scenario2[[#This Row],[takes]]/SUM(ShadowAbilities4Scenario2[takes]),0)</f>
        <v>0</v>
      </c>
      <c r="O61" s="13">
        <f>IF(ShadowAbilities4Scenario2[[#This Row],[takes]]&gt;0,ShadowAbilities4Scenario2[[#This Row],[wins]]/ShadowAbilities4Scenario2[[#This Row],[takes]],0)</f>
        <v>0</v>
      </c>
      <c r="P61" s="20"/>
      <c r="Q61" s="20"/>
      <c r="R61" s="20"/>
      <c r="S61" s="22"/>
      <c r="T61" s="20"/>
    </row>
    <row r="62" spans="11:20" ht="15" thickBot="1" x14ac:dyDescent="0.45">
      <c r="K62" s="11" t="s">
        <v>94</v>
      </c>
      <c r="L62" s="29">
        <f>COUNTIF(Scenario2[winner1-ability4],ShadowAbilities4Scenario2[[#This Row],[ability]])+COUNTIF(Scenario2[loser1-ability4],ShadowAbilities4Scenario2[[#This Row],[ability]])</f>
        <v>1</v>
      </c>
      <c r="M62" s="29">
        <f>COUNTIF(Scenario2[winner1-ability4],ShadowAbilities4Scenario2[[#This Row],[ability]])</f>
        <v>0</v>
      </c>
      <c r="N62" s="30">
        <f>IF(SUM(ShadowAbilities4Scenario2[[#This Row],[takes]]) &gt; 0,ShadowAbilities4Scenario2[[#This Row],[takes]]/SUM(ShadowAbilities4Scenario2[takes]),0)</f>
        <v>0.5</v>
      </c>
      <c r="O62" s="30">
        <f>IF(ShadowAbilities4Scenario2[[#This Row],[takes]]&gt;0,ShadowAbilities4Scenario2[[#This Row],[wins]]/ShadowAbilities4Scenario2[[#This Row],[takes]],0)</f>
        <v>0</v>
      </c>
      <c r="P62" s="31"/>
      <c r="Q62" s="31"/>
      <c r="R62" s="31"/>
      <c r="S62" s="32"/>
      <c r="T62" s="20"/>
    </row>
  </sheetData>
  <mergeCells count="4">
    <mergeCell ref="A1:I1"/>
    <mergeCell ref="K1:S1"/>
    <mergeCell ref="K22:S22"/>
    <mergeCell ref="K43:S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62"/>
  <sheetViews>
    <sheetView topLeftCell="E1" workbookViewId="0">
      <selection activeCell="U10" sqref="U10"/>
    </sheetView>
  </sheetViews>
  <sheetFormatPr defaultRowHeight="14.6" x14ac:dyDescent="0.4"/>
  <cols>
    <col min="1" max="1" width="18.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10.07421875" bestFit="1" customWidth="1"/>
    <col min="9" max="9" width="11.84375" bestFit="1" customWidth="1"/>
    <col min="10" max="10" width="3.84375" customWidth="1"/>
    <col min="11" max="11" width="18.3046875" bestFit="1" customWidth="1"/>
    <col min="12" max="12" width="7.4609375" bestFit="1" customWidth="1"/>
    <col min="13" max="13" width="6.84375" bestFit="1" customWidth="1"/>
    <col min="14" max="14" width="17.07421875" bestFit="1" customWidth="1"/>
    <col min="15" max="15" width="14.3046875" bestFit="1" customWidth="1"/>
    <col min="16" max="16" width="4" customWidth="1"/>
    <col min="17" max="17" width="6.921875" bestFit="1" customWidth="1"/>
    <col min="18" max="18" width="10.07421875" bestFit="1" customWidth="1"/>
    <col min="19" max="20" width="11.84375" bestFit="1" customWidth="1"/>
    <col min="21" max="21" width="15.53515625" bestFit="1" customWidth="1"/>
    <col min="22" max="22" width="6.765625" bestFit="1" customWidth="1"/>
  </cols>
  <sheetData>
    <row r="1" spans="1:22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2"/>
      <c r="K1" s="40" t="s">
        <v>632</v>
      </c>
      <c r="L1" s="41"/>
      <c r="M1" s="41"/>
      <c r="N1" s="41"/>
      <c r="O1" s="41"/>
      <c r="P1" s="41"/>
      <c r="Q1" s="41"/>
      <c r="R1" s="41"/>
      <c r="S1" s="42"/>
      <c r="T1" s="33"/>
      <c r="U1" t="s">
        <v>386</v>
      </c>
      <c r="V1" s="3" t="s">
        <v>387</v>
      </c>
    </row>
    <row r="2" spans="1:22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s="20" t="s">
        <v>170</v>
      </c>
      <c r="I2" s="22" t="s">
        <v>164</v>
      </c>
      <c r="K2" s="19" t="s">
        <v>109</v>
      </c>
      <c r="L2" s="20" t="s">
        <v>110</v>
      </c>
      <c r="M2" s="20" t="s">
        <v>79</v>
      </c>
      <c r="N2" s="21" t="s">
        <v>117</v>
      </c>
      <c r="O2" s="21" t="s">
        <v>118</v>
      </c>
      <c r="P2" s="20"/>
      <c r="Q2" s="20" t="s">
        <v>161</v>
      </c>
      <c r="R2" s="20" t="s">
        <v>170</v>
      </c>
      <c r="S2" s="22" t="s">
        <v>164</v>
      </c>
      <c r="T2" s="20"/>
      <c r="U2" t="s">
        <v>681</v>
      </c>
      <c r="V2" s="3">
        <f>H4/SUM(LightbringerEquip[hammer])</f>
        <v>0.42410714285714285</v>
      </c>
    </row>
    <row r="3" spans="1:22" x14ac:dyDescent="0.4">
      <c r="A3" t="s">
        <v>72</v>
      </c>
      <c r="B3" s="20">
        <f>L3+L24+L45</f>
        <v>109</v>
      </c>
      <c r="C3" s="20">
        <f>M3+M24+M45</f>
        <v>48</v>
      </c>
      <c r="D3" s="21">
        <f>IF(SUM(LightbringerAbilities1[[#This Row],[takes]]) &gt; 0,LightbringerAbilities1[[#This Row],[takes]]/SUM(LightbringerAbilities1[takes]),0)</f>
        <v>0.48660714285714285</v>
      </c>
      <c r="E3" s="21">
        <f>IF(LightbringerAbilities1[[#This Row],[takes]]&gt;0,LightbringerAbilities1[[#This Row],[wins]]/LightbringerAbilities1[[#This Row],[takes]],0)</f>
        <v>0.44036697247706424</v>
      </c>
      <c r="F3" s="20"/>
      <c r="G3" s="20">
        <v>1</v>
      </c>
      <c r="H3" s="20">
        <f t="shared" ref="H3:I5" si="0">R3+R24+R45</f>
        <v>86</v>
      </c>
      <c r="I3" s="22">
        <f t="shared" si="0"/>
        <v>158</v>
      </c>
      <c r="K3" t="s">
        <v>72</v>
      </c>
      <c r="L3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20</v>
      </c>
      <c r="M3" s="20">
        <f>COUNTIF(Scenario0[winner1-ability1],LightbringerAbilities1Scenario0[[#This Row],[ability]])+COUNTIF(Scenario0[winner2-ability1],LightbringerAbilities1Scenario0[[#This Row],[ability]])</f>
        <v>12</v>
      </c>
      <c r="N3" s="21">
        <f>IF(SUM(LightbringerAbilities1Scenario0[[#This Row],[takes]]) &gt; 0,LightbringerAbilities1Scenario0[[#This Row],[takes]]/SUM(LightbringerAbilities1Scenario0[takes]),0)</f>
        <v>0.19047619047619047</v>
      </c>
      <c r="O3" s="21">
        <f>IF(LightbringerAbilities1Scenario0[[#This Row],[takes]]&gt;0,LightbringerAbilities1Scenario0[[#This Row],[wins]]/LightbringerAbilities1Scenario0[[#This Row],[takes]],0)</f>
        <v>0.6</v>
      </c>
      <c r="P3" s="20"/>
      <c r="Q3" s="20">
        <v>1</v>
      </c>
      <c r="R3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43</v>
      </c>
      <c r="S3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53</v>
      </c>
      <c r="T3" s="20"/>
      <c r="U3" t="s">
        <v>682</v>
      </c>
      <c r="V3" s="18">
        <f>H5/SUM(LightbringerEquip[hammer])</f>
        <v>0.19196428571428573</v>
      </c>
    </row>
    <row r="4" spans="1:22" x14ac:dyDescent="0.4">
      <c r="A4" t="s">
        <v>145</v>
      </c>
      <c r="B4" s="20">
        <f>L4+L25+L46</f>
        <v>21</v>
      </c>
      <c r="C4" s="20">
        <f t="shared" ref="C4:C5" si="1">M4+M25+M46</f>
        <v>14</v>
      </c>
      <c r="D4" s="21">
        <f>IF(SUM(LightbringerAbilities1[[#This Row],[takes]]) &gt; 0,LightbringerAbilities1[[#This Row],[takes]]/SUM(LightbringerAbilities1[takes]),0)</f>
        <v>9.375E-2</v>
      </c>
      <c r="E4" s="21">
        <f>IF(LightbringerAbilities1[[#This Row],[takes]]&gt;0,LightbringerAbilities1[[#This Row],[wins]]/LightbringerAbilities1[[#This Row],[takes]],0)</f>
        <v>0.66666666666666663</v>
      </c>
      <c r="F4" s="20"/>
      <c r="G4" s="20">
        <v>2</v>
      </c>
      <c r="H4" s="20">
        <f t="shared" si="0"/>
        <v>95</v>
      </c>
      <c r="I4" s="22">
        <f t="shared" si="0"/>
        <v>42</v>
      </c>
      <c r="K4" t="s">
        <v>145</v>
      </c>
      <c r="L4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19</v>
      </c>
      <c r="M4" s="20">
        <f>COUNTIF(Scenario0[winner1-ability1],LightbringerAbilities1Scenario0[[#This Row],[ability]])+COUNTIF(Scenario0[winner2-ability1],LightbringerAbilities1Scenario0[[#This Row],[ability]])</f>
        <v>14</v>
      </c>
      <c r="N4" s="21">
        <f>IF(SUM(LightbringerAbilities1Scenario0[[#This Row],[takes]]) &gt; 0,LightbringerAbilities1Scenario0[[#This Row],[takes]]/SUM(LightbringerAbilities1Scenario0[takes]),0)</f>
        <v>0.18095238095238095</v>
      </c>
      <c r="O4" s="21">
        <f>IF(LightbringerAbilities1Scenario0[[#This Row],[takes]]&gt;0,LightbringerAbilities1Scenario0[[#This Row],[wins]]/LightbringerAbilities1Scenario0[[#This Row],[takes]],0)</f>
        <v>0.73684210526315785</v>
      </c>
      <c r="P4" s="20"/>
      <c r="Q4" s="20">
        <v>2</v>
      </c>
      <c r="R4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37</v>
      </c>
      <c r="S4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34</v>
      </c>
      <c r="T4" s="20"/>
      <c r="U4" t="s">
        <v>391</v>
      </c>
      <c r="V4" s="3">
        <f>LightbringerEquip[[#This Row],[chestpiece]]/SUM(LightbringerEquip[chestpiece])</f>
        <v>0.1875</v>
      </c>
    </row>
    <row r="5" spans="1:22" x14ac:dyDescent="0.4">
      <c r="A5" t="s">
        <v>103</v>
      </c>
      <c r="B5" s="20">
        <f t="shared" ref="B5" si="2">L5+L26+L47</f>
        <v>94</v>
      </c>
      <c r="C5" s="20">
        <f t="shared" si="1"/>
        <v>44</v>
      </c>
      <c r="D5" s="21">
        <f>IF(SUM(LightbringerAbilities1[[#This Row],[takes]]) &gt; 0,LightbringerAbilities1[[#This Row],[takes]]/SUM(LightbringerAbilities1[takes]),0)</f>
        <v>0.41964285714285715</v>
      </c>
      <c r="E5" s="21">
        <f>IF(LightbringerAbilities1[[#This Row],[takes]]&gt;0,LightbringerAbilities1[[#This Row],[wins]]/LightbringerAbilities1[[#This Row],[takes]],0)</f>
        <v>0.46808510638297873</v>
      </c>
      <c r="F5" s="20"/>
      <c r="G5" s="20">
        <v>3</v>
      </c>
      <c r="H5" s="20">
        <f t="shared" si="0"/>
        <v>43</v>
      </c>
      <c r="I5" s="22">
        <f t="shared" si="0"/>
        <v>24</v>
      </c>
      <c r="K5" t="s">
        <v>103</v>
      </c>
      <c r="L5" s="20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66</v>
      </c>
      <c r="M5" s="20">
        <f>COUNTIF(Scenario0[winner1-ability1],LightbringerAbilities1Scenario0[[#This Row],[ability]])+COUNTIF(Scenario0[winner2-ability1],LightbringerAbilities1Scenario0[[#This Row],[ability]])</f>
        <v>27</v>
      </c>
      <c r="N5" s="21">
        <f>IF(SUM(LightbringerAbilities1Scenario0[[#This Row],[takes]]) &gt; 0,LightbringerAbilities1Scenario0[[#This Row],[takes]]/SUM(LightbringerAbilities1Scenario0[takes]),0)</f>
        <v>0.62857142857142856</v>
      </c>
      <c r="O5" s="21">
        <f>IF(LightbringerAbilities1Scenario0[[#This Row],[takes]]&gt;0,LightbringerAbilities1Scenario0[[#This Row],[wins]]/LightbringerAbilities1Scenario0[[#This Row],[takes]],0)</f>
        <v>0.40909090909090912</v>
      </c>
      <c r="P5" s="20"/>
      <c r="Q5" s="20">
        <v>3</v>
      </c>
      <c r="R5" s="20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25</v>
      </c>
      <c r="S5" s="22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18</v>
      </c>
      <c r="T5" s="20"/>
      <c r="U5" t="s">
        <v>392</v>
      </c>
      <c r="V5" s="18">
        <f>LightbringerEquip[[#This Row],[chestpiece]]/SUM(LightbringerEquip[chestpiece])</f>
        <v>0.10714285714285714</v>
      </c>
    </row>
    <row r="6" spans="1:22" x14ac:dyDescent="0.4">
      <c r="A6" s="19"/>
      <c r="B6" s="20"/>
      <c r="C6" s="20"/>
      <c r="D6" s="21"/>
      <c r="E6" s="21"/>
      <c r="F6" s="20"/>
      <c r="G6" s="20"/>
      <c r="H6" s="20"/>
      <c r="I6" s="22"/>
      <c r="K6" s="19"/>
      <c r="L6" s="20"/>
      <c r="M6" s="20"/>
      <c r="N6" s="21"/>
      <c r="O6" s="21"/>
      <c r="P6" s="20"/>
      <c r="Q6" s="20"/>
      <c r="R6" s="20"/>
      <c r="S6" s="22"/>
      <c r="T6" s="20"/>
      <c r="U6" t="s">
        <v>388</v>
      </c>
      <c r="V6" s="3">
        <f>SUM(LightbringerAbilities2[takes])/SUM(LightbringerAbilities1[takes])</f>
        <v>0.3794642857142857</v>
      </c>
    </row>
    <row r="7" spans="1:22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2"/>
      <c r="K7" s="23" t="s">
        <v>109</v>
      </c>
      <c r="L7" s="9" t="s">
        <v>110</v>
      </c>
      <c r="M7" s="9" t="s">
        <v>79</v>
      </c>
      <c r="N7" s="10" t="s">
        <v>117</v>
      </c>
      <c r="O7" s="10" t="s">
        <v>118</v>
      </c>
      <c r="P7" s="20"/>
      <c r="Q7" s="20"/>
      <c r="R7" s="20"/>
      <c r="S7" s="22"/>
      <c r="T7" s="20"/>
      <c r="U7" t="s">
        <v>389</v>
      </c>
      <c r="V7" s="3">
        <f>SUM(LightbringerAbilities3[takes])/SUM(LightbringerAbilities1[takes])</f>
        <v>0.16964285714285715</v>
      </c>
    </row>
    <row r="8" spans="1:22" x14ac:dyDescent="0.4">
      <c r="A8" s="2" t="s">
        <v>95</v>
      </c>
      <c r="B8" s="2">
        <f>L8+L29+L50</f>
        <v>34</v>
      </c>
      <c r="C8" s="2">
        <f>M8+M29+M50</f>
        <v>24</v>
      </c>
      <c r="D8" s="13">
        <f>IF(SUM(LightbringerAbilities2[[#This Row],[takes]]) &gt; 0,LightbringerAbilities2[[#This Row],[takes]]/SUM(LightbringerAbilities2[takes]),0)</f>
        <v>0.4</v>
      </c>
      <c r="E8" s="13">
        <f>IF(LightbringerAbilities2[[#This Row],[takes]]&gt;0,LightbringerAbilities2[[#This Row],[wins]]/LightbringerAbilities2[[#This Row],[takes]],0)</f>
        <v>0.70588235294117652</v>
      </c>
      <c r="F8" s="20"/>
      <c r="G8" s="20"/>
      <c r="H8" s="20"/>
      <c r="I8" s="22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24</v>
      </c>
      <c r="M8" s="2">
        <f>COUNTIF(Scenario0[winner1-ability2],LightbringerAbilities2Scenario0[[#This Row],[ability]])+COUNTIF(Scenario0[winner2-ability2],LightbringerAbilities2Scenario0[[#This Row],[ability]])</f>
        <v>16</v>
      </c>
      <c r="N8" s="13">
        <f>IF(SUM(LightbringerAbilities2Scenario0[[#This Row],[takes]]) &gt; 0,LightbringerAbilities2Scenario0[[#This Row],[takes]]/SUM(LightbringerAbilities2Scenario0[takes]),0)</f>
        <v>0.45283018867924529</v>
      </c>
      <c r="O8" s="13">
        <f>IF(LightbringerAbilities2Scenario0[[#This Row],[takes]]&gt;0,LightbringerAbilities2Scenario0[[#This Row],[wins]]/LightbringerAbilities2Scenario0[[#This Row],[takes]],0)</f>
        <v>0.66666666666666663</v>
      </c>
      <c r="P8" s="20"/>
      <c r="Q8" s="20"/>
      <c r="R8" s="20"/>
      <c r="S8" s="22"/>
      <c r="T8" s="20"/>
      <c r="U8" t="s">
        <v>390</v>
      </c>
      <c r="V8" s="18">
        <f>SUM(LightbringerAbilities4[takes])/SUM(LightbringerAbilities1[takes])</f>
        <v>7.1428571428571425E-2</v>
      </c>
    </row>
    <row r="9" spans="1:22" x14ac:dyDescent="0.4">
      <c r="A9" t="s">
        <v>146</v>
      </c>
      <c r="B9" s="2">
        <f t="shared" ref="B9:C10" si="3">L9+L30+L51</f>
        <v>46</v>
      </c>
      <c r="C9" s="2">
        <f t="shared" si="3"/>
        <v>15</v>
      </c>
      <c r="D9" s="21">
        <f>IF(SUM(LightbringerAbilities2[[#This Row],[takes]]) &gt; 0,LightbringerAbilities2[[#This Row],[takes]]/SUM(LightbringerAbilities2[takes]),0)</f>
        <v>0.54117647058823526</v>
      </c>
      <c r="E9" s="21">
        <f>IF(LightbringerAbilities2[[#This Row],[takes]]&gt;0,LightbringerAbilities2[[#This Row],[wins]]/LightbringerAbilities2[[#This Row],[takes]],0)</f>
        <v>0.32608695652173914</v>
      </c>
      <c r="F9" s="20"/>
      <c r="G9" s="20"/>
      <c r="H9" s="20"/>
      <c r="I9" s="22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25</v>
      </c>
      <c r="M9" s="2">
        <f>COUNTIF(Scenario0[winner1-ability2],LightbringerAbilities2Scenario0[[#This Row],[ability]])+COUNTIF(Scenario0[winner2-ability2],LightbringerAbilities2Scenario0[[#This Row],[ability]])</f>
        <v>10</v>
      </c>
      <c r="N9" s="21">
        <f>IF(SUM(LightbringerAbilities2Scenario0[[#This Row],[takes]]) &gt; 0,LightbringerAbilities2Scenario0[[#This Row],[takes]]/SUM(LightbringerAbilities2Scenario0[takes]),0)</f>
        <v>0.47169811320754718</v>
      </c>
      <c r="O9" s="21">
        <f>IF(LightbringerAbilities2Scenario0[[#This Row],[takes]]&gt;0,LightbringerAbilities2Scenario0[[#This Row],[wins]]/LightbringerAbilities2Scenario0[[#This Row],[takes]],0)</f>
        <v>0.4</v>
      </c>
      <c r="P9" s="20"/>
      <c r="Q9" s="20"/>
      <c r="R9" s="20"/>
      <c r="S9" s="22"/>
      <c r="T9" s="20"/>
      <c r="U9" t="s">
        <v>672</v>
      </c>
      <c r="V9" s="39">
        <f>(SUM(LightbringerAbilities2[takes])+SUM(LightbringerAbilities3[takes])+SUM(LightbringerAbilities4[takes])+SUM(H4:H5)+SUM(I4:I5))/SUM(LightbringerAbilities1[takes])</f>
        <v>1.53125</v>
      </c>
    </row>
    <row r="10" spans="1:22" x14ac:dyDescent="0.4">
      <c r="A10" s="11" t="s">
        <v>91</v>
      </c>
      <c r="B10" s="2">
        <f t="shared" si="3"/>
        <v>5</v>
      </c>
      <c r="C10" s="2">
        <f t="shared" si="3"/>
        <v>3</v>
      </c>
      <c r="D10" s="14">
        <f>IF(SUM(LightbringerAbilities2[[#This Row],[takes]]) &gt; 0,LightbringerAbilities2[[#This Row],[takes]]/SUM(LightbringerAbilities2[takes]),0)</f>
        <v>5.8823529411764705E-2</v>
      </c>
      <c r="E10" s="14">
        <f>IF(LightbringerAbilities2[[#This Row],[takes]]&gt;0,LightbringerAbilities2[[#This Row],[wins]]/LightbringerAbilities2[[#This Row],[takes]],0)</f>
        <v>0.6</v>
      </c>
      <c r="F10" s="20"/>
      <c r="G10" s="20"/>
      <c r="H10" s="20"/>
      <c r="I10" s="22"/>
      <c r="K10" s="11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</v>
      </c>
      <c r="M10" s="2">
        <f>COUNTIF(Scenario0[winner1-ability2],LightbringerAbilities2Scenario0[[#This Row],[ability]])+COUNTIF(Scenario0[winner2-ability2],LightbringerAbilities2Scenario0[[#This Row],[ability]])</f>
        <v>3</v>
      </c>
      <c r="N10" s="14">
        <f>IF(SUM(LightbringerAbilities2Scenario0[[#This Row],[takes]]) &gt; 0,LightbringerAbilities2Scenario0[[#This Row],[takes]]/SUM(LightbringerAbilities2Scenario0[takes]),0)</f>
        <v>7.5471698113207544E-2</v>
      </c>
      <c r="O10" s="14">
        <f>IF(LightbringerAbilities2Scenario0[[#This Row],[takes]]&gt;0,LightbringerAbilities2Scenario0[[#This Row],[wins]]/LightbringerAbilities2Scenario0[[#This Row],[takes]],0)</f>
        <v>0.75</v>
      </c>
      <c r="P10" s="20"/>
      <c r="Q10" s="20"/>
      <c r="R10" s="20"/>
      <c r="S10" s="22"/>
      <c r="T10" s="20"/>
    </row>
    <row r="11" spans="1:22" x14ac:dyDescent="0.4">
      <c r="A11" s="19"/>
      <c r="B11" s="20"/>
      <c r="C11" s="20"/>
      <c r="D11" s="21"/>
      <c r="E11" s="21"/>
      <c r="F11" s="20"/>
      <c r="G11" s="20"/>
      <c r="H11" s="20"/>
      <c r="I11" s="22"/>
      <c r="K11" s="19"/>
      <c r="L11" s="20"/>
      <c r="M11" s="20"/>
      <c r="N11" s="21"/>
      <c r="O11" s="21"/>
      <c r="P11" s="20"/>
      <c r="Q11" s="20"/>
      <c r="R11" s="20"/>
      <c r="S11" s="22"/>
      <c r="T11" s="20"/>
    </row>
    <row r="12" spans="1:22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2"/>
      <c r="K12" s="23" t="s">
        <v>109</v>
      </c>
      <c r="L12" s="9" t="s">
        <v>110</v>
      </c>
      <c r="M12" s="9" t="s">
        <v>79</v>
      </c>
      <c r="N12" s="10" t="s">
        <v>117</v>
      </c>
      <c r="O12" s="10" t="s">
        <v>118</v>
      </c>
      <c r="P12" s="20"/>
      <c r="Q12" s="20"/>
      <c r="R12" s="20"/>
      <c r="S12" s="22"/>
      <c r="T12" s="20"/>
    </row>
    <row r="13" spans="1:22" x14ac:dyDescent="0.4">
      <c r="A13" s="1" t="s">
        <v>104</v>
      </c>
      <c r="B13" s="1">
        <f>L13+L34+L55</f>
        <v>14</v>
      </c>
      <c r="C13" s="1">
        <f>M13+M34+M55</f>
        <v>9</v>
      </c>
      <c r="D13" s="15">
        <f>IF(SUM(LightbringerAbilities3[[#This Row],[takes]]) &gt; 0,LightbringerAbilities3[[#This Row],[takes]]/SUM(LightbringerAbilities3[takes]),0)</f>
        <v>0.36842105263157893</v>
      </c>
      <c r="E13" s="15">
        <f>IF(LightbringerAbilities3[[#This Row],[takes]]&gt;0,LightbringerAbilities3[[#This Row],[wins]]/LightbringerAbilities3[[#This Row],[takes]],0)</f>
        <v>0.6428571428571429</v>
      </c>
      <c r="F13" s="20"/>
      <c r="G13" s="20"/>
      <c r="H13" s="20"/>
      <c r="I13" s="22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7</v>
      </c>
      <c r="M13" s="1">
        <f>COUNTIF(Scenario0[winner1-ability3],LightbringerAbilities3Scenario0[[#This Row],[ability]])+COUNTIF(Scenario0[winner2-ability3],LightbringerAbilities3Scenario0[[#This Row],[ability]])</f>
        <v>6</v>
      </c>
      <c r="N13" s="15">
        <f>IF(SUM(LightbringerAbilities3Scenario0[[#This Row],[takes]]) &gt; 0,LightbringerAbilities3Scenario0[[#This Row],[takes]]/SUM(LightbringerAbilities3Scenario0[takes]),0)</f>
        <v>0.29166666666666669</v>
      </c>
      <c r="O13" s="15">
        <f>IF(LightbringerAbilities3Scenario0[[#This Row],[takes]]&gt;0,LightbringerAbilities3Scenario0[[#This Row],[wins]]/LightbringerAbilities3Scenario0[[#This Row],[takes]],0)</f>
        <v>0.8571428571428571</v>
      </c>
      <c r="P13" s="20"/>
      <c r="Q13" s="20"/>
      <c r="R13" s="20"/>
      <c r="S13" s="22"/>
      <c r="T13" s="20"/>
    </row>
    <row r="14" spans="1:22" x14ac:dyDescent="0.4">
      <c r="A14" s="2" t="s">
        <v>147</v>
      </c>
      <c r="B14" s="2">
        <f t="shared" ref="B14:C15" si="4">L14+L35+L56</f>
        <v>11</v>
      </c>
      <c r="C14" s="2">
        <f t="shared" si="4"/>
        <v>6</v>
      </c>
      <c r="D14" s="13">
        <f>IF(SUM(LightbringerAbilities3[[#This Row],[takes]]) &gt; 0,LightbringerAbilities3[[#This Row],[takes]]/SUM(LightbringerAbilities3[takes]),0)</f>
        <v>0.28947368421052633</v>
      </c>
      <c r="E14" s="13">
        <f>IF(LightbringerAbilities3[[#This Row],[takes]]&gt;0,LightbringerAbilities3[[#This Row],[wins]]/LightbringerAbilities3[[#This Row],[takes]],0)</f>
        <v>0.54545454545454541</v>
      </c>
      <c r="F14" s="20"/>
      <c r="G14" s="20"/>
      <c r="H14" s="20"/>
      <c r="I14" s="22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7</v>
      </c>
      <c r="M14" s="2">
        <f>COUNTIF(Scenario0[winner1-ability3],LightbringerAbilities3Scenario0[[#This Row],[ability]])+COUNTIF(Scenario0[winner2-ability3],LightbringerAbilities3Scenario0[[#This Row],[ability]])</f>
        <v>3</v>
      </c>
      <c r="N14" s="13">
        <f>IF(SUM(LightbringerAbilities3Scenario0[[#This Row],[takes]]) &gt; 0,LightbringerAbilities3Scenario0[[#This Row],[takes]]/SUM(LightbringerAbilities3Scenario0[takes]),0)</f>
        <v>0.29166666666666669</v>
      </c>
      <c r="O14" s="13">
        <f>IF(LightbringerAbilities3Scenario0[[#This Row],[takes]]&gt;0,LightbringerAbilities3Scenario0[[#This Row],[wins]]/LightbringerAbilities3Scenario0[[#This Row],[takes]],0)</f>
        <v>0.42857142857142855</v>
      </c>
      <c r="P14" s="20"/>
      <c r="Q14" s="20"/>
      <c r="R14" s="20"/>
      <c r="S14" s="22"/>
      <c r="T14" s="20"/>
    </row>
    <row r="15" spans="1:22" x14ac:dyDescent="0.4">
      <c r="A15" s="12" t="s">
        <v>148</v>
      </c>
      <c r="B15" s="1">
        <f t="shared" si="4"/>
        <v>13</v>
      </c>
      <c r="C15" s="1">
        <f t="shared" si="4"/>
        <v>5</v>
      </c>
      <c r="D15" s="16">
        <f>IF(SUM(LightbringerAbilities3[[#This Row],[takes]]) &gt; 0,LightbringerAbilities3[[#This Row],[takes]]/SUM(LightbringerAbilities3[takes]),0)</f>
        <v>0.34210526315789475</v>
      </c>
      <c r="E15" s="16">
        <f>IF(LightbringerAbilities3[[#This Row],[takes]]&gt;0,LightbringerAbilities3[[#This Row],[wins]]/LightbringerAbilities3[[#This Row],[takes]],0)</f>
        <v>0.38461538461538464</v>
      </c>
      <c r="F15" s="20"/>
      <c r="G15" s="20"/>
      <c r="H15" s="20"/>
      <c r="I15" s="22"/>
      <c r="K15" s="12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10</v>
      </c>
      <c r="M15" s="1">
        <f>COUNTIF(Scenario0[winner1-ability3],LightbringerAbilities3Scenario0[[#This Row],[ability]])+COUNTIF(Scenario0[winner2-ability3],LightbringerAbilities3Scenario0[[#This Row],[ability]])</f>
        <v>5</v>
      </c>
      <c r="N15" s="16">
        <f>IF(SUM(LightbringerAbilities3Scenario0[[#This Row],[takes]]) &gt; 0,LightbringerAbilities3Scenario0[[#This Row],[takes]]/SUM(LightbringerAbilities3Scenario0[takes]),0)</f>
        <v>0.41666666666666669</v>
      </c>
      <c r="O15" s="16">
        <f>IF(LightbringerAbilities3Scenario0[[#This Row],[takes]]&gt;0,LightbringerAbilities3Scenario0[[#This Row],[wins]]/LightbringerAbilities3Scenario0[[#This Row],[takes]],0)</f>
        <v>0.5</v>
      </c>
      <c r="P15" s="20"/>
      <c r="Q15" s="20"/>
      <c r="R15" s="20"/>
      <c r="S15" s="22"/>
      <c r="T15" s="20"/>
    </row>
    <row r="16" spans="1:22" x14ac:dyDescent="0.4">
      <c r="A16" s="19"/>
      <c r="B16" s="20"/>
      <c r="C16" s="20"/>
      <c r="D16" s="21"/>
      <c r="E16" s="21"/>
      <c r="F16" s="20"/>
      <c r="G16" s="20"/>
      <c r="H16" s="20"/>
      <c r="I16" s="22"/>
      <c r="K16" s="19"/>
      <c r="L16" s="20"/>
      <c r="M16" s="20"/>
      <c r="N16" s="21"/>
      <c r="O16" s="21"/>
      <c r="P16" s="20"/>
      <c r="Q16" s="20"/>
      <c r="R16" s="20"/>
      <c r="S16" s="22"/>
      <c r="T16" s="20"/>
    </row>
    <row r="17" spans="1:20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2"/>
      <c r="K17" s="23" t="s">
        <v>109</v>
      </c>
      <c r="L17" s="9" t="s">
        <v>110</v>
      </c>
      <c r="M17" s="9" t="s">
        <v>79</v>
      </c>
      <c r="N17" s="10" t="s">
        <v>117</v>
      </c>
      <c r="O17" s="10" t="s">
        <v>118</v>
      </c>
      <c r="P17" s="20"/>
      <c r="Q17" s="20"/>
      <c r="R17" s="20"/>
      <c r="S17" s="22"/>
      <c r="T17" s="20"/>
    </row>
    <row r="18" spans="1:20" x14ac:dyDescent="0.4">
      <c r="A18" s="2" t="s">
        <v>149</v>
      </c>
      <c r="B18" s="2">
        <f>L18+L39+L60</f>
        <v>5</v>
      </c>
      <c r="C18" s="2">
        <f>M18+M39+M60</f>
        <v>3</v>
      </c>
      <c r="D18" s="13">
        <f>IF(SUM(LightbringerAbilities4[[#This Row],[takes]]) &gt; 0,LightbringerAbilities4[[#This Row],[takes]]/SUM(LightbringerAbilities4[takes]),0)</f>
        <v>0.3125</v>
      </c>
      <c r="E18" s="13">
        <f>IF(LightbringerAbilities4[[#This Row],[takes]]&gt;0,LightbringerAbilities4[[#This Row],[wins]]/LightbringerAbilities4[[#This Row],[takes]],0)</f>
        <v>0.6</v>
      </c>
      <c r="F18" s="20"/>
      <c r="G18" s="20"/>
      <c r="H18" s="20"/>
      <c r="I18" s="22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3</v>
      </c>
      <c r="M18" s="2">
        <f>COUNTIF(Scenario0[winner1-ability4],LightbringerAbilities4Scenario0[[#This Row],[ability]])+COUNTIF(Scenario0[winner2-ability4],LightbringerAbilities4Scenario0[[#This Row],[ability]])</f>
        <v>2</v>
      </c>
      <c r="N18" s="13">
        <f>IF(SUM(LightbringerAbilities4Scenario0[[#This Row],[takes]]) &gt; 0,LightbringerAbilities4Scenario0[[#This Row],[takes]]/SUM(LightbringerAbilities4Scenario0[takes]),0)</f>
        <v>0.3</v>
      </c>
      <c r="O18" s="13">
        <f>IF(LightbringerAbilities4Scenario0[[#This Row],[takes]]&gt;0,LightbringerAbilities4Scenario0[[#This Row],[wins]]/LightbringerAbilities4Scenario0[[#This Row],[takes]],0)</f>
        <v>0.66666666666666663</v>
      </c>
      <c r="P18" s="20"/>
      <c r="Q18" s="20"/>
      <c r="R18" s="20"/>
      <c r="S18" s="22"/>
      <c r="T18" s="20"/>
    </row>
    <row r="19" spans="1:20" x14ac:dyDescent="0.4">
      <c r="A19" s="2" t="s">
        <v>150</v>
      </c>
      <c r="B19" s="2">
        <f t="shared" ref="B19:C20" si="5">L19+L40+L61</f>
        <v>7</v>
      </c>
      <c r="C19" s="2">
        <f t="shared" si="5"/>
        <v>5</v>
      </c>
      <c r="D19" s="13">
        <f>IF(SUM(LightbringerAbilities4[[#This Row],[takes]]) &gt; 0,LightbringerAbilities4[[#This Row],[takes]]/SUM(LightbringerAbilities4[takes]),0)</f>
        <v>0.4375</v>
      </c>
      <c r="E19" s="13">
        <f>IF(LightbringerAbilities4[[#This Row],[takes]]&gt;0,LightbringerAbilities4[[#This Row],[wins]]/LightbringerAbilities4[[#This Row],[takes]],0)</f>
        <v>0.7142857142857143</v>
      </c>
      <c r="F19" s="20"/>
      <c r="G19" s="20"/>
      <c r="H19" s="20"/>
      <c r="I19" s="22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5</v>
      </c>
      <c r="M19" s="2">
        <f>COUNTIF(Scenario0[winner1-ability4],LightbringerAbilities4Scenario0[[#This Row],[ability]])+COUNTIF(Scenario0[winner2-ability4],LightbringerAbilities4Scenario0[[#This Row],[ability]])</f>
        <v>4</v>
      </c>
      <c r="N19" s="13">
        <f>IF(SUM(LightbringerAbilities4Scenario0[[#This Row],[takes]]) &gt; 0,LightbringerAbilities4Scenario0[[#This Row],[takes]]/SUM(LightbringerAbilities4Scenario0[takes]),0)</f>
        <v>0.5</v>
      </c>
      <c r="O19" s="13">
        <f>IF(LightbringerAbilities4Scenario0[[#This Row],[takes]]&gt;0,LightbringerAbilities4Scenario0[[#This Row],[wins]]/LightbringerAbilities4Scenario0[[#This Row],[takes]],0)</f>
        <v>0.8</v>
      </c>
      <c r="P19" s="20"/>
      <c r="Q19" s="20"/>
      <c r="R19" s="20"/>
      <c r="S19" s="22"/>
      <c r="T19" s="20"/>
    </row>
    <row r="20" spans="1:20" ht="15" thickBot="1" x14ac:dyDescent="0.45">
      <c r="A20" s="11" t="s">
        <v>151</v>
      </c>
      <c r="B20" s="2">
        <f t="shared" si="5"/>
        <v>4</v>
      </c>
      <c r="C20" s="2">
        <f t="shared" si="5"/>
        <v>4</v>
      </c>
      <c r="D20" s="30">
        <f>IF(SUM(LightbringerAbilities4[[#This Row],[takes]]) &gt; 0,LightbringerAbilities4[[#This Row],[takes]]/SUM(LightbringerAbilities4[takes]),0)</f>
        <v>0.25</v>
      </c>
      <c r="E20" s="30">
        <f>IF(LightbringerAbilities4[[#This Row],[takes]]&gt;0,LightbringerAbilities4[[#This Row],[wins]]/LightbringerAbilities4[[#This Row],[takes]],0)</f>
        <v>1</v>
      </c>
      <c r="F20" s="31"/>
      <c r="G20" s="31"/>
      <c r="H20" s="31"/>
      <c r="I20" s="32"/>
      <c r="K20" s="11" t="s">
        <v>151</v>
      </c>
      <c r="L20" s="29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2</v>
      </c>
      <c r="M20" s="29">
        <f>COUNTIF(Scenario0[winner1-ability4],LightbringerAbilities4Scenario0[[#This Row],[ability]])+COUNTIF(Scenario0[winner2-ability4],LightbringerAbilities4Scenario0[[#This Row],[ability]])</f>
        <v>2</v>
      </c>
      <c r="N20" s="30">
        <f>IF(SUM(LightbringerAbilities4Scenario0[[#This Row],[takes]]) &gt; 0,LightbringerAbilities4Scenario0[[#This Row],[takes]]/SUM(LightbringerAbilities4Scenario0[takes]),0)</f>
        <v>0.2</v>
      </c>
      <c r="O20" s="30">
        <f>IF(LightbringerAbilities4Scenario0[[#This Row],[takes]]&gt;0,LightbringerAbilities4Scenario0[[#This Row],[wins]]/LightbringerAbilities4Scenario0[[#This Row],[takes]],0)</f>
        <v>1</v>
      </c>
      <c r="P20" s="31"/>
      <c r="Q20" s="31"/>
      <c r="R20" s="31"/>
      <c r="S20" s="32"/>
      <c r="T20" s="20"/>
    </row>
    <row r="21" spans="1:20" ht="15" thickBot="1" x14ac:dyDescent="0.45">
      <c r="T21" s="20"/>
    </row>
    <row r="22" spans="1:20" ht="15" thickBot="1" x14ac:dyDescent="0.45">
      <c r="K22" s="40" t="s">
        <v>633</v>
      </c>
      <c r="L22" s="41"/>
      <c r="M22" s="41"/>
      <c r="N22" s="41"/>
      <c r="O22" s="41"/>
      <c r="P22" s="41"/>
      <c r="Q22" s="41"/>
      <c r="R22" s="41"/>
      <c r="S22" s="42"/>
      <c r="T22" s="33"/>
    </row>
    <row r="23" spans="1:20" x14ac:dyDescent="0.4">
      <c r="K23" s="19" t="s">
        <v>109</v>
      </c>
      <c r="L23" s="20" t="s">
        <v>110</v>
      </c>
      <c r="M23" s="20" t="s">
        <v>79</v>
      </c>
      <c r="N23" s="21" t="s">
        <v>117</v>
      </c>
      <c r="O23" s="21" t="s">
        <v>118</v>
      </c>
      <c r="P23" s="20"/>
      <c r="Q23" s="20" t="s">
        <v>161</v>
      </c>
      <c r="R23" s="20" t="s">
        <v>170</v>
      </c>
      <c r="S23" s="22" t="s">
        <v>164</v>
      </c>
      <c r="T23" s="20"/>
    </row>
    <row r="24" spans="1:20" x14ac:dyDescent="0.4">
      <c r="K24" t="s">
        <v>72</v>
      </c>
      <c r="L24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82</v>
      </c>
      <c r="M24" s="20">
        <f>COUNTIF(Scenario1[winner1-ability1],LightbringerAbilities1Scenario1[[#This Row],[ability]])+COUNTIF(Scenario1[winner2-ability1],LightbringerAbilities1Scenario1[[#This Row],[ability]])</f>
        <v>32</v>
      </c>
      <c r="N24" s="21">
        <f>IF(SUM(LightbringerAbilities1Scenario1[[#This Row],[takes]]) &gt; 0,LightbringerAbilities1Scenario1[[#This Row],[takes]]/SUM(LightbringerAbilities1Scenario1[takes]),0)</f>
        <v>0.78095238095238095</v>
      </c>
      <c r="O24" s="21">
        <f>IF(LightbringerAbilities1Scenario1[[#This Row],[takes]]&gt;0,LightbringerAbilities1Scenario1[[#This Row],[wins]]/LightbringerAbilities1Scenario1[[#This Row],[takes]],0)</f>
        <v>0.3902439024390244</v>
      </c>
      <c r="P24" s="20"/>
      <c r="Q24" s="20">
        <v>1</v>
      </c>
      <c r="R24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37</v>
      </c>
      <c r="S24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98</v>
      </c>
      <c r="T24" s="20"/>
    </row>
    <row r="25" spans="1:20" x14ac:dyDescent="0.4">
      <c r="K25" t="s">
        <v>145</v>
      </c>
      <c r="L25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 s="20">
        <f>COUNTIF(Scenario1[winner1-ability1],LightbringerAbilities1Scenario1[[#This Row],[ability]])+COUNTIF(Scenario1[winner2-ability1],LightbringerAbilities1Scenario1[[#This Row],[ability]])</f>
        <v>0</v>
      </c>
      <c r="N25" s="21">
        <f>IF(SUM(LightbringerAbilities1Scenario1[[#This Row],[takes]]) &gt; 0,LightbringerAbilities1Scenario1[[#This Row],[takes]]/SUM(LightbringerAbilities1Scenario1[takes]),0)</f>
        <v>0</v>
      </c>
      <c r="O25" s="21">
        <f>IF(LightbringerAbilities1Scenario1[[#This Row],[takes]]&gt;0,LightbringerAbilities1Scenario1[[#This Row],[wins]]/LightbringerAbilities1Scenario1[[#This Row],[takes]],0)</f>
        <v>0</v>
      </c>
      <c r="P25" s="20"/>
      <c r="Q25" s="20">
        <v>2</v>
      </c>
      <c r="R25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58</v>
      </c>
      <c r="S25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7</v>
      </c>
      <c r="T25" s="20"/>
    </row>
    <row r="26" spans="1:20" x14ac:dyDescent="0.4">
      <c r="K26" t="s">
        <v>103</v>
      </c>
      <c r="L26" s="20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23</v>
      </c>
      <c r="M26" s="20">
        <f>COUNTIF(Scenario1[winner1-ability1],LightbringerAbilities1Scenario1[[#This Row],[ability]])+COUNTIF(Scenario1[winner2-ability1],LightbringerAbilities1Scenario1[[#This Row],[ability]])</f>
        <v>14</v>
      </c>
      <c r="N26" s="21">
        <f>IF(SUM(LightbringerAbilities1Scenario1[[#This Row],[takes]]) &gt; 0,LightbringerAbilities1Scenario1[[#This Row],[takes]]/SUM(LightbringerAbilities1Scenario1[takes]),0)</f>
        <v>0.21904761904761905</v>
      </c>
      <c r="O26" s="21">
        <f>IF(LightbringerAbilities1Scenario1[[#This Row],[takes]]&gt;0,LightbringerAbilities1Scenario1[[#This Row],[wins]]/LightbringerAbilities1Scenario1[[#This Row],[takes]],0)</f>
        <v>0.60869565217391308</v>
      </c>
      <c r="P26" s="20"/>
      <c r="Q26" s="20">
        <v>3</v>
      </c>
      <c r="R26" s="20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10</v>
      </c>
      <c r="S26" s="22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  <c r="T26" s="20"/>
    </row>
    <row r="27" spans="1:20" x14ac:dyDescent="0.4">
      <c r="K27" s="19"/>
      <c r="L27" s="20"/>
      <c r="M27" s="20"/>
      <c r="N27" s="21"/>
      <c r="O27" s="21"/>
      <c r="P27" s="20"/>
      <c r="Q27" s="20"/>
      <c r="R27" s="20"/>
      <c r="S27" s="22"/>
      <c r="T27" s="20"/>
    </row>
    <row r="28" spans="1:20" x14ac:dyDescent="0.4">
      <c r="K28" s="23" t="s">
        <v>109</v>
      </c>
      <c r="L28" s="9" t="s">
        <v>110</v>
      </c>
      <c r="M28" s="9" t="s">
        <v>79</v>
      </c>
      <c r="N28" s="10" t="s">
        <v>117</v>
      </c>
      <c r="O28" s="10" t="s">
        <v>118</v>
      </c>
      <c r="P28" s="20"/>
      <c r="Q28" s="20"/>
      <c r="R28" s="20"/>
      <c r="S28" s="22"/>
      <c r="T28" s="20"/>
    </row>
    <row r="29" spans="1:20" x14ac:dyDescent="0.4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</v>
      </c>
      <c r="M29" s="2">
        <f>COUNTIF(Scenario1[winner1-ability2],LightbringerAbilities2Scenario1[[#This Row],[ability]])+COUNTIF(Scenario1[winner2-ability2],LightbringerAbilities2Scenario1[[#This Row],[ability]])</f>
        <v>4</v>
      </c>
      <c r="N29" s="13">
        <f>IF(SUM(LightbringerAbilities2Scenario1[[#This Row],[takes]]) &gt; 0,LightbringerAbilities2Scenario1[[#This Row],[takes]]/SUM(LightbringerAbilities2Scenario1[takes]),0)</f>
        <v>0.3</v>
      </c>
      <c r="O29" s="13">
        <f>IF(LightbringerAbilities2Scenario1[[#This Row],[takes]]&gt;0,LightbringerAbilities2Scenario1[[#This Row],[wins]]/LightbringerAbilities2Scenario1[[#This Row],[takes]],0)</f>
        <v>0.66666666666666663</v>
      </c>
      <c r="P29" s="20"/>
      <c r="Q29" s="20"/>
      <c r="R29" s="20"/>
      <c r="S29" s="22"/>
      <c r="T29" s="20"/>
    </row>
    <row r="30" spans="1:20" x14ac:dyDescent="0.4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13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21">
        <f>IF(SUM(LightbringerAbilities2Scenario1[[#This Row],[takes]]) &gt; 0,LightbringerAbilities2Scenario1[[#This Row],[takes]]/SUM(LightbringerAbilities2Scenario1[takes]),0)</f>
        <v>0.65</v>
      </c>
      <c r="O30" s="21">
        <f>IF(LightbringerAbilities2Scenario1[[#This Row],[takes]]&gt;0,LightbringerAbilities2Scenario1[[#This Row],[wins]]/LightbringerAbilities2Scenario1[[#This Row],[takes]],0)</f>
        <v>0.30769230769230771</v>
      </c>
      <c r="P30" s="20"/>
      <c r="Q30" s="20"/>
      <c r="R30" s="20"/>
      <c r="S30" s="22"/>
      <c r="T30" s="20"/>
    </row>
    <row r="31" spans="1:20" x14ac:dyDescent="0.4">
      <c r="K31" s="11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4">
        <f>IF(SUM(LightbringerAbilities2Scenario1[[#This Row],[takes]]) &gt; 0,LightbringerAbilities2Scenario1[[#This Row],[takes]]/SUM(LightbringerAbilities2Scenario1[takes]),0)</f>
        <v>0.05</v>
      </c>
      <c r="O31" s="14">
        <f>IF(LightbringerAbilities2Scenario1[[#This Row],[takes]]&gt;0,LightbringerAbilities2Scenario1[[#This Row],[wins]]/LightbringerAbilities2Scenario1[[#This Row],[takes]],0)</f>
        <v>0</v>
      </c>
      <c r="P31" s="20"/>
      <c r="Q31" s="20"/>
      <c r="R31" s="20"/>
      <c r="S31" s="22"/>
      <c r="T31" s="20"/>
    </row>
    <row r="32" spans="1:20" x14ac:dyDescent="0.4">
      <c r="K32" s="19"/>
      <c r="L32" s="20"/>
      <c r="M32" s="20"/>
      <c r="N32" s="21"/>
      <c r="O32" s="21"/>
      <c r="P32" s="20"/>
      <c r="Q32" s="20"/>
      <c r="R32" s="20"/>
      <c r="S32" s="22"/>
      <c r="T32" s="20"/>
    </row>
    <row r="33" spans="11:20" x14ac:dyDescent="0.4">
      <c r="K33" s="23" t="s">
        <v>109</v>
      </c>
      <c r="L33" s="9" t="s">
        <v>110</v>
      </c>
      <c r="M33" s="9" t="s">
        <v>79</v>
      </c>
      <c r="N33" s="10" t="s">
        <v>117</v>
      </c>
      <c r="O33" s="10" t="s">
        <v>118</v>
      </c>
      <c r="P33" s="20"/>
      <c r="Q33" s="20"/>
      <c r="R33" s="20"/>
      <c r="S33" s="22"/>
      <c r="T33" s="20"/>
    </row>
    <row r="34" spans="11:20" x14ac:dyDescent="0.4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4" s="1">
        <f>COUNTIF(Scenario1[winner1-ability3],LightbringerAbilities3Scenario1[[#This Row],[ability]])+COUNTIF(Scenario1[winner2-ability3],LightbringerAbilities3Scenario1[[#This Row],[ability]])</f>
        <v>1</v>
      </c>
      <c r="N34" s="15">
        <f>IF(SUM(LightbringerAbilities3Scenario1[[#This Row],[takes]]) &gt; 0,LightbringerAbilities3Scenario1[[#This Row],[takes]]/SUM(LightbringerAbilities3Scenario1[takes]),0)</f>
        <v>0.5</v>
      </c>
      <c r="O34" s="15">
        <f>IF(LightbringerAbilities3Scenario1[[#This Row],[takes]]&gt;0,LightbringerAbilities3Scenario1[[#This Row],[wins]]/LightbringerAbilities3Scenario1[[#This Row],[takes]],0)</f>
        <v>1</v>
      </c>
      <c r="P34" s="20"/>
      <c r="Q34" s="20"/>
      <c r="R34" s="20"/>
      <c r="S34" s="22"/>
      <c r="T34" s="20"/>
    </row>
    <row r="35" spans="11:20" x14ac:dyDescent="0.4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3">
        <f>IF(SUM(LightbringerAbilities3Scenario1[[#This Row],[takes]]) &gt; 0,LightbringerAbilities3Scenario1[[#This Row],[takes]]/SUM(LightbringerAbilities3Scenario1[takes]),0)</f>
        <v>0</v>
      </c>
      <c r="O35" s="13">
        <f>IF(LightbringerAbilities3Scenario1[[#This Row],[takes]]&gt;0,LightbringerAbilities3Scenario1[[#This Row],[wins]]/LightbringerAbilities3Scenario1[[#This Row],[takes]],0)</f>
        <v>0</v>
      </c>
      <c r="P35" s="20"/>
      <c r="Q35" s="20"/>
      <c r="R35" s="20"/>
      <c r="S35" s="22"/>
      <c r="T35" s="20"/>
    </row>
    <row r="36" spans="11:20" x14ac:dyDescent="0.4">
      <c r="K36" s="12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6">
        <f>IF(SUM(LightbringerAbilities3Scenario1[[#This Row],[takes]]) &gt; 0,LightbringerAbilities3Scenario1[[#This Row],[takes]]/SUM(LightbringerAbilities3Scenario1[takes]),0)</f>
        <v>0.5</v>
      </c>
      <c r="O36" s="16">
        <f>IF(LightbringerAbilities3Scenario1[[#This Row],[takes]]&gt;0,LightbringerAbilities3Scenario1[[#This Row],[wins]]/LightbringerAbilities3Scenario1[[#This Row],[takes]],0)</f>
        <v>0</v>
      </c>
      <c r="P36" s="20"/>
      <c r="Q36" s="20"/>
      <c r="R36" s="20"/>
      <c r="S36" s="22"/>
      <c r="T36" s="20"/>
    </row>
    <row r="37" spans="11:20" x14ac:dyDescent="0.4">
      <c r="K37" s="19"/>
      <c r="L37" s="20"/>
      <c r="M37" s="20"/>
      <c r="N37" s="21"/>
      <c r="O37" s="21"/>
      <c r="P37" s="20"/>
      <c r="Q37" s="20"/>
      <c r="R37" s="20"/>
      <c r="S37" s="22"/>
      <c r="T37" s="20"/>
    </row>
    <row r="38" spans="11:20" x14ac:dyDescent="0.4">
      <c r="K38" s="23" t="s">
        <v>109</v>
      </c>
      <c r="L38" s="9" t="s">
        <v>110</v>
      </c>
      <c r="M38" s="9" t="s">
        <v>79</v>
      </c>
      <c r="N38" s="10" t="s">
        <v>117</v>
      </c>
      <c r="O38" s="10" t="s">
        <v>118</v>
      </c>
      <c r="P38" s="20"/>
      <c r="Q38" s="20"/>
      <c r="R38" s="20"/>
      <c r="S38" s="22"/>
      <c r="T38" s="20"/>
    </row>
    <row r="39" spans="11:20" x14ac:dyDescent="0.4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39" s="2">
        <f>COUNTIF(Scenario1[winner1-ability4],LightbringerAbilities4Scenario1[[#This Row],[ability]])+COUNTIF(Scenario1[winner2-ability4],LightbringerAbilities4Scenario1[[#This Row],[ability]])</f>
        <v>1</v>
      </c>
      <c r="N39" s="13">
        <f>IF(SUM(LightbringerAbilities4Scenario1[[#This Row],[takes]]) &gt; 0,LightbringerAbilities4Scenario1[[#This Row],[takes]]/SUM(LightbringerAbilities4Scenario1[takes]),0)</f>
        <v>1</v>
      </c>
      <c r="O39" s="13">
        <f>IF(LightbringerAbilities4Scenario1[[#This Row],[takes]]&gt;0,LightbringerAbilities4Scenario1[[#This Row],[wins]]/LightbringerAbilities4Scenario1[[#This Row],[takes]],0)</f>
        <v>1</v>
      </c>
      <c r="P39" s="20"/>
      <c r="Q39" s="20"/>
      <c r="R39" s="20"/>
      <c r="S39" s="22"/>
      <c r="T39" s="20"/>
    </row>
    <row r="40" spans="11:20" x14ac:dyDescent="0.4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3">
        <f>IF(SUM(LightbringerAbilities4Scenario1[[#This Row],[takes]]) &gt; 0,LightbringerAbilities4Scenario1[[#This Row],[takes]]/SUM(LightbringerAbilities4Scenario1[takes]),0)</f>
        <v>0</v>
      </c>
      <c r="O40" s="13">
        <f>IF(LightbringerAbilities4Scenario1[[#This Row],[takes]]&gt;0,LightbringerAbilities4Scenario1[[#This Row],[wins]]/LightbringerAbilities4Scenario1[[#This Row],[takes]],0)</f>
        <v>0</v>
      </c>
      <c r="P40" s="20"/>
      <c r="Q40" s="20"/>
      <c r="R40" s="20"/>
      <c r="S40" s="22"/>
      <c r="T40" s="20"/>
    </row>
    <row r="41" spans="11:20" ht="15" thickBot="1" x14ac:dyDescent="0.45">
      <c r="K41" s="11" t="s">
        <v>151</v>
      </c>
      <c r="L41" s="29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9">
        <f>COUNTIF(Scenario1[winner1-ability4],LightbringerAbilities4Scenario1[[#This Row],[ability]])+COUNTIF(Scenario1[winner2-ability4],LightbringerAbilities4Scenario1[[#This Row],[ability]])</f>
        <v>0</v>
      </c>
      <c r="N41" s="30">
        <f>IF(SUM(LightbringerAbilities4Scenario1[[#This Row],[takes]]) &gt; 0,LightbringerAbilities4Scenario1[[#This Row],[takes]]/SUM(LightbringerAbilities4Scenario1[takes]),0)</f>
        <v>0</v>
      </c>
      <c r="O41" s="30">
        <f>IF(LightbringerAbilities4Scenario1[[#This Row],[takes]]&gt;0,LightbringerAbilities4Scenario1[[#This Row],[wins]]/LightbringerAbilities4Scenario1[[#This Row],[takes]],0)</f>
        <v>0</v>
      </c>
      <c r="P41" s="31"/>
      <c r="Q41" s="31"/>
      <c r="R41" s="31"/>
      <c r="S41" s="32"/>
      <c r="T41" s="20"/>
    </row>
    <row r="42" spans="11:20" ht="15" thickBot="1" x14ac:dyDescent="0.45">
      <c r="T42" s="20"/>
    </row>
    <row r="43" spans="11:20" ht="15" thickBot="1" x14ac:dyDescent="0.45">
      <c r="K43" s="40" t="s">
        <v>634</v>
      </c>
      <c r="L43" s="41"/>
      <c r="M43" s="41"/>
      <c r="N43" s="41"/>
      <c r="O43" s="41"/>
      <c r="P43" s="41"/>
      <c r="Q43" s="41"/>
      <c r="R43" s="41"/>
      <c r="S43" s="42"/>
      <c r="T43" s="33"/>
    </row>
    <row r="44" spans="11:20" x14ac:dyDescent="0.4">
      <c r="K44" s="19" t="s">
        <v>109</v>
      </c>
      <c r="L44" s="20" t="s">
        <v>110</v>
      </c>
      <c r="M44" s="20" t="s">
        <v>79</v>
      </c>
      <c r="N44" s="21" t="s">
        <v>117</v>
      </c>
      <c r="O44" s="21" t="s">
        <v>118</v>
      </c>
      <c r="P44" s="20"/>
      <c r="Q44" s="20" t="s">
        <v>161</v>
      </c>
      <c r="R44" s="20" t="s">
        <v>170</v>
      </c>
      <c r="S44" s="22" t="s">
        <v>164</v>
      </c>
    </row>
    <row r="45" spans="11:20" x14ac:dyDescent="0.4">
      <c r="K45" t="s">
        <v>72</v>
      </c>
      <c r="L45" s="20">
        <f>COUNTIF(Scenario2[winner1-ability1],LightbringerAbilities1Scenario2[[#This Row],[ability]])+COUNTIF(Scenario2[loser1-ability1],LightbringerAbilities1Scenario2[[#This Row],[ability]])</f>
        <v>7</v>
      </c>
      <c r="M45" s="20">
        <f>COUNTIF(Scenario2[winner1-ability1],LightbringerAbilities1Scenario2[[#This Row],[ability]])</f>
        <v>4</v>
      </c>
      <c r="N45" s="21">
        <f>IF(SUM(LightbringerAbilities1Scenario2[[#This Row],[takes]]) &gt; 0,LightbringerAbilities1Scenario2[[#This Row],[takes]]/SUM(LightbringerAbilities1Scenario2[takes]),0)</f>
        <v>0.5</v>
      </c>
      <c r="O45" s="21">
        <f>IF(LightbringerAbilities1Scenario2[[#This Row],[takes]]&gt;0,LightbringerAbilities1Scenario2[[#This Row],[wins]]/LightbringerAbilities1Scenario2[[#This Row],[takes]],0)</f>
        <v>0.5714285714285714</v>
      </c>
      <c r="P45" s="20"/>
      <c r="Q45" s="20">
        <v>1</v>
      </c>
      <c r="R45" s="20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5" s="22">
        <f>COUNTIFS(Scenario2[winner1],"lightbringer",Scenario2[winner1-cp],LightbringerEquipScenario2[[#This Row],[level]])+COUNTIFS(Scenario2[loser1],"lightbringer",Scenario2[loser1-cp],LightbringerEquipScenario2[[#This Row],[level]])</f>
        <v>7</v>
      </c>
    </row>
    <row r="46" spans="11:20" x14ac:dyDescent="0.4">
      <c r="K46" t="s">
        <v>145</v>
      </c>
      <c r="L46" s="20">
        <f>COUNTIF(Scenario2[winner1-ability1],LightbringerAbilities1Scenario2[[#This Row],[ability]])+COUNTIF(Scenario2[loser1-ability1],LightbringerAbilities1Scenario2[[#This Row],[ability]])</f>
        <v>2</v>
      </c>
      <c r="M46" s="20">
        <f>COUNTIF(Scenario2[winner1-ability1],LightbringerAbilities1Scenario2[[#This Row],[ability]])</f>
        <v>0</v>
      </c>
      <c r="N46" s="21">
        <f>IF(SUM(LightbringerAbilities1Scenario2[[#This Row],[takes]]) &gt; 0,LightbringerAbilities1Scenario2[[#This Row],[takes]]/SUM(LightbringerAbilities1Scenario2[takes]),0)</f>
        <v>0.14285714285714285</v>
      </c>
      <c r="O46" s="21">
        <f>IF(LightbringerAbilities1Scenario2[[#This Row],[takes]]&gt;0,LightbringerAbilities1Scenario2[[#This Row],[wins]]/LightbringerAbilities1Scenario2[[#This Row],[takes]],0)</f>
        <v>0</v>
      </c>
      <c r="P46" s="20"/>
      <c r="Q46" s="20">
        <v>2</v>
      </c>
      <c r="R46" s="20">
        <f>COUNTIFS(Scenario2[winner1],"lightbringer",Scenario2[winner1-pw],LightbringerEquipScenario2[[#This Row],[level]])+COUNTIFS(Scenario2[loser1],"lightbringer",Scenario2[loser1-pw],LightbringerEquipScenario2[[#This Row],[level]])</f>
        <v>0</v>
      </c>
      <c r="S46" s="22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4">
      <c r="K47" t="s">
        <v>103</v>
      </c>
      <c r="L47" s="20">
        <f>COUNTIF(Scenario2[winner1-ability1],LightbringerAbilities1Scenario2[[#This Row],[ability]])+COUNTIF(Scenario2[loser1-ability1],LightbringerAbilities1Scenario2[[#This Row],[ability]])</f>
        <v>5</v>
      </c>
      <c r="M47" s="20">
        <f>COUNTIF(Scenario2[winner1-ability1],LightbringerAbilities1Scenario2[[#This Row],[ability]])</f>
        <v>3</v>
      </c>
      <c r="N47" s="21">
        <f>IF(SUM(LightbringerAbilities1Scenario2[[#This Row],[takes]]) &gt; 0,LightbringerAbilities1Scenario2[[#This Row],[takes]]/SUM(LightbringerAbilities1Scenario2[takes]),0)</f>
        <v>0.35714285714285715</v>
      </c>
      <c r="O47" s="21">
        <f>IF(LightbringerAbilities1Scenario2[[#This Row],[takes]]&gt;0,LightbringerAbilities1Scenario2[[#This Row],[wins]]/LightbringerAbilities1Scenario2[[#This Row],[takes]],0)</f>
        <v>0.6</v>
      </c>
      <c r="P47" s="20"/>
      <c r="Q47" s="20">
        <v>3</v>
      </c>
      <c r="R47" s="20">
        <f>COUNTIFS(Scenario2[winner1],"lightbringer",Scenario2[winner1-pw],LightbringerEquipScenario2[[#This Row],[level]])+COUNTIFS(Scenario2[loser1],"lightbringer",Scenario2[loser1-pw],LightbringerEquipScenario2[[#This Row],[level]])</f>
        <v>8</v>
      </c>
      <c r="S47" s="22">
        <f>COUNTIFS(Scenario2[winner1],"lightbringer",Scenario2[winner1-cp],LightbringerEquipScenario2[[#This Row],[level]])+COUNTIFS(Scenario2[loser1],"lightbringer",Scenario2[loser1-cp],LightbringerEquipScenario2[[#This Row],[level]])</f>
        <v>6</v>
      </c>
    </row>
    <row r="48" spans="11:20" x14ac:dyDescent="0.4">
      <c r="K48" s="19"/>
      <c r="L48" s="20"/>
      <c r="M48" s="20"/>
      <c r="N48" s="21"/>
      <c r="O48" s="21"/>
      <c r="P48" s="20"/>
      <c r="Q48" s="20"/>
      <c r="R48" s="20"/>
      <c r="S48" s="22"/>
      <c r="T48" s="20"/>
    </row>
    <row r="49" spans="11:20" x14ac:dyDescent="0.4">
      <c r="K49" s="23" t="s">
        <v>109</v>
      </c>
      <c r="L49" s="9" t="s">
        <v>110</v>
      </c>
      <c r="M49" s="9" t="s">
        <v>79</v>
      </c>
      <c r="N49" s="10" t="s">
        <v>117</v>
      </c>
      <c r="O49" s="10" t="s">
        <v>118</v>
      </c>
      <c r="P49" s="20"/>
      <c r="Q49" s="20"/>
      <c r="R49" s="20"/>
      <c r="S49" s="22"/>
      <c r="T49" s="20"/>
    </row>
    <row r="50" spans="11:20" x14ac:dyDescent="0.4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4</v>
      </c>
      <c r="M50" s="2">
        <f>COUNTIF(Scenario2[winner1-ability2],LightbringerAbilities2Scenario2[[#This Row],[ability]])</f>
        <v>4</v>
      </c>
      <c r="N50" s="13">
        <f>IF(SUM(LightbringerAbilities2Scenario2[[#This Row],[takes]]) &gt; 0,LightbringerAbilities2Scenario2[[#This Row],[takes]]/SUM(LightbringerAbilities2Scenario2[takes]),0)</f>
        <v>0.33333333333333331</v>
      </c>
      <c r="O50" s="13">
        <f>IF(LightbringerAbilities2Scenario2[[#This Row],[takes]]&gt;0,LightbringerAbilities2Scenario2[[#This Row],[wins]]/LightbringerAbilities2Scenario2[[#This Row],[takes]],0)</f>
        <v>1</v>
      </c>
      <c r="P50" s="20"/>
      <c r="Q50" s="20"/>
      <c r="R50" s="20"/>
      <c r="S50" s="22"/>
      <c r="T50" s="20"/>
    </row>
    <row r="51" spans="11:20" x14ac:dyDescent="0.4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1</v>
      </c>
      <c r="N51" s="21">
        <f>IF(SUM(LightbringerAbilities2Scenario2[[#This Row],[takes]]) &gt; 0,LightbringerAbilities2Scenario2[[#This Row],[takes]]/SUM(LightbringerAbilities2Scenario2[takes]),0)</f>
        <v>0.66666666666666663</v>
      </c>
      <c r="O51" s="21">
        <f>IF(LightbringerAbilities2Scenario2[[#This Row],[takes]]&gt;0,LightbringerAbilities2Scenario2[[#This Row],[wins]]/LightbringerAbilities2Scenario2[[#This Row],[takes]],0)</f>
        <v>0.125</v>
      </c>
      <c r="P51" s="20"/>
      <c r="Q51" s="20"/>
      <c r="R51" s="20"/>
      <c r="S51" s="22"/>
      <c r="T51" s="20"/>
    </row>
    <row r="52" spans="11:20" x14ac:dyDescent="0.4">
      <c r="K52" s="11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4">
        <f>IF(SUM(LightbringerAbilities2Scenario2[[#This Row],[takes]]) &gt; 0,LightbringerAbilities2Scenario2[[#This Row],[takes]]/SUM(LightbringerAbilities2Scenario2[takes]),0)</f>
        <v>0</v>
      </c>
      <c r="O52" s="14">
        <f>IF(LightbringerAbilities2Scenario2[[#This Row],[takes]]&gt;0,LightbringerAbilities2Scenario2[[#This Row],[wins]]/LightbringerAbilities2Scenario2[[#This Row],[takes]],0)</f>
        <v>0</v>
      </c>
      <c r="P52" s="20"/>
      <c r="Q52" s="20"/>
      <c r="R52" s="20"/>
      <c r="S52" s="22"/>
      <c r="T52" s="20"/>
    </row>
    <row r="53" spans="11:20" x14ac:dyDescent="0.4">
      <c r="K53" s="19"/>
      <c r="L53" s="20"/>
      <c r="M53" s="20"/>
      <c r="N53" s="21"/>
      <c r="O53" s="21"/>
      <c r="P53" s="20"/>
      <c r="Q53" s="20"/>
      <c r="R53" s="20"/>
      <c r="S53" s="22"/>
      <c r="T53" s="20"/>
    </row>
    <row r="54" spans="11:20" x14ac:dyDescent="0.4">
      <c r="K54" s="23" t="s">
        <v>109</v>
      </c>
      <c r="L54" s="9" t="s">
        <v>110</v>
      </c>
      <c r="M54" s="9" t="s">
        <v>79</v>
      </c>
      <c r="N54" s="10" t="s">
        <v>117</v>
      </c>
      <c r="O54" s="10" t="s">
        <v>118</v>
      </c>
      <c r="P54" s="20"/>
      <c r="Q54" s="20"/>
      <c r="R54" s="20"/>
      <c r="S54" s="22"/>
      <c r="T54" s="20"/>
    </row>
    <row r="55" spans="11:20" x14ac:dyDescent="0.4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6</v>
      </c>
      <c r="M55" s="1">
        <f>COUNTIF(Scenario2[winner1-ability3],LightbringerAbilities3Scenario2[[#This Row],[ability]])</f>
        <v>2</v>
      </c>
      <c r="N55" s="15">
        <f>IF(SUM(LightbringerAbilities3Scenario2[[#This Row],[takes]]) &gt; 0,LightbringerAbilities3Scenario2[[#This Row],[takes]]/SUM(LightbringerAbilities3Scenario2[takes]),0)</f>
        <v>0.5</v>
      </c>
      <c r="O55" s="15">
        <f>IF(LightbringerAbilities3Scenario2[[#This Row],[takes]]&gt;0,LightbringerAbilities3Scenario2[[#This Row],[wins]]/LightbringerAbilities3Scenario2[[#This Row],[takes]],0)</f>
        <v>0.33333333333333331</v>
      </c>
      <c r="P55" s="20"/>
      <c r="Q55" s="20"/>
      <c r="R55" s="20"/>
      <c r="S55" s="22"/>
      <c r="T55" s="20"/>
    </row>
    <row r="56" spans="11:20" x14ac:dyDescent="0.4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4</v>
      </c>
      <c r="M56" s="2">
        <f>COUNTIF(Scenario2[winner1-ability3],LightbringerAbilities3Scenario2[[#This Row],[ability]])</f>
        <v>3</v>
      </c>
      <c r="N56" s="13">
        <f>IF(SUM(LightbringerAbilities3Scenario2[[#This Row],[takes]]) &gt; 0,LightbringerAbilities3Scenario2[[#This Row],[takes]]/SUM(LightbringerAbilities3Scenario2[takes]),0)</f>
        <v>0.33333333333333331</v>
      </c>
      <c r="O56" s="13">
        <f>IF(LightbringerAbilities3Scenario2[[#This Row],[takes]]&gt;0,LightbringerAbilities3Scenario2[[#This Row],[wins]]/LightbringerAbilities3Scenario2[[#This Row],[takes]],0)</f>
        <v>0.75</v>
      </c>
      <c r="P56" s="20"/>
      <c r="Q56" s="20"/>
      <c r="R56" s="20"/>
      <c r="S56" s="22"/>
      <c r="T56" s="20"/>
    </row>
    <row r="57" spans="11:20" x14ac:dyDescent="0.4">
      <c r="K57" s="12" t="s">
        <v>148</v>
      </c>
      <c r="L57" s="1">
        <f>COUNTIF(Scenario2[winner1-ability3],LightbringerAbilities3Scenario2[[#This Row],[ability]])+COUNTIF(Scenario2[loser1-ability3],LightbringerAbilities3Scenario2[[#This Row],[ability]])</f>
        <v>2</v>
      </c>
      <c r="M57" s="1">
        <f>COUNTIF(Scenario2[winner1-ability3],LightbringerAbilities3Scenario2[[#This Row],[ability]])</f>
        <v>0</v>
      </c>
      <c r="N57" s="16">
        <f>IF(SUM(LightbringerAbilities3Scenario2[[#This Row],[takes]]) &gt; 0,LightbringerAbilities3Scenario2[[#This Row],[takes]]/SUM(LightbringerAbilities3Scenario2[takes]),0)</f>
        <v>0.16666666666666666</v>
      </c>
      <c r="O57" s="16">
        <f>IF(LightbringerAbilities3Scenario2[[#This Row],[takes]]&gt;0,LightbringerAbilities3Scenario2[[#This Row],[wins]]/LightbringerAbilities3Scenario2[[#This Row],[takes]],0)</f>
        <v>0</v>
      </c>
      <c r="P57" s="20"/>
      <c r="Q57" s="20"/>
      <c r="R57" s="20"/>
      <c r="S57" s="22"/>
      <c r="T57" s="20"/>
    </row>
    <row r="58" spans="11:20" x14ac:dyDescent="0.4">
      <c r="K58" s="19"/>
      <c r="L58" s="20"/>
      <c r="M58" s="20"/>
      <c r="N58" s="21"/>
      <c r="O58" s="21"/>
      <c r="P58" s="20"/>
      <c r="Q58" s="20"/>
      <c r="R58" s="20"/>
      <c r="S58" s="22"/>
      <c r="T58" s="20"/>
    </row>
    <row r="59" spans="11:20" x14ac:dyDescent="0.4">
      <c r="K59" s="23" t="s">
        <v>109</v>
      </c>
      <c r="L59" s="9" t="s">
        <v>110</v>
      </c>
      <c r="M59" s="9" t="s">
        <v>79</v>
      </c>
      <c r="N59" s="10" t="s">
        <v>117</v>
      </c>
      <c r="O59" s="10" t="s">
        <v>118</v>
      </c>
      <c r="P59" s="20"/>
      <c r="Q59" s="20"/>
      <c r="R59" s="20"/>
      <c r="S59" s="22"/>
      <c r="T59" s="20"/>
    </row>
    <row r="60" spans="11:20" x14ac:dyDescent="0.4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1</v>
      </c>
      <c r="M60" s="2">
        <f>COUNTIF(Scenario2[winner1-ability4],LightbringerAbilities4Scenario2[[#This Row],[ability]])</f>
        <v>0</v>
      </c>
      <c r="N60" s="13">
        <f>IF(SUM(LightbringerAbilities4Scenario2[[#This Row],[takes]]) &gt; 0,LightbringerAbilities4Scenario2[[#This Row],[takes]]/SUM(LightbringerAbilities4Scenario2[takes]),0)</f>
        <v>0.2</v>
      </c>
      <c r="O60" s="13">
        <f>IF(LightbringerAbilities4Scenario2[[#This Row],[takes]]&gt;0,LightbringerAbilities4Scenario2[[#This Row],[wins]]/LightbringerAbilities4Scenario2[[#This Row],[takes]],0)</f>
        <v>0</v>
      </c>
      <c r="P60" s="20"/>
      <c r="Q60" s="20"/>
      <c r="R60" s="20"/>
      <c r="S60" s="22"/>
      <c r="T60" s="20"/>
    </row>
    <row r="61" spans="11:20" x14ac:dyDescent="0.4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1</v>
      </c>
      <c r="N61" s="13">
        <f>IF(SUM(LightbringerAbilities4Scenario2[[#This Row],[takes]]) &gt; 0,LightbringerAbilities4Scenario2[[#This Row],[takes]]/SUM(LightbringerAbilities4Scenario2[takes]),0)</f>
        <v>0.4</v>
      </c>
      <c r="O61" s="13">
        <f>IF(LightbringerAbilities4Scenario2[[#This Row],[takes]]&gt;0,LightbringerAbilities4Scenario2[[#This Row],[wins]]/LightbringerAbilities4Scenario2[[#This Row],[takes]],0)</f>
        <v>0.5</v>
      </c>
      <c r="P61" s="20"/>
      <c r="Q61" s="20"/>
      <c r="R61" s="20"/>
      <c r="S61" s="22"/>
      <c r="T61" s="20"/>
    </row>
    <row r="62" spans="11:20" ht="15" thickBot="1" x14ac:dyDescent="0.45">
      <c r="K62" s="11" t="s">
        <v>151</v>
      </c>
      <c r="L62" s="29">
        <f>COUNTIF(Scenario2[winner1-ability4],LightbringerAbilities4Scenario2[[#This Row],[ability]])+COUNTIF(Scenario2[loser1-ability4],LightbringerAbilities4Scenario2[[#This Row],[ability]])</f>
        <v>2</v>
      </c>
      <c r="M62" s="29">
        <f>COUNTIF(Scenario2[winner1-ability4],LightbringerAbilities4Scenario2[[#This Row],[ability]])</f>
        <v>2</v>
      </c>
      <c r="N62" s="30">
        <f>IF(SUM(LightbringerAbilities4Scenario2[[#This Row],[takes]]) &gt; 0,LightbringerAbilities4Scenario2[[#This Row],[takes]]/SUM(LightbringerAbilities4Scenario2[takes]),0)</f>
        <v>0.4</v>
      </c>
      <c r="O62" s="30">
        <f>IF(LightbringerAbilities4Scenario2[[#This Row],[takes]]&gt;0,LightbringerAbilities4Scenario2[[#This Row],[wins]]/LightbringerAbilities4Scenario2[[#This Row],[takes]],0)</f>
        <v>1</v>
      </c>
      <c r="P62" s="31"/>
      <c r="Q62" s="31"/>
      <c r="R62" s="31"/>
      <c r="S62" s="32"/>
      <c r="T62" s="20"/>
    </row>
  </sheetData>
  <mergeCells count="4">
    <mergeCell ref="A1:I1"/>
    <mergeCell ref="K1:S1"/>
    <mergeCell ref="K22:S22"/>
    <mergeCell ref="K43:S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62"/>
  <sheetViews>
    <sheetView topLeftCell="E1" workbookViewId="0">
      <selection activeCell="W14" sqref="W14"/>
    </sheetView>
  </sheetViews>
  <sheetFormatPr defaultRowHeight="14.6" x14ac:dyDescent="0.4"/>
  <cols>
    <col min="1" max="1" width="16.23046875" bestFit="1" customWidth="1"/>
    <col min="2" max="2" width="7.4609375" bestFit="1" customWidth="1"/>
    <col min="3" max="3" width="6.84375" bestFit="1" customWidth="1"/>
    <col min="4" max="4" width="17.07421875" style="3" bestFit="1" customWidth="1"/>
    <col min="5" max="5" width="14.3046875" style="3" bestFit="1" customWidth="1"/>
    <col min="6" max="6" width="3.53515625" customWidth="1"/>
    <col min="7" max="7" width="6.921875" bestFit="1" customWidth="1"/>
    <col min="8" max="8" width="7.61328125" bestFit="1" customWidth="1"/>
    <col min="9" max="9" width="7.69140625" bestFit="1" customWidth="1"/>
    <col min="10" max="10" width="11.84375" bestFit="1" customWidth="1"/>
    <col min="11" max="11" width="3.84375" customWidth="1"/>
    <col min="12" max="12" width="16.23046875" bestFit="1" customWidth="1"/>
    <col min="13" max="13" width="7.4609375" bestFit="1" customWidth="1"/>
    <col min="14" max="14" width="6.84375" bestFit="1" customWidth="1"/>
    <col min="15" max="15" width="17.07421875" bestFit="1" customWidth="1"/>
    <col min="16" max="16" width="14.3046875" bestFit="1" customWidth="1"/>
    <col min="17" max="17" width="4" customWidth="1"/>
    <col min="18" max="18" width="6.921875" bestFit="1" customWidth="1"/>
    <col min="19" max="19" width="7.61328125" bestFit="1" customWidth="1"/>
    <col min="20" max="20" width="7.69140625" bestFit="1" customWidth="1"/>
    <col min="21" max="21" width="11.84375" bestFit="1" customWidth="1"/>
    <col min="23" max="23" width="15.53515625" bestFit="1" customWidth="1"/>
    <col min="24" max="24" width="6.765625" bestFit="1" customWidth="1"/>
  </cols>
  <sheetData>
    <row r="1" spans="1:24" ht="15" thickBot="1" x14ac:dyDescent="0.45">
      <c r="A1" s="40" t="s">
        <v>631</v>
      </c>
      <c r="B1" s="41"/>
      <c r="C1" s="41"/>
      <c r="D1" s="41"/>
      <c r="E1" s="41"/>
      <c r="F1" s="41"/>
      <c r="G1" s="41"/>
      <c r="H1" s="41"/>
      <c r="I1" s="41"/>
      <c r="J1" s="42"/>
      <c r="L1" s="40" t="s">
        <v>632</v>
      </c>
      <c r="M1" s="41"/>
      <c r="N1" s="41"/>
      <c r="O1" s="41"/>
      <c r="P1" s="41"/>
      <c r="Q1" s="41"/>
      <c r="R1" s="41"/>
      <c r="S1" s="41"/>
      <c r="T1" s="41"/>
      <c r="U1" s="42"/>
      <c r="W1" t="s">
        <v>386</v>
      </c>
      <c r="X1" s="3" t="s">
        <v>387</v>
      </c>
    </row>
    <row r="2" spans="1:24" x14ac:dyDescent="0.4">
      <c r="A2" s="19" t="s">
        <v>109</v>
      </c>
      <c r="B2" s="20" t="s">
        <v>110</v>
      </c>
      <c r="C2" s="20" t="s">
        <v>79</v>
      </c>
      <c r="D2" s="21" t="s">
        <v>117</v>
      </c>
      <c r="E2" s="21" t="s">
        <v>118</v>
      </c>
      <c r="F2" s="20"/>
      <c r="G2" s="20" t="s">
        <v>161</v>
      </c>
      <c r="H2" t="s">
        <v>171</v>
      </c>
      <c r="I2" t="s">
        <v>172</v>
      </c>
      <c r="J2" s="22" t="s">
        <v>164</v>
      </c>
      <c r="L2" s="19" t="s">
        <v>109</v>
      </c>
      <c r="M2" s="20" t="s">
        <v>110</v>
      </c>
      <c r="N2" s="20" t="s">
        <v>79</v>
      </c>
      <c r="O2" s="21" t="s">
        <v>117</v>
      </c>
      <c r="P2" s="21" t="s">
        <v>118</v>
      </c>
      <c r="Q2" s="20"/>
      <c r="R2" s="20" t="s">
        <v>161</v>
      </c>
      <c r="S2" t="s">
        <v>171</v>
      </c>
      <c r="T2" t="s">
        <v>172</v>
      </c>
      <c r="U2" s="22" t="s">
        <v>164</v>
      </c>
      <c r="W2" t="s">
        <v>683</v>
      </c>
      <c r="X2" s="3">
        <f>H4/SUM(AvengerEquip[sabre])</f>
        <v>0.24107142857142858</v>
      </c>
    </row>
    <row r="3" spans="1:24" x14ac:dyDescent="0.4">
      <c r="A3" t="s">
        <v>67</v>
      </c>
      <c r="B3" s="20">
        <f>M3+M24+M45</f>
        <v>96</v>
      </c>
      <c r="C3" s="20">
        <f>N3+N24+N45</f>
        <v>49</v>
      </c>
      <c r="D3" s="21">
        <f>IF(SUM(AvengerAbilities1[[#This Row],[takes]]) &gt; 0,AvengerAbilities1[[#This Row],[takes]]/SUM(AvengerAbilities1[takes]),0)</f>
        <v>0.42857142857142855</v>
      </c>
      <c r="E3" s="21">
        <f>IF(AvengerAbilities1[[#This Row],[takes]]&gt;0,AvengerAbilities1[[#This Row],[wins]]/AvengerAbilities1[[#This Row],[takes]],0)</f>
        <v>0.51041666666666663</v>
      </c>
      <c r="F3" s="20"/>
      <c r="G3" s="20">
        <v>1</v>
      </c>
      <c r="H3" s="20">
        <f>S3+S24+S45</f>
        <v>114</v>
      </c>
      <c r="I3" s="20">
        <f>T3+T24+T45</f>
        <v>163</v>
      </c>
      <c r="J3" s="22">
        <f>U3+U24+U45</f>
        <v>135</v>
      </c>
      <c r="L3" t="s">
        <v>67</v>
      </c>
      <c r="M3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45</v>
      </c>
      <c r="N3" s="20">
        <f>COUNTIF(Scenario0[winner1-ability1],AvengerAbilities1Scenario0[[#This Row],[ability]])+COUNTIF(Scenario0[winner2-ability1],AvengerAbilities1Scenario0[[#This Row],[ability]])</f>
        <v>26</v>
      </c>
      <c r="O3" s="21">
        <f>IF(SUM(AvengerAbilities1Scenario0[[#This Row],[takes]]) &gt; 0,AvengerAbilities1Scenario0[[#This Row],[takes]]/SUM(AvengerAbilities1Scenario0[takes]),0)</f>
        <v>0.42857142857142855</v>
      </c>
      <c r="P3" s="21">
        <f>IF(AvengerAbilities1Scenario0[[#This Row],[takes]]&gt;0,AvengerAbilities1Scenario0[[#This Row],[wins]]/AvengerAbilities1Scenario0[[#This Row],[takes]],0)</f>
        <v>0.57777777777777772</v>
      </c>
      <c r="Q3" s="20"/>
      <c r="R3" s="20">
        <v>1</v>
      </c>
      <c r="S3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56</v>
      </c>
      <c r="T3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77</v>
      </c>
      <c r="U3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53</v>
      </c>
      <c r="W3" t="s">
        <v>684</v>
      </c>
      <c r="X3" s="18">
        <f>H5/SUM(AvengerEquip[sabre])</f>
        <v>0.25</v>
      </c>
    </row>
    <row r="4" spans="1:24" x14ac:dyDescent="0.4">
      <c r="A4" t="s">
        <v>152</v>
      </c>
      <c r="B4" s="20">
        <f>M4+M25+M46</f>
        <v>118</v>
      </c>
      <c r="C4" s="20">
        <f t="shared" ref="C4:C5" si="0">N4+N25+N46</f>
        <v>56</v>
      </c>
      <c r="D4" s="21">
        <f>IF(SUM(AvengerAbilities1[[#This Row],[takes]]) &gt; 0,AvengerAbilities1[[#This Row],[takes]]/SUM(AvengerAbilities1[takes]),0)</f>
        <v>0.5267857142857143</v>
      </c>
      <c r="E4" s="21">
        <f>IF(AvengerAbilities1[[#This Row],[takes]]&gt;0,AvengerAbilities1[[#This Row],[wins]]/AvengerAbilities1[[#This Row],[takes]],0)</f>
        <v>0.47457627118644069</v>
      </c>
      <c r="F4" s="20"/>
      <c r="G4" s="20">
        <v>2</v>
      </c>
      <c r="H4" s="20">
        <f t="shared" ref="H4:J5" si="1">S4+S25+S46</f>
        <v>54</v>
      </c>
      <c r="I4" s="20">
        <f t="shared" si="1"/>
        <v>34</v>
      </c>
      <c r="J4" s="22">
        <f t="shared" si="1"/>
        <v>57</v>
      </c>
      <c r="L4" t="s">
        <v>152</v>
      </c>
      <c r="M4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50</v>
      </c>
      <c r="N4" s="20">
        <f>COUNTIF(Scenario0[winner1-ability1],AvengerAbilities1Scenario0[[#This Row],[ability]])+COUNTIF(Scenario0[winner2-ability1],AvengerAbilities1Scenario0[[#This Row],[ability]])</f>
        <v>27</v>
      </c>
      <c r="O4" s="21">
        <f>IF(SUM(AvengerAbilities1Scenario0[[#This Row],[takes]]) &gt; 0,AvengerAbilities1Scenario0[[#This Row],[takes]]/SUM(AvengerAbilities1Scenario0[takes]),0)</f>
        <v>0.47619047619047616</v>
      </c>
      <c r="P4" s="21">
        <f>IF(AvengerAbilities1Scenario0[[#This Row],[takes]]&gt;0,AvengerAbilities1Scenario0[[#This Row],[wins]]/AvengerAbilities1Scenario0[[#This Row],[takes]],0)</f>
        <v>0.54</v>
      </c>
      <c r="Q4" s="20"/>
      <c r="R4" s="20">
        <v>2</v>
      </c>
      <c r="S4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17</v>
      </c>
      <c r="T4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14</v>
      </c>
      <c r="U4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32</v>
      </c>
      <c r="W4" t="s">
        <v>685</v>
      </c>
      <c r="X4" s="3">
        <f>AvengerEquip[[#This Row],[blade]]/SUM(AvengerEquip[blade])</f>
        <v>0.15178571428571427</v>
      </c>
    </row>
    <row r="5" spans="1:24" x14ac:dyDescent="0.4">
      <c r="A5" t="s">
        <v>39</v>
      </c>
      <c r="B5" s="20">
        <f t="shared" ref="B5" si="2">M5+M26+M47</f>
        <v>10</v>
      </c>
      <c r="C5" s="20">
        <f t="shared" si="0"/>
        <v>5</v>
      </c>
      <c r="D5" s="21">
        <f>IF(SUM(AvengerAbilities1[[#This Row],[takes]]) &gt; 0,AvengerAbilities1[[#This Row],[takes]]/SUM(AvengerAbilities1[takes]),0)</f>
        <v>4.4642857142857144E-2</v>
      </c>
      <c r="E5" s="21">
        <f>IF(AvengerAbilities1[[#This Row],[takes]]&gt;0,AvengerAbilities1[[#This Row],[wins]]/AvengerAbilities1[[#This Row],[takes]],0)</f>
        <v>0.5</v>
      </c>
      <c r="F5" s="20"/>
      <c r="G5" s="20">
        <v>3</v>
      </c>
      <c r="H5" s="20">
        <f t="shared" si="1"/>
        <v>56</v>
      </c>
      <c r="I5" s="20">
        <f t="shared" si="1"/>
        <v>27</v>
      </c>
      <c r="J5" s="22">
        <f t="shared" si="1"/>
        <v>32</v>
      </c>
      <c r="L5" t="s">
        <v>39</v>
      </c>
      <c r="M5" s="20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10</v>
      </c>
      <c r="N5" s="20">
        <f>COUNTIF(Scenario0[winner1-ability1],AvengerAbilities1Scenario0[[#This Row],[ability]])+COUNTIF(Scenario0[winner2-ability1],AvengerAbilities1Scenario0[[#This Row],[ability]])</f>
        <v>5</v>
      </c>
      <c r="O5" s="21">
        <f>IF(SUM(AvengerAbilities1Scenario0[[#This Row],[takes]]) &gt; 0,AvengerAbilities1Scenario0[[#This Row],[takes]]/SUM(AvengerAbilities1Scenario0[takes]),0)</f>
        <v>9.5238095238095233E-2</v>
      </c>
      <c r="P5" s="21">
        <f>IF(AvengerAbilities1Scenario0[[#This Row],[takes]]&gt;0,AvengerAbilities1Scenario0[[#This Row],[wins]]/AvengerAbilities1Scenario0[[#This Row],[takes]],0)</f>
        <v>0.5</v>
      </c>
      <c r="Q5" s="20"/>
      <c r="R5" s="20">
        <v>3</v>
      </c>
      <c r="S5" s="20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32</v>
      </c>
      <c r="T5" s="20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14</v>
      </c>
      <c r="U5" s="22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20</v>
      </c>
      <c r="W5" t="s">
        <v>686</v>
      </c>
      <c r="X5" s="18">
        <f>AvengerEquip[[#This Row],[blade]]/SUM(AvengerEquip[blade])</f>
        <v>0.12053571428571429</v>
      </c>
    </row>
    <row r="6" spans="1:24" x14ac:dyDescent="0.4">
      <c r="A6" s="19"/>
      <c r="B6" s="20"/>
      <c r="C6" s="20"/>
      <c r="D6" s="21"/>
      <c r="E6" s="21"/>
      <c r="F6" s="20"/>
      <c r="G6" s="20"/>
      <c r="H6" s="20"/>
      <c r="I6" s="20"/>
      <c r="J6" s="22"/>
      <c r="L6" s="19"/>
      <c r="M6" s="20"/>
      <c r="N6" s="20"/>
      <c r="O6" s="21"/>
      <c r="P6" s="21"/>
      <c r="Q6" s="20"/>
      <c r="R6" s="20"/>
      <c r="S6" s="20"/>
      <c r="T6" s="20"/>
      <c r="U6" s="22"/>
      <c r="W6" t="s">
        <v>391</v>
      </c>
      <c r="X6" s="3">
        <f>J4/SUM(AvengerEquip[chestpiece])</f>
        <v>0.2544642857142857</v>
      </c>
    </row>
    <row r="7" spans="1:24" x14ac:dyDescent="0.4">
      <c r="A7" s="23" t="s">
        <v>109</v>
      </c>
      <c r="B7" s="9" t="s">
        <v>110</v>
      </c>
      <c r="C7" s="9" t="s">
        <v>79</v>
      </c>
      <c r="D7" s="10" t="s">
        <v>117</v>
      </c>
      <c r="E7" s="10" t="s">
        <v>118</v>
      </c>
      <c r="F7" s="20"/>
      <c r="G7" s="20"/>
      <c r="H7" s="20"/>
      <c r="I7" s="20"/>
      <c r="J7" s="22"/>
      <c r="L7" s="23" t="s">
        <v>109</v>
      </c>
      <c r="M7" s="9" t="s">
        <v>110</v>
      </c>
      <c r="N7" s="9" t="s">
        <v>79</v>
      </c>
      <c r="O7" s="10" t="s">
        <v>117</v>
      </c>
      <c r="P7" s="10" t="s">
        <v>118</v>
      </c>
      <c r="Q7" s="20"/>
      <c r="R7" s="20"/>
      <c r="S7" s="20"/>
      <c r="T7" s="20"/>
      <c r="U7" s="22"/>
      <c r="W7" t="s">
        <v>392</v>
      </c>
      <c r="X7" s="18">
        <f>J5/SUM(AvengerEquip[chestpiece])</f>
        <v>0.14285714285714285</v>
      </c>
    </row>
    <row r="8" spans="1:24" x14ac:dyDescent="0.4">
      <c r="A8" s="2" t="s">
        <v>40</v>
      </c>
      <c r="B8" s="2">
        <f>M8+M29+M50</f>
        <v>21</v>
      </c>
      <c r="C8" s="2">
        <f>N8+N29+N50</f>
        <v>10</v>
      </c>
      <c r="D8" s="13">
        <f>IF(SUM(AvengerAbilities2[[#This Row],[takes]]) &gt; 0,AvengerAbilities2[[#This Row],[takes]]/SUM(AvengerAbilities2[takes]),0)</f>
        <v>0.16153846153846155</v>
      </c>
      <c r="E8" s="13">
        <f>IF(AvengerAbilities2[[#This Row],[takes]]&gt;0,AvengerAbilities2[[#This Row],[wins]]/AvengerAbilities2[[#This Row],[takes]],0)</f>
        <v>0.47619047619047616</v>
      </c>
      <c r="F8" s="20"/>
      <c r="G8" s="20"/>
      <c r="H8" s="20"/>
      <c r="I8" s="20"/>
      <c r="J8" s="22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16</v>
      </c>
      <c r="N8" s="2">
        <f>COUNTIF(Scenario0[winner1-ability2],AvengerAbilities2Scenario0[[#This Row],[ability]])+COUNTIF(Scenario0[winner2-ability2],AvengerAbilities2Scenario0[[#This Row],[ability]])</f>
        <v>9</v>
      </c>
      <c r="O8" s="13">
        <f>IF(SUM(AvengerAbilities2Scenario0[[#This Row],[takes]]) &gt; 0,AvengerAbilities2Scenario0[[#This Row],[takes]]/SUM(AvengerAbilities2Scenario0[takes]),0)</f>
        <v>0.22857142857142856</v>
      </c>
      <c r="P8" s="13">
        <f>IF(AvengerAbilities2Scenario0[[#This Row],[takes]]&gt;0,AvengerAbilities2Scenario0[[#This Row],[wins]]/AvengerAbilities2Scenario0[[#This Row],[takes]],0)</f>
        <v>0.5625</v>
      </c>
      <c r="Q8" s="20"/>
      <c r="R8" s="20"/>
      <c r="S8" s="20"/>
      <c r="T8" s="20"/>
      <c r="U8" s="22"/>
      <c r="W8" t="s">
        <v>388</v>
      </c>
      <c r="X8" s="3">
        <f>SUM(AvengerAbilities2[takes])/SUM(AvengerAbilities1[takes])</f>
        <v>0.5803571428571429</v>
      </c>
    </row>
    <row r="9" spans="1:24" x14ac:dyDescent="0.4">
      <c r="A9" t="s">
        <v>70</v>
      </c>
      <c r="B9" s="2">
        <f t="shared" ref="B9:C10" si="3">M9+M30+M51</f>
        <v>47</v>
      </c>
      <c r="C9" s="2">
        <f t="shared" si="3"/>
        <v>38</v>
      </c>
      <c r="D9" s="21">
        <f>IF(SUM(AvengerAbilities2[[#This Row],[takes]]) &gt; 0,AvengerAbilities2[[#This Row],[takes]]/SUM(AvengerAbilities2[takes]),0)</f>
        <v>0.36153846153846153</v>
      </c>
      <c r="E9" s="21">
        <f>IF(AvengerAbilities2[[#This Row],[takes]]&gt;0,AvengerAbilities2[[#This Row],[wins]]/AvengerAbilities2[[#This Row],[takes]],0)</f>
        <v>0.80851063829787229</v>
      </c>
      <c r="F9" s="20"/>
      <c r="G9" s="20"/>
      <c r="H9" s="20"/>
      <c r="I9" s="20"/>
      <c r="J9" s="22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27</v>
      </c>
      <c r="N9" s="2">
        <f>COUNTIF(Scenario0[winner1-ability2],AvengerAbilities2Scenario0[[#This Row],[ability]])+COUNTIF(Scenario0[winner2-ability2],AvengerAbilities2Scenario0[[#This Row],[ability]])</f>
        <v>20</v>
      </c>
      <c r="O9" s="21">
        <f>IF(SUM(AvengerAbilities2Scenario0[[#This Row],[takes]]) &gt; 0,AvengerAbilities2Scenario0[[#This Row],[takes]]/SUM(AvengerAbilities2Scenario0[takes]),0)</f>
        <v>0.38571428571428573</v>
      </c>
      <c r="P9" s="21">
        <f>IF(AvengerAbilities2Scenario0[[#This Row],[takes]]&gt;0,AvengerAbilities2Scenario0[[#This Row],[wins]]/AvengerAbilities2Scenario0[[#This Row],[takes]],0)</f>
        <v>0.7407407407407407</v>
      </c>
      <c r="Q9" s="20"/>
      <c r="R9" s="20"/>
      <c r="S9" s="20"/>
      <c r="T9" s="20"/>
      <c r="U9" s="22"/>
      <c r="W9" t="s">
        <v>389</v>
      </c>
      <c r="X9" s="3">
        <f>SUM(AvengerAbilities3[takes])/SUM(AvengerAbilities1[takes])</f>
        <v>0.3125</v>
      </c>
    </row>
    <row r="10" spans="1:24" x14ac:dyDescent="0.4">
      <c r="A10" s="11" t="s">
        <v>96</v>
      </c>
      <c r="B10" s="2">
        <f t="shared" si="3"/>
        <v>62</v>
      </c>
      <c r="C10" s="2">
        <f t="shared" si="3"/>
        <v>30</v>
      </c>
      <c r="D10" s="14">
        <f>IF(SUM(AvengerAbilities2[[#This Row],[takes]]) &gt; 0,AvengerAbilities2[[#This Row],[takes]]/SUM(AvengerAbilities2[takes]),0)</f>
        <v>0.47692307692307695</v>
      </c>
      <c r="E10" s="14">
        <f>IF(AvengerAbilities2[[#This Row],[takes]]&gt;0,AvengerAbilities2[[#This Row],[wins]]/AvengerAbilities2[[#This Row],[takes]],0)</f>
        <v>0.4838709677419355</v>
      </c>
      <c r="F10" s="20"/>
      <c r="G10" s="20"/>
      <c r="H10" s="20"/>
      <c r="I10" s="20"/>
      <c r="J10" s="22"/>
      <c r="L10" s="11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27</v>
      </c>
      <c r="N10" s="2">
        <f>COUNTIF(Scenario0[winner1-ability2],AvengerAbilities2Scenario0[[#This Row],[ability]])+COUNTIF(Scenario0[winner2-ability2],AvengerAbilities2Scenario0[[#This Row],[ability]])</f>
        <v>15</v>
      </c>
      <c r="O10" s="14">
        <f>IF(SUM(AvengerAbilities2Scenario0[[#This Row],[takes]]) &gt; 0,AvengerAbilities2Scenario0[[#This Row],[takes]]/SUM(AvengerAbilities2Scenario0[takes]),0)</f>
        <v>0.38571428571428573</v>
      </c>
      <c r="P10" s="14">
        <f>IF(AvengerAbilities2Scenario0[[#This Row],[takes]]&gt;0,AvengerAbilities2Scenario0[[#This Row],[wins]]/AvengerAbilities2Scenario0[[#This Row],[takes]],0)</f>
        <v>0.55555555555555558</v>
      </c>
      <c r="Q10" s="20"/>
      <c r="R10" s="20"/>
      <c r="S10" s="20"/>
      <c r="T10" s="20"/>
      <c r="U10" s="22"/>
      <c r="W10" t="s">
        <v>390</v>
      </c>
      <c r="X10" s="18">
        <f>SUM(AvengerAbilities4[takes])/SUM(AvengerAbilities1[takes])</f>
        <v>0.14285714285714285</v>
      </c>
    </row>
    <row r="11" spans="1:24" x14ac:dyDescent="0.4">
      <c r="A11" s="19"/>
      <c r="B11" s="20"/>
      <c r="C11" s="20"/>
      <c r="D11" s="21"/>
      <c r="E11" s="21"/>
      <c r="F11" s="20"/>
      <c r="G11" s="20"/>
      <c r="H11" s="20"/>
      <c r="I11" s="20"/>
      <c r="J11" s="22"/>
      <c r="L11" s="19"/>
      <c r="M11" s="20"/>
      <c r="N11" s="20"/>
      <c r="O11" s="21"/>
      <c r="P11" s="21"/>
      <c r="Q11" s="20"/>
      <c r="R11" s="20"/>
      <c r="S11" s="20"/>
      <c r="T11" s="20"/>
      <c r="U11" s="22"/>
      <c r="W11" t="s">
        <v>672</v>
      </c>
      <c r="X11" s="39">
        <f>(SUM(AvengerAbilities2[takes])+SUM(AvengerAbilities3[takes])+SUM(AvengerAbilities4[takes])+SUM(H4:H5)+SUM(I4:I5)+SUM(J4:J5))/SUM(AvengerAbilities1[takes])</f>
        <v>2.1964285714285716</v>
      </c>
    </row>
    <row r="12" spans="1:24" x14ac:dyDescent="0.4">
      <c r="A12" s="23" t="s">
        <v>109</v>
      </c>
      <c r="B12" s="9" t="s">
        <v>110</v>
      </c>
      <c r="C12" s="9" t="s">
        <v>79</v>
      </c>
      <c r="D12" s="10" t="s">
        <v>117</v>
      </c>
      <c r="E12" s="10" t="s">
        <v>118</v>
      </c>
      <c r="F12" s="20"/>
      <c r="G12" s="20"/>
      <c r="H12" s="20"/>
      <c r="I12" s="20"/>
      <c r="J12" s="22"/>
      <c r="L12" s="23" t="s">
        <v>109</v>
      </c>
      <c r="M12" s="9" t="s">
        <v>110</v>
      </c>
      <c r="N12" s="9" t="s">
        <v>79</v>
      </c>
      <c r="O12" s="10" t="s">
        <v>117</v>
      </c>
      <c r="P12" s="10" t="s">
        <v>118</v>
      </c>
      <c r="Q12" s="20"/>
      <c r="R12" s="20"/>
      <c r="S12" s="20"/>
      <c r="T12" s="20"/>
      <c r="U12" s="22"/>
    </row>
    <row r="13" spans="1:24" x14ac:dyDescent="0.4">
      <c r="A13" s="1" t="s">
        <v>41</v>
      </c>
      <c r="B13" s="1">
        <f>M13+M34+M55</f>
        <v>25</v>
      </c>
      <c r="C13" s="1">
        <f>N13+N34+N55</f>
        <v>20</v>
      </c>
      <c r="D13" s="15">
        <f>IF(SUM(AvengerAbilities3[[#This Row],[takes]]) &gt; 0,AvengerAbilities3[[#This Row],[takes]]/SUM(AvengerAbilities3[takes]),0)</f>
        <v>0.35714285714285715</v>
      </c>
      <c r="E13" s="15">
        <f>IF(AvengerAbilities3[[#This Row],[takes]]&gt;0,AvengerAbilities3[[#This Row],[wins]]/AvengerAbilities3[[#This Row],[takes]],0)</f>
        <v>0.8</v>
      </c>
      <c r="F13" s="20"/>
      <c r="G13" s="20"/>
      <c r="H13" s="20"/>
      <c r="I13" s="20"/>
      <c r="J13" s="22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15</v>
      </c>
      <c r="N13" s="1">
        <f>COUNTIF(Scenario0[winner1-ability3],AvengerAbilities3Scenario0[[#This Row],[ability]])+COUNTIF(Scenario0[winner2-ability3],AvengerAbilities3Scenario0[[#This Row],[ability]])</f>
        <v>13</v>
      </c>
      <c r="O13" s="15">
        <f>IF(SUM(AvengerAbilities3Scenario0[[#This Row],[takes]]) &gt; 0,AvengerAbilities3Scenario0[[#This Row],[takes]]/SUM(AvengerAbilities3Scenario0[takes]),0)</f>
        <v>0.375</v>
      </c>
      <c r="P13" s="15">
        <f>IF(AvengerAbilities3Scenario0[[#This Row],[takes]]&gt;0,AvengerAbilities3Scenario0[[#This Row],[wins]]/AvengerAbilities3Scenario0[[#This Row],[takes]],0)</f>
        <v>0.8666666666666667</v>
      </c>
      <c r="Q13" s="20"/>
      <c r="R13" s="20"/>
      <c r="S13" s="20"/>
      <c r="T13" s="20"/>
      <c r="U13" s="22"/>
    </row>
    <row r="14" spans="1:24" x14ac:dyDescent="0.4">
      <c r="A14" s="2" t="s">
        <v>153</v>
      </c>
      <c r="B14" s="2">
        <f t="shared" ref="B14:C15" si="4">M14+M35+M56</f>
        <v>22</v>
      </c>
      <c r="C14" s="2">
        <f t="shared" si="4"/>
        <v>9</v>
      </c>
      <c r="D14" s="13">
        <f>IF(SUM(AvengerAbilities3[[#This Row],[takes]]) &gt; 0,AvengerAbilities3[[#This Row],[takes]]/SUM(AvengerAbilities3[takes]),0)</f>
        <v>0.31428571428571428</v>
      </c>
      <c r="E14" s="13">
        <f>IF(AvengerAbilities3[[#This Row],[takes]]&gt;0,AvengerAbilities3[[#This Row],[wins]]/AvengerAbilities3[[#This Row],[takes]],0)</f>
        <v>0.40909090909090912</v>
      </c>
      <c r="F14" s="20"/>
      <c r="G14" s="20"/>
      <c r="H14" s="20"/>
      <c r="I14" s="20"/>
      <c r="J14" s="22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6</v>
      </c>
      <c r="N14" s="2">
        <f>COUNTIF(Scenario0[winner1-ability3],AvengerAbilities3Scenario0[[#This Row],[ability]])+COUNTIF(Scenario0[winner2-ability3],AvengerAbilities3Scenario0[[#This Row],[ability]])</f>
        <v>2</v>
      </c>
      <c r="O14" s="13">
        <f>IF(SUM(AvengerAbilities3Scenario0[[#This Row],[takes]]) &gt; 0,AvengerAbilities3Scenario0[[#This Row],[takes]]/SUM(AvengerAbilities3Scenario0[takes]),0)</f>
        <v>0.15</v>
      </c>
      <c r="P14" s="13">
        <f>IF(AvengerAbilities3Scenario0[[#This Row],[takes]]&gt;0,AvengerAbilities3Scenario0[[#This Row],[wins]]/AvengerAbilities3Scenario0[[#This Row],[takes]],0)</f>
        <v>0.33333333333333331</v>
      </c>
      <c r="Q14" s="20"/>
      <c r="R14" s="20"/>
      <c r="S14" s="20"/>
      <c r="T14" s="20"/>
      <c r="U14" s="22"/>
    </row>
    <row r="15" spans="1:24" x14ac:dyDescent="0.4">
      <c r="A15" s="12" t="s">
        <v>154</v>
      </c>
      <c r="B15" s="1">
        <f t="shared" si="4"/>
        <v>23</v>
      </c>
      <c r="C15" s="1">
        <f t="shared" si="4"/>
        <v>14</v>
      </c>
      <c r="D15" s="16">
        <f>IF(SUM(AvengerAbilities3[[#This Row],[takes]]) &gt; 0,AvengerAbilities3[[#This Row],[takes]]/SUM(AvengerAbilities3[takes]),0)</f>
        <v>0.32857142857142857</v>
      </c>
      <c r="E15" s="16">
        <f>IF(AvengerAbilities3[[#This Row],[takes]]&gt;0,AvengerAbilities3[[#This Row],[wins]]/AvengerAbilities3[[#This Row],[takes]],0)</f>
        <v>0.60869565217391308</v>
      </c>
      <c r="F15" s="20"/>
      <c r="G15" s="20"/>
      <c r="H15" s="20"/>
      <c r="I15" s="20"/>
      <c r="J15" s="22"/>
      <c r="L15" s="12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19</v>
      </c>
      <c r="N15" s="1">
        <f>COUNTIF(Scenario0[winner1-ability3],AvengerAbilities3Scenario0[[#This Row],[ability]])+COUNTIF(Scenario0[winner2-ability3],AvengerAbilities3Scenario0[[#This Row],[ability]])</f>
        <v>12</v>
      </c>
      <c r="O15" s="16">
        <f>IF(SUM(AvengerAbilities3Scenario0[[#This Row],[takes]]) &gt; 0,AvengerAbilities3Scenario0[[#This Row],[takes]]/SUM(AvengerAbilities3Scenario0[takes]),0)</f>
        <v>0.47499999999999998</v>
      </c>
      <c r="P15" s="16">
        <f>IF(AvengerAbilities3Scenario0[[#This Row],[takes]]&gt;0,AvengerAbilities3Scenario0[[#This Row],[wins]]/AvengerAbilities3Scenario0[[#This Row],[takes]],0)</f>
        <v>0.63157894736842102</v>
      </c>
      <c r="Q15" s="20"/>
      <c r="R15" s="20"/>
      <c r="S15" s="20"/>
      <c r="T15" s="20"/>
      <c r="U15" s="22"/>
    </row>
    <row r="16" spans="1:24" x14ac:dyDescent="0.4">
      <c r="A16" s="19"/>
      <c r="B16" s="20"/>
      <c r="C16" s="20"/>
      <c r="D16" s="21"/>
      <c r="E16" s="21"/>
      <c r="F16" s="20"/>
      <c r="G16" s="20"/>
      <c r="H16" s="20"/>
      <c r="I16" s="20"/>
      <c r="J16" s="22"/>
      <c r="L16" s="19"/>
      <c r="M16" s="20"/>
      <c r="N16" s="20"/>
      <c r="O16" s="21"/>
      <c r="P16" s="21"/>
      <c r="Q16" s="20"/>
      <c r="R16" s="20"/>
      <c r="S16" s="20"/>
      <c r="T16" s="20"/>
      <c r="U16" s="22"/>
    </row>
    <row r="17" spans="1:21" x14ac:dyDescent="0.4">
      <c r="A17" s="23" t="s">
        <v>109</v>
      </c>
      <c r="B17" s="9" t="s">
        <v>110</v>
      </c>
      <c r="C17" s="9" t="s">
        <v>79</v>
      </c>
      <c r="D17" s="10" t="s">
        <v>117</v>
      </c>
      <c r="E17" s="10" t="s">
        <v>118</v>
      </c>
      <c r="F17" s="20"/>
      <c r="G17" s="20"/>
      <c r="H17" s="20"/>
      <c r="I17" s="20"/>
      <c r="J17" s="22"/>
      <c r="L17" s="23" t="s">
        <v>109</v>
      </c>
      <c r="M17" s="9" t="s">
        <v>110</v>
      </c>
      <c r="N17" s="9" t="s">
        <v>79</v>
      </c>
      <c r="O17" s="10" t="s">
        <v>117</v>
      </c>
      <c r="P17" s="10" t="s">
        <v>118</v>
      </c>
      <c r="Q17" s="20"/>
      <c r="R17" s="20"/>
      <c r="S17" s="20"/>
      <c r="T17" s="20"/>
      <c r="U17" s="22"/>
    </row>
    <row r="18" spans="1:21" x14ac:dyDescent="0.4">
      <c r="A18" s="2" t="s">
        <v>155</v>
      </c>
      <c r="B18" s="2">
        <f>M18+M39+M60</f>
        <v>5</v>
      </c>
      <c r="C18" s="2">
        <f>N18+N39+N60</f>
        <v>5</v>
      </c>
      <c r="D18" s="13">
        <f>IF(SUM(AvengerAbilities4[[#This Row],[takes]]) &gt; 0,AvengerAbilities4[[#This Row],[takes]]/SUM(AvengerAbilities4[takes]),0)</f>
        <v>0.15625</v>
      </c>
      <c r="E18" s="13">
        <f>IF(AvengerAbilities4[[#This Row],[takes]]&gt;0,AvengerAbilities4[[#This Row],[wins]]/AvengerAbilities4[[#This Row],[takes]],0)</f>
        <v>1</v>
      </c>
      <c r="F18" s="20"/>
      <c r="G18" s="20"/>
      <c r="H18" s="20"/>
      <c r="I18" s="20"/>
      <c r="J18" s="22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5</v>
      </c>
      <c r="N18" s="2">
        <f>COUNTIF(Scenario0[winner1-ability4],AvengerAbilities4Scenario0[[#This Row],[ability]])+COUNTIF(Scenario0[winner2-ability4],AvengerAbilities4Scenario0[[#This Row],[ability]])</f>
        <v>5</v>
      </c>
      <c r="O18" s="13">
        <f>IF(SUM(AvengerAbilities4Scenario0[[#This Row],[takes]]) &gt; 0,AvengerAbilities4Scenario0[[#This Row],[takes]]/SUM(AvengerAbilities4Scenario0[takes]),0)</f>
        <v>0.29411764705882354</v>
      </c>
      <c r="P18" s="13">
        <f>IF(AvengerAbilities4Scenario0[[#This Row],[takes]]&gt;0,AvengerAbilities4Scenario0[[#This Row],[wins]]/AvengerAbilities4Scenario0[[#This Row],[takes]],0)</f>
        <v>1</v>
      </c>
      <c r="Q18" s="20"/>
      <c r="R18" s="20"/>
      <c r="S18" s="20"/>
      <c r="T18" s="20"/>
      <c r="U18" s="22"/>
    </row>
    <row r="19" spans="1:21" x14ac:dyDescent="0.4">
      <c r="A19" s="2" t="s">
        <v>156</v>
      </c>
      <c r="B19" s="2">
        <f t="shared" ref="B19:C20" si="5">M19+M40+M61</f>
        <v>17</v>
      </c>
      <c r="C19" s="2">
        <f t="shared" si="5"/>
        <v>12</v>
      </c>
      <c r="D19" s="13">
        <f>IF(SUM(AvengerAbilities4[[#This Row],[takes]]) &gt; 0,AvengerAbilities4[[#This Row],[takes]]/SUM(AvengerAbilities4[takes]),0)</f>
        <v>0.53125</v>
      </c>
      <c r="E19" s="13">
        <f>IF(AvengerAbilities4[[#This Row],[takes]]&gt;0,AvengerAbilities4[[#This Row],[wins]]/AvengerAbilities4[[#This Row],[takes]],0)</f>
        <v>0.70588235294117652</v>
      </c>
      <c r="F19" s="20"/>
      <c r="G19" s="20"/>
      <c r="H19" s="20"/>
      <c r="I19" s="20"/>
      <c r="J19" s="22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8</v>
      </c>
      <c r="N19" s="2">
        <f>COUNTIF(Scenario0[winner1-ability4],AvengerAbilities4Scenario0[[#This Row],[ability]])+COUNTIF(Scenario0[winner2-ability4],AvengerAbilities4Scenario0[[#This Row],[ability]])</f>
        <v>6</v>
      </c>
      <c r="O19" s="13">
        <f>IF(SUM(AvengerAbilities4Scenario0[[#This Row],[takes]]) &gt; 0,AvengerAbilities4Scenario0[[#This Row],[takes]]/SUM(AvengerAbilities4Scenario0[takes]),0)</f>
        <v>0.47058823529411764</v>
      </c>
      <c r="P19" s="13">
        <f>IF(AvengerAbilities4Scenario0[[#This Row],[takes]]&gt;0,AvengerAbilities4Scenario0[[#This Row],[wins]]/AvengerAbilities4Scenario0[[#This Row],[takes]],0)</f>
        <v>0.75</v>
      </c>
      <c r="Q19" s="20"/>
      <c r="R19" s="20"/>
      <c r="S19" s="20"/>
      <c r="T19" s="20"/>
      <c r="U19" s="22"/>
    </row>
    <row r="20" spans="1:21" ht="15" thickBot="1" x14ac:dyDescent="0.45">
      <c r="A20" s="11" t="s">
        <v>42</v>
      </c>
      <c r="B20" s="2">
        <f t="shared" si="5"/>
        <v>10</v>
      </c>
      <c r="C20" s="2">
        <f t="shared" si="5"/>
        <v>7</v>
      </c>
      <c r="D20" s="30">
        <f>IF(SUM(AvengerAbilities4[[#This Row],[takes]]) &gt; 0,AvengerAbilities4[[#This Row],[takes]]/SUM(AvengerAbilities4[takes]),0)</f>
        <v>0.3125</v>
      </c>
      <c r="E20" s="30">
        <f>IF(AvengerAbilities4[[#This Row],[takes]]&gt;0,AvengerAbilities4[[#This Row],[wins]]/AvengerAbilities4[[#This Row],[takes]],0)</f>
        <v>0.7</v>
      </c>
      <c r="F20" s="31"/>
      <c r="G20" s="31"/>
      <c r="H20" s="31"/>
      <c r="I20" s="31"/>
      <c r="J20" s="32"/>
      <c r="L20" s="11" t="s">
        <v>42</v>
      </c>
      <c r="M20" s="29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4</v>
      </c>
      <c r="N20" s="29">
        <f>COUNTIF(Scenario0[winner1-ability4],AvengerAbilities4Scenario0[[#This Row],[ability]])+COUNTIF(Scenario0[winner2-ability4],AvengerAbilities4Scenario0[[#This Row],[ability]])</f>
        <v>3</v>
      </c>
      <c r="O20" s="30">
        <f>IF(SUM(AvengerAbilities4Scenario0[[#This Row],[takes]]) &gt; 0,AvengerAbilities4Scenario0[[#This Row],[takes]]/SUM(AvengerAbilities4Scenario0[takes]),0)</f>
        <v>0.23529411764705882</v>
      </c>
      <c r="P20" s="30">
        <f>IF(AvengerAbilities4Scenario0[[#This Row],[takes]]&gt;0,AvengerAbilities4Scenario0[[#This Row],[wins]]/AvengerAbilities4Scenario0[[#This Row],[takes]],0)</f>
        <v>0.75</v>
      </c>
      <c r="Q20" s="31"/>
      <c r="R20" s="31"/>
      <c r="S20" s="31"/>
      <c r="T20" s="31"/>
      <c r="U20" s="32"/>
    </row>
    <row r="21" spans="1:21" ht="15" thickBot="1" x14ac:dyDescent="0.45"/>
    <row r="22" spans="1:21" ht="15" thickBot="1" x14ac:dyDescent="0.45">
      <c r="L22" s="40" t="s">
        <v>633</v>
      </c>
      <c r="M22" s="41"/>
      <c r="N22" s="41"/>
      <c r="O22" s="41"/>
      <c r="P22" s="41"/>
      <c r="Q22" s="41"/>
      <c r="R22" s="41"/>
      <c r="S22" s="41"/>
      <c r="T22" s="41"/>
      <c r="U22" s="42"/>
    </row>
    <row r="23" spans="1:21" x14ac:dyDescent="0.4">
      <c r="L23" s="19" t="s">
        <v>109</v>
      </c>
      <c r="M23" s="20" t="s">
        <v>110</v>
      </c>
      <c r="N23" s="20" t="s">
        <v>79</v>
      </c>
      <c r="O23" s="21" t="s">
        <v>117</v>
      </c>
      <c r="P23" s="21" t="s">
        <v>118</v>
      </c>
      <c r="Q23" s="20"/>
      <c r="R23" s="20" t="s">
        <v>161</v>
      </c>
      <c r="S23" t="s">
        <v>171</v>
      </c>
      <c r="T23" t="s">
        <v>172</v>
      </c>
      <c r="U23" s="22" t="s">
        <v>164</v>
      </c>
    </row>
    <row r="24" spans="1:21" x14ac:dyDescent="0.4">
      <c r="L24" t="s">
        <v>67</v>
      </c>
      <c r="M24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41</v>
      </c>
      <c r="N24" s="20">
        <f>COUNTIF(Scenario1[winner1-ability1],AvengerAbilities1Scenario1[[#This Row],[ability]])+COUNTIF(Scenario1[winner2-ability1],AvengerAbilities1Scenario1[[#This Row],[ability]])</f>
        <v>21</v>
      </c>
      <c r="O24" s="21">
        <f>IF(SUM(AvengerAbilities1Scenario1[[#This Row],[takes]]) &gt; 0,AvengerAbilities1Scenario1[[#This Row],[takes]]/SUM(AvengerAbilities1Scenario1[takes]),0)</f>
        <v>0.39047619047619048</v>
      </c>
      <c r="P24" s="21">
        <f>IF(AvengerAbilities1Scenario1[[#This Row],[takes]]&gt;0,AvengerAbilities1Scenario1[[#This Row],[wins]]/AvengerAbilities1Scenario1[[#This Row],[takes]],0)</f>
        <v>0.51219512195121952</v>
      </c>
      <c r="Q24" s="20"/>
      <c r="R24" s="20">
        <v>1</v>
      </c>
      <c r="S24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54</v>
      </c>
      <c r="T24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80</v>
      </c>
      <c r="U24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76</v>
      </c>
    </row>
    <row r="25" spans="1:21" x14ac:dyDescent="0.4">
      <c r="L25" t="s">
        <v>152</v>
      </c>
      <c r="M25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64</v>
      </c>
      <c r="N25" s="20">
        <f>COUNTIF(Scenario1[winner1-ability1],AvengerAbilities1Scenario1[[#This Row],[ability]])+COUNTIF(Scenario1[winner2-ability1],AvengerAbilities1Scenario1[[#This Row],[ability]])</f>
        <v>25</v>
      </c>
      <c r="O25" s="21">
        <f>IF(SUM(AvengerAbilities1Scenario1[[#This Row],[takes]]) &gt; 0,AvengerAbilities1Scenario1[[#This Row],[takes]]/SUM(AvengerAbilities1Scenario1[takes]),0)</f>
        <v>0.60952380952380958</v>
      </c>
      <c r="P25" s="21">
        <f>IF(AvengerAbilities1Scenario1[[#This Row],[takes]]&gt;0,AvengerAbilities1Scenario1[[#This Row],[wins]]/AvengerAbilities1Scenario1[[#This Row],[takes]],0)</f>
        <v>0.390625</v>
      </c>
      <c r="Q25" s="20"/>
      <c r="R25" s="20">
        <v>2</v>
      </c>
      <c r="S25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34</v>
      </c>
      <c r="T25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17</v>
      </c>
      <c r="U25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21</v>
      </c>
    </row>
    <row r="26" spans="1:21" x14ac:dyDescent="0.4">
      <c r="L26" t="s">
        <v>39</v>
      </c>
      <c r="M26" s="20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 s="20">
        <f>COUNTIF(Scenario1[winner1-ability1],AvengerAbilities1Scenario1[[#This Row],[ability]])+COUNTIF(Scenario1[winner2-ability1],AvengerAbilities1Scenario1[[#This Row],[ability]])</f>
        <v>0</v>
      </c>
      <c r="O26" s="21">
        <f>IF(SUM(AvengerAbilities1Scenario1[[#This Row],[takes]]) &gt; 0,AvengerAbilities1Scenario1[[#This Row],[takes]]/SUM(AvengerAbilities1Scenario1[takes]),0)</f>
        <v>0</v>
      </c>
      <c r="P26" s="21">
        <f>IF(AvengerAbilities1Scenario1[[#This Row],[takes]]&gt;0,AvengerAbilities1Scenario1[[#This Row],[wins]]/AvengerAbilities1Scenario1[[#This Row],[takes]],0)</f>
        <v>0</v>
      </c>
      <c r="Q26" s="20"/>
      <c r="R26" s="20">
        <v>3</v>
      </c>
      <c r="S26" s="20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17</v>
      </c>
      <c r="T26" s="20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</v>
      </c>
      <c r="U26" s="22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8</v>
      </c>
    </row>
    <row r="27" spans="1:21" x14ac:dyDescent="0.4">
      <c r="L27" s="19"/>
      <c r="M27" s="20"/>
      <c r="N27" s="20"/>
      <c r="O27" s="21"/>
      <c r="P27" s="21"/>
      <c r="Q27" s="20"/>
      <c r="R27" s="20"/>
      <c r="S27" s="20"/>
      <c r="T27" s="20"/>
      <c r="U27" s="22"/>
    </row>
    <row r="28" spans="1:21" x14ac:dyDescent="0.4">
      <c r="L28" s="23" t="s">
        <v>109</v>
      </c>
      <c r="M28" s="9" t="s">
        <v>110</v>
      </c>
      <c r="N28" s="9" t="s">
        <v>79</v>
      </c>
      <c r="O28" s="10" t="s">
        <v>117</v>
      </c>
      <c r="P28" s="10" t="s">
        <v>118</v>
      </c>
      <c r="Q28" s="20"/>
      <c r="R28" s="20"/>
      <c r="S28" s="20"/>
      <c r="T28" s="20"/>
      <c r="U28" s="22"/>
    </row>
    <row r="29" spans="1:21" x14ac:dyDescent="0.4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5</v>
      </c>
      <c r="N29" s="2">
        <f>COUNTIF(Scenario1[winner1-ability2],AvengerAbilities2Scenario1[[#This Row],[ability]])+COUNTIF(Scenario1[winner2-ability2],AvengerAbilities2Scenario1[[#This Row],[ability]])</f>
        <v>1</v>
      </c>
      <c r="O29" s="13">
        <f>IF(SUM(AvengerAbilities2Scenario1[[#This Row],[takes]]) &gt; 0,AvengerAbilities2Scenario1[[#This Row],[takes]]/SUM(AvengerAbilities2Scenario1[takes]),0)</f>
        <v>0.10638297872340426</v>
      </c>
      <c r="P29" s="13">
        <f>IF(AvengerAbilities2Scenario1[[#This Row],[takes]]&gt;0,AvengerAbilities2Scenario1[[#This Row],[wins]]/AvengerAbilities2Scenario1[[#This Row],[takes]],0)</f>
        <v>0.2</v>
      </c>
      <c r="Q29" s="20"/>
      <c r="R29" s="20"/>
      <c r="S29" s="20"/>
      <c r="T29" s="20"/>
      <c r="U29" s="22"/>
    </row>
    <row r="30" spans="1:21" x14ac:dyDescent="0.4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19</v>
      </c>
      <c r="N30" s="2">
        <f>COUNTIF(Scenario1[winner1-ability2],AvengerAbilities2Scenario1[[#This Row],[ability]])+COUNTIF(Scenario1[winner2-ability2],AvengerAbilities2Scenario1[[#This Row],[ability]])</f>
        <v>17</v>
      </c>
      <c r="O30" s="21">
        <f>IF(SUM(AvengerAbilities2Scenario1[[#This Row],[takes]]) &gt; 0,AvengerAbilities2Scenario1[[#This Row],[takes]]/SUM(AvengerAbilities2Scenario1[takes]),0)</f>
        <v>0.40425531914893614</v>
      </c>
      <c r="P30" s="21">
        <f>IF(AvengerAbilities2Scenario1[[#This Row],[takes]]&gt;0,AvengerAbilities2Scenario1[[#This Row],[wins]]/AvengerAbilities2Scenario1[[#This Row],[takes]],0)</f>
        <v>0.89473684210526316</v>
      </c>
      <c r="Q30" s="20"/>
      <c r="R30" s="20"/>
      <c r="S30" s="20"/>
      <c r="T30" s="20"/>
      <c r="U30" s="22"/>
    </row>
    <row r="31" spans="1:21" x14ac:dyDescent="0.4">
      <c r="L31" s="11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23</v>
      </c>
      <c r="N31" s="2">
        <f>COUNTIF(Scenario1[winner1-ability2],AvengerAbilities2Scenario1[[#This Row],[ability]])+COUNTIF(Scenario1[winner2-ability2],AvengerAbilities2Scenario1[[#This Row],[ability]])</f>
        <v>10</v>
      </c>
      <c r="O31" s="14">
        <f>IF(SUM(AvengerAbilities2Scenario1[[#This Row],[takes]]) &gt; 0,AvengerAbilities2Scenario1[[#This Row],[takes]]/SUM(AvengerAbilities2Scenario1[takes]),0)</f>
        <v>0.48936170212765956</v>
      </c>
      <c r="P31" s="14">
        <f>IF(AvengerAbilities2Scenario1[[#This Row],[takes]]&gt;0,AvengerAbilities2Scenario1[[#This Row],[wins]]/AvengerAbilities2Scenario1[[#This Row],[takes]],0)</f>
        <v>0.43478260869565216</v>
      </c>
      <c r="Q31" s="20"/>
      <c r="R31" s="20"/>
      <c r="S31" s="20"/>
      <c r="T31" s="20"/>
      <c r="U31" s="22"/>
    </row>
    <row r="32" spans="1:21" x14ac:dyDescent="0.4">
      <c r="L32" s="19"/>
      <c r="M32" s="20"/>
      <c r="N32" s="20"/>
      <c r="O32" s="21"/>
      <c r="P32" s="21"/>
      <c r="Q32" s="20"/>
      <c r="R32" s="20"/>
      <c r="S32" s="20"/>
      <c r="T32" s="20"/>
      <c r="U32" s="22"/>
    </row>
    <row r="33" spans="12:21" x14ac:dyDescent="0.4">
      <c r="L33" s="23" t="s">
        <v>109</v>
      </c>
      <c r="M33" s="9" t="s">
        <v>110</v>
      </c>
      <c r="N33" s="9" t="s">
        <v>79</v>
      </c>
      <c r="O33" s="10" t="s">
        <v>117</v>
      </c>
      <c r="P33" s="10" t="s">
        <v>118</v>
      </c>
      <c r="Q33" s="20"/>
      <c r="R33" s="20"/>
      <c r="S33" s="20"/>
      <c r="T33" s="20"/>
      <c r="U33" s="22"/>
    </row>
    <row r="34" spans="12:21" x14ac:dyDescent="0.4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10</v>
      </c>
      <c r="N34" s="1">
        <f>COUNTIF(Scenario1[winner1-ability3],AvengerAbilities3Scenario1[[#This Row],[ability]])+COUNTIF(Scenario1[winner2-ability3],AvengerAbilities3Scenario1[[#This Row],[ability]])</f>
        <v>7</v>
      </c>
      <c r="O34" s="15">
        <f>IF(SUM(AvengerAbilities3Scenario1[[#This Row],[takes]]) &gt; 0,AvengerAbilities3Scenario1[[#This Row],[takes]]/SUM(AvengerAbilities3Scenario1[takes]),0)</f>
        <v>0.58823529411764708</v>
      </c>
      <c r="P34" s="15">
        <f>IF(AvengerAbilities3Scenario1[[#This Row],[takes]]&gt;0,AvengerAbilities3Scenario1[[#This Row],[wins]]/AvengerAbilities3Scenario1[[#This Row],[takes]],0)</f>
        <v>0.7</v>
      </c>
      <c r="Q34" s="20"/>
      <c r="R34" s="20"/>
      <c r="S34" s="20"/>
      <c r="T34" s="20"/>
      <c r="U34" s="22"/>
    </row>
    <row r="35" spans="12:21" x14ac:dyDescent="0.4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5" s="2">
        <f>COUNTIF(Scenario1[winner1-ability3],AvengerAbilities3Scenario1[[#This Row],[ability]])+COUNTIF(Scenario1[winner2-ability3],AvengerAbilities3Scenario1[[#This Row],[ability]])</f>
        <v>1</v>
      </c>
      <c r="O35" s="13">
        <f>IF(SUM(AvengerAbilities3Scenario1[[#This Row],[takes]]) &gt; 0,AvengerAbilities3Scenario1[[#This Row],[takes]]/SUM(AvengerAbilities3Scenario1[takes]),0)</f>
        <v>0.17647058823529413</v>
      </c>
      <c r="P35" s="13">
        <f>IF(AvengerAbilities3Scenario1[[#This Row],[takes]]&gt;0,AvengerAbilities3Scenario1[[#This Row],[wins]]/AvengerAbilities3Scenario1[[#This Row],[takes]],0)</f>
        <v>0.33333333333333331</v>
      </c>
      <c r="Q35" s="20"/>
      <c r="R35" s="20"/>
      <c r="S35" s="20"/>
      <c r="T35" s="20"/>
      <c r="U35" s="22"/>
    </row>
    <row r="36" spans="12:21" x14ac:dyDescent="0.4">
      <c r="L36" s="12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6" s="1">
        <f>COUNTIF(Scenario1[winner1-ability3],AvengerAbilities3Scenario1[[#This Row],[ability]])+COUNTIF(Scenario1[winner2-ability3],AvengerAbilities3Scenario1[[#This Row],[ability]])</f>
        <v>2</v>
      </c>
      <c r="O36" s="16">
        <f>IF(SUM(AvengerAbilities3Scenario1[[#This Row],[takes]]) &gt; 0,AvengerAbilities3Scenario1[[#This Row],[takes]]/SUM(AvengerAbilities3Scenario1[takes]),0)</f>
        <v>0.23529411764705882</v>
      </c>
      <c r="P36" s="16">
        <f>IF(AvengerAbilities3Scenario1[[#This Row],[takes]]&gt;0,AvengerAbilities3Scenario1[[#This Row],[wins]]/AvengerAbilities3Scenario1[[#This Row],[takes]],0)</f>
        <v>0.5</v>
      </c>
      <c r="Q36" s="20"/>
      <c r="R36" s="20"/>
      <c r="S36" s="20"/>
      <c r="T36" s="20"/>
      <c r="U36" s="22"/>
    </row>
    <row r="37" spans="12:21" x14ac:dyDescent="0.4">
      <c r="L37" s="19"/>
      <c r="M37" s="20"/>
      <c r="N37" s="20"/>
      <c r="O37" s="21"/>
      <c r="P37" s="21"/>
      <c r="Q37" s="20"/>
      <c r="R37" s="20"/>
      <c r="S37" s="20"/>
      <c r="T37" s="20"/>
      <c r="U37" s="22"/>
    </row>
    <row r="38" spans="12:21" x14ac:dyDescent="0.4">
      <c r="L38" s="23" t="s">
        <v>109</v>
      </c>
      <c r="M38" s="9" t="s">
        <v>110</v>
      </c>
      <c r="N38" s="9" t="s">
        <v>79</v>
      </c>
      <c r="O38" s="10" t="s">
        <v>117</v>
      </c>
      <c r="P38" s="10" t="s">
        <v>118</v>
      </c>
      <c r="Q38" s="20"/>
      <c r="R38" s="20"/>
      <c r="S38" s="20"/>
      <c r="T38" s="20"/>
      <c r="U38" s="22"/>
    </row>
    <row r="39" spans="12:21" x14ac:dyDescent="0.4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3">
        <f>IF(SUM(AvengerAbilities4Scenario1[[#This Row],[takes]]) &gt; 0,AvengerAbilities4Scenario1[[#This Row],[takes]]/SUM(AvengerAbilities4Scenario1[takes]),0)</f>
        <v>0</v>
      </c>
      <c r="P39" s="13">
        <f>IF(AvengerAbilities4Scenario1[[#This Row],[takes]]&gt;0,AvengerAbilities4Scenario1[[#This Row],[wins]]/AvengerAbilities4Scenario1[[#This Row],[takes]],0)</f>
        <v>0</v>
      </c>
      <c r="Q39" s="20"/>
      <c r="R39" s="20"/>
      <c r="S39" s="20"/>
      <c r="T39" s="20"/>
      <c r="U39" s="22"/>
    </row>
    <row r="40" spans="12:21" x14ac:dyDescent="0.4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40" s="2">
        <f>COUNTIF(Scenario1[winner1-ability4],AvengerAbilities4Scenario1[[#This Row],[ability]])+COUNTIF(Scenario1[winner2-ability4],AvengerAbilities4Scenario1[[#This Row],[ability]])</f>
        <v>2</v>
      </c>
      <c r="O40" s="13">
        <f>IF(SUM(AvengerAbilities4Scenario1[[#This Row],[takes]]) &gt; 0,AvengerAbilities4Scenario1[[#This Row],[takes]]/SUM(AvengerAbilities4Scenario1[takes]),0)</f>
        <v>0.6</v>
      </c>
      <c r="P40" s="13">
        <f>IF(AvengerAbilities4Scenario1[[#This Row],[takes]]&gt;0,AvengerAbilities4Scenario1[[#This Row],[wins]]/AvengerAbilities4Scenario1[[#This Row],[takes]],0)</f>
        <v>0.66666666666666663</v>
      </c>
      <c r="Q40" s="20"/>
      <c r="R40" s="20"/>
      <c r="S40" s="20"/>
      <c r="T40" s="20"/>
      <c r="U40" s="22"/>
    </row>
    <row r="41" spans="12:21" ht="15" thickBot="1" x14ac:dyDescent="0.45">
      <c r="L41" s="11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2</v>
      </c>
      <c r="O41" s="30">
        <f>IF(SUM(AvengerAbilities4Scenario1[[#This Row],[takes]]) &gt; 0,AvengerAbilities4Scenario1[[#This Row],[takes]]/SUM(AvengerAbilities4Scenario1[takes]),0)</f>
        <v>0.4</v>
      </c>
      <c r="P41" s="30">
        <f>IF(AvengerAbilities4Scenario1[[#This Row],[takes]]&gt;0,AvengerAbilities4Scenario1[[#This Row],[wins]]/AvengerAbilities4Scenario1[[#This Row],[takes]],0)</f>
        <v>1</v>
      </c>
      <c r="Q41" s="31"/>
      <c r="R41" s="31"/>
      <c r="S41" s="31"/>
      <c r="T41" s="31"/>
      <c r="U41" s="32"/>
    </row>
    <row r="42" spans="12:21" ht="15" thickBot="1" x14ac:dyDescent="0.45"/>
    <row r="43" spans="12:21" ht="15" thickBot="1" x14ac:dyDescent="0.45">
      <c r="L43" s="40" t="s">
        <v>634</v>
      </c>
      <c r="M43" s="41"/>
      <c r="N43" s="41"/>
      <c r="O43" s="41"/>
      <c r="P43" s="41"/>
      <c r="Q43" s="41"/>
      <c r="R43" s="41"/>
      <c r="S43" s="41"/>
      <c r="T43" s="41"/>
      <c r="U43" s="42"/>
    </row>
    <row r="44" spans="12:21" x14ac:dyDescent="0.4">
      <c r="L44" s="19" t="s">
        <v>109</v>
      </c>
      <c r="M44" s="20" t="s">
        <v>110</v>
      </c>
      <c r="N44" s="20" t="s">
        <v>79</v>
      </c>
      <c r="O44" s="21" t="s">
        <v>117</v>
      </c>
      <c r="P44" s="21" t="s">
        <v>118</v>
      </c>
      <c r="Q44" s="20"/>
      <c r="R44" s="20" t="s">
        <v>161</v>
      </c>
      <c r="S44" t="s">
        <v>171</v>
      </c>
      <c r="T44" t="s">
        <v>172</v>
      </c>
      <c r="U44" s="22" t="s">
        <v>164</v>
      </c>
    </row>
    <row r="45" spans="12:21" x14ac:dyDescent="0.4">
      <c r="L45" t="s">
        <v>67</v>
      </c>
      <c r="M45" s="20">
        <f>COUNTIF(Scenario2[winner1-ability1],AvengerAbilities1Scenario2[[#This Row],[ability]])+COUNTIF(Scenario2[loser1-ability1],AvengerAbilities1Scenario2[[#This Row],[ability]])</f>
        <v>10</v>
      </c>
      <c r="N45" s="20">
        <f>COUNTIF(Scenario2[winner1-ability1],AvengerAbilities1Scenario2[[#This Row],[ability]])</f>
        <v>2</v>
      </c>
      <c r="O45" s="21">
        <f>IF(SUM(AvengerAbilities1Scenario2[[#This Row],[takes]]) &gt; 0,AvengerAbilities1Scenario2[[#This Row],[takes]]/SUM(AvengerAbilities1Scenario2[takes]),0)</f>
        <v>0.7142857142857143</v>
      </c>
      <c r="P45" s="21">
        <f>IF(AvengerAbilities1Scenario2[[#This Row],[takes]]&gt;0,AvengerAbilities1Scenario2[[#This Row],[wins]]/AvengerAbilities1Scenario2[[#This Row],[takes]],0)</f>
        <v>0.2</v>
      </c>
      <c r="Q45" s="20"/>
      <c r="R45" s="20">
        <v>1</v>
      </c>
      <c r="S45" s="20">
        <f>COUNTIFS(Scenario2[winner1],"avenger",Scenario2[winner1-pw],AvengerEquipScenario2[[#This Row],[level]])+COUNTIFS(Scenario2[loser1],"avenger",Scenario2[loser1-pw],AvengerEquipScenario2[[#This Row],[level]])</f>
        <v>4</v>
      </c>
      <c r="T45" s="20">
        <f>COUNTIFS(Scenario2[winner1],"avenger",Scenario2[winner1-sw],AvengerEquipScenario2[[#This Row],[level]])+COUNTIFS(Scenario2[loser1],"avenger",Scenario2[loser1-sw],AvengerEquipScenario2[[#This Row],[level]])</f>
        <v>6</v>
      </c>
      <c r="U45" s="22">
        <f>COUNTIFS(Scenario2[winner1],"avenger",Scenario2[winner1-cp],AvengerEquipScenario2[[#This Row],[level]])+COUNTIFS(Scenario2[loser1],"avenger",Scenario2[loser1-cp],AvengerEquipScenario2[[#This Row],[level]])</f>
        <v>6</v>
      </c>
    </row>
    <row r="46" spans="12:21" x14ac:dyDescent="0.4">
      <c r="L46" t="s">
        <v>152</v>
      </c>
      <c r="M46" s="20">
        <f>COUNTIF(Scenario2[winner1-ability1],AvengerAbilities1Scenario2[[#This Row],[ability]])+COUNTIF(Scenario2[loser1-ability1],AvengerAbilities1Scenario2[[#This Row],[ability]])</f>
        <v>4</v>
      </c>
      <c r="N46" s="20">
        <f>COUNTIF(Scenario2[winner1-ability1],AvengerAbilities1Scenario2[[#This Row],[ability]])</f>
        <v>4</v>
      </c>
      <c r="O46" s="21">
        <f>IF(SUM(AvengerAbilities1Scenario2[[#This Row],[takes]]) &gt; 0,AvengerAbilities1Scenario2[[#This Row],[takes]]/SUM(AvengerAbilities1Scenario2[takes]),0)</f>
        <v>0.2857142857142857</v>
      </c>
      <c r="P46" s="21">
        <f>IF(AvengerAbilities1Scenario2[[#This Row],[takes]]&gt;0,AvengerAbilities1Scenario2[[#This Row],[wins]]/AvengerAbilities1Scenario2[[#This Row],[takes]],0)</f>
        <v>1</v>
      </c>
      <c r="Q46" s="20"/>
      <c r="R46" s="20">
        <v>2</v>
      </c>
      <c r="S46" s="20">
        <f>COUNTIFS(Scenario2[winner1],"avenger",Scenario2[winner1-pw],AvengerEquipScenario2[[#This Row],[level]])+COUNTIFS(Scenario2[loser1],"avenger",Scenario2[loser1-pw],AvengerEquipScenario2[[#This Row],[level]])</f>
        <v>3</v>
      </c>
      <c r="T46" s="20">
        <f>COUNTIFS(Scenario2[winner1],"avenger",Scenario2[winner1-sw],AvengerEquipScenario2[[#This Row],[level]])+COUNTIFS(Scenario2[loser1],"avenger",Scenario2[loser1-sw],AvengerEquipScenario2[[#This Row],[level]])</f>
        <v>3</v>
      </c>
      <c r="U46" s="22">
        <f>COUNTIFS(Scenario2[winner1],"avenger",Scenario2[winner1-cp],AvengerEquipScenario2[[#This Row],[level]])+COUNTIFS(Scenario2[loser1],"avenger",Scenario2[loser1-cp],AvengerEquipScenario2[[#This Row],[level]])</f>
        <v>4</v>
      </c>
    </row>
    <row r="47" spans="12:21" x14ac:dyDescent="0.4">
      <c r="L47" t="s">
        <v>39</v>
      </c>
      <c r="M47" s="20">
        <f>COUNTIF(Scenario2[winner1-ability1],AvengerAbilities1Scenario2[[#This Row],[ability]])+COUNTIF(Scenario2[loser1-ability1],AvengerAbilities1Scenario2[[#This Row],[ability]])</f>
        <v>0</v>
      </c>
      <c r="N47" s="20">
        <f>COUNTIF(Scenario2[winner1-ability1],AvengerAbilities1Scenario2[[#This Row],[ability]])</f>
        <v>0</v>
      </c>
      <c r="O47" s="21">
        <f>IF(SUM(AvengerAbilities1Scenario2[[#This Row],[takes]]) &gt; 0,AvengerAbilities1Scenario2[[#This Row],[takes]]/SUM(AvengerAbilities1Scenario2[takes]),0)</f>
        <v>0</v>
      </c>
      <c r="P47" s="21">
        <f>IF(AvengerAbilities1Scenario2[[#This Row],[takes]]&gt;0,AvengerAbilities1Scenario2[[#This Row],[wins]]/AvengerAbilities1Scenario2[[#This Row],[takes]],0)</f>
        <v>0</v>
      </c>
      <c r="Q47" s="20"/>
      <c r="R47" s="20">
        <v>3</v>
      </c>
      <c r="S47" s="20">
        <f>COUNTIFS(Scenario2[winner1],"avenger",Scenario2[winner1-pw],AvengerEquipScenario2[[#This Row],[level]])+COUNTIFS(Scenario2[loser1],"avenger",Scenario2[loser1-pw],AvengerEquipScenario2[[#This Row],[level]])</f>
        <v>7</v>
      </c>
      <c r="T47" s="20">
        <f>COUNTIFS(Scenario2[winner1],"avenger",Scenario2[winner1-sw],AvengerEquipScenario2[[#This Row],[level]])+COUNTIFS(Scenario2[loser1],"avenger",Scenario2[loser1-sw],AvengerEquipScenario2[[#This Row],[level]])</f>
        <v>5</v>
      </c>
      <c r="U47" s="22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4">
      <c r="L48" s="19"/>
      <c r="M48" s="20"/>
      <c r="N48" s="20"/>
      <c r="O48" s="21"/>
      <c r="P48" s="21"/>
      <c r="Q48" s="20"/>
      <c r="R48" s="20"/>
      <c r="S48" s="20"/>
      <c r="T48" s="20"/>
      <c r="U48" s="22"/>
    </row>
    <row r="49" spans="12:21" x14ac:dyDescent="0.4">
      <c r="L49" s="23" t="s">
        <v>109</v>
      </c>
      <c r="M49" s="9" t="s">
        <v>110</v>
      </c>
      <c r="N49" s="9" t="s">
        <v>79</v>
      </c>
      <c r="O49" s="10" t="s">
        <v>117</v>
      </c>
      <c r="P49" s="10" t="s">
        <v>118</v>
      </c>
      <c r="Q49" s="20"/>
      <c r="R49" s="20"/>
      <c r="S49" s="20"/>
      <c r="T49" s="20"/>
      <c r="U49" s="22"/>
    </row>
    <row r="50" spans="12:21" x14ac:dyDescent="0.4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0</v>
      </c>
      <c r="N50" s="2">
        <f>COUNTIF(Scenario2[winner1-ability2],AvengerAbilities2Scenario2[[#This Row],[ability]])</f>
        <v>0</v>
      </c>
      <c r="O50" s="13">
        <f>IF(SUM(AvengerAbilities2Scenario2[[#This Row],[takes]]) &gt; 0,AvengerAbilities2Scenario2[[#This Row],[takes]]/SUM(AvengerAbilities2Scenario2[takes]),0)</f>
        <v>0</v>
      </c>
      <c r="P50" s="13">
        <f>IF(AvengerAbilities2Scenario2[[#This Row],[takes]]&gt;0,AvengerAbilities2Scenario2[[#This Row],[wins]]/AvengerAbilities2Scenario2[[#This Row],[takes]],0)</f>
        <v>0</v>
      </c>
      <c r="Q50" s="20"/>
      <c r="R50" s="20"/>
      <c r="S50" s="20"/>
      <c r="T50" s="20"/>
      <c r="U50" s="22"/>
    </row>
    <row r="51" spans="12:21" x14ac:dyDescent="0.4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21">
        <f>IF(SUM(AvengerAbilities2Scenario2[[#This Row],[takes]]) &gt; 0,AvengerAbilities2Scenario2[[#This Row],[takes]]/SUM(AvengerAbilities2Scenario2[takes]),0)</f>
        <v>7.6923076923076927E-2</v>
      </c>
      <c r="P51" s="21">
        <f>IF(AvengerAbilities2Scenario2[[#This Row],[takes]]&gt;0,AvengerAbilities2Scenario2[[#This Row],[wins]]/AvengerAbilities2Scenario2[[#This Row],[takes]],0)</f>
        <v>1</v>
      </c>
      <c r="Q51" s="20"/>
      <c r="R51" s="20"/>
      <c r="S51" s="20"/>
      <c r="T51" s="20"/>
      <c r="U51" s="22"/>
    </row>
    <row r="52" spans="12:21" x14ac:dyDescent="0.4">
      <c r="L52" s="11" t="s">
        <v>96</v>
      </c>
      <c r="M52" s="2">
        <f>COUNTIF(Scenario2[winner1-ability2],AvengerAbilities2Scenario2[[#This Row],[ability]])+COUNTIF(Scenario2[loser1-ability2],AvengerAbilities2Scenario2[[#This Row],[ability]])</f>
        <v>12</v>
      </c>
      <c r="N52" s="2">
        <f>COUNTIF(Scenario2[winner1-ability2],AvengerAbilities2Scenario2[[#This Row],[ability]])</f>
        <v>5</v>
      </c>
      <c r="O52" s="14">
        <f>IF(SUM(AvengerAbilities2Scenario2[[#This Row],[takes]]) &gt; 0,AvengerAbilities2Scenario2[[#This Row],[takes]]/SUM(AvengerAbilities2Scenario2[takes]),0)</f>
        <v>0.92307692307692313</v>
      </c>
      <c r="P52" s="14">
        <f>IF(AvengerAbilities2Scenario2[[#This Row],[takes]]&gt;0,AvengerAbilities2Scenario2[[#This Row],[wins]]/AvengerAbilities2Scenario2[[#This Row],[takes]],0)</f>
        <v>0.41666666666666669</v>
      </c>
      <c r="Q52" s="20"/>
      <c r="R52" s="20"/>
      <c r="S52" s="20"/>
      <c r="T52" s="20"/>
      <c r="U52" s="22"/>
    </row>
    <row r="53" spans="12:21" x14ac:dyDescent="0.4">
      <c r="L53" s="19"/>
      <c r="M53" s="20"/>
      <c r="N53" s="20"/>
      <c r="O53" s="21"/>
      <c r="P53" s="21"/>
      <c r="Q53" s="20"/>
      <c r="R53" s="20"/>
      <c r="S53" s="20"/>
      <c r="T53" s="20"/>
      <c r="U53" s="22"/>
    </row>
    <row r="54" spans="12:21" x14ac:dyDescent="0.4">
      <c r="L54" s="23" t="s">
        <v>109</v>
      </c>
      <c r="M54" s="9" t="s">
        <v>110</v>
      </c>
      <c r="N54" s="9" t="s">
        <v>79</v>
      </c>
      <c r="O54" s="10" t="s">
        <v>117</v>
      </c>
      <c r="P54" s="10" t="s">
        <v>118</v>
      </c>
      <c r="Q54" s="20"/>
      <c r="R54" s="20"/>
      <c r="S54" s="20"/>
      <c r="T54" s="20"/>
      <c r="U54" s="22"/>
    </row>
    <row r="55" spans="12:21" x14ac:dyDescent="0.4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0</v>
      </c>
      <c r="N55" s="1">
        <f>COUNTIF(Scenario2[winner1-ability3],AvengerAbilities3Scenario2[[#This Row],[ability]])</f>
        <v>0</v>
      </c>
      <c r="O55" s="15">
        <f>IF(SUM(AvengerAbilities3Scenario2[[#This Row],[takes]]) &gt; 0,AvengerAbilities3Scenario2[[#This Row],[takes]]/SUM(AvengerAbilities3Scenario2[takes]),0)</f>
        <v>0</v>
      </c>
      <c r="P55" s="15">
        <f>IF(AvengerAbilities3Scenario2[[#This Row],[takes]]&gt;0,AvengerAbilities3Scenario2[[#This Row],[wins]]/AvengerAbilities3Scenario2[[#This Row],[takes]],0)</f>
        <v>0</v>
      </c>
      <c r="Q55" s="20"/>
      <c r="R55" s="20"/>
      <c r="S55" s="20"/>
      <c r="T55" s="20"/>
      <c r="U55" s="22"/>
    </row>
    <row r="56" spans="12:21" x14ac:dyDescent="0.4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13</v>
      </c>
      <c r="N56" s="2">
        <f>COUNTIF(Scenario2[winner1-ability3],AvengerAbilities3Scenario2[[#This Row],[ability]])</f>
        <v>6</v>
      </c>
      <c r="O56" s="13">
        <f>IF(SUM(AvengerAbilities3Scenario2[[#This Row],[takes]]) &gt; 0,AvengerAbilities3Scenario2[[#This Row],[takes]]/SUM(AvengerAbilities3Scenario2[takes]),0)</f>
        <v>1</v>
      </c>
      <c r="P56" s="13">
        <f>IF(AvengerAbilities3Scenario2[[#This Row],[takes]]&gt;0,AvengerAbilities3Scenario2[[#This Row],[wins]]/AvengerAbilities3Scenario2[[#This Row],[takes]],0)</f>
        <v>0.46153846153846156</v>
      </c>
      <c r="Q56" s="20"/>
      <c r="R56" s="20"/>
      <c r="S56" s="20"/>
      <c r="T56" s="20"/>
      <c r="U56" s="22"/>
    </row>
    <row r="57" spans="12:21" x14ac:dyDescent="0.4">
      <c r="L57" s="12" t="s">
        <v>154</v>
      </c>
      <c r="M57" s="1">
        <f>COUNTIF(Scenario2[winner1-ability3],AvengerAbilities3Scenario2[[#This Row],[ability]])+COUNTIF(Scenario2[loser1-ability3],AvengerAbilities3Scenario2[[#This Row],[ability]])</f>
        <v>0</v>
      </c>
      <c r="N57" s="1">
        <f>COUNTIF(Scenario2[winner1-ability3],AvengerAbilities3Scenario2[[#This Row],[ability]])</f>
        <v>0</v>
      </c>
      <c r="O57" s="16">
        <f>IF(SUM(AvengerAbilities3Scenario2[[#This Row],[takes]]) &gt; 0,AvengerAbilities3Scenario2[[#This Row],[takes]]/SUM(AvengerAbilities3Scenario2[takes]),0)</f>
        <v>0</v>
      </c>
      <c r="P57" s="16">
        <f>IF(AvengerAbilities3Scenario2[[#This Row],[takes]]&gt;0,AvengerAbilities3Scenario2[[#This Row],[wins]]/AvengerAbilities3Scenario2[[#This Row],[takes]],0)</f>
        <v>0</v>
      </c>
      <c r="Q57" s="20"/>
      <c r="R57" s="20"/>
      <c r="S57" s="20"/>
      <c r="T57" s="20"/>
      <c r="U57" s="22"/>
    </row>
    <row r="58" spans="12:21" x14ac:dyDescent="0.4">
      <c r="L58" s="19"/>
      <c r="M58" s="20"/>
      <c r="N58" s="20"/>
      <c r="O58" s="21"/>
      <c r="P58" s="21"/>
      <c r="Q58" s="20"/>
      <c r="R58" s="20"/>
      <c r="S58" s="20"/>
      <c r="T58" s="20"/>
      <c r="U58" s="22"/>
    </row>
    <row r="59" spans="12:21" x14ac:dyDescent="0.4">
      <c r="L59" s="23" t="s">
        <v>109</v>
      </c>
      <c r="M59" s="9" t="s">
        <v>110</v>
      </c>
      <c r="N59" s="9" t="s">
        <v>79</v>
      </c>
      <c r="O59" s="10" t="s">
        <v>117</v>
      </c>
      <c r="P59" s="10" t="s">
        <v>118</v>
      </c>
      <c r="Q59" s="20"/>
      <c r="R59" s="20"/>
      <c r="S59" s="20"/>
      <c r="T59" s="20"/>
      <c r="U59" s="22"/>
    </row>
    <row r="60" spans="12:21" x14ac:dyDescent="0.4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0</v>
      </c>
      <c r="N60" s="2">
        <f>COUNTIF(Scenario2[winner1-ability4],AvengerAbilities4Scenario2[[#This Row],[ability]])</f>
        <v>0</v>
      </c>
      <c r="O60" s="13">
        <f>IF(SUM(AvengerAbilities4Scenario2[[#This Row],[takes]]) &gt; 0,AvengerAbilities4Scenario2[[#This Row],[takes]]/SUM(AvengerAbilities4Scenario2[takes]),0)</f>
        <v>0</v>
      </c>
      <c r="P60" s="13">
        <f>IF(AvengerAbilities4Scenario2[[#This Row],[takes]]&gt;0,AvengerAbilities4Scenario2[[#This Row],[wins]]/AvengerAbilities4Scenario2[[#This Row],[takes]],0)</f>
        <v>0</v>
      </c>
      <c r="Q60" s="20"/>
      <c r="R60" s="20"/>
      <c r="S60" s="20"/>
      <c r="T60" s="20"/>
      <c r="U60" s="22"/>
    </row>
    <row r="61" spans="12:21" x14ac:dyDescent="0.4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6</v>
      </c>
      <c r="N61" s="2">
        <f>COUNTIF(Scenario2[winner1-ability4],AvengerAbilities4Scenario2[[#This Row],[ability]])</f>
        <v>4</v>
      </c>
      <c r="O61" s="13">
        <f>IF(SUM(AvengerAbilities4Scenario2[[#This Row],[takes]]) &gt; 0,AvengerAbilities4Scenario2[[#This Row],[takes]]/SUM(AvengerAbilities4Scenario2[takes]),0)</f>
        <v>0.6</v>
      </c>
      <c r="P61" s="13">
        <f>IF(AvengerAbilities4Scenario2[[#This Row],[takes]]&gt;0,AvengerAbilities4Scenario2[[#This Row],[wins]]/AvengerAbilities4Scenario2[[#This Row],[takes]],0)</f>
        <v>0.66666666666666663</v>
      </c>
      <c r="Q61" s="20"/>
      <c r="R61" s="20"/>
      <c r="S61" s="20"/>
      <c r="T61" s="20"/>
      <c r="U61" s="22"/>
    </row>
    <row r="62" spans="12:21" ht="15" thickBot="1" x14ac:dyDescent="0.45">
      <c r="L62" s="11" t="s">
        <v>42</v>
      </c>
      <c r="M62" s="2">
        <f>COUNTIF(Scenario2[winner1-ability4],AvengerAbilities4Scenario2[[#This Row],[ability]])+COUNTIF(Scenario2[loser1-ability4],AvengerAbilities4Scenario2[[#This Row],[ability]])</f>
        <v>4</v>
      </c>
      <c r="N62" s="2">
        <f>COUNTIF(Scenario2[winner1-ability4],AvengerAbilities4Scenario2[[#This Row],[ability]])</f>
        <v>2</v>
      </c>
      <c r="O62" s="30">
        <f>IF(SUM(AvengerAbilities4Scenario2[[#This Row],[takes]]) &gt; 0,AvengerAbilities4Scenario2[[#This Row],[takes]]/SUM(AvengerAbilities4Scenario2[takes]),0)</f>
        <v>0.4</v>
      </c>
      <c r="P62" s="30">
        <f>IF(AvengerAbilities4Scenario2[[#This Row],[takes]]&gt;0,AvengerAbilities4Scenario2[[#This Row],[wins]]/AvengerAbilities4Scenario2[[#This Row],[takes]],0)</f>
        <v>0.5</v>
      </c>
      <c r="Q62" s="31"/>
      <c r="R62" s="31"/>
      <c r="S62" s="31"/>
      <c r="T62" s="31"/>
      <c r="U62" s="32"/>
    </row>
  </sheetData>
  <mergeCells count="4">
    <mergeCell ref="A1:J1"/>
    <mergeCell ref="L1:U1"/>
    <mergeCell ref="L22:U22"/>
    <mergeCell ref="L43:U43"/>
  </mergeCells>
  <pageMargins left="0.7" right="0.7" top="0.75" bottom="0.75" header="0.3" footer="0.3"/>
  <pageSetup paperSize="9" orientation="portrait"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I4" sqref="I4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bestFit="1" customWidth="1"/>
    <col min="15" max="15" width="23.3828125" bestFit="1" customWidth="1"/>
    <col min="16" max="16" width="3.84375" bestFit="1" customWidth="1"/>
    <col min="18" max="18" width="9.3046875" bestFit="1" customWidth="1"/>
  </cols>
  <sheetData>
    <row r="1" spans="1:16" ht="15" thickBot="1" x14ac:dyDescent="0.45">
      <c r="A1" s="40" t="s">
        <v>78</v>
      </c>
      <c r="B1" s="41"/>
      <c r="C1" s="41"/>
      <c r="D1" s="41"/>
      <c r="E1" s="41"/>
      <c r="F1" s="41"/>
      <c r="G1" s="42"/>
      <c r="I1" s="40" t="s">
        <v>82</v>
      </c>
      <c r="J1" s="41"/>
      <c r="K1" s="41"/>
      <c r="L1" s="41"/>
      <c r="M1" s="42"/>
      <c r="O1" s="5" t="s">
        <v>157</v>
      </c>
      <c r="P1" s="36">
        <f>MIN(Scenario0[crystals])</f>
        <v>2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5" t="s">
        <v>107</v>
      </c>
      <c r="P2" s="36">
        <f>AVERAGE(Scenario0[crystals])</f>
        <v>10.642857142857142</v>
      </c>
    </row>
    <row r="3" spans="1:16" ht="15" thickBot="1" x14ac:dyDescent="0.45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" s="3">
        <f>IF(ScenarioTeams0[[#This Row],[battles]],ScenarioTeams0[[#This Row],[wins]]/ScenarioTeams0[[#This Row],[battles]],0)</f>
        <v>0.53333333333333333</v>
      </c>
      <c r="O3" s="5" t="s">
        <v>159</v>
      </c>
      <c r="P3" s="36">
        <f>MAX(Scenario0[crystals])</f>
        <v>21</v>
      </c>
    </row>
    <row r="4" spans="1:16" ht="15" thickBot="1" x14ac:dyDescent="0.45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4" s="3">
        <f>IF(ScenarioTeams0[[#This Row],[battles]],ScenarioTeams0[[#This Row],[wins]]/ScenarioTeams0[[#This Row],[battles]],0)</f>
        <v>0.6</v>
      </c>
    </row>
    <row r="5" spans="1:16" ht="15" thickBot="1" x14ac:dyDescent="0.45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5" s="3">
        <f>IF(ScenarioTeams0[[#This Row],[battles]],ScenarioTeams0[[#This Row],[wins]]/ScenarioTeams0[[#This Row],[battles]],0)</f>
        <v>0.66666666666666663</v>
      </c>
      <c r="O5" s="5" t="s">
        <v>158</v>
      </c>
      <c r="P5" s="36">
        <f>MIN(Scenario0[turns])</f>
        <v>18</v>
      </c>
    </row>
    <row r="6" spans="1:16" ht="15" thickBot="1" x14ac:dyDescent="0.45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6" s="3">
        <f>IF(ScenarioTeams0[[#This Row],[battles]],ScenarioTeams0[[#This Row],[wins]]/ScenarioTeams0[[#This Row],[battles]],0)</f>
        <v>0.6</v>
      </c>
      <c r="O6" s="6" t="s">
        <v>108</v>
      </c>
      <c r="P6" s="37">
        <f>AVERAGE(Scenario0[turns])</f>
        <v>43.723809523809521</v>
      </c>
    </row>
    <row r="7" spans="1:16" ht="15" thickBot="1" x14ac:dyDescent="0.45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7" s="3">
        <f>IF(ScenarioTeams0[[#This Row],[battles]],ScenarioTeams0[[#This Row],[wins]]/ScenarioTeams0[[#This Row],[battles]],0)</f>
        <v>0.8</v>
      </c>
      <c r="O7" s="6" t="s">
        <v>160</v>
      </c>
      <c r="P7" s="37">
        <f>MAX(Scenario0[turns])</f>
        <v>106</v>
      </c>
    </row>
    <row r="8" spans="1:16" ht="15" thickBot="1" x14ac:dyDescent="0.45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8" s="3">
        <f>IF(ScenarioTeams0[[#This Row],[battles]],ScenarioTeams0[[#This Row],[wins]]/ScenarioTeams0[[#This Row],[battles]],0)</f>
        <v>0.46666666666666667</v>
      </c>
    </row>
    <row r="9" spans="1:16" ht="15" thickBot="1" x14ac:dyDescent="0.45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9" s="3">
        <f>IF(ScenarioTeams0[[#This Row],[battles]],ScenarioTeams0[[#This Row],[wins]]/ScenarioTeams0[[#This Row],[battles]],0)</f>
        <v>0.8</v>
      </c>
      <c r="O9" s="35" t="s">
        <v>663</v>
      </c>
      <c r="P9" s="36">
        <f>120000*$P$6/1000/60</f>
        <v>87.447619047619057</v>
      </c>
    </row>
    <row r="10" spans="1:16" ht="15" thickBot="1" x14ac:dyDescent="0.45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0" s="3">
        <f>IF(ScenarioTeams0[[#This Row],[battles]],ScenarioTeams0[[#This Row],[wins]]/ScenarioTeams0[[#This Row],[battles]],0)</f>
        <v>0.26666666666666666</v>
      </c>
      <c r="O10" s="34" t="s">
        <v>664</v>
      </c>
      <c r="P10" s="37">
        <f>P9*COUNTA(ScenarioStat0[hero-1])/60/24</f>
        <v>12.75277777777778</v>
      </c>
    </row>
    <row r="11" spans="1:16" x14ac:dyDescent="0.4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1" s="3">
        <f>IF(ScenarioTeams0[[#This Row],[battles]],ScenarioTeams0[[#This Row],[wins]]/ScenarioTeams0[[#This Row],[battles]],0)</f>
        <v>0.4</v>
      </c>
    </row>
    <row r="12" spans="1:16" x14ac:dyDescent="0.4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2" s="3">
        <f>IF(ScenarioTeams0[[#This Row],[battles]],ScenarioTeams0[[#This Row],[wins]]/ScenarioTeams0[[#This Row],[battles]],0)</f>
        <v>0.4</v>
      </c>
    </row>
    <row r="13" spans="1:16" x14ac:dyDescent="0.4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3" s="3">
        <f>IF(ScenarioTeams0[[#This Row],[battles]],ScenarioTeams0[[#This Row],[wins]]/ScenarioTeams0[[#This Row],[battles]],0)</f>
        <v>0.53333333333333333</v>
      </c>
    </row>
    <row r="14" spans="1:16" x14ac:dyDescent="0.4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4" s="3">
        <f>IF(ScenarioTeams0[[#This Row],[battles]],ScenarioTeams0[[#This Row],[wins]]/ScenarioTeams0[[#This Row],[battles]],0)</f>
        <v>0.66666666666666663</v>
      </c>
    </row>
    <row r="15" spans="1:16" x14ac:dyDescent="0.4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5" s="3">
        <f>IF(ScenarioTeams0[[#This Row],[battles]],ScenarioTeams0[[#This Row],[wins]]/ScenarioTeams0[[#This Row],[battles]],0)</f>
        <v>0.46666666666666667</v>
      </c>
    </row>
    <row r="16" spans="1:16" x14ac:dyDescent="0.4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6" s="3">
        <f>IF(ScenarioTeams0[[#This Row],[battles]],ScenarioTeams0[[#This Row],[wins]]/ScenarioTeams0[[#This Row],[battles]],0)</f>
        <v>0.4</v>
      </c>
    </row>
    <row r="17" spans="1:13" x14ac:dyDescent="0.4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7" s="3">
        <f>IF(ScenarioTeams0[[#This Row],[battles]],ScenarioTeams0[[#This Row],[wins]]/ScenarioTeams0[[#This Row],[battles]],0)</f>
        <v>0.26666666666666666</v>
      </c>
    </row>
    <row r="18" spans="1:13" x14ac:dyDescent="0.4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8" s="3">
        <f>IF(ScenarioTeams0[[#This Row],[battles]],ScenarioTeams0[[#This Row],[wins]]/ScenarioTeams0[[#This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9" s="3">
        <f>IF(ScenarioTeams0[[#This Row],[battles]],ScenarioTeams0[[#This Row],[wins]]/ScenarioTeams0[[#This Row],[battles]],0)</f>
        <v>0.6</v>
      </c>
    </row>
    <row r="20" spans="1:13" x14ac:dyDescent="0.4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0" s="3">
        <f>IF(ScenarioTeams0[[#This Row],[battles]],ScenarioTeams0[[#This Row],[wins]]/ScenarioTeams0[[#This Row],[battles]],0)</f>
        <v>0.73333333333333328</v>
      </c>
    </row>
    <row r="21" spans="1:13" x14ac:dyDescent="0.4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1" s="3">
        <f>IF(ScenarioTeams0[[#This Row],[battles]],ScenarioTeams0[[#This Row],[wins]]/ScenarioTeams0[[#This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2" s="3">
        <f>IF(ScenarioTeams0[[#This Row],[battles]],ScenarioTeams0[[#This Row],[wins]]/ScenarioTeams0[[#This Row],[battles]],0)</f>
        <v>0.46666666666666667</v>
      </c>
    </row>
    <row r="23" spans="1:13" x14ac:dyDescent="0.4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3" s="3">
        <f>IF(ScenarioTeams0[[#This Row],[battles]],ScenarioTeams0[[#This Row],[wins]]/ScenarioTeams0[[#This Row],[battles]],0)</f>
        <v>0.4</v>
      </c>
    </row>
    <row r="24" spans="1:13" x14ac:dyDescent="0.4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4" s="3">
        <f>IF(ScenarioTeams0[[#This Row],[battles]],ScenarioTeams0[[#This Row],[wins]]/ScenarioTeams0[[#This Row],[battles]],0)</f>
        <v>0.46666666666666667</v>
      </c>
    </row>
    <row r="25" spans="1:13" x14ac:dyDescent="0.4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25" s="3">
        <f>IF(ScenarioTeams0[[#This Row],[battles]],ScenarioTeams0[[#This Row],[wins]]/ScenarioTeams0[[#This Row],[battles]],0)</f>
        <v>0.26666666666666666</v>
      </c>
    </row>
    <row r="26" spans="1:13" x14ac:dyDescent="0.4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4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7" s="3">
        <f>IF(ScenarioTeams0[[#This Row],[battles]],ScenarioTeams0[[#This Row],[wins]]/ScenarioTeams0[[#This Row],[battles]],0)</f>
        <v>0.4</v>
      </c>
    </row>
    <row r="28" spans="1:13" x14ac:dyDescent="0.4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8" s="3">
        <f>IF(ScenarioTeams0[[#This Row],[battles]],ScenarioTeams0[[#This Row],[wins]]/ScenarioTeams0[[#This Row],[battles]],0)</f>
        <v>0.46666666666666667</v>
      </c>
    </row>
    <row r="29" spans="1:13" x14ac:dyDescent="0.4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9" s="3">
        <f>IF(ScenarioTeams0[[#This Row],[battles]],ScenarioTeams0[[#This Row],[wins]]/ScenarioTeams0[[#This Row],[battles]],0)</f>
        <v>0.6</v>
      </c>
    </row>
    <row r="30" spans="1:13" x14ac:dyDescent="0.4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0" s="3">
        <f>IF(ScenarioTeams0[[#This Row],[battles]],ScenarioTeams0[[#This Row],[wins]]/ScenarioTeams0[[#This Row],[battles]],0)</f>
        <v>0.4</v>
      </c>
    </row>
    <row r="31" spans="1:13" x14ac:dyDescent="0.4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4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4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4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4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4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4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">
        <f>ScenarioStat0[[#This Row],[team-1-win]]+ScenarioStat0[[#This Row],[team-2-win]]</f>
        <v>1</v>
      </c>
    </row>
    <row r="38" spans="1:7" x14ac:dyDescent="0.4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4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4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4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4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4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4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1</v>
      </c>
    </row>
    <row r="45" spans="1:7" x14ac:dyDescent="0.4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4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4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4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4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4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4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4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4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4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4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5">
        <f>ScenarioStat0[[#This Row],[team-1-win]]+ScenarioStat0[[#This Row],[team-2-win]]</f>
        <v>1</v>
      </c>
    </row>
    <row r="56" spans="1:7" x14ac:dyDescent="0.4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4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4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4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1</v>
      </c>
    </row>
    <row r="60" spans="1:7" x14ac:dyDescent="0.4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4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4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4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4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4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4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4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4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4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4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4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4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4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4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4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4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4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4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4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4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1</v>
      </c>
    </row>
    <row r="81" spans="1:7" x14ac:dyDescent="0.4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4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4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1</v>
      </c>
    </row>
    <row r="84" spans="1:7" x14ac:dyDescent="0.4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4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4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4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1</v>
      </c>
    </row>
    <row r="88" spans="1:7" x14ac:dyDescent="0.4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4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4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1</v>
      </c>
    </row>
    <row r="91" spans="1:7" x14ac:dyDescent="0.4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4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4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4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1</v>
      </c>
    </row>
    <row r="95" spans="1:7" x14ac:dyDescent="0.4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4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4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4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1</v>
      </c>
    </row>
    <row r="99" spans="1:7" x14ac:dyDescent="0.4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4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4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1</v>
      </c>
    </row>
    <row r="102" spans="1:7" x14ac:dyDescent="0.4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4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4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4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4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1</v>
      </c>
    </row>
    <row r="107" spans="1:7" x14ac:dyDescent="0.4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1</v>
      </c>
    </row>
    <row r="108" spans="1:7" x14ac:dyDescent="0.4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4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4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4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4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1</v>
      </c>
    </row>
    <row r="113" spans="1:7" x14ac:dyDescent="0.4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4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1</v>
      </c>
    </row>
    <row r="115" spans="1:7" x14ac:dyDescent="0.4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5">
        <f>ScenarioStat0[[#This Row],[team-1-win]]+ScenarioStat0[[#This Row],[team-2-win]]</f>
        <v>1</v>
      </c>
    </row>
    <row r="116" spans="1:7" x14ac:dyDescent="0.4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6">
        <f>ScenarioStat0[[#This Row],[team-1-win]]+ScenarioStat0[[#This Row],[team-2-win]]</f>
        <v>1</v>
      </c>
    </row>
    <row r="117" spans="1:7" x14ac:dyDescent="0.4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4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4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4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0">
        <f>ScenarioStat0[[#This Row],[team-1-win]]+ScenarioStat0[[#This Row],[team-2-win]]</f>
        <v>1</v>
      </c>
    </row>
    <row r="121" spans="1:7" x14ac:dyDescent="0.4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4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4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4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4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4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4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4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4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4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0">
        <f>ScenarioStat0[[#This Row],[team-1-win]]+ScenarioStat0[[#This Row],[team-2-win]]</f>
        <v>1</v>
      </c>
    </row>
    <row r="131" spans="1:7" x14ac:dyDescent="0.4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4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4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4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4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1</v>
      </c>
    </row>
    <row r="136" spans="1:7" x14ac:dyDescent="0.4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4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4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4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4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4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4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4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4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4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4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1</v>
      </c>
    </row>
    <row r="147" spans="1:7" x14ac:dyDescent="0.4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4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4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1</v>
      </c>
    </row>
    <row r="150" spans="1:7" x14ac:dyDescent="0.4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4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4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1</v>
      </c>
    </row>
    <row r="153" spans="1:7" x14ac:dyDescent="0.4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1</v>
      </c>
    </row>
    <row r="154" spans="1:7" x14ac:dyDescent="0.4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1</v>
      </c>
    </row>
    <row r="155" spans="1:7" x14ac:dyDescent="0.4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1</v>
      </c>
    </row>
    <row r="156" spans="1:7" x14ac:dyDescent="0.4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1</v>
      </c>
    </row>
    <row r="157" spans="1:7" x14ac:dyDescent="0.4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1</v>
      </c>
    </row>
    <row r="158" spans="1:7" x14ac:dyDescent="0.4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4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4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4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4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2">
        <f>ScenarioStat0[[#This Row],[team-1-win]]+ScenarioStat0[[#This Row],[team-2-win]]</f>
        <v>1</v>
      </c>
    </row>
    <row r="163" spans="1:7" x14ac:dyDescent="0.4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4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4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4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4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4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4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4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1</v>
      </c>
    </row>
    <row r="171" spans="1:7" x14ac:dyDescent="0.4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4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4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4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4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4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4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4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4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4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4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4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4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4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4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4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4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1</v>
      </c>
    </row>
    <row r="188" spans="1:7" x14ac:dyDescent="0.4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4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4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1</v>
      </c>
    </row>
    <row r="191" spans="1:7" x14ac:dyDescent="0.4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4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4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4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4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4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4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4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4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4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4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1">
        <f>ScenarioStat0[[#This Row],[team-1-win]]+ScenarioStat0[[#This Row],[team-2-win]]</f>
        <v>1</v>
      </c>
    </row>
    <row r="202" spans="1:7" x14ac:dyDescent="0.4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4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4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4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4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4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4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8">
        <f>ScenarioStat0[[#This Row],[team-1-win]]+ScenarioStat0[[#This Row],[team-2-win]]</f>
        <v>1</v>
      </c>
    </row>
    <row r="209" spans="1:7" x14ac:dyDescent="0.4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4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4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4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X211"/>
  <sheetViews>
    <sheetView topLeftCell="W1" workbookViewId="0">
      <selection activeCell="AA1" sqref="AA1:AH1"/>
    </sheetView>
  </sheetViews>
  <sheetFormatPr defaultRowHeight="14.6" x14ac:dyDescent="0.4"/>
  <cols>
    <col min="1" max="1" width="36.84375" bestFit="1" customWidth="1"/>
    <col min="2" max="2" width="7.69140625" bestFit="1" customWidth="1"/>
    <col min="3" max="3" width="9.84375" bestFit="1" customWidth="1"/>
    <col min="4" max="4" width="13" bestFit="1" customWidth="1"/>
    <col min="5" max="5" width="12.69140625" bestFit="1" customWidth="1"/>
    <col min="6" max="6" width="12.3828125" bestFit="1" customWidth="1"/>
    <col min="7" max="7" width="17.07421875" bestFit="1" customWidth="1"/>
    <col min="8" max="10" width="16.61328125" bestFit="1" customWidth="1"/>
    <col min="11" max="11" width="9.84375" bestFit="1" customWidth="1"/>
    <col min="12" max="12" width="14" customWidth="1"/>
    <col min="13" max="13" width="13.69140625" customWidth="1"/>
    <col min="14" max="14" width="13.3046875" customWidth="1"/>
    <col min="15" max="15" width="18" customWidth="1"/>
    <col min="16" max="16" width="18.3046875" customWidth="1"/>
    <col min="17" max="18" width="18" customWidth="1"/>
    <col min="19" max="19" width="10.53515625" bestFit="1" customWidth="1"/>
    <col min="20" max="20" width="14" customWidth="1"/>
    <col min="21" max="21" width="13.69140625" customWidth="1"/>
    <col min="22" max="22" width="13.3046875" customWidth="1"/>
    <col min="23" max="23" width="18.3828125" customWidth="1"/>
    <col min="24" max="24" width="18.69140625" customWidth="1"/>
    <col min="25" max="25" width="18" customWidth="1"/>
    <col min="26" max="26" width="14.765625" bestFit="1" customWidth="1"/>
    <col min="27" max="27" width="8.69140625" bestFit="1" customWidth="1"/>
    <col min="28" max="28" width="12.15234375" customWidth="1"/>
    <col min="29" max="29" width="11.84375" customWidth="1"/>
    <col min="30" max="30" width="11.3828125" customWidth="1"/>
    <col min="31" max="31" width="16.15234375" customWidth="1"/>
    <col min="32" max="32" width="18.84375" customWidth="1"/>
    <col min="33" max="34" width="16.15234375" customWidth="1"/>
    <col min="35" max="35" width="9.23046875" bestFit="1" customWidth="1"/>
    <col min="36" max="36" width="12.15234375" hidden="1" customWidth="1"/>
    <col min="37" max="37" width="11.84375" hidden="1" customWidth="1"/>
    <col min="38" max="38" width="11.3828125" hidden="1" customWidth="1"/>
    <col min="39" max="40" width="16.15234375" hidden="1" customWidth="1"/>
    <col min="41" max="41" width="19.3828125" hidden="1" customWidth="1"/>
    <col min="42" max="42" width="16.15234375" hidden="1" customWidth="1"/>
    <col min="43" max="43" width="11.3828125" bestFit="1" customWidth="1"/>
    <col min="44" max="44" width="12.15234375" hidden="1" customWidth="1"/>
    <col min="45" max="45" width="11.84375" hidden="1" customWidth="1"/>
    <col min="46" max="46" width="11.3828125" hidden="1" customWidth="1"/>
    <col min="47" max="47" width="16.15234375" hidden="1" customWidth="1"/>
    <col min="48" max="48" width="19.15234375" hidden="1" customWidth="1"/>
    <col min="49" max="49" width="16.15234375" hidden="1" customWidth="1"/>
    <col min="50" max="50" width="19.84375" hidden="1" customWidth="1"/>
    <col min="51" max="51" width="9.84375" bestFit="1" customWidth="1"/>
    <col min="52" max="52" width="7.84375" bestFit="1" customWidth="1"/>
    <col min="53" max="53" width="12.69140625" bestFit="1" customWidth="1"/>
    <col min="54" max="54" width="9" bestFit="1" customWidth="1"/>
  </cols>
  <sheetData>
    <row r="1" spans="1:38" x14ac:dyDescent="0.4">
      <c r="A1" t="s">
        <v>0</v>
      </c>
      <c r="B1" t="s">
        <v>175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  <c r="AK1" t="s">
        <v>173</v>
      </c>
      <c r="AL1" t="s">
        <v>174</v>
      </c>
    </row>
    <row r="2" spans="1:38" x14ac:dyDescent="0.4">
      <c r="A2" t="s">
        <v>393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120</v>
      </c>
      <c r="P2" t="s">
        <v>69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3</v>
      </c>
      <c r="AD2">
        <v>1</v>
      </c>
      <c r="AE2" t="s">
        <v>46</v>
      </c>
      <c r="AI2">
        <v>6</v>
      </c>
      <c r="AJ2">
        <v>30</v>
      </c>
      <c r="AK2">
        <v>120</v>
      </c>
      <c r="AL2">
        <v>2</v>
      </c>
    </row>
    <row r="3" spans="1:38" x14ac:dyDescent="0.4">
      <c r="A3" t="s">
        <v>394</v>
      </c>
      <c r="B3">
        <v>1</v>
      </c>
      <c r="C3" t="s">
        <v>53</v>
      </c>
      <c r="D3">
        <v>2</v>
      </c>
      <c r="E3">
        <v>1</v>
      </c>
      <c r="F3">
        <v>1</v>
      </c>
      <c r="G3" t="s">
        <v>111</v>
      </c>
      <c r="K3" t="s">
        <v>56</v>
      </c>
      <c r="L3">
        <v>1</v>
      </c>
      <c r="N3">
        <v>2</v>
      </c>
      <c r="O3" t="s">
        <v>120</v>
      </c>
      <c r="P3" t="s">
        <v>69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1</v>
      </c>
      <c r="AE3" t="s">
        <v>135</v>
      </c>
      <c r="AF3" t="s">
        <v>99</v>
      </c>
      <c r="AG3" t="s">
        <v>75</v>
      </c>
      <c r="AI3">
        <v>8</v>
      </c>
      <c r="AJ3">
        <v>38</v>
      </c>
      <c r="AK3">
        <v>120</v>
      </c>
      <c r="AL3">
        <v>2</v>
      </c>
    </row>
    <row r="4" spans="1:38" x14ac:dyDescent="0.4">
      <c r="A4" t="s">
        <v>395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54</v>
      </c>
      <c r="K4" t="s">
        <v>56</v>
      </c>
      <c r="L4">
        <v>1</v>
      </c>
      <c r="N4">
        <v>1</v>
      </c>
      <c r="O4" t="s">
        <v>57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22</v>
      </c>
      <c r="AK4">
        <v>120</v>
      </c>
      <c r="AL4">
        <v>2</v>
      </c>
    </row>
    <row r="5" spans="1:38" x14ac:dyDescent="0.4">
      <c r="A5" t="s">
        <v>396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K5" t="s">
        <v>56</v>
      </c>
      <c r="L5">
        <v>1</v>
      </c>
      <c r="N5">
        <v>2</v>
      </c>
      <c r="O5" t="s">
        <v>57</v>
      </c>
      <c r="P5" t="s">
        <v>122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5</v>
      </c>
      <c r="AJ5">
        <v>29</v>
      </c>
      <c r="AK5">
        <v>120</v>
      </c>
      <c r="AL5">
        <v>2</v>
      </c>
    </row>
    <row r="6" spans="1:38" x14ac:dyDescent="0.4">
      <c r="A6" t="s">
        <v>397</v>
      </c>
      <c r="B6">
        <v>4</v>
      </c>
      <c r="C6" t="s">
        <v>53</v>
      </c>
      <c r="D6">
        <v>3</v>
      </c>
      <c r="E6">
        <v>1</v>
      </c>
      <c r="F6">
        <v>1</v>
      </c>
      <c r="G6" t="s">
        <v>54</v>
      </c>
      <c r="K6" t="s">
        <v>56</v>
      </c>
      <c r="L6">
        <v>1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5</v>
      </c>
      <c r="AJ6">
        <v>28</v>
      </c>
      <c r="AK6">
        <v>120</v>
      </c>
      <c r="AL6">
        <v>2</v>
      </c>
    </row>
    <row r="7" spans="1:38" x14ac:dyDescent="0.4">
      <c r="A7" t="s">
        <v>398</v>
      </c>
      <c r="B7">
        <v>5</v>
      </c>
      <c r="C7" t="s">
        <v>33</v>
      </c>
      <c r="D7">
        <v>2</v>
      </c>
      <c r="F7">
        <v>1</v>
      </c>
      <c r="G7" t="s">
        <v>46</v>
      </c>
      <c r="H7" t="s">
        <v>35</v>
      </c>
      <c r="K7" t="s">
        <v>43</v>
      </c>
      <c r="L7">
        <v>1</v>
      </c>
      <c r="N7">
        <v>1</v>
      </c>
      <c r="O7" t="s">
        <v>135</v>
      </c>
      <c r="P7" t="s">
        <v>99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2</v>
      </c>
      <c r="AD7">
        <v>1</v>
      </c>
      <c r="AE7" t="s">
        <v>68</v>
      </c>
      <c r="AI7">
        <v>4</v>
      </c>
      <c r="AJ7">
        <v>21</v>
      </c>
      <c r="AK7">
        <v>120</v>
      </c>
      <c r="AL7">
        <v>2</v>
      </c>
    </row>
    <row r="8" spans="1:38" x14ac:dyDescent="0.4">
      <c r="A8" t="s">
        <v>399</v>
      </c>
      <c r="B8">
        <v>6</v>
      </c>
      <c r="C8" t="s">
        <v>33</v>
      </c>
      <c r="D8">
        <v>3</v>
      </c>
      <c r="F8">
        <v>2</v>
      </c>
      <c r="G8" t="s">
        <v>46</v>
      </c>
      <c r="K8" t="s">
        <v>45</v>
      </c>
      <c r="L8">
        <v>3</v>
      </c>
      <c r="N8">
        <v>1</v>
      </c>
      <c r="O8" t="s">
        <v>86</v>
      </c>
      <c r="P8" t="s">
        <v>76</v>
      </c>
      <c r="S8" t="s">
        <v>53</v>
      </c>
      <c r="T8">
        <v>1</v>
      </c>
      <c r="U8">
        <v>2</v>
      </c>
      <c r="V8">
        <v>3</v>
      </c>
      <c r="W8" t="s">
        <v>54</v>
      </c>
      <c r="AA8" t="s">
        <v>56</v>
      </c>
      <c r="AB8">
        <v>1</v>
      </c>
      <c r="AD8">
        <v>3</v>
      </c>
      <c r="AE8" t="s">
        <v>68</v>
      </c>
      <c r="AI8">
        <v>11</v>
      </c>
      <c r="AJ8">
        <v>36</v>
      </c>
      <c r="AK8">
        <v>120</v>
      </c>
      <c r="AL8">
        <v>2</v>
      </c>
    </row>
    <row r="9" spans="1:38" x14ac:dyDescent="0.4">
      <c r="A9" t="s">
        <v>400</v>
      </c>
      <c r="B9">
        <v>7</v>
      </c>
      <c r="C9" t="s">
        <v>33</v>
      </c>
      <c r="D9">
        <v>3</v>
      </c>
      <c r="F9">
        <v>1</v>
      </c>
      <c r="G9" t="s">
        <v>65</v>
      </c>
      <c r="H9" t="s">
        <v>66</v>
      </c>
      <c r="K9" t="s">
        <v>63</v>
      </c>
      <c r="L9">
        <v>1</v>
      </c>
      <c r="N9">
        <v>1</v>
      </c>
      <c r="O9" t="s">
        <v>103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3</v>
      </c>
      <c r="AD9">
        <v>2</v>
      </c>
      <c r="AE9" t="s">
        <v>57</v>
      </c>
      <c r="AI9">
        <v>6</v>
      </c>
      <c r="AJ9">
        <v>28</v>
      </c>
      <c r="AK9">
        <v>120</v>
      </c>
      <c r="AL9">
        <v>2</v>
      </c>
    </row>
    <row r="10" spans="1:38" x14ac:dyDescent="0.4">
      <c r="A10" t="s">
        <v>401</v>
      </c>
      <c r="B10">
        <v>8</v>
      </c>
      <c r="C10" t="s">
        <v>33</v>
      </c>
      <c r="D10">
        <v>2</v>
      </c>
      <c r="F10">
        <v>2</v>
      </c>
      <c r="G10" t="s">
        <v>65</v>
      </c>
      <c r="H10" t="s">
        <v>35</v>
      </c>
      <c r="I10" t="s">
        <v>131</v>
      </c>
      <c r="K10" t="s">
        <v>38</v>
      </c>
      <c r="L10">
        <v>2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2</v>
      </c>
      <c r="W10" t="s">
        <v>54</v>
      </c>
      <c r="AA10" t="s">
        <v>56</v>
      </c>
      <c r="AB10">
        <v>1</v>
      </c>
      <c r="AD10">
        <v>2</v>
      </c>
      <c r="AE10" t="s">
        <v>68</v>
      </c>
      <c r="AI10">
        <v>8</v>
      </c>
      <c r="AJ10">
        <v>30</v>
      </c>
      <c r="AK10">
        <v>120</v>
      </c>
      <c r="AL10">
        <v>2</v>
      </c>
    </row>
    <row r="11" spans="1:38" x14ac:dyDescent="0.4">
      <c r="A11" t="s">
        <v>402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83</v>
      </c>
      <c r="I11" t="s">
        <v>97</v>
      </c>
      <c r="J11" t="s">
        <v>116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99</v>
      </c>
      <c r="AA11" t="s">
        <v>45</v>
      </c>
      <c r="AB11">
        <v>2</v>
      </c>
      <c r="AD11">
        <v>1</v>
      </c>
      <c r="AE11" t="s">
        <v>47</v>
      </c>
      <c r="AI11">
        <v>6</v>
      </c>
      <c r="AJ11">
        <v>30</v>
      </c>
      <c r="AK11">
        <v>120</v>
      </c>
      <c r="AL11">
        <v>2</v>
      </c>
    </row>
    <row r="12" spans="1:38" x14ac:dyDescent="0.4">
      <c r="A12" t="s">
        <v>403</v>
      </c>
      <c r="B12">
        <v>10</v>
      </c>
      <c r="C12" t="s">
        <v>53</v>
      </c>
      <c r="D12">
        <v>1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1</v>
      </c>
      <c r="N12">
        <v>2</v>
      </c>
      <c r="O12" t="s">
        <v>120</v>
      </c>
      <c r="S12" t="s">
        <v>43</v>
      </c>
      <c r="T12">
        <v>2</v>
      </c>
      <c r="V12">
        <v>1</v>
      </c>
      <c r="W12" t="s">
        <v>135</v>
      </c>
      <c r="X12" t="s">
        <v>99</v>
      </c>
      <c r="AA12" t="s">
        <v>63</v>
      </c>
      <c r="AB12">
        <v>2</v>
      </c>
      <c r="AD12">
        <v>1</v>
      </c>
      <c r="AE12" t="s">
        <v>103</v>
      </c>
      <c r="AI12">
        <v>7</v>
      </c>
      <c r="AJ12">
        <v>32</v>
      </c>
      <c r="AK12">
        <v>120</v>
      </c>
      <c r="AL12">
        <v>2</v>
      </c>
    </row>
    <row r="13" spans="1:38" x14ac:dyDescent="0.4">
      <c r="A13" t="s">
        <v>404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2</v>
      </c>
      <c r="N13">
        <v>1</v>
      </c>
      <c r="O13" t="s">
        <v>68</v>
      </c>
      <c r="S13" t="s">
        <v>43</v>
      </c>
      <c r="T13">
        <v>1</v>
      </c>
      <c r="V13">
        <v>1</v>
      </c>
      <c r="W13" t="s">
        <v>135</v>
      </c>
      <c r="X13" t="s">
        <v>99</v>
      </c>
      <c r="AA13" t="s">
        <v>38</v>
      </c>
      <c r="AB13">
        <v>3</v>
      </c>
      <c r="AC13">
        <v>1</v>
      </c>
      <c r="AD13">
        <v>1</v>
      </c>
      <c r="AE13" t="s">
        <v>152</v>
      </c>
      <c r="AI13">
        <v>5</v>
      </c>
      <c r="AJ13">
        <v>20</v>
      </c>
      <c r="AK13">
        <v>120</v>
      </c>
      <c r="AL13">
        <v>2</v>
      </c>
    </row>
    <row r="14" spans="1:38" x14ac:dyDescent="0.4">
      <c r="A14" t="s">
        <v>405</v>
      </c>
      <c r="B14">
        <v>12</v>
      </c>
      <c r="C14" t="s">
        <v>53</v>
      </c>
      <c r="D14">
        <v>2</v>
      </c>
      <c r="E14">
        <v>1</v>
      </c>
      <c r="F14">
        <v>2</v>
      </c>
      <c r="G14" t="s">
        <v>54</v>
      </c>
      <c r="K14" t="s">
        <v>56</v>
      </c>
      <c r="L14">
        <v>1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I14">
        <v>6</v>
      </c>
      <c r="AJ14">
        <v>30</v>
      </c>
      <c r="AK14">
        <v>120</v>
      </c>
      <c r="AL14">
        <v>2</v>
      </c>
    </row>
    <row r="15" spans="1:38" x14ac:dyDescent="0.4">
      <c r="A15" t="s">
        <v>406</v>
      </c>
      <c r="B15">
        <v>13</v>
      </c>
      <c r="C15" t="s">
        <v>53</v>
      </c>
      <c r="D15">
        <v>2</v>
      </c>
      <c r="E15">
        <v>1</v>
      </c>
      <c r="F15">
        <v>2</v>
      </c>
      <c r="G15" t="s">
        <v>54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96</v>
      </c>
      <c r="AG15" t="s">
        <v>41</v>
      </c>
      <c r="AI15">
        <v>6</v>
      </c>
      <c r="AJ15">
        <v>40</v>
      </c>
      <c r="AK15">
        <v>120</v>
      </c>
      <c r="AL15">
        <v>2</v>
      </c>
    </row>
    <row r="16" spans="1:38" x14ac:dyDescent="0.4">
      <c r="A16" t="s">
        <v>407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K16" t="s">
        <v>56</v>
      </c>
      <c r="L16">
        <v>1</v>
      </c>
      <c r="N16">
        <v>1</v>
      </c>
      <c r="O16" t="s">
        <v>57</v>
      </c>
      <c r="S16" t="s">
        <v>63</v>
      </c>
      <c r="T16">
        <v>2</v>
      </c>
      <c r="V16">
        <v>1</v>
      </c>
      <c r="W16" t="s">
        <v>103</v>
      </c>
      <c r="AA16" t="s">
        <v>38</v>
      </c>
      <c r="AB16">
        <v>1</v>
      </c>
      <c r="AC16">
        <v>2</v>
      </c>
      <c r="AD16">
        <v>1</v>
      </c>
      <c r="AE16" t="s">
        <v>152</v>
      </c>
      <c r="AI16">
        <v>3</v>
      </c>
      <c r="AJ16">
        <v>17</v>
      </c>
      <c r="AK16">
        <v>120</v>
      </c>
      <c r="AL16">
        <v>2</v>
      </c>
    </row>
    <row r="17" spans="1:38" x14ac:dyDescent="0.4">
      <c r="A17" t="s">
        <v>408</v>
      </c>
      <c r="B17">
        <v>15</v>
      </c>
      <c r="C17" t="s">
        <v>56</v>
      </c>
      <c r="D17">
        <v>3</v>
      </c>
      <c r="F17">
        <v>1</v>
      </c>
      <c r="G17" t="s">
        <v>57</v>
      </c>
      <c r="K17" t="s">
        <v>33</v>
      </c>
      <c r="L17">
        <v>2</v>
      </c>
      <c r="N17">
        <v>1</v>
      </c>
      <c r="O17" t="s">
        <v>65</v>
      </c>
      <c r="S17" t="s">
        <v>53</v>
      </c>
      <c r="T17">
        <v>2</v>
      </c>
      <c r="U17">
        <v>1</v>
      </c>
      <c r="V17">
        <v>3</v>
      </c>
      <c r="W17" t="s">
        <v>54</v>
      </c>
      <c r="AA17" t="s">
        <v>48</v>
      </c>
      <c r="AB17">
        <v>2</v>
      </c>
      <c r="AD17">
        <v>1</v>
      </c>
      <c r="AE17" t="s">
        <v>89</v>
      </c>
      <c r="AI17">
        <v>7</v>
      </c>
      <c r="AJ17">
        <v>31</v>
      </c>
      <c r="AK17">
        <v>120</v>
      </c>
      <c r="AL17">
        <v>2</v>
      </c>
    </row>
    <row r="18" spans="1:38" x14ac:dyDescent="0.4">
      <c r="A18" t="s">
        <v>409</v>
      </c>
      <c r="B18">
        <v>16</v>
      </c>
      <c r="C18" t="s">
        <v>53</v>
      </c>
      <c r="D18">
        <v>1</v>
      </c>
      <c r="E18">
        <v>1</v>
      </c>
      <c r="F18">
        <v>1</v>
      </c>
      <c r="G18" t="s">
        <v>54</v>
      </c>
      <c r="K18" t="s">
        <v>48</v>
      </c>
      <c r="L18">
        <v>2</v>
      </c>
      <c r="N18">
        <v>1</v>
      </c>
      <c r="O18" t="s">
        <v>89</v>
      </c>
      <c r="S18" t="s">
        <v>56</v>
      </c>
      <c r="T18">
        <v>1</v>
      </c>
      <c r="V18">
        <v>1</v>
      </c>
      <c r="W18" t="s">
        <v>57</v>
      </c>
      <c r="X18" t="s">
        <v>122</v>
      </c>
      <c r="AA18" t="s">
        <v>43</v>
      </c>
      <c r="AB18">
        <v>1</v>
      </c>
      <c r="AD18">
        <v>2</v>
      </c>
      <c r="AE18" t="s">
        <v>135</v>
      </c>
      <c r="AF18" t="s">
        <v>136</v>
      </c>
      <c r="AI18">
        <v>4</v>
      </c>
      <c r="AJ18">
        <v>34</v>
      </c>
      <c r="AK18">
        <v>120</v>
      </c>
      <c r="AL18">
        <v>2</v>
      </c>
    </row>
    <row r="19" spans="1:38" x14ac:dyDescent="0.4">
      <c r="A19" s="4" t="s">
        <v>410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1</v>
      </c>
      <c r="V19">
        <v>1</v>
      </c>
      <c r="W19" t="s">
        <v>57</v>
      </c>
      <c r="X19" t="s">
        <v>122</v>
      </c>
      <c r="AA19" t="s">
        <v>45</v>
      </c>
      <c r="AB19">
        <v>2</v>
      </c>
      <c r="AD19">
        <v>1</v>
      </c>
      <c r="AE19" t="s">
        <v>86</v>
      </c>
      <c r="AI19">
        <v>4</v>
      </c>
      <c r="AJ19">
        <v>25</v>
      </c>
      <c r="AK19">
        <v>120</v>
      </c>
      <c r="AL19">
        <v>2</v>
      </c>
    </row>
    <row r="20" spans="1:38" x14ac:dyDescent="0.4">
      <c r="A20" t="s">
        <v>411</v>
      </c>
      <c r="B20">
        <v>18</v>
      </c>
      <c r="C20" t="s">
        <v>56</v>
      </c>
      <c r="D20">
        <v>3</v>
      </c>
      <c r="F20">
        <v>3</v>
      </c>
      <c r="G20" t="s">
        <v>57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3</v>
      </c>
      <c r="U20">
        <v>1</v>
      </c>
      <c r="V20">
        <v>3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10</v>
      </c>
      <c r="AJ20">
        <v>40</v>
      </c>
      <c r="AK20">
        <v>120</v>
      </c>
      <c r="AL20">
        <v>2</v>
      </c>
    </row>
    <row r="21" spans="1:38" x14ac:dyDescent="0.4">
      <c r="A21" t="s">
        <v>412</v>
      </c>
      <c r="B21">
        <v>19</v>
      </c>
      <c r="C21" t="s">
        <v>56</v>
      </c>
      <c r="D21">
        <v>1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1</v>
      </c>
      <c r="N21">
        <v>1</v>
      </c>
      <c r="O21" t="s">
        <v>152</v>
      </c>
      <c r="P21" t="s">
        <v>40</v>
      </c>
      <c r="Q21" t="s">
        <v>154</v>
      </c>
      <c r="R21" t="s">
        <v>42</v>
      </c>
      <c r="S21" t="s">
        <v>53</v>
      </c>
      <c r="T21">
        <v>2</v>
      </c>
      <c r="U21">
        <v>1</v>
      </c>
      <c r="V21">
        <v>1</v>
      </c>
      <c r="W21" t="s">
        <v>54</v>
      </c>
      <c r="AA21" t="s">
        <v>48</v>
      </c>
      <c r="AB21">
        <v>3</v>
      </c>
      <c r="AD21">
        <v>1</v>
      </c>
      <c r="AE21" t="s">
        <v>89</v>
      </c>
      <c r="AI21">
        <v>8</v>
      </c>
      <c r="AJ21">
        <v>37</v>
      </c>
      <c r="AK21">
        <v>120</v>
      </c>
      <c r="AL21">
        <v>2</v>
      </c>
    </row>
    <row r="22" spans="1:38" x14ac:dyDescent="0.4">
      <c r="A22" t="s">
        <v>413</v>
      </c>
      <c r="B22">
        <v>20</v>
      </c>
      <c r="C22" t="s">
        <v>33</v>
      </c>
      <c r="D22">
        <v>3</v>
      </c>
      <c r="F22">
        <v>1</v>
      </c>
      <c r="G22" t="s">
        <v>46</v>
      </c>
      <c r="H22" t="s">
        <v>35</v>
      </c>
      <c r="K22" t="s">
        <v>43</v>
      </c>
      <c r="L22">
        <v>1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1</v>
      </c>
      <c r="V22">
        <v>1</v>
      </c>
      <c r="W22" t="s">
        <v>54</v>
      </c>
      <c r="X22" t="s">
        <v>113</v>
      </c>
      <c r="AA22" t="s">
        <v>48</v>
      </c>
      <c r="AB22">
        <v>2</v>
      </c>
      <c r="AD22">
        <v>2</v>
      </c>
      <c r="AE22" t="s">
        <v>89</v>
      </c>
      <c r="AI22">
        <v>7</v>
      </c>
      <c r="AJ22">
        <v>30</v>
      </c>
      <c r="AK22">
        <v>120</v>
      </c>
      <c r="AL22">
        <v>2</v>
      </c>
    </row>
    <row r="23" spans="1:38" x14ac:dyDescent="0.4">
      <c r="A23" t="s">
        <v>414</v>
      </c>
      <c r="B23">
        <v>21</v>
      </c>
      <c r="C23" t="s">
        <v>33</v>
      </c>
      <c r="D23">
        <v>3</v>
      </c>
      <c r="F23">
        <v>1</v>
      </c>
      <c r="G23" t="s">
        <v>65</v>
      </c>
      <c r="K23" t="s">
        <v>45</v>
      </c>
      <c r="L23">
        <v>2</v>
      </c>
      <c r="N23">
        <v>1</v>
      </c>
      <c r="O23" t="s">
        <v>86</v>
      </c>
      <c r="S23" t="s">
        <v>53</v>
      </c>
      <c r="T23">
        <v>1</v>
      </c>
      <c r="U23">
        <v>1</v>
      </c>
      <c r="V23">
        <v>3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5</v>
      </c>
      <c r="AJ23">
        <v>24</v>
      </c>
      <c r="AK23">
        <v>120</v>
      </c>
      <c r="AL23">
        <v>2</v>
      </c>
    </row>
    <row r="24" spans="1:38" x14ac:dyDescent="0.4">
      <c r="A24" t="s">
        <v>415</v>
      </c>
      <c r="B24">
        <v>22</v>
      </c>
      <c r="C24" t="s">
        <v>33</v>
      </c>
      <c r="D24">
        <v>2</v>
      </c>
      <c r="F24">
        <v>1</v>
      </c>
      <c r="G24" t="s">
        <v>65</v>
      </c>
      <c r="H24" t="s">
        <v>35</v>
      </c>
      <c r="K24" t="s">
        <v>63</v>
      </c>
      <c r="L24">
        <v>2</v>
      </c>
      <c r="N24">
        <v>1</v>
      </c>
      <c r="O24" t="s">
        <v>103</v>
      </c>
      <c r="S24" t="s">
        <v>53</v>
      </c>
      <c r="T24">
        <v>2</v>
      </c>
      <c r="U24">
        <v>1</v>
      </c>
      <c r="V24">
        <v>1</v>
      </c>
      <c r="W24" t="s">
        <v>54</v>
      </c>
      <c r="AA24" t="s">
        <v>48</v>
      </c>
      <c r="AB24">
        <v>1</v>
      </c>
      <c r="AD24">
        <v>1</v>
      </c>
      <c r="AE24" t="s">
        <v>89</v>
      </c>
      <c r="AI24">
        <v>4</v>
      </c>
      <c r="AJ24">
        <v>19</v>
      </c>
      <c r="AK24">
        <v>120</v>
      </c>
      <c r="AL24">
        <v>2</v>
      </c>
    </row>
    <row r="25" spans="1:38" x14ac:dyDescent="0.4">
      <c r="A25" t="s">
        <v>416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1</v>
      </c>
      <c r="O25" t="s">
        <v>89</v>
      </c>
      <c r="P25" t="s">
        <v>84</v>
      </c>
      <c r="S25" t="s">
        <v>33</v>
      </c>
      <c r="T25">
        <v>2</v>
      </c>
      <c r="V25">
        <v>1</v>
      </c>
      <c r="W25" t="s">
        <v>65</v>
      </c>
      <c r="AA25" t="s">
        <v>38</v>
      </c>
      <c r="AB25">
        <v>3</v>
      </c>
      <c r="AC25">
        <v>1</v>
      </c>
      <c r="AD25">
        <v>2</v>
      </c>
      <c r="AE25" t="s">
        <v>152</v>
      </c>
      <c r="AF25" t="s">
        <v>96</v>
      </c>
      <c r="AI25">
        <v>8</v>
      </c>
      <c r="AJ25">
        <v>38</v>
      </c>
      <c r="AK25">
        <v>120</v>
      </c>
      <c r="AL25">
        <v>2</v>
      </c>
    </row>
    <row r="26" spans="1:38" x14ac:dyDescent="0.4">
      <c r="A26" t="s">
        <v>417</v>
      </c>
      <c r="B26">
        <v>24</v>
      </c>
      <c r="C26" t="s">
        <v>53</v>
      </c>
      <c r="D26">
        <v>1</v>
      </c>
      <c r="E26">
        <v>1</v>
      </c>
      <c r="F26">
        <v>3</v>
      </c>
      <c r="G26" t="s">
        <v>54</v>
      </c>
      <c r="H26" t="s">
        <v>83</v>
      </c>
      <c r="K26" t="s">
        <v>48</v>
      </c>
      <c r="L26">
        <v>1</v>
      </c>
      <c r="N26">
        <v>1</v>
      </c>
      <c r="O26" t="s">
        <v>89</v>
      </c>
      <c r="P26" t="s">
        <v>50</v>
      </c>
      <c r="S26" t="s">
        <v>43</v>
      </c>
      <c r="T26">
        <v>2</v>
      </c>
      <c r="V26">
        <v>1</v>
      </c>
      <c r="W26" t="s">
        <v>135</v>
      </c>
      <c r="X26" t="s">
        <v>99</v>
      </c>
      <c r="AA26" t="s">
        <v>45</v>
      </c>
      <c r="AB26">
        <v>2</v>
      </c>
      <c r="AD26">
        <v>1</v>
      </c>
      <c r="AE26" t="s">
        <v>86</v>
      </c>
      <c r="AI26">
        <v>7</v>
      </c>
      <c r="AJ26">
        <v>31</v>
      </c>
      <c r="AK26">
        <v>120</v>
      </c>
      <c r="AL26">
        <v>2</v>
      </c>
    </row>
    <row r="27" spans="1:38" x14ac:dyDescent="0.4">
      <c r="A27" t="s">
        <v>418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99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3</v>
      </c>
      <c r="U27">
        <v>1</v>
      </c>
      <c r="V27">
        <v>3</v>
      </c>
      <c r="W27" t="s">
        <v>54</v>
      </c>
      <c r="AA27" t="s">
        <v>48</v>
      </c>
      <c r="AB27">
        <v>3</v>
      </c>
      <c r="AD27">
        <v>1</v>
      </c>
      <c r="AE27" t="s">
        <v>49</v>
      </c>
      <c r="AI27">
        <v>9</v>
      </c>
      <c r="AJ27">
        <v>38</v>
      </c>
      <c r="AK27">
        <v>120</v>
      </c>
      <c r="AL27">
        <v>2</v>
      </c>
    </row>
    <row r="28" spans="1:38" x14ac:dyDescent="0.4">
      <c r="A28" t="s">
        <v>419</v>
      </c>
      <c r="B28">
        <v>26</v>
      </c>
      <c r="C28" t="s">
        <v>43</v>
      </c>
      <c r="D28">
        <v>2</v>
      </c>
      <c r="F28">
        <v>1</v>
      </c>
      <c r="G28" t="s">
        <v>135</v>
      </c>
      <c r="H28" t="s">
        <v>99</v>
      </c>
      <c r="I28" t="s">
        <v>137</v>
      </c>
      <c r="K28" t="s">
        <v>38</v>
      </c>
      <c r="L28">
        <v>2</v>
      </c>
      <c r="M28">
        <v>1</v>
      </c>
      <c r="N28">
        <v>1</v>
      </c>
      <c r="O28" t="s">
        <v>152</v>
      </c>
      <c r="P28" t="s">
        <v>70</v>
      </c>
      <c r="Q28" t="s">
        <v>154</v>
      </c>
      <c r="R28" t="s">
        <v>42</v>
      </c>
      <c r="S28" t="s">
        <v>53</v>
      </c>
      <c r="T28">
        <v>2</v>
      </c>
      <c r="U28">
        <v>1</v>
      </c>
      <c r="V28">
        <v>1</v>
      </c>
      <c r="W28" t="s">
        <v>54</v>
      </c>
      <c r="AA28" t="s">
        <v>48</v>
      </c>
      <c r="AB28">
        <v>2</v>
      </c>
      <c r="AD28">
        <v>1</v>
      </c>
      <c r="AE28" t="s">
        <v>89</v>
      </c>
      <c r="AI28">
        <v>9</v>
      </c>
      <c r="AJ28">
        <v>36</v>
      </c>
      <c r="AK28">
        <v>120</v>
      </c>
      <c r="AL28">
        <v>2</v>
      </c>
    </row>
    <row r="29" spans="1:38" x14ac:dyDescent="0.4">
      <c r="A29" t="s">
        <v>420</v>
      </c>
      <c r="B29">
        <v>27</v>
      </c>
      <c r="C29" t="s">
        <v>45</v>
      </c>
      <c r="D29">
        <v>3</v>
      </c>
      <c r="F29">
        <v>1</v>
      </c>
      <c r="G29" t="s">
        <v>47</v>
      </c>
      <c r="H29" t="s">
        <v>76</v>
      </c>
      <c r="K29" t="s">
        <v>63</v>
      </c>
      <c r="L29">
        <v>1</v>
      </c>
      <c r="N29">
        <v>1</v>
      </c>
      <c r="O29" t="s">
        <v>103</v>
      </c>
      <c r="S29" t="s">
        <v>53</v>
      </c>
      <c r="T29">
        <v>1</v>
      </c>
      <c r="U29">
        <v>1</v>
      </c>
      <c r="V29">
        <v>1</v>
      </c>
      <c r="W29" t="s">
        <v>54</v>
      </c>
      <c r="AA29" t="s">
        <v>48</v>
      </c>
      <c r="AB29">
        <v>2</v>
      </c>
      <c r="AD29">
        <v>1</v>
      </c>
      <c r="AE29" t="s">
        <v>89</v>
      </c>
      <c r="AI29">
        <v>4</v>
      </c>
      <c r="AJ29">
        <v>39</v>
      </c>
      <c r="AK29">
        <v>120</v>
      </c>
      <c r="AL29">
        <v>2</v>
      </c>
    </row>
    <row r="30" spans="1:38" x14ac:dyDescent="0.4">
      <c r="A30" t="s">
        <v>421</v>
      </c>
      <c r="B30">
        <v>28</v>
      </c>
      <c r="C30" t="s">
        <v>45</v>
      </c>
      <c r="D30">
        <v>3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1</v>
      </c>
      <c r="O30" t="s">
        <v>152</v>
      </c>
      <c r="P30" t="s">
        <v>96</v>
      </c>
      <c r="S30" t="s">
        <v>53</v>
      </c>
      <c r="T30">
        <v>2</v>
      </c>
      <c r="U30">
        <v>1</v>
      </c>
      <c r="V30">
        <v>3</v>
      </c>
      <c r="W30" t="s">
        <v>54</v>
      </c>
      <c r="AA30" t="s">
        <v>48</v>
      </c>
      <c r="AB30">
        <v>1</v>
      </c>
      <c r="AD30">
        <v>2</v>
      </c>
      <c r="AE30" t="s">
        <v>89</v>
      </c>
      <c r="AF30" t="s">
        <v>84</v>
      </c>
      <c r="AI30">
        <v>10</v>
      </c>
      <c r="AJ30">
        <v>44</v>
      </c>
      <c r="AK30">
        <v>120</v>
      </c>
      <c r="AL30">
        <v>2</v>
      </c>
    </row>
    <row r="31" spans="1:38" x14ac:dyDescent="0.4">
      <c r="A31" t="s">
        <v>422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55</v>
      </c>
      <c r="K31" t="s">
        <v>48</v>
      </c>
      <c r="L31">
        <v>2</v>
      </c>
      <c r="N31">
        <v>1</v>
      </c>
      <c r="O31" t="s">
        <v>49</v>
      </c>
      <c r="S31" t="s">
        <v>63</v>
      </c>
      <c r="T31">
        <v>1</v>
      </c>
      <c r="V31">
        <v>1</v>
      </c>
      <c r="W31" t="s">
        <v>72</v>
      </c>
      <c r="AA31" t="s">
        <v>38</v>
      </c>
      <c r="AB31">
        <v>2</v>
      </c>
      <c r="AC31">
        <v>1</v>
      </c>
      <c r="AD31">
        <v>1</v>
      </c>
      <c r="AE31" t="s">
        <v>152</v>
      </c>
      <c r="AF31" t="s">
        <v>96</v>
      </c>
      <c r="AI31">
        <v>5</v>
      </c>
      <c r="AJ31">
        <v>34</v>
      </c>
      <c r="AK31">
        <v>120</v>
      </c>
      <c r="AL31">
        <v>2</v>
      </c>
    </row>
    <row r="32" spans="1:38" x14ac:dyDescent="0.4">
      <c r="A32" t="s">
        <v>423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54</v>
      </c>
      <c r="H32" t="s">
        <v>55</v>
      </c>
      <c r="K32" t="s">
        <v>33</v>
      </c>
      <c r="L32">
        <v>3</v>
      </c>
      <c r="N32">
        <v>1</v>
      </c>
      <c r="O32" t="s">
        <v>46</v>
      </c>
      <c r="S32" t="s">
        <v>56</v>
      </c>
      <c r="T32">
        <v>1</v>
      </c>
      <c r="V32">
        <v>1</v>
      </c>
      <c r="W32" t="s">
        <v>57</v>
      </c>
      <c r="X32" t="s">
        <v>122</v>
      </c>
      <c r="AA32" t="s">
        <v>48</v>
      </c>
      <c r="AB32">
        <v>2</v>
      </c>
      <c r="AD32">
        <v>1</v>
      </c>
      <c r="AE32" t="s">
        <v>49</v>
      </c>
      <c r="AI32">
        <v>5</v>
      </c>
      <c r="AJ32">
        <v>26</v>
      </c>
      <c r="AK32">
        <v>120</v>
      </c>
      <c r="AL32">
        <v>2</v>
      </c>
    </row>
    <row r="33" spans="1:38" x14ac:dyDescent="0.4">
      <c r="A33" t="s">
        <v>424</v>
      </c>
      <c r="B33">
        <v>31</v>
      </c>
      <c r="C33" t="s">
        <v>53</v>
      </c>
      <c r="D33">
        <v>3</v>
      </c>
      <c r="E33">
        <v>2</v>
      </c>
      <c r="F33">
        <v>3</v>
      </c>
      <c r="G33" t="s">
        <v>54</v>
      </c>
      <c r="H33" t="s">
        <v>83</v>
      </c>
      <c r="I33" t="s">
        <v>105</v>
      </c>
      <c r="J33" t="s">
        <v>115</v>
      </c>
      <c r="K33" t="s">
        <v>33</v>
      </c>
      <c r="L33">
        <v>1</v>
      </c>
      <c r="N33">
        <v>1</v>
      </c>
      <c r="O33" t="s">
        <v>46</v>
      </c>
      <c r="P33" t="s">
        <v>35</v>
      </c>
      <c r="S33" t="s">
        <v>56</v>
      </c>
      <c r="T33">
        <v>3</v>
      </c>
      <c r="V33">
        <v>3</v>
      </c>
      <c r="W33" t="s">
        <v>68</v>
      </c>
      <c r="X33" t="s">
        <v>69</v>
      </c>
      <c r="Y33" t="s">
        <v>85</v>
      </c>
      <c r="Z33" t="s">
        <v>124</v>
      </c>
      <c r="AA33" t="s">
        <v>43</v>
      </c>
      <c r="AB33">
        <v>2</v>
      </c>
      <c r="AD33">
        <v>1</v>
      </c>
      <c r="AE33" t="s">
        <v>135</v>
      </c>
      <c r="AI33">
        <v>17</v>
      </c>
      <c r="AJ33">
        <v>52</v>
      </c>
      <c r="AK33">
        <v>120</v>
      </c>
      <c r="AL33">
        <v>2</v>
      </c>
    </row>
    <row r="34" spans="1:38" x14ac:dyDescent="0.4">
      <c r="A34" t="s">
        <v>425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54</v>
      </c>
      <c r="H34" t="s">
        <v>83</v>
      </c>
      <c r="K34" t="s">
        <v>33</v>
      </c>
      <c r="L34">
        <v>2</v>
      </c>
      <c r="N34">
        <v>1</v>
      </c>
      <c r="O34" t="s">
        <v>46</v>
      </c>
      <c r="S34" t="s">
        <v>56</v>
      </c>
      <c r="T34">
        <v>2</v>
      </c>
      <c r="V34">
        <v>1</v>
      </c>
      <c r="W34" t="s">
        <v>57</v>
      </c>
      <c r="X34" t="s">
        <v>122</v>
      </c>
      <c r="AA34" t="s">
        <v>45</v>
      </c>
      <c r="AB34">
        <v>2</v>
      </c>
      <c r="AD34">
        <v>1</v>
      </c>
      <c r="AE34" t="s">
        <v>47</v>
      </c>
      <c r="AF34" t="s">
        <v>76</v>
      </c>
      <c r="AI34">
        <v>7</v>
      </c>
      <c r="AJ34">
        <v>28</v>
      </c>
      <c r="AK34">
        <v>120</v>
      </c>
      <c r="AL34">
        <v>2</v>
      </c>
    </row>
    <row r="35" spans="1:38" x14ac:dyDescent="0.4">
      <c r="A35" t="s">
        <v>426</v>
      </c>
      <c r="B35">
        <v>33</v>
      </c>
      <c r="C35" t="s">
        <v>53</v>
      </c>
      <c r="D35">
        <v>3</v>
      </c>
      <c r="E35">
        <v>1</v>
      </c>
      <c r="F35">
        <v>1</v>
      </c>
      <c r="G35" t="s">
        <v>54</v>
      </c>
      <c r="K35" t="s">
        <v>33</v>
      </c>
      <c r="L35">
        <v>2</v>
      </c>
      <c r="N35">
        <v>1</v>
      </c>
      <c r="O35" t="s">
        <v>46</v>
      </c>
      <c r="S35" t="s">
        <v>56</v>
      </c>
      <c r="T35">
        <v>2</v>
      </c>
      <c r="V35">
        <v>2</v>
      </c>
      <c r="W35" t="s">
        <v>57</v>
      </c>
      <c r="AA35" t="s">
        <v>63</v>
      </c>
      <c r="AB35">
        <v>1</v>
      </c>
      <c r="AD35">
        <v>1</v>
      </c>
      <c r="AE35" t="s">
        <v>72</v>
      </c>
      <c r="AI35">
        <v>5</v>
      </c>
      <c r="AJ35">
        <v>25</v>
      </c>
      <c r="AK35">
        <v>120</v>
      </c>
      <c r="AL35">
        <v>2</v>
      </c>
    </row>
    <row r="36" spans="1:38" x14ac:dyDescent="0.4">
      <c r="A36" t="s">
        <v>427</v>
      </c>
      <c r="B36">
        <v>34</v>
      </c>
      <c r="C36" t="s">
        <v>53</v>
      </c>
      <c r="D36">
        <v>3</v>
      </c>
      <c r="E36">
        <v>1</v>
      </c>
      <c r="F36">
        <v>1</v>
      </c>
      <c r="G36" t="s">
        <v>54</v>
      </c>
      <c r="K36" t="s">
        <v>33</v>
      </c>
      <c r="L36">
        <v>2</v>
      </c>
      <c r="N36">
        <v>1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2</v>
      </c>
      <c r="AC36">
        <v>2</v>
      </c>
      <c r="AD36">
        <v>3</v>
      </c>
      <c r="AE36" t="s">
        <v>152</v>
      </c>
      <c r="AI36">
        <v>7</v>
      </c>
      <c r="AJ36">
        <v>32</v>
      </c>
      <c r="AK36">
        <v>120</v>
      </c>
      <c r="AL36">
        <v>2</v>
      </c>
    </row>
    <row r="37" spans="1:38" x14ac:dyDescent="0.4">
      <c r="A37" t="s">
        <v>428</v>
      </c>
      <c r="B37">
        <v>35</v>
      </c>
      <c r="C37" t="s">
        <v>48</v>
      </c>
      <c r="D37">
        <v>1</v>
      </c>
      <c r="F37">
        <v>1</v>
      </c>
      <c r="G37" t="s">
        <v>49</v>
      </c>
      <c r="K37" t="s">
        <v>43</v>
      </c>
      <c r="L37">
        <v>2</v>
      </c>
      <c r="N37">
        <v>2</v>
      </c>
      <c r="O37" t="s">
        <v>135</v>
      </c>
      <c r="P37" t="s">
        <v>99</v>
      </c>
      <c r="S37" t="s">
        <v>53</v>
      </c>
      <c r="T37">
        <v>1</v>
      </c>
      <c r="U37">
        <v>1</v>
      </c>
      <c r="V37">
        <v>3</v>
      </c>
      <c r="W37" t="s">
        <v>54</v>
      </c>
      <c r="X37" t="s">
        <v>83</v>
      </c>
      <c r="Y37" t="s">
        <v>105</v>
      </c>
      <c r="AA37" t="s">
        <v>33</v>
      </c>
      <c r="AB37">
        <v>2</v>
      </c>
      <c r="AD37">
        <v>1</v>
      </c>
      <c r="AE37" t="s">
        <v>65</v>
      </c>
      <c r="AI37">
        <v>9</v>
      </c>
      <c r="AJ37">
        <v>42</v>
      </c>
      <c r="AK37">
        <v>120</v>
      </c>
      <c r="AL37">
        <v>2</v>
      </c>
    </row>
    <row r="38" spans="1:38" x14ac:dyDescent="0.4">
      <c r="A38" t="s">
        <v>429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54</v>
      </c>
      <c r="K38" t="s">
        <v>33</v>
      </c>
      <c r="L38">
        <v>2</v>
      </c>
      <c r="N38">
        <v>2</v>
      </c>
      <c r="O38" t="s">
        <v>46</v>
      </c>
      <c r="S38" t="s">
        <v>48</v>
      </c>
      <c r="T38">
        <v>1</v>
      </c>
      <c r="V38">
        <v>2</v>
      </c>
      <c r="W38" t="s">
        <v>49</v>
      </c>
      <c r="AA38" t="s">
        <v>45</v>
      </c>
      <c r="AB38">
        <v>3</v>
      </c>
      <c r="AD38">
        <v>1</v>
      </c>
      <c r="AE38" t="s">
        <v>47</v>
      </c>
      <c r="AI38">
        <v>6</v>
      </c>
      <c r="AJ38">
        <v>28</v>
      </c>
      <c r="AK38">
        <v>120</v>
      </c>
      <c r="AL38">
        <v>2</v>
      </c>
    </row>
    <row r="39" spans="1:38" x14ac:dyDescent="0.4">
      <c r="A39" t="s">
        <v>430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1</v>
      </c>
      <c r="O39" t="s">
        <v>46</v>
      </c>
      <c r="S39" t="s">
        <v>48</v>
      </c>
      <c r="T39">
        <v>2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72</v>
      </c>
      <c r="AF39" t="s">
        <v>146</v>
      </c>
      <c r="AI39">
        <v>4</v>
      </c>
      <c r="AJ39">
        <v>26</v>
      </c>
      <c r="AK39">
        <v>120</v>
      </c>
      <c r="AL39">
        <v>2</v>
      </c>
    </row>
    <row r="40" spans="1:38" x14ac:dyDescent="0.4">
      <c r="A40" t="s">
        <v>431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54</v>
      </c>
      <c r="H40" t="s">
        <v>55</v>
      </c>
      <c r="K40" t="s">
        <v>33</v>
      </c>
      <c r="L40">
        <v>3</v>
      </c>
      <c r="N40">
        <v>1</v>
      </c>
      <c r="O40" t="s">
        <v>65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1</v>
      </c>
      <c r="AD40">
        <v>1</v>
      </c>
      <c r="AE40" t="s">
        <v>152</v>
      </c>
      <c r="AI40">
        <v>4</v>
      </c>
      <c r="AJ40">
        <v>24</v>
      </c>
      <c r="AK40">
        <v>120</v>
      </c>
      <c r="AL40">
        <v>2</v>
      </c>
    </row>
    <row r="41" spans="1:38" x14ac:dyDescent="0.4">
      <c r="A41" t="s">
        <v>432</v>
      </c>
      <c r="B41">
        <v>39</v>
      </c>
      <c r="C41" t="s">
        <v>53</v>
      </c>
      <c r="D41">
        <v>1</v>
      </c>
      <c r="E41">
        <v>1</v>
      </c>
      <c r="F41">
        <v>3</v>
      </c>
      <c r="G41" t="s">
        <v>54</v>
      </c>
      <c r="K41" t="s">
        <v>33</v>
      </c>
      <c r="L41">
        <v>1</v>
      </c>
      <c r="N41">
        <v>1</v>
      </c>
      <c r="O41" t="s">
        <v>34</v>
      </c>
      <c r="P41" t="s">
        <v>66</v>
      </c>
      <c r="S41" t="s">
        <v>43</v>
      </c>
      <c r="T41">
        <v>1</v>
      </c>
      <c r="V41">
        <v>1</v>
      </c>
      <c r="W41" t="s">
        <v>135</v>
      </c>
      <c r="X41" t="s">
        <v>99</v>
      </c>
      <c r="AA41" t="s">
        <v>45</v>
      </c>
      <c r="AB41">
        <v>3</v>
      </c>
      <c r="AD41">
        <v>1</v>
      </c>
      <c r="AE41" t="s">
        <v>47</v>
      </c>
      <c r="AI41">
        <v>6</v>
      </c>
      <c r="AJ41">
        <v>28</v>
      </c>
      <c r="AK41">
        <v>120</v>
      </c>
      <c r="AL41">
        <v>2</v>
      </c>
    </row>
    <row r="42" spans="1:38" x14ac:dyDescent="0.4">
      <c r="A42" t="s">
        <v>433</v>
      </c>
      <c r="B42">
        <v>40</v>
      </c>
      <c r="C42" t="s">
        <v>43</v>
      </c>
      <c r="D42">
        <v>2</v>
      </c>
      <c r="F42">
        <v>1</v>
      </c>
      <c r="G42" t="s">
        <v>135</v>
      </c>
      <c r="H42" t="s">
        <v>99</v>
      </c>
      <c r="I42" t="s">
        <v>75</v>
      </c>
      <c r="K42" t="s">
        <v>63</v>
      </c>
      <c r="L42">
        <v>2</v>
      </c>
      <c r="N42">
        <v>1</v>
      </c>
      <c r="O42" t="s">
        <v>72</v>
      </c>
      <c r="S42" t="s">
        <v>53</v>
      </c>
      <c r="T42">
        <v>2</v>
      </c>
      <c r="U42">
        <v>1</v>
      </c>
      <c r="V42">
        <v>1</v>
      </c>
      <c r="W42" t="s">
        <v>54</v>
      </c>
      <c r="AA42" t="s">
        <v>33</v>
      </c>
      <c r="AB42">
        <v>2</v>
      </c>
      <c r="AD42">
        <v>2</v>
      </c>
      <c r="AE42" t="s">
        <v>65</v>
      </c>
      <c r="AI42">
        <v>7</v>
      </c>
      <c r="AJ42">
        <v>27</v>
      </c>
      <c r="AK42">
        <v>120</v>
      </c>
      <c r="AL42">
        <v>2</v>
      </c>
    </row>
    <row r="43" spans="1:38" x14ac:dyDescent="0.4">
      <c r="A43" t="s">
        <v>434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K43" t="s">
        <v>38</v>
      </c>
      <c r="L43">
        <v>1</v>
      </c>
      <c r="M43">
        <v>2</v>
      </c>
      <c r="N43">
        <v>1</v>
      </c>
      <c r="O43" t="s">
        <v>152</v>
      </c>
      <c r="S43" t="s">
        <v>53</v>
      </c>
      <c r="T43">
        <v>2</v>
      </c>
      <c r="U43">
        <v>1</v>
      </c>
      <c r="V43">
        <v>1</v>
      </c>
      <c r="W43" t="s">
        <v>54</v>
      </c>
      <c r="AA43" t="s">
        <v>33</v>
      </c>
      <c r="AB43">
        <v>3</v>
      </c>
      <c r="AD43">
        <v>1</v>
      </c>
      <c r="AE43" t="s">
        <v>65</v>
      </c>
      <c r="AI43">
        <v>6</v>
      </c>
      <c r="AJ43">
        <v>24</v>
      </c>
      <c r="AK43">
        <v>120</v>
      </c>
      <c r="AL43">
        <v>2</v>
      </c>
    </row>
    <row r="44" spans="1:38" x14ac:dyDescent="0.4">
      <c r="A44" t="s">
        <v>435</v>
      </c>
      <c r="B44">
        <v>42</v>
      </c>
      <c r="C44" t="s">
        <v>45</v>
      </c>
      <c r="D44">
        <v>3</v>
      </c>
      <c r="F44">
        <v>1</v>
      </c>
      <c r="G44" t="s">
        <v>47</v>
      </c>
      <c r="H44" t="s">
        <v>141</v>
      </c>
      <c r="K44" t="s">
        <v>63</v>
      </c>
      <c r="L44">
        <v>3</v>
      </c>
      <c r="N44">
        <v>1</v>
      </c>
      <c r="O44" t="s">
        <v>103</v>
      </c>
      <c r="S44" t="s">
        <v>53</v>
      </c>
      <c r="T44">
        <v>3</v>
      </c>
      <c r="U44">
        <v>1</v>
      </c>
      <c r="V44">
        <v>2</v>
      </c>
      <c r="W44" t="s">
        <v>54</v>
      </c>
      <c r="AA44" t="s">
        <v>33</v>
      </c>
      <c r="AB44">
        <v>2</v>
      </c>
      <c r="AD44">
        <v>1</v>
      </c>
      <c r="AE44" t="s">
        <v>46</v>
      </c>
      <c r="AI44">
        <v>10</v>
      </c>
      <c r="AJ44">
        <v>39</v>
      </c>
      <c r="AK44">
        <v>120</v>
      </c>
      <c r="AL44">
        <v>2</v>
      </c>
    </row>
    <row r="45" spans="1:38" x14ac:dyDescent="0.4">
      <c r="A45" t="s">
        <v>436</v>
      </c>
      <c r="B45">
        <v>43</v>
      </c>
      <c r="C45" t="s">
        <v>53</v>
      </c>
      <c r="D45">
        <v>2</v>
      </c>
      <c r="E45">
        <v>1</v>
      </c>
      <c r="F45">
        <v>1</v>
      </c>
      <c r="G45" t="s">
        <v>54</v>
      </c>
      <c r="K45" t="s">
        <v>33</v>
      </c>
      <c r="L45">
        <v>1</v>
      </c>
      <c r="N45">
        <v>2</v>
      </c>
      <c r="O45" t="s">
        <v>46</v>
      </c>
      <c r="P45" t="s">
        <v>35</v>
      </c>
      <c r="S45" t="s">
        <v>45</v>
      </c>
      <c r="T45">
        <v>3</v>
      </c>
      <c r="V45">
        <v>1</v>
      </c>
      <c r="W45" t="s">
        <v>47</v>
      </c>
      <c r="AA45" t="s">
        <v>38</v>
      </c>
      <c r="AB45">
        <v>2</v>
      </c>
      <c r="AC45">
        <v>3</v>
      </c>
      <c r="AD45">
        <v>1</v>
      </c>
      <c r="AE45" t="s">
        <v>152</v>
      </c>
      <c r="AI45">
        <v>8</v>
      </c>
      <c r="AJ45">
        <v>33</v>
      </c>
      <c r="AK45">
        <v>120</v>
      </c>
      <c r="AL45">
        <v>2</v>
      </c>
    </row>
    <row r="46" spans="1:38" x14ac:dyDescent="0.4">
      <c r="A46" t="s">
        <v>437</v>
      </c>
      <c r="B46">
        <v>44</v>
      </c>
      <c r="C46" t="s">
        <v>53</v>
      </c>
      <c r="D46">
        <v>2</v>
      </c>
      <c r="E46">
        <v>1</v>
      </c>
      <c r="F46">
        <v>1</v>
      </c>
      <c r="G46" t="s">
        <v>54</v>
      </c>
      <c r="K46" t="s">
        <v>33</v>
      </c>
      <c r="L46">
        <v>2</v>
      </c>
      <c r="N46">
        <v>2</v>
      </c>
      <c r="O46" t="s">
        <v>46</v>
      </c>
      <c r="S46" t="s">
        <v>63</v>
      </c>
      <c r="T46">
        <v>1</v>
      </c>
      <c r="V46">
        <v>1</v>
      </c>
      <c r="W46" t="s">
        <v>72</v>
      </c>
      <c r="AA46" t="s">
        <v>38</v>
      </c>
      <c r="AB46">
        <v>2</v>
      </c>
      <c r="AC46">
        <v>1</v>
      </c>
      <c r="AD46">
        <v>2</v>
      </c>
      <c r="AE46" t="s">
        <v>152</v>
      </c>
      <c r="AI46">
        <v>5</v>
      </c>
      <c r="AJ46">
        <v>28</v>
      </c>
      <c r="AK46">
        <v>120</v>
      </c>
      <c r="AL46">
        <v>2</v>
      </c>
    </row>
    <row r="47" spans="1:38" x14ac:dyDescent="0.4">
      <c r="A47" t="s">
        <v>438</v>
      </c>
      <c r="B47">
        <v>45</v>
      </c>
      <c r="C47" t="s">
        <v>53</v>
      </c>
      <c r="D47">
        <v>2</v>
      </c>
      <c r="E47">
        <v>1</v>
      </c>
      <c r="F47">
        <v>1</v>
      </c>
      <c r="G47" t="s">
        <v>54</v>
      </c>
      <c r="H47" t="s">
        <v>55</v>
      </c>
      <c r="I47" t="s">
        <v>114</v>
      </c>
      <c r="J47" t="s">
        <v>98</v>
      </c>
      <c r="K47" t="s">
        <v>43</v>
      </c>
      <c r="L47">
        <v>2</v>
      </c>
      <c r="N47">
        <v>1</v>
      </c>
      <c r="O47" t="s">
        <v>135</v>
      </c>
      <c r="P47" t="s">
        <v>99</v>
      </c>
      <c r="Q47" t="s">
        <v>100</v>
      </c>
      <c r="S47" t="s">
        <v>56</v>
      </c>
      <c r="T47">
        <v>3</v>
      </c>
      <c r="V47">
        <v>1</v>
      </c>
      <c r="W47" t="s">
        <v>57</v>
      </c>
      <c r="AA47" t="s">
        <v>48</v>
      </c>
      <c r="AB47">
        <v>2</v>
      </c>
      <c r="AD47">
        <v>1</v>
      </c>
      <c r="AE47" t="s">
        <v>49</v>
      </c>
      <c r="AF47" t="s">
        <v>50</v>
      </c>
      <c r="AG47" t="s">
        <v>127</v>
      </c>
      <c r="AI47">
        <v>12</v>
      </c>
      <c r="AJ47">
        <v>85</v>
      </c>
      <c r="AK47">
        <v>120</v>
      </c>
      <c r="AL47">
        <v>2</v>
      </c>
    </row>
    <row r="48" spans="1:38" x14ac:dyDescent="0.4">
      <c r="A48" t="s">
        <v>439</v>
      </c>
      <c r="B48">
        <v>46</v>
      </c>
      <c r="C48" t="s">
        <v>53</v>
      </c>
      <c r="D48">
        <v>2</v>
      </c>
      <c r="E48">
        <v>1</v>
      </c>
      <c r="F48">
        <v>1</v>
      </c>
      <c r="G48" t="s">
        <v>54</v>
      </c>
      <c r="H48" t="s">
        <v>83</v>
      </c>
      <c r="K48" t="s">
        <v>43</v>
      </c>
      <c r="L48">
        <v>2</v>
      </c>
      <c r="N48">
        <v>1</v>
      </c>
      <c r="O48" t="s">
        <v>135</v>
      </c>
      <c r="P48" t="s">
        <v>74</v>
      </c>
      <c r="S48" t="s">
        <v>56</v>
      </c>
      <c r="T48">
        <v>1</v>
      </c>
      <c r="V48">
        <v>2</v>
      </c>
      <c r="W48" t="s">
        <v>120</v>
      </c>
      <c r="AA48" t="s">
        <v>33</v>
      </c>
      <c r="AB48">
        <v>2</v>
      </c>
      <c r="AD48">
        <v>1</v>
      </c>
      <c r="AE48" t="s">
        <v>65</v>
      </c>
      <c r="AI48">
        <v>6</v>
      </c>
      <c r="AJ48">
        <v>28</v>
      </c>
      <c r="AK48">
        <v>120</v>
      </c>
      <c r="AL48">
        <v>2</v>
      </c>
    </row>
    <row r="49" spans="1:38" x14ac:dyDescent="0.4">
      <c r="A49" t="s">
        <v>440</v>
      </c>
      <c r="B49">
        <v>47</v>
      </c>
      <c r="C49" t="s">
        <v>56</v>
      </c>
      <c r="D49">
        <v>1</v>
      </c>
      <c r="F49">
        <v>1</v>
      </c>
      <c r="G49" t="s">
        <v>57</v>
      </c>
      <c r="K49" t="s">
        <v>45</v>
      </c>
      <c r="L49">
        <v>3</v>
      </c>
      <c r="N49">
        <v>1</v>
      </c>
      <c r="O49" t="s">
        <v>47</v>
      </c>
      <c r="S49" t="s">
        <v>53</v>
      </c>
      <c r="T49">
        <v>2</v>
      </c>
      <c r="U49">
        <v>1</v>
      </c>
      <c r="V49">
        <v>1</v>
      </c>
      <c r="W49" t="s">
        <v>54</v>
      </c>
      <c r="AA49" t="s">
        <v>43</v>
      </c>
      <c r="AB49">
        <v>1</v>
      </c>
      <c r="AD49">
        <v>1</v>
      </c>
      <c r="AE49" t="s">
        <v>135</v>
      </c>
      <c r="AF49" t="s">
        <v>136</v>
      </c>
      <c r="AI49">
        <v>4</v>
      </c>
      <c r="AJ49">
        <v>23</v>
      </c>
      <c r="AK49">
        <v>120</v>
      </c>
      <c r="AL49">
        <v>2</v>
      </c>
    </row>
    <row r="50" spans="1:38" x14ac:dyDescent="0.4">
      <c r="A50" t="s">
        <v>441</v>
      </c>
      <c r="B50">
        <v>48</v>
      </c>
      <c r="C50" t="s">
        <v>56</v>
      </c>
      <c r="D50">
        <v>1</v>
      </c>
      <c r="F50">
        <v>1</v>
      </c>
      <c r="G50" t="s">
        <v>120</v>
      </c>
      <c r="H50" t="s">
        <v>122</v>
      </c>
      <c r="K50" t="s">
        <v>63</v>
      </c>
      <c r="L50">
        <v>2</v>
      </c>
      <c r="N50">
        <v>1</v>
      </c>
      <c r="O50" t="s">
        <v>72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83</v>
      </c>
      <c r="AA50" t="s">
        <v>43</v>
      </c>
      <c r="AB50">
        <v>1</v>
      </c>
      <c r="AD50">
        <v>1</v>
      </c>
      <c r="AE50" t="s">
        <v>135</v>
      </c>
      <c r="AF50" t="s">
        <v>99</v>
      </c>
      <c r="AI50">
        <v>5</v>
      </c>
      <c r="AJ50">
        <v>32</v>
      </c>
      <c r="AK50">
        <v>120</v>
      </c>
      <c r="AL50">
        <v>2</v>
      </c>
    </row>
    <row r="51" spans="1:38" x14ac:dyDescent="0.4">
      <c r="A51" t="s">
        <v>442</v>
      </c>
      <c r="B51">
        <v>49</v>
      </c>
      <c r="C51" t="s">
        <v>56</v>
      </c>
      <c r="D51">
        <v>1</v>
      </c>
      <c r="F51">
        <v>2</v>
      </c>
      <c r="G51" t="s">
        <v>120</v>
      </c>
      <c r="H51" t="s">
        <v>121</v>
      </c>
      <c r="I51" t="s">
        <v>123</v>
      </c>
      <c r="K51" t="s">
        <v>38</v>
      </c>
      <c r="L51">
        <v>1</v>
      </c>
      <c r="M51">
        <v>1</v>
      </c>
      <c r="N51">
        <v>1</v>
      </c>
      <c r="O51" t="s">
        <v>152</v>
      </c>
      <c r="P51" t="s">
        <v>96</v>
      </c>
      <c r="S51" t="s">
        <v>53</v>
      </c>
      <c r="T51">
        <v>3</v>
      </c>
      <c r="U51">
        <v>1</v>
      </c>
      <c r="V51">
        <v>1</v>
      </c>
      <c r="W51" t="s">
        <v>54</v>
      </c>
      <c r="X51" t="s">
        <v>83</v>
      </c>
      <c r="AA51" t="s">
        <v>43</v>
      </c>
      <c r="AB51">
        <v>2</v>
      </c>
      <c r="AD51">
        <v>1</v>
      </c>
      <c r="AE51" t="s">
        <v>135</v>
      </c>
      <c r="AI51">
        <v>8</v>
      </c>
      <c r="AJ51">
        <v>41</v>
      </c>
      <c r="AK51">
        <v>120</v>
      </c>
      <c r="AL51">
        <v>2</v>
      </c>
    </row>
    <row r="52" spans="1:38" x14ac:dyDescent="0.4">
      <c r="A52" t="s">
        <v>443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54</v>
      </c>
      <c r="H52" t="s">
        <v>55</v>
      </c>
      <c r="I52" t="s">
        <v>114</v>
      </c>
      <c r="K52" t="s">
        <v>43</v>
      </c>
      <c r="L52">
        <v>3</v>
      </c>
      <c r="N52">
        <v>1</v>
      </c>
      <c r="O52" t="s">
        <v>135</v>
      </c>
      <c r="P52" t="s">
        <v>74</v>
      </c>
      <c r="Q52" t="s">
        <v>137</v>
      </c>
      <c r="S52" t="s">
        <v>48</v>
      </c>
      <c r="T52">
        <v>1</v>
      </c>
      <c r="V52">
        <v>1</v>
      </c>
      <c r="W52" t="s">
        <v>49</v>
      </c>
      <c r="X52" t="s">
        <v>50</v>
      </c>
      <c r="AA52" t="s">
        <v>33</v>
      </c>
      <c r="AB52">
        <v>1</v>
      </c>
      <c r="AD52">
        <v>2</v>
      </c>
      <c r="AE52" t="s">
        <v>65</v>
      </c>
      <c r="AI52">
        <v>8</v>
      </c>
      <c r="AJ52">
        <v>31</v>
      </c>
      <c r="AK52">
        <v>120</v>
      </c>
      <c r="AL52">
        <v>2</v>
      </c>
    </row>
    <row r="53" spans="1:38" x14ac:dyDescent="0.4">
      <c r="A53" t="s">
        <v>444</v>
      </c>
      <c r="B53">
        <v>51</v>
      </c>
      <c r="C53" t="s">
        <v>53</v>
      </c>
      <c r="D53">
        <v>2</v>
      </c>
      <c r="E53">
        <v>1</v>
      </c>
      <c r="F53">
        <v>2</v>
      </c>
      <c r="G53" t="s">
        <v>54</v>
      </c>
      <c r="H53" t="s">
        <v>83</v>
      </c>
      <c r="K53" t="s">
        <v>43</v>
      </c>
      <c r="L53">
        <v>1</v>
      </c>
      <c r="N53">
        <v>1</v>
      </c>
      <c r="O53" t="s">
        <v>135</v>
      </c>
      <c r="P53" t="s">
        <v>136</v>
      </c>
      <c r="S53" t="s">
        <v>48</v>
      </c>
      <c r="T53">
        <v>2</v>
      </c>
      <c r="V53">
        <v>1</v>
      </c>
      <c r="W53" t="s">
        <v>49</v>
      </c>
      <c r="AA53" t="s">
        <v>45</v>
      </c>
      <c r="AB53">
        <v>3</v>
      </c>
      <c r="AD53">
        <v>1</v>
      </c>
      <c r="AE53" t="s">
        <v>47</v>
      </c>
      <c r="AF53" t="s">
        <v>76</v>
      </c>
      <c r="AG53" t="s">
        <v>93</v>
      </c>
      <c r="AI53">
        <v>9</v>
      </c>
      <c r="AJ53">
        <v>34</v>
      </c>
      <c r="AK53">
        <v>120</v>
      </c>
      <c r="AL53">
        <v>2</v>
      </c>
    </row>
    <row r="54" spans="1:38" x14ac:dyDescent="0.4">
      <c r="A54" t="s">
        <v>445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54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100</v>
      </c>
      <c r="R54" t="s">
        <v>138</v>
      </c>
      <c r="S54" t="s">
        <v>48</v>
      </c>
      <c r="T54">
        <v>1</v>
      </c>
      <c r="V54">
        <v>1</v>
      </c>
      <c r="W54" t="s">
        <v>49</v>
      </c>
      <c r="X54" t="s">
        <v>50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I54">
        <v>8</v>
      </c>
      <c r="AJ54">
        <v>35</v>
      </c>
      <c r="AK54">
        <v>120</v>
      </c>
      <c r="AL54">
        <v>2</v>
      </c>
    </row>
    <row r="55" spans="1:38" x14ac:dyDescent="0.4">
      <c r="A55" t="s">
        <v>446</v>
      </c>
      <c r="B55">
        <v>53</v>
      </c>
      <c r="C55" t="s">
        <v>48</v>
      </c>
      <c r="D55">
        <v>3</v>
      </c>
      <c r="F55">
        <v>1</v>
      </c>
      <c r="G55" t="s">
        <v>49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Q55" t="s">
        <v>41</v>
      </c>
      <c r="R55" t="s">
        <v>156</v>
      </c>
      <c r="S55" t="s">
        <v>53</v>
      </c>
      <c r="T55">
        <v>2</v>
      </c>
      <c r="U55">
        <v>1</v>
      </c>
      <c r="V55">
        <v>1</v>
      </c>
      <c r="W55" t="s">
        <v>54</v>
      </c>
      <c r="AA55" t="s">
        <v>43</v>
      </c>
      <c r="AB55">
        <v>1</v>
      </c>
      <c r="AD55">
        <v>1</v>
      </c>
      <c r="AE55" t="s">
        <v>135</v>
      </c>
      <c r="AF55" t="s">
        <v>99</v>
      </c>
      <c r="AI55">
        <v>7</v>
      </c>
      <c r="AJ55">
        <v>41</v>
      </c>
      <c r="AK55">
        <v>120</v>
      </c>
      <c r="AL55">
        <v>2</v>
      </c>
    </row>
    <row r="56" spans="1:38" x14ac:dyDescent="0.4">
      <c r="A56" t="s">
        <v>447</v>
      </c>
      <c r="B56">
        <v>54</v>
      </c>
      <c r="C56" t="s">
        <v>53</v>
      </c>
      <c r="D56">
        <v>1</v>
      </c>
      <c r="E56">
        <v>1</v>
      </c>
      <c r="F56">
        <v>2</v>
      </c>
      <c r="G56" t="s">
        <v>54</v>
      </c>
      <c r="H56" t="s">
        <v>55</v>
      </c>
      <c r="K56" t="s">
        <v>43</v>
      </c>
      <c r="L56">
        <v>3</v>
      </c>
      <c r="N56">
        <v>2</v>
      </c>
      <c r="O56" t="s">
        <v>135</v>
      </c>
      <c r="S56" t="s">
        <v>33</v>
      </c>
      <c r="T56">
        <v>3</v>
      </c>
      <c r="V56">
        <v>2</v>
      </c>
      <c r="W56" t="s">
        <v>65</v>
      </c>
      <c r="AA56" t="s">
        <v>45</v>
      </c>
      <c r="AB56">
        <v>1</v>
      </c>
      <c r="AD56">
        <v>1</v>
      </c>
      <c r="AE56" t="s">
        <v>47</v>
      </c>
      <c r="AI56">
        <v>8</v>
      </c>
      <c r="AJ56">
        <v>25</v>
      </c>
      <c r="AK56">
        <v>120</v>
      </c>
      <c r="AL56">
        <v>2</v>
      </c>
    </row>
    <row r="57" spans="1:38" x14ac:dyDescent="0.4">
      <c r="A57" t="s">
        <v>448</v>
      </c>
      <c r="B57">
        <v>55</v>
      </c>
      <c r="C57" t="s">
        <v>53</v>
      </c>
      <c r="D57">
        <v>1</v>
      </c>
      <c r="E57">
        <v>1</v>
      </c>
      <c r="F57">
        <v>2</v>
      </c>
      <c r="G57" t="s">
        <v>54</v>
      </c>
      <c r="K57" t="s">
        <v>43</v>
      </c>
      <c r="L57">
        <v>3</v>
      </c>
      <c r="N57">
        <v>1</v>
      </c>
      <c r="O57" t="s">
        <v>135</v>
      </c>
      <c r="P57" t="s">
        <v>136</v>
      </c>
      <c r="S57" t="s">
        <v>33</v>
      </c>
      <c r="T57">
        <v>3</v>
      </c>
      <c r="V57">
        <v>2</v>
      </c>
      <c r="W57" t="s">
        <v>65</v>
      </c>
      <c r="AA57" t="s">
        <v>63</v>
      </c>
      <c r="AB57">
        <v>1</v>
      </c>
      <c r="AD57">
        <v>1</v>
      </c>
      <c r="AE57" t="s">
        <v>103</v>
      </c>
      <c r="AI57">
        <v>7</v>
      </c>
      <c r="AJ57">
        <v>36</v>
      </c>
      <c r="AK57">
        <v>120</v>
      </c>
      <c r="AL57">
        <v>2</v>
      </c>
    </row>
    <row r="58" spans="1:38" x14ac:dyDescent="0.4">
      <c r="A58" t="s">
        <v>449</v>
      </c>
      <c r="B58">
        <v>56</v>
      </c>
      <c r="C58" t="s">
        <v>33</v>
      </c>
      <c r="D58">
        <v>3</v>
      </c>
      <c r="F58">
        <v>1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54</v>
      </c>
      <c r="AA58" t="s">
        <v>43</v>
      </c>
      <c r="AB58">
        <v>2</v>
      </c>
      <c r="AD58">
        <v>1</v>
      </c>
      <c r="AE58" t="s">
        <v>135</v>
      </c>
      <c r="AI58">
        <v>5</v>
      </c>
      <c r="AJ58">
        <v>29</v>
      </c>
      <c r="AK58">
        <v>120</v>
      </c>
      <c r="AL58">
        <v>2</v>
      </c>
    </row>
    <row r="59" spans="1:38" x14ac:dyDescent="0.4">
      <c r="A59" t="s">
        <v>450</v>
      </c>
      <c r="B59">
        <v>57</v>
      </c>
      <c r="C59" t="s">
        <v>45</v>
      </c>
      <c r="D59">
        <v>3</v>
      </c>
      <c r="F59">
        <v>1</v>
      </c>
      <c r="G59" t="s">
        <v>86</v>
      </c>
      <c r="K59" t="s">
        <v>63</v>
      </c>
      <c r="L59">
        <v>2</v>
      </c>
      <c r="N59">
        <v>1</v>
      </c>
      <c r="O59" t="s">
        <v>72</v>
      </c>
      <c r="S59" t="s">
        <v>53</v>
      </c>
      <c r="T59">
        <v>1</v>
      </c>
      <c r="U59">
        <v>1</v>
      </c>
      <c r="V59">
        <v>1</v>
      </c>
      <c r="W59" t="s">
        <v>54</v>
      </c>
      <c r="AA59" t="s">
        <v>43</v>
      </c>
      <c r="AB59">
        <v>1</v>
      </c>
      <c r="AD59">
        <v>1</v>
      </c>
      <c r="AE59" t="s">
        <v>135</v>
      </c>
      <c r="AF59" t="s">
        <v>136</v>
      </c>
      <c r="AI59">
        <v>4</v>
      </c>
      <c r="AJ59">
        <v>24</v>
      </c>
      <c r="AK59">
        <v>120</v>
      </c>
      <c r="AL59">
        <v>2</v>
      </c>
    </row>
    <row r="60" spans="1:38" x14ac:dyDescent="0.4">
      <c r="A60" t="s">
        <v>451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54</v>
      </c>
      <c r="K60" t="s">
        <v>43</v>
      </c>
      <c r="L60">
        <v>3</v>
      </c>
      <c r="N60">
        <v>1</v>
      </c>
      <c r="O60" t="s">
        <v>135</v>
      </c>
      <c r="P60" t="s">
        <v>74</v>
      </c>
      <c r="S60" t="s">
        <v>45</v>
      </c>
      <c r="T60">
        <v>3</v>
      </c>
      <c r="V60">
        <v>1</v>
      </c>
      <c r="W60" t="s">
        <v>86</v>
      </c>
      <c r="AA60" t="s">
        <v>38</v>
      </c>
      <c r="AB60">
        <v>2</v>
      </c>
      <c r="AC60">
        <v>1</v>
      </c>
      <c r="AD60">
        <v>1</v>
      </c>
      <c r="AE60" t="s">
        <v>152</v>
      </c>
      <c r="AI60">
        <v>7</v>
      </c>
      <c r="AJ60">
        <v>31</v>
      </c>
      <c r="AK60">
        <v>120</v>
      </c>
      <c r="AL60">
        <v>2</v>
      </c>
    </row>
    <row r="61" spans="1:38" x14ac:dyDescent="0.4">
      <c r="A61" t="s">
        <v>452</v>
      </c>
      <c r="B61">
        <v>59</v>
      </c>
      <c r="C61" t="s">
        <v>53</v>
      </c>
      <c r="D61">
        <v>1</v>
      </c>
      <c r="E61">
        <v>1</v>
      </c>
      <c r="F61">
        <v>1</v>
      </c>
      <c r="G61" t="s">
        <v>54</v>
      </c>
      <c r="H61" t="s">
        <v>83</v>
      </c>
      <c r="K61" t="s">
        <v>43</v>
      </c>
      <c r="L61">
        <v>2</v>
      </c>
      <c r="N61">
        <v>1</v>
      </c>
      <c r="O61" t="s">
        <v>135</v>
      </c>
      <c r="P61" t="s">
        <v>99</v>
      </c>
      <c r="Q61" t="s">
        <v>137</v>
      </c>
      <c r="S61" t="s">
        <v>63</v>
      </c>
      <c r="T61">
        <v>1</v>
      </c>
      <c r="V61">
        <v>1</v>
      </c>
      <c r="W61" t="s">
        <v>72</v>
      </c>
      <c r="X61" t="s">
        <v>91</v>
      </c>
      <c r="AA61" t="s">
        <v>38</v>
      </c>
      <c r="AB61">
        <v>2</v>
      </c>
      <c r="AC61">
        <v>1</v>
      </c>
      <c r="AD61">
        <v>1</v>
      </c>
      <c r="AE61" t="s">
        <v>152</v>
      </c>
      <c r="AF61" t="s">
        <v>40</v>
      </c>
      <c r="AI61">
        <v>7</v>
      </c>
      <c r="AJ61">
        <v>33</v>
      </c>
      <c r="AK61">
        <v>120</v>
      </c>
      <c r="AL61">
        <v>2</v>
      </c>
    </row>
    <row r="62" spans="1:38" x14ac:dyDescent="0.4">
      <c r="A62" t="s">
        <v>453</v>
      </c>
      <c r="B62">
        <v>60</v>
      </c>
      <c r="C62" t="s">
        <v>56</v>
      </c>
      <c r="D62">
        <v>2</v>
      </c>
      <c r="F62">
        <v>3</v>
      </c>
      <c r="G62" t="s">
        <v>57</v>
      </c>
      <c r="K62" t="s">
        <v>48</v>
      </c>
      <c r="L62">
        <v>1</v>
      </c>
      <c r="N62">
        <v>1</v>
      </c>
      <c r="O62" t="s">
        <v>49</v>
      </c>
      <c r="S62" t="s">
        <v>53</v>
      </c>
      <c r="T62">
        <v>3</v>
      </c>
      <c r="U62">
        <v>1</v>
      </c>
      <c r="V62">
        <v>1</v>
      </c>
      <c r="W62" t="s">
        <v>54</v>
      </c>
      <c r="X62" t="s">
        <v>83</v>
      </c>
      <c r="Y62" t="s">
        <v>97</v>
      </c>
      <c r="AA62" t="s">
        <v>45</v>
      </c>
      <c r="AB62">
        <v>3</v>
      </c>
      <c r="AD62">
        <v>1</v>
      </c>
      <c r="AE62" t="s">
        <v>47</v>
      </c>
      <c r="AI62">
        <v>9</v>
      </c>
      <c r="AJ62">
        <v>37</v>
      </c>
      <c r="AK62">
        <v>120</v>
      </c>
      <c r="AL62">
        <v>2</v>
      </c>
    </row>
    <row r="63" spans="1:38" x14ac:dyDescent="0.4">
      <c r="A63" t="s">
        <v>454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54</v>
      </c>
      <c r="H63" t="s">
        <v>113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2</v>
      </c>
      <c r="AD63">
        <v>1</v>
      </c>
      <c r="AE63" t="s">
        <v>46</v>
      </c>
      <c r="AI63">
        <v>5</v>
      </c>
      <c r="AJ63">
        <v>27</v>
      </c>
      <c r="AK63">
        <v>120</v>
      </c>
      <c r="AL63">
        <v>2</v>
      </c>
    </row>
    <row r="64" spans="1:38" x14ac:dyDescent="0.4">
      <c r="A64" t="s">
        <v>455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54</v>
      </c>
      <c r="H64" t="s">
        <v>55</v>
      </c>
      <c r="K64" t="s">
        <v>45</v>
      </c>
      <c r="L64">
        <v>2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68</v>
      </c>
      <c r="AA64" t="s">
        <v>43</v>
      </c>
      <c r="AB64">
        <v>1</v>
      </c>
      <c r="AD64">
        <v>1</v>
      </c>
      <c r="AE64" t="s">
        <v>135</v>
      </c>
      <c r="AI64">
        <v>4</v>
      </c>
      <c r="AJ64">
        <v>22</v>
      </c>
      <c r="AK64">
        <v>120</v>
      </c>
      <c r="AL64">
        <v>2</v>
      </c>
    </row>
    <row r="65" spans="1:38" x14ac:dyDescent="0.4">
      <c r="A65" t="s">
        <v>456</v>
      </c>
      <c r="B65">
        <v>63</v>
      </c>
      <c r="C65" t="s">
        <v>53</v>
      </c>
      <c r="D65">
        <v>1</v>
      </c>
      <c r="E65">
        <v>1</v>
      </c>
      <c r="F65">
        <v>1</v>
      </c>
      <c r="G65" t="s">
        <v>54</v>
      </c>
      <c r="H65" t="s">
        <v>55</v>
      </c>
      <c r="I65" t="s">
        <v>114</v>
      </c>
      <c r="J65" t="s">
        <v>116</v>
      </c>
      <c r="K65" t="s">
        <v>45</v>
      </c>
      <c r="L65">
        <v>3</v>
      </c>
      <c r="N65">
        <v>2</v>
      </c>
      <c r="O65" t="s">
        <v>47</v>
      </c>
      <c r="P65" t="s">
        <v>141</v>
      </c>
      <c r="S65" t="s">
        <v>56</v>
      </c>
      <c r="T65">
        <v>1</v>
      </c>
      <c r="V65">
        <v>3</v>
      </c>
      <c r="W65" t="s">
        <v>57</v>
      </c>
      <c r="AA65" t="s">
        <v>63</v>
      </c>
      <c r="AB65">
        <v>1</v>
      </c>
      <c r="AD65">
        <v>1</v>
      </c>
      <c r="AE65" t="s">
        <v>72</v>
      </c>
      <c r="AI65">
        <v>9</v>
      </c>
      <c r="AJ65">
        <v>34</v>
      </c>
      <c r="AK65">
        <v>120</v>
      </c>
      <c r="AL65">
        <v>2</v>
      </c>
    </row>
    <row r="66" spans="1:38" x14ac:dyDescent="0.4">
      <c r="A66" t="s">
        <v>457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83</v>
      </c>
      <c r="I66" t="s">
        <v>105</v>
      </c>
      <c r="K66" t="s">
        <v>45</v>
      </c>
      <c r="L66">
        <v>2</v>
      </c>
      <c r="N66">
        <v>1</v>
      </c>
      <c r="O66" t="s">
        <v>47</v>
      </c>
      <c r="S66" t="s">
        <v>56</v>
      </c>
      <c r="T66">
        <v>1</v>
      </c>
      <c r="V66">
        <v>2</v>
      </c>
      <c r="W66" t="s">
        <v>57</v>
      </c>
      <c r="AA66" t="s">
        <v>38</v>
      </c>
      <c r="AB66">
        <v>1</v>
      </c>
      <c r="AC66">
        <v>2</v>
      </c>
      <c r="AD66">
        <v>1</v>
      </c>
      <c r="AE66" t="s">
        <v>152</v>
      </c>
      <c r="AF66" t="s">
        <v>96</v>
      </c>
      <c r="AG66" t="s">
        <v>154</v>
      </c>
      <c r="AI66">
        <v>8</v>
      </c>
      <c r="AJ66">
        <v>33</v>
      </c>
      <c r="AK66">
        <v>120</v>
      </c>
      <c r="AL66">
        <v>2</v>
      </c>
    </row>
    <row r="67" spans="1:38" x14ac:dyDescent="0.4">
      <c r="A67" t="s">
        <v>458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54</v>
      </c>
      <c r="H67" t="s">
        <v>83</v>
      </c>
      <c r="K67" t="s">
        <v>45</v>
      </c>
      <c r="L67">
        <v>3</v>
      </c>
      <c r="N67">
        <v>1</v>
      </c>
      <c r="O67" t="s">
        <v>47</v>
      </c>
      <c r="S67" t="s">
        <v>48</v>
      </c>
      <c r="T67">
        <v>1</v>
      </c>
      <c r="V67">
        <v>1</v>
      </c>
      <c r="W67" t="s">
        <v>49</v>
      </c>
      <c r="X67" t="s">
        <v>50</v>
      </c>
      <c r="AA67" t="s">
        <v>33</v>
      </c>
      <c r="AB67">
        <v>1</v>
      </c>
      <c r="AD67">
        <v>1</v>
      </c>
      <c r="AE67" t="s">
        <v>65</v>
      </c>
      <c r="AF67" t="s">
        <v>35</v>
      </c>
      <c r="AG67" t="s">
        <v>131</v>
      </c>
      <c r="AI67">
        <v>6</v>
      </c>
      <c r="AJ67">
        <v>31</v>
      </c>
      <c r="AK67">
        <v>120</v>
      </c>
      <c r="AL67">
        <v>2</v>
      </c>
    </row>
    <row r="68" spans="1:38" x14ac:dyDescent="0.4">
      <c r="A68" t="s">
        <v>459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54</v>
      </c>
      <c r="K68" t="s">
        <v>45</v>
      </c>
      <c r="L68">
        <v>2</v>
      </c>
      <c r="N68">
        <v>2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AA68" t="s">
        <v>43</v>
      </c>
      <c r="AB68">
        <v>2</v>
      </c>
      <c r="AD68">
        <v>1</v>
      </c>
      <c r="AE68" t="s">
        <v>135</v>
      </c>
      <c r="AF68" t="s">
        <v>74</v>
      </c>
      <c r="AI68">
        <v>6</v>
      </c>
      <c r="AJ68">
        <v>38</v>
      </c>
      <c r="AK68">
        <v>120</v>
      </c>
      <c r="AL68">
        <v>2</v>
      </c>
    </row>
    <row r="69" spans="1:38" x14ac:dyDescent="0.4">
      <c r="A69" t="s">
        <v>460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1</v>
      </c>
      <c r="AD69">
        <v>1</v>
      </c>
      <c r="AE69" t="s">
        <v>72</v>
      </c>
      <c r="AI69">
        <v>3</v>
      </c>
      <c r="AJ69">
        <v>27</v>
      </c>
      <c r="AK69">
        <v>120</v>
      </c>
      <c r="AL69">
        <v>2</v>
      </c>
    </row>
    <row r="70" spans="1:38" x14ac:dyDescent="0.4">
      <c r="A70" t="s">
        <v>461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1</v>
      </c>
      <c r="V70">
        <v>2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I70">
        <v>3</v>
      </c>
      <c r="AJ70">
        <v>27</v>
      </c>
      <c r="AK70">
        <v>120</v>
      </c>
      <c r="AL70">
        <v>2</v>
      </c>
    </row>
    <row r="71" spans="1:38" x14ac:dyDescent="0.4">
      <c r="A71" t="s">
        <v>462</v>
      </c>
      <c r="B71">
        <v>69</v>
      </c>
      <c r="C71" t="s">
        <v>33</v>
      </c>
      <c r="D71">
        <v>1</v>
      </c>
      <c r="F71">
        <v>3</v>
      </c>
      <c r="G71" t="s">
        <v>46</v>
      </c>
      <c r="H71" t="s">
        <v>35</v>
      </c>
      <c r="I71" t="s">
        <v>131</v>
      </c>
      <c r="K71" t="s">
        <v>43</v>
      </c>
      <c r="L71">
        <v>2</v>
      </c>
      <c r="N71">
        <v>1</v>
      </c>
      <c r="O71" t="s">
        <v>135</v>
      </c>
      <c r="S71" t="s">
        <v>53</v>
      </c>
      <c r="T71">
        <v>3</v>
      </c>
      <c r="U71">
        <v>1</v>
      </c>
      <c r="V71">
        <v>1</v>
      </c>
      <c r="W71" t="s">
        <v>54</v>
      </c>
      <c r="AA71" t="s">
        <v>45</v>
      </c>
      <c r="AB71">
        <v>2</v>
      </c>
      <c r="AD71">
        <v>1</v>
      </c>
      <c r="AE71" t="s">
        <v>47</v>
      </c>
      <c r="AI71">
        <v>8</v>
      </c>
      <c r="AJ71">
        <v>29</v>
      </c>
      <c r="AK71">
        <v>120</v>
      </c>
      <c r="AL71">
        <v>2</v>
      </c>
    </row>
    <row r="72" spans="1:38" x14ac:dyDescent="0.4">
      <c r="A72" t="s">
        <v>463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H72" t="s">
        <v>113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2</v>
      </c>
      <c r="V72">
        <v>2</v>
      </c>
      <c r="W72" t="s">
        <v>46</v>
      </c>
      <c r="X72" t="s">
        <v>35</v>
      </c>
      <c r="AA72" t="s">
        <v>63</v>
      </c>
      <c r="AB72">
        <v>2</v>
      </c>
      <c r="AD72">
        <v>1</v>
      </c>
      <c r="AE72" t="s">
        <v>72</v>
      </c>
      <c r="AF72" t="s">
        <v>146</v>
      </c>
      <c r="AI72">
        <v>9</v>
      </c>
      <c r="AJ72">
        <v>36</v>
      </c>
      <c r="AK72">
        <v>120</v>
      </c>
      <c r="AL72">
        <v>2</v>
      </c>
    </row>
    <row r="73" spans="1:38" x14ac:dyDescent="0.4">
      <c r="A73" t="s">
        <v>464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K73" t="s">
        <v>45</v>
      </c>
      <c r="L73">
        <v>2</v>
      </c>
      <c r="N73">
        <v>1</v>
      </c>
      <c r="O73" t="s">
        <v>47</v>
      </c>
      <c r="S73" t="s">
        <v>33</v>
      </c>
      <c r="T73">
        <v>2</v>
      </c>
      <c r="V73">
        <v>2</v>
      </c>
      <c r="W73" t="s">
        <v>46</v>
      </c>
      <c r="X73" t="s">
        <v>66</v>
      </c>
      <c r="Y73" t="s">
        <v>132</v>
      </c>
      <c r="AA73" t="s">
        <v>38</v>
      </c>
      <c r="AB73">
        <v>1</v>
      </c>
      <c r="AC73">
        <v>1</v>
      </c>
      <c r="AD73">
        <v>2</v>
      </c>
      <c r="AE73" t="s">
        <v>152</v>
      </c>
      <c r="AI73">
        <v>6</v>
      </c>
      <c r="AJ73">
        <v>38</v>
      </c>
      <c r="AK73">
        <v>120</v>
      </c>
      <c r="AL73">
        <v>2</v>
      </c>
    </row>
    <row r="74" spans="1:38" x14ac:dyDescent="0.4">
      <c r="A74" t="s">
        <v>465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2</v>
      </c>
      <c r="N74">
        <v>1</v>
      </c>
      <c r="O74" t="s">
        <v>86</v>
      </c>
      <c r="S74" t="s">
        <v>43</v>
      </c>
      <c r="T74">
        <v>2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I74">
        <v>3</v>
      </c>
      <c r="AJ74">
        <v>25</v>
      </c>
      <c r="AK74">
        <v>120</v>
      </c>
      <c r="AL74">
        <v>2</v>
      </c>
    </row>
    <row r="75" spans="1:38" x14ac:dyDescent="0.4">
      <c r="A75" t="s">
        <v>466</v>
      </c>
      <c r="B75">
        <v>73</v>
      </c>
      <c r="C75" t="s">
        <v>43</v>
      </c>
      <c r="D75">
        <v>2</v>
      </c>
      <c r="F75">
        <v>1</v>
      </c>
      <c r="G75" t="s">
        <v>135</v>
      </c>
      <c r="K75" t="s">
        <v>38</v>
      </c>
      <c r="L75">
        <v>2</v>
      </c>
      <c r="M75">
        <v>2</v>
      </c>
      <c r="N75">
        <v>3</v>
      </c>
      <c r="O75" t="s">
        <v>152</v>
      </c>
      <c r="P75" t="s">
        <v>96</v>
      </c>
      <c r="Q75" t="s">
        <v>41</v>
      </c>
      <c r="S75" t="s">
        <v>53</v>
      </c>
      <c r="T75">
        <v>2</v>
      </c>
      <c r="U75">
        <v>1</v>
      </c>
      <c r="V75">
        <v>1</v>
      </c>
      <c r="W75" t="s">
        <v>54</v>
      </c>
      <c r="X75" t="s">
        <v>55</v>
      </c>
      <c r="AA75" t="s">
        <v>45</v>
      </c>
      <c r="AB75">
        <v>2</v>
      </c>
      <c r="AD75">
        <v>2</v>
      </c>
      <c r="AE75" t="s">
        <v>140</v>
      </c>
      <c r="AF75" t="s">
        <v>76</v>
      </c>
      <c r="AG75" t="s">
        <v>142</v>
      </c>
      <c r="AI75">
        <v>13</v>
      </c>
      <c r="AJ75">
        <v>43</v>
      </c>
      <c r="AK75">
        <v>120</v>
      </c>
      <c r="AL75">
        <v>2</v>
      </c>
    </row>
    <row r="76" spans="1:38" x14ac:dyDescent="0.4">
      <c r="A76" t="s">
        <v>467</v>
      </c>
      <c r="B76">
        <v>74</v>
      </c>
      <c r="C76" t="s">
        <v>53</v>
      </c>
      <c r="D76">
        <v>3</v>
      </c>
      <c r="E76">
        <v>1</v>
      </c>
      <c r="F76">
        <v>1</v>
      </c>
      <c r="G76" t="s">
        <v>54</v>
      </c>
      <c r="K76" t="s">
        <v>45</v>
      </c>
      <c r="L76">
        <v>2</v>
      </c>
      <c r="N76">
        <v>2</v>
      </c>
      <c r="O76" t="s">
        <v>86</v>
      </c>
      <c r="S76" t="s">
        <v>63</v>
      </c>
      <c r="T76">
        <v>2</v>
      </c>
      <c r="V76">
        <v>1</v>
      </c>
      <c r="W76" t="s">
        <v>72</v>
      </c>
      <c r="AA76" t="s">
        <v>38</v>
      </c>
      <c r="AB76">
        <v>2</v>
      </c>
      <c r="AC76">
        <v>1</v>
      </c>
      <c r="AD76">
        <v>3</v>
      </c>
      <c r="AE76" t="s">
        <v>152</v>
      </c>
      <c r="AF76" t="s">
        <v>96</v>
      </c>
      <c r="AI76">
        <v>9</v>
      </c>
      <c r="AJ76">
        <v>40</v>
      </c>
      <c r="AK76">
        <v>120</v>
      </c>
      <c r="AL76">
        <v>2</v>
      </c>
    </row>
    <row r="77" spans="1:38" x14ac:dyDescent="0.4">
      <c r="A77" t="s">
        <v>468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51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3</v>
      </c>
      <c r="AD77">
        <v>1</v>
      </c>
      <c r="AE77" t="s">
        <v>72</v>
      </c>
      <c r="AI77">
        <v>6</v>
      </c>
      <c r="AJ77">
        <v>34</v>
      </c>
      <c r="AK77">
        <v>120</v>
      </c>
      <c r="AL77">
        <v>2</v>
      </c>
    </row>
    <row r="78" spans="1:38" x14ac:dyDescent="0.4">
      <c r="A78" t="s">
        <v>469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3</v>
      </c>
      <c r="N78">
        <v>1</v>
      </c>
      <c r="O78" t="s">
        <v>46</v>
      </c>
      <c r="P78" t="s">
        <v>66</v>
      </c>
      <c r="Q78" t="s">
        <v>131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2</v>
      </c>
      <c r="AD78">
        <v>2</v>
      </c>
      <c r="AE78" t="s">
        <v>72</v>
      </c>
      <c r="AF78" t="s">
        <v>146</v>
      </c>
      <c r="AI78">
        <v>9</v>
      </c>
      <c r="AJ78">
        <v>34</v>
      </c>
      <c r="AK78">
        <v>120</v>
      </c>
      <c r="AL78">
        <v>2</v>
      </c>
    </row>
    <row r="79" spans="1:38" x14ac:dyDescent="0.4">
      <c r="A79" t="s">
        <v>470</v>
      </c>
      <c r="B79">
        <v>77</v>
      </c>
      <c r="C79" t="s">
        <v>56</v>
      </c>
      <c r="D79">
        <v>1</v>
      </c>
      <c r="F79">
        <v>1</v>
      </c>
      <c r="G79" t="s">
        <v>57</v>
      </c>
      <c r="H79" t="s">
        <v>122</v>
      </c>
      <c r="K79" t="s">
        <v>43</v>
      </c>
      <c r="L79">
        <v>1</v>
      </c>
      <c r="N79">
        <v>1</v>
      </c>
      <c r="O79" t="s">
        <v>135</v>
      </c>
      <c r="P79" t="s">
        <v>99</v>
      </c>
      <c r="Q79" t="s">
        <v>137</v>
      </c>
      <c r="S79" t="s">
        <v>53</v>
      </c>
      <c r="T79">
        <v>1</v>
      </c>
      <c r="U79">
        <v>1</v>
      </c>
      <c r="V79">
        <v>1</v>
      </c>
      <c r="W79" t="s">
        <v>54</v>
      </c>
      <c r="X79" t="s">
        <v>83</v>
      </c>
      <c r="AA79" t="s">
        <v>63</v>
      </c>
      <c r="AB79">
        <v>2</v>
      </c>
      <c r="AD79">
        <v>1</v>
      </c>
      <c r="AE79" t="s">
        <v>72</v>
      </c>
      <c r="AI79">
        <v>5</v>
      </c>
      <c r="AJ79">
        <v>29</v>
      </c>
      <c r="AK79">
        <v>120</v>
      </c>
      <c r="AL79">
        <v>2</v>
      </c>
    </row>
    <row r="80" spans="1:38" x14ac:dyDescent="0.4">
      <c r="A80" t="s">
        <v>471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H80" t="s">
        <v>83</v>
      </c>
      <c r="K80" t="s">
        <v>63</v>
      </c>
      <c r="L80">
        <v>2</v>
      </c>
      <c r="N80">
        <v>1</v>
      </c>
      <c r="O80" t="s">
        <v>72</v>
      </c>
      <c r="P80" t="s">
        <v>95</v>
      </c>
      <c r="S80" t="s">
        <v>56</v>
      </c>
      <c r="T80">
        <v>1</v>
      </c>
      <c r="V80">
        <v>2</v>
      </c>
      <c r="W80" t="s">
        <v>57</v>
      </c>
      <c r="AA80" t="s">
        <v>45</v>
      </c>
      <c r="AB80">
        <v>2</v>
      </c>
      <c r="AD80">
        <v>1</v>
      </c>
      <c r="AE80" t="s">
        <v>47</v>
      </c>
      <c r="AF80" t="s">
        <v>92</v>
      </c>
      <c r="AI80">
        <v>7</v>
      </c>
      <c r="AJ80">
        <v>34</v>
      </c>
      <c r="AK80">
        <v>120</v>
      </c>
      <c r="AL80">
        <v>2</v>
      </c>
    </row>
    <row r="81" spans="1:38" x14ac:dyDescent="0.4">
      <c r="A81" t="s">
        <v>472</v>
      </c>
      <c r="B81">
        <v>79</v>
      </c>
      <c r="C81" t="s">
        <v>56</v>
      </c>
      <c r="D81">
        <v>2</v>
      </c>
      <c r="F81">
        <v>1</v>
      </c>
      <c r="G81" t="s">
        <v>57</v>
      </c>
      <c r="H81" t="s">
        <v>122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96</v>
      </c>
      <c r="S81" t="s">
        <v>53</v>
      </c>
      <c r="T81">
        <v>2</v>
      </c>
      <c r="U81">
        <v>1</v>
      </c>
      <c r="V81">
        <v>2</v>
      </c>
      <c r="W81" t="s">
        <v>54</v>
      </c>
      <c r="AA81" t="s">
        <v>63</v>
      </c>
      <c r="AB81">
        <v>2</v>
      </c>
      <c r="AD81">
        <v>1</v>
      </c>
      <c r="AE81" t="s">
        <v>72</v>
      </c>
      <c r="AI81">
        <v>6</v>
      </c>
      <c r="AJ81">
        <v>33</v>
      </c>
      <c r="AK81">
        <v>120</v>
      </c>
      <c r="AL81">
        <v>2</v>
      </c>
    </row>
    <row r="82" spans="1:38" x14ac:dyDescent="0.4">
      <c r="A82" t="s">
        <v>473</v>
      </c>
      <c r="B82">
        <v>80</v>
      </c>
      <c r="C82" t="s">
        <v>48</v>
      </c>
      <c r="D82">
        <v>3</v>
      </c>
      <c r="F82">
        <v>1</v>
      </c>
      <c r="G82" t="s">
        <v>49</v>
      </c>
      <c r="K82" t="s">
        <v>33</v>
      </c>
      <c r="L82">
        <v>3</v>
      </c>
      <c r="N82">
        <v>1</v>
      </c>
      <c r="O82" t="s">
        <v>65</v>
      </c>
      <c r="S82" t="s">
        <v>53</v>
      </c>
      <c r="T82">
        <v>2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F82" t="s">
        <v>146</v>
      </c>
      <c r="AI82">
        <v>6</v>
      </c>
      <c r="AJ82">
        <v>35</v>
      </c>
      <c r="AK82">
        <v>120</v>
      </c>
      <c r="AL82">
        <v>2</v>
      </c>
    </row>
    <row r="83" spans="1:38" x14ac:dyDescent="0.4">
      <c r="A83" t="s">
        <v>474</v>
      </c>
      <c r="B83">
        <v>81</v>
      </c>
      <c r="C83" t="s">
        <v>53</v>
      </c>
      <c r="D83">
        <v>2</v>
      </c>
      <c r="E83">
        <v>1</v>
      </c>
      <c r="F83">
        <v>2</v>
      </c>
      <c r="G83" t="s">
        <v>54</v>
      </c>
      <c r="K83" t="s">
        <v>63</v>
      </c>
      <c r="L83">
        <v>2</v>
      </c>
      <c r="N83">
        <v>1</v>
      </c>
      <c r="O83" t="s">
        <v>72</v>
      </c>
      <c r="S83" t="s">
        <v>48</v>
      </c>
      <c r="T83">
        <v>2</v>
      </c>
      <c r="V83">
        <v>1</v>
      </c>
      <c r="W83" t="s">
        <v>49</v>
      </c>
      <c r="AA83" t="s">
        <v>43</v>
      </c>
      <c r="AB83">
        <v>2</v>
      </c>
      <c r="AD83">
        <v>1</v>
      </c>
      <c r="AE83" t="s">
        <v>135</v>
      </c>
      <c r="AF83" t="s">
        <v>99</v>
      </c>
      <c r="AI83">
        <v>6</v>
      </c>
      <c r="AJ83">
        <v>30</v>
      </c>
      <c r="AK83">
        <v>120</v>
      </c>
      <c r="AL83">
        <v>2</v>
      </c>
    </row>
    <row r="84" spans="1:38" x14ac:dyDescent="0.4">
      <c r="A84" t="s">
        <v>475</v>
      </c>
      <c r="B84">
        <v>82</v>
      </c>
      <c r="C84" t="s">
        <v>53</v>
      </c>
      <c r="D84">
        <v>3</v>
      </c>
      <c r="E84">
        <v>1</v>
      </c>
      <c r="F84">
        <v>1</v>
      </c>
      <c r="G84" t="s">
        <v>54</v>
      </c>
      <c r="H84" t="s">
        <v>55</v>
      </c>
      <c r="I84" t="s">
        <v>114</v>
      </c>
      <c r="K84" t="s">
        <v>63</v>
      </c>
      <c r="L84">
        <v>2</v>
      </c>
      <c r="N84">
        <v>1</v>
      </c>
      <c r="O84" t="s">
        <v>72</v>
      </c>
      <c r="S84" t="s">
        <v>48</v>
      </c>
      <c r="T84">
        <v>1</v>
      </c>
      <c r="V84">
        <v>2</v>
      </c>
      <c r="W84" t="s">
        <v>49</v>
      </c>
      <c r="X84" t="s">
        <v>84</v>
      </c>
      <c r="AA84" t="s">
        <v>45</v>
      </c>
      <c r="AB84">
        <v>2</v>
      </c>
      <c r="AD84">
        <v>1</v>
      </c>
      <c r="AE84" t="s">
        <v>47</v>
      </c>
      <c r="AI84">
        <v>8</v>
      </c>
      <c r="AJ84">
        <v>35</v>
      </c>
      <c r="AK84">
        <v>120</v>
      </c>
      <c r="AL84">
        <v>2</v>
      </c>
    </row>
    <row r="85" spans="1:38" x14ac:dyDescent="0.4">
      <c r="A85" t="s">
        <v>476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54</v>
      </c>
      <c r="K85" t="s">
        <v>63</v>
      </c>
      <c r="L85">
        <v>1</v>
      </c>
      <c r="N85">
        <v>1</v>
      </c>
      <c r="O85" t="s">
        <v>72</v>
      </c>
      <c r="S85" t="s">
        <v>48</v>
      </c>
      <c r="T85">
        <v>1</v>
      </c>
      <c r="V85">
        <v>1</v>
      </c>
      <c r="W85" t="s">
        <v>49</v>
      </c>
      <c r="X85" t="s">
        <v>50</v>
      </c>
      <c r="AA85" t="s">
        <v>38</v>
      </c>
      <c r="AB85">
        <v>1</v>
      </c>
      <c r="AC85">
        <v>1</v>
      </c>
      <c r="AD85">
        <v>1</v>
      </c>
      <c r="AE85" t="s">
        <v>152</v>
      </c>
      <c r="AI85">
        <v>2</v>
      </c>
      <c r="AJ85">
        <v>23</v>
      </c>
      <c r="AK85">
        <v>120</v>
      </c>
      <c r="AL85">
        <v>2</v>
      </c>
    </row>
    <row r="86" spans="1:38" x14ac:dyDescent="0.4">
      <c r="A86" t="s">
        <v>477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2</v>
      </c>
      <c r="N86">
        <v>2</v>
      </c>
      <c r="O86" t="s">
        <v>135</v>
      </c>
      <c r="P86" t="s">
        <v>99</v>
      </c>
      <c r="S86" t="s">
        <v>53</v>
      </c>
      <c r="T86">
        <v>2</v>
      </c>
      <c r="U86">
        <v>1</v>
      </c>
      <c r="V86">
        <v>1</v>
      </c>
      <c r="W86" t="s">
        <v>54</v>
      </c>
      <c r="X86" t="s">
        <v>83</v>
      </c>
      <c r="AA86" t="s">
        <v>63</v>
      </c>
      <c r="AB86">
        <v>1</v>
      </c>
      <c r="AD86">
        <v>1</v>
      </c>
      <c r="AE86" t="s">
        <v>72</v>
      </c>
      <c r="AF86" t="s">
        <v>146</v>
      </c>
      <c r="AI86">
        <v>7</v>
      </c>
      <c r="AJ86">
        <v>46</v>
      </c>
      <c r="AK86">
        <v>120</v>
      </c>
      <c r="AL86">
        <v>2</v>
      </c>
    </row>
    <row r="87" spans="1:38" x14ac:dyDescent="0.4">
      <c r="A87" t="s">
        <v>478</v>
      </c>
      <c r="B87">
        <v>85</v>
      </c>
      <c r="C87" t="s">
        <v>33</v>
      </c>
      <c r="D87">
        <v>2</v>
      </c>
      <c r="F87">
        <v>2</v>
      </c>
      <c r="G87" t="s">
        <v>46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AA87" t="s">
        <v>63</v>
      </c>
      <c r="AB87">
        <v>1</v>
      </c>
      <c r="AD87">
        <v>1</v>
      </c>
      <c r="AE87" t="s">
        <v>72</v>
      </c>
      <c r="AI87">
        <v>4</v>
      </c>
      <c r="AJ87">
        <v>24</v>
      </c>
      <c r="AK87">
        <v>120</v>
      </c>
      <c r="AL87">
        <v>2</v>
      </c>
    </row>
    <row r="88" spans="1:38" x14ac:dyDescent="0.4">
      <c r="A88" t="s">
        <v>479</v>
      </c>
      <c r="B88">
        <v>86</v>
      </c>
      <c r="C88" t="s">
        <v>33</v>
      </c>
      <c r="D88">
        <v>3</v>
      </c>
      <c r="F88">
        <v>1</v>
      </c>
      <c r="G88" t="s">
        <v>65</v>
      </c>
      <c r="K88" t="s">
        <v>38</v>
      </c>
      <c r="L88">
        <v>2</v>
      </c>
      <c r="M88">
        <v>1</v>
      </c>
      <c r="N88">
        <v>1</v>
      </c>
      <c r="O88" t="s">
        <v>152</v>
      </c>
      <c r="P88" t="s">
        <v>96</v>
      </c>
      <c r="S88" t="s">
        <v>53</v>
      </c>
      <c r="T88">
        <v>1</v>
      </c>
      <c r="U88">
        <v>1</v>
      </c>
      <c r="V88">
        <v>1</v>
      </c>
      <c r="W88" t="s">
        <v>54</v>
      </c>
      <c r="X88" t="s">
        <v>113</v>
      </c>
      <c r="AA88" t="s">
        <v>63</v>
      </c>
      <c r="AB88">
        <v>3</v>
      </c>
      <c r="AD88">
        <v>1</v>
      </c>
      <c r="AE88" t="s">
        <v>72</v>
      </c>
      <c r="AI88">
        <v>7</v>
      </c>
      <c r="AJ88">
        <v>29</v>
      </c>
      <c r="AK88">
        <v>120</v>
      </c>
      <c r="AL88">
        <v>2</v>
      </c>
    </row>
    <row r="89" spans="1:38" x14ac:dyDescent="0.4">
      <c r="A89" t="s">
        <v>480</v>
      </c>
      <c r="B89">
        <v>87</v>
      </c>
      <c r="C89" t="s">
        <v>53</v>
      </c>
      <c r="D89">
        <v>2</v>
      </c>
      <c r="E89">
        <v>1</v>
      </c>
      <c r="F89">
        <v>2</v>
      </c>
      <c r="G89" t="s">
        <v>54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1</v>
      </c>
      <c r="V89">
        <v>1</v>
      </c>
      <c r="W89" t="s">
        <v>135</v>
      </c>
      <c r="X89" t="s">
        <v>99</v>
      </c>
      <c r="AA89" t="s">
        <v>45</v>
      </c>
      <c r="AB89">
        <v>3</v>
      </c>
      <c r="AD89">
        <v>1</v>
      </c>
      <c r="AE89" t="s">
        <v>47</v>
      </c>
      <c r="AI89">
        <v>7</v>
      </c>
      <c r="AJ89">
        <v>31</v>
      </c>
      <c r="AK89">
        <v>120</v>
      </c>
      <c r="AL89">
        <v>2</v>
      </c>
    </row>
    <row r="90" spans="1:38" x14ac:dyDescent="0.4">
      <c r="A90" t="s">
        <v>481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83</v>
      </c>
      <c r="K90" t="s">
        <v>63</v>
      </c>
      <c r="L90">
        <v>1</v>
      </c>
      <c r="N90">
        <v>1</v>
      </c>
      <c r="O90" t="s">
        <v>72</v>
      </c>
      <c r="S90" t="s">
        <v>43</v>
      </c>
      <c r="T90">
        <v>2</v>
      </c>
      <c r="V90">
        <v>1</v>
      </c>
      <c r="W90" t="s">
        <v>135</v>
      </c>
      <c r="X90" t="s">
        <v>99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27</v>
      </c>
      <c r="AK90">
        <v>120</v>
      </c>
      <c r="AL90">
        <v>2</v>
      </c>
    </row>
    <row r="91" spans="1:38" x14ac:dyDescent="0.4">
      <c r="A91" t="s">
        <v>482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55</v>
      </c>
      <c r="K91" t="s">
        <v>63</v>
      </c>
      <c r="L91">
        <v>1</v>
      </c>
      <c r="N91">
        <v>1</v>
      </c>
      <c r="O91" t="s">
        <v>72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1</v>
      </c>
      <c r="AC91">
        <v>1</v>
      </c>
      <c r="AD91">
        <v>1</v>
      </c>
      <c r="AE91" t="s">
        <v>152</v>
      </c>
      <c r="AF91" t="s">
        <v>96</v>
      </c>
      <c r="AI91">
        <v>5</v>
      </c>
      <c r="AJ91">
        <v>32</v>
      </c>
      <c r="AK91">
        <v>120</v>
      </c>
      <c r="AL91">
        <v>2</v>
      </c>
    </row>
    <row r="92" spans="1:38" x14ac:dyDescent="0.4">
      <c r="A92" t="s">
        <v>483</v>
      </c>
      <c r="B92">
        <v>90</v>
      </c>
      <c r="C92" t="s">
        <v>53</v>
      </c>
      <c r="D92">
        <v>3</v>
      </c>
      <c r="E92">
        <v>1</v>
      </c>
      <c r="F92">
        <v>3</v>
      </c>
      <c r="G92" t="s">
        <v>54</v>
      </c>
      <c r="K92" t="s">
        <v>38</v>
      </c>
      <c r="L92">
        <v>2</v>
      </c>
      <c r="M92">
        <v>2</v>
      </c>
      <c r="N92">
        <v>1</v>
      </c>
      <c r="O92" t="s">
        <v>152</v>
      </c>
      <c r="S92" t="s">
        <v>56</v>
      </c>
      <c r="T92">
        <v>1</v>
      </c>
      <c r="V92">
        <v>1</v>
      </c>
      <c r="W92" t="s">
        <v>57</v>
      </c>
      <c r="X92" t="s">
        <v>122</v>
      </c>
      <c r="AA92" t="s">
        <v>48</v>
      </c>
      <c r="AB92">
        <v>1</v>
      </c>
      <c r="AD92">
        <v>2</v>
      </c>
      <c r="AE92" t="s">
        <v>49</v>
      </c>
      <c r="AF92" t="s">
        <v>84</v>
      </c>
      <c r="AG92" t="s">
        <v>51</v>
      </c>
      <c r="AH92" t="s">
        <v>52</v>
      </c>
      <c r="AI92">
        <v>11</v>
      </c>
      <c r="AJ92">
        <v>34</v>
      </c>
      <c r="AK92">
        <v>120</v>
      </c>
      <c r="AL92">
        <v>2</v>
      </c>
    </row>
    <row r="93" spans="1:38" x14ac:dyDescent="0.4">
      <c r="A93" t="s">
        <v>484</v>
      </c>
      <c r="B93">
        <v>91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2</v>
      </c>
      <c r="N93">
        <v>1</v>
      </c>
      <c r="O93" t="s">
        <v>65</v>
      </c>
      <c r="S93" t="s">
        <v>53</v>
      </c>
      <c r="T93">
        <v>2</v>
      </c>
      <c r="U93">
        <v>1</v>
      </c>
      <c r="V93">
        <v>1</v>
      </c>
      <c r="W93" t="s">
        <v>54</v>
      </c>
      <c r="AA93" t="s">
        <v>38</v>
      </c>
      <c r="AB93">
        <v>2</v>
      </c>
      <c r="AC93">
        <v>1</v>
      </c>
      <c r="AD93">
        <v>1</v>
      </c>
      <c r="AE93" t="s">
        <v>152</v>
      </c>
      <c r="AI93">
        <v>3</v>
      </c>
      <c r="AJ93">
        <v>20</v>
      </c>
      <c r="AK93">
        <v>120</v>
      </c>
      <c r="AL93">
        <v>2</v>
      </c>
    </row>
    <row r="94" spans="1:38" x14ac:dyDescent="0.4">
      <c r="A94" t="s">
        <v>485</v>
      </c>
      <c r="B94">
        <v>92</v>
      </c>
      <c r="C94" t="s">
        <v>56</v>
      </c>
      <c r="D94">
        <v>1</v>
      </c>
      <c r="F94">
        <v>1</v>
      </c>
      <c r="G94" t="s">
        <v>57</v>
      </c>
      <c r="H94" t="s">
        <v>122</v>
      </c>
      <c r="I94" t="s">
        <v>85</v>
      </c>
      <c r="K94" t="s">
        <v>43</v>
      </c>
      <c r="L94">
        <v>1</v>
      </c>
      <c r="N94">
        <v>2</v>
      </c>
      <c r="O94" t="s">
        <v>135</v>
      </c>
      <c r="P94" t="s">
        <v>99</v>
      </c>
      <c r="S94" t="s">
        <v>53</v>
      </c>
      <c r="T94">
        <v>2</v>
      </c>
      <c r="U94">
        <v>1</v>
      </c>
      <c r="V94">
        <v>1</v>
      </c>
      <c r="W94" t="s">
        <v>54</v>
      </c>
      <c r="X94" t="s">
        <v>83</v>
      </c>
      <c r="Y94" t="s">
        <v>97</v>
      </c>
      <c r="AA94" t="s">
        <v>38</v>
      </c>
      <c r="AB94">
        <v>1</v>
      </c>
      <c r="AC94">
        <v>1</v>
      </c>
      <c r="AD94">
        <v>1</v>
      </c>
      <c r="AE94" t="s">
        <v>67</v>
      </c>
      <c r="AF94" t="s">
        <v>40</v>
      </c>
      <c r="AI94">
        <v>8</v>
      </c>
      <c r="AJ94">
        <v>30</v>
      </c>
      <c r="AK94">
        <v>120</v>
      </c>
      <c r="AL94">
        <v>2</v>
      </c>
    </row>
    <row r="95" spans="1:38" x14ac:dyDescent="0.4">
      <c r="A95" t="s">
        <v>486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1</v>
      </c>
      <c r="M95">
        <v>3</v>
      </c>
      <c r="N95">
        <v>1</v>
      </c>
      <c r="O95" t="s">
        <v>152</v>
      </c>
      <c r="S95" t="s">
        <v>56</v>
      </c>
      <c r="T95">
        <v>1</v>
      </c>
      <c r="V95">
        <v>1</v>
      </c>
      <c r="W95" t="s">
        <v>57</v>
      </c>
      <c r="X95" t="s">
        <v>122</v>
      </c>
      <c r="AA95" t="s">
        <v>45</v>
      </c>
      <c r="AB95">
        <v>3</v>
      </c>
      <c r="AD95">
        <v>1</v>
      </c>
      <c r="AE95" t="s">
        <v>47</v>
      </c>
      <c r="AF95" t="s">
        <v>76</v>
      </c>
      <c r="AI95">
        <v>8</v>
      </c>
      <c r="AJ95">
        <v>31</v>
      </c>
      <c r="AK95">
        <v>120</v>
      </c>
      <c r="AL95">
        <v>2</v>
      </c>
    </row>
    <row r="96" spans="1:38" x14ac:dyDescent="0.4">
      <c r="A96" t="s">
        <v>487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1</v>
      </c>
      <c r="AE96" t="s">
        <v>152</v>
      </c>
      <c r="AI96">
        <v>3</v>
      </c>
      <c r="AJ96">
        <v>31</v>
      </c>
      <c r="AK96">
        <v>120</v>
      </c>
      <c r="AL96">
        <v>2</v>
      </c>
    </row>
    <row r="97" spans="1:38" x14ac:dyDescent="0.4">
      <c r="A97" t="s">
        <v>488</v>
      </c>
      <c r="B97">
        <v>95</v>
      </c>
      <c r="C97" t="s">
        <v>53</v>
      </c>
      <c r="D97">
        <v>2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3</v>
      </c>
      <c r="N97">
        <v>2</v>
      </c>
      <c r="O97" t="s">
        <v>152</v>
      </c>
      <c r="S97" t="s">
        <v>48</v>
      </c>
      <c r="T97">
        <v>2</v>
      </c>
      <c r="V97">
        <v>1</v>
      </c>
      <c r="W97" t="s">
        <v>49</v>
      </c>
      <c r="AA97" t="s">
        <v>33</v>
      </c>
      <c r="AB97">
        <v>2</v>
      </c>
      <c r="AD97">
        <v>1</v>
      </c>
      <c r="AE97" t="s">
        <v>65</v>
      </c>
      <c r="AF97" t="s">
        <v>35</v>
      </c>
      <c r="AG97" t="s">
        <v>131</v>
      </c>
      <c r="AI97">
        <v>8</v>
      </c>
      <c r="AJ97">
        <v>32</v>
      </c>
      <c r="AK97">
        <v>120</v>
      </c>
      <c r="AL97">
        <v>2</v>
      </c>
    </row>
    <row r="98" spans="1:38" x14ac:dyDescent="0.4">
      <c r="A98" t="s">
        <v>489</v>
      </c>
      <c r="B98">
        <v>96</v>
      </c>
      <c r="C98" t="s">
        <v>48</v>
      </c>
      <c r="D98">
        <v>2</v>
      </c>
      <c r="F98">
        <v>1</v>
      </c>
      <c r="G98" t="s">
        <v>49</v>
      </c>
      <c r="H98" t="s">
        <v>50</v>
      </c>
      <c r="K98" t="s">
        <v>43</v>
      </c>
      <c r="L98">
        <v>2</v>
      </c>
      <c r="N98">
        <v>1</v>
      </c>
      <c r="O98" t="s">
        <v>135</v>
      </c>
      <c r="P98" t="s">
        <v>99</v>
      </c>
      <c r="Q98" t="s">
        <v>137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113</v>
      </c>
      <c r="AA98" t="s">
        <v>38</v>
      </c>
      <c r="AB98">
        <v>1</v>
      </c>
      <c r="AC98">
        <v>3</v>
      </c>
      <c r="AD98">
        <v>2</v>
      </c>
      <c r="AE98" t="s">
        <v>67</v>
      </c>
      <c r="AI98">
        <v>9</v>
      </c>
      <c r="AJ98">
        <v>52</v>
      </c>
      <c r="AK98">
        <v>120</v>
      </c>
      <c r="AL98">
        <v>2</v>
      </c>
    </row>
    <row r="99" spans="1:38" x14ac:dyDescent="0.4">
      <c r="A99" t="s">
        <v>490</v>
      </c>
      <c r="B99">
        <v>97</v>
      </c>
      <c r="C99" t="s">
        <v>53</v>
      </c>
      <c r="D99">
        <v>3</v>
      </c>
      <c r="E99">
        <v>1</v>
      </c>
      <c r="F99">
        <v>1</v>
      </c>
      <c r="G99" t="s">
        <v>54</v>
      </c>
      <c r="K99" t="s">
        <v>38</v>
      </c>
      <c r="L99">
        <v>1</v>
      </c>
      <c r="M99">
        <v>1</v>
      </c>
      <c r="N99">
        <v>1</v>
      </c>
      <c r="O99" t="s">
        <v>152</v>
      </c>
      <c r="P99" t="s">
        <v>70</v>
      </c>
      <c r="S99" t="s">
        <v>48</v>
      </c>
      <c r="T99">
        <v>2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86</v>
      </c>
      <c r="AI99">
        <v>5</v>
      </c>
      <c r="AJ99">
        <v>29</v>
      </c>
      <c r="AK99">
        <v>120</v>
      </c>
      <c r="AL99">
        <v>2</v>
      </c>
    </row>
    <row r="100" spans="1:38" x14ac:dyDescent="0.4">
      <c r="A100" s="4" t="s">
        <v>491</v>
      </c>
      <c r="B100">
        <v>98</v>
      </c>
      <c r="C100" t="s">
        <v>48</v>
      </c>
      <c r="D100">
        <v>3</v>
      </c>
      <c r="F100">
        <v>3</v>
      </c>
      <c r="G100" t="s">
        <v>49</v>
      </c>
      <c r="H100" t="s">
        <v>84</v>
      </c>
      <c r="I100" t="s">
        <v>51</v>
      </c>
      <c r="K100" t="s">
        <v>63</v>
      </c>
      <c r="L100">
        <v>2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X100" t="s">
        <v>113</v>
      </c>
      <c r="AA100" t="s">
        <v>38</v>
      </c>
      <c r="AB100">
        <v>3</v>
      </c>
      <c r="AC100">
        <v>1</v>
      </c>
      <c r="AD100">
        <v>2</v>
      </c>
      <c r="AE100" t="s">
        <v>152</v>
      </c>
      <c r="AF100" t="s">
        <v>96</v>
      </c>
      <c r="AG100" t="s">
        <v>41</v>
      </c>
      <c r="AH100" t="s">
        <v>156</v>
      </c>
      <c r="AI100">
        <v>14</v>
      </c>
      <c r="AJ100">
        <v>58</v>
      </c>
      <c r="AK100">
        <v>120</v>
      </c>
      <c r="AL100">
        <v>2</v>
      </c>
    </row>
    <row r="101" spans="1:38" x14ac:dyDescent="0.4">
      <c r="A101" t="s">
        <v>492</v>
      </c>
      <c r="B101">
        <v>99</v>
      </c>
      <c r="C101" t="s">
        <v>53</v>
      </c>
      <c r="D101">
        <v>3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3</v>
      </c>
      <c r="N101">
        <v>1</v>
      </c>
      <c r="O101" t="s">
        <v>67</v>
      </c>
      <c r="S101" t="s">
        <v>33</v>
      </c>
      <c r="T101">
        <v>2</v>
      </c>
      <c r="V101">
        <v>3</v>
      </c>
      <c r="W101" t="s">
        <v>46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8</v>
      </c>
      <c r="AJ101">
        <v>27</v>
      </c>
      <c r="AK101">
        <v>120</v>
      </c>
      <c r="AL101">
        <v>2</v>
      </c>
    </row>
    <row r="102" spans="1:38" x14ac:dyDescent="0.4">
      <c r="A102" t="s">
        <v>493</v>
      </c>
      <c r="B102">
        <v>100</v>
      </c>
      <c r="C102" t="s">
        <v>53</v>
      </c>
      <c r="D102">
        <v>1</v>
      </c>
      <c r="E102">
        <v>2</v>
      </c>
      <c r="F102">
        <v>2</v>
      </c>
      <c r="G102" t="s">
        <v>54</v>
      </c>
      <c r="K102" t="s">
        <v>38</v>
      </c>
      <c r="L102">
        <v>3</v>
      </c>
      <c r="M102">
        <v>1</v>
      </c>
      <c r="N102">
        <v>1</v>
      </c>
      <c r="O102" t="s">
        <v>67</v>
      </c>
      <c r="S102" t="s">
        <v>33</v>
      </c>
      <c r="T102">
        <v>3</v>
      </c>
      <c r="V102">
        <v>2</v>
      </c>
      <c r="W102" t="s">
        <v>65</v>
      </c>
      <c r="AA102" t="s">
        <v>45</v>
      </c>
      <c r="AB102">
        <v>2</v>
      </c>
      <c r="AD102">
        <v>1</v>
      </c>
      <c r="AE102" t="s">
        <v>47</v>
      </c>
      <c r="AI102">
        <v>8</v>
      </c>
      <c r="AJ102">
        <v>26</v>
      </c>
      <c r="AK102">
        <v>120</v>
      </c>
      <c r="AL102">
        <v>2</v>
      </c>
    </row>
    <row r="103" spans="1:38" x14ac:dyDescent="0.4">
      <c r="A103" t="s">
        <v>494</v>
      </c>
      <c r="B103">
        <v>101</v>
      </c>
      <c r="C103" t="s">
        <v>33</v>
      </c>
      <c r="D103">
        <v>2</v>
      </c>
      <c r="F103">
        <v>1</v>
      </c>
      <c r="G103" t="s">
        <v>65</v>
      </c>
      <c r="K103" t="s">
        <v>63</v>
      </c>
      <c r="L103">
        <v>2</v>
      </c>
      <c r="N103">
        <v>2</v>
      </c>
      <c r="O103" t="s">
        <v>103</v>
      </c>
      <c r="P103" t="s">
        <v>95</v>
      </c>
      <c r="S103" t="s">
        <v>53</v>
      </c>
      <c r="T103">
        <v>1</v>
      </c>
      <c r="U103">
        <v>1</v>
      </c>
      <c r="V103">
        <v>1</v>
      </c>
      <c r="W103" t="s">
        <v>54</v>
      </c>
      <c r="AA103" t="s">
        <v>38</v>
      </c>
      <c r="AB103">
        <v>2</v>
      </c>
      <c r="AC103">
        <v>1</v>
      </c>
      <c r="AD103">
        <v>3</v>
      </c>
      <c r="AE103" t="s">
        <v>152</v>
      </c>
      <c r="AF103" t="s">
        <v>40</v>
      </c>
      <c r="AI103">
        <v>8</v>
      </c>
      <c r="AJ103">
        <v>32</v>
      </c>
      <c r="AK103">
        <v>120</v>
      </c>
      <c r="AL103">
        <v>2</v>
      </c>
    </row>
    <row r="104" spans="1:38" x14ac:dyDescent="0.4">
      <c r="A104" t="s">
        <v>495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54</v>
      </c>
      <c r="H104" t="s">
        <v>83</v>
      </c>
      <c r="K104" t="s">
        <v>38</v>
      </c>
      <c r="L104">
        <v>1</v>
      </c>
      <c r="M104">
        <v>1</v>
      </c>
      <c r="N104">
        <v>2</v>
      </c>
      <c r="O104" t="s">
        <v>67</v>
      </c>
      <c r="S104" t="s">
        <v>43</v>
      </c>
      <c r="T104">
        <v>1</v>
      </c>
      <c r="V104">
        <v>1</v>
      </c>
      <c r="W104" t="s">
        <v>135</v>
      </c>
      <c r="X104" t="s">
        <v>99</v>
      </c>
      <c r="AA104" t="s">
        <v>45</v>
      </c>
      <c r="AB104">
        <v>3</v>
      </c>
      <c r="AD104">
        <v>1</v>
      </c>
      <c r="AE104" t="s">
        <v>47</v>
      </c>
      <c r="AI104">
        <v>5</v>
      </c>
      <c r="AJ104">
        <v>21</v>
      </c>
      <c r="AK104">
        <v>120</v>
      </c>
      <c r="AL104">
        <v>2</v>
      </c>
    </row>
    <row r="105" spans="1:38" x14ac:dyDescent="0.4">
      <c r="A105" t="s">
        <v>496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99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X105" t="s">
        <v>83</v>
      </c>
      <c r="AA105" t="s">
        <v>38</v>
      </c>
      <c r="AB105">
        <v>2</v>
      </c>
      <c r="AC105">
        <v>1</v>
      </c>
      <c r="AD105">
        <v>1</v>
      </c>
      <c r="AE105" t="s">
        <v>152</v>
      </c>
      <c r="AF105" t="s">
        <v>96</v>
      </c>
      <c r="AG105" t="s">
        <v>41</v>
      </c>
      <c r="AI105">
        <v>7</v>
      </c>
      <c r="AJ105">
        <v>46</v>
      </c>
      <c r="AK105">
        <v>120</v>
      </c>
      <c r="AL105">
        <v>2</v>
      </c>
    </row>
    <row r="106" spans="1:38" x14ac:dyDescent="0.4">
      <c r="A106" t="s">
        <v>497</v>
      </c>
      <c r="B106">
        <v>104</v>
      </c>
      <c r="C106" t="s">
        <v>45</v>
      </c>
      <c r="D106">
        <v>3</v>
      </c>
      <c r="F106">
        <v>1</v>
      </c>
      <c r="G106" t="s">
        <v>86</v>
      </c>
      <c r="K106" t="s">
        <v>63</v>
      </c>
      <c r="L106">
        <v>2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2</v>
      </c>
      <c r="W106" t="s">
        <v>54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5</v>
      </c>
      <c r="AJ106">
        <v>35</v>
      </c>
      <c r="AK106">
        <v>120</v>
      </c>
      <c r="AL106">
        <v>2</v>
      </c>
    </row>
    <row r="107" spans="1:38" x14ac:dyDescent="0.4">
      <c r="A107" t="s">
        <v>498</v>
      </c>
      <c r="B107">
        <v>105</v>
      </c>
      <c r="C107" t="s">
        <v>56</v>
      </c>
      <c r="D107">
        <v>1</v>
      </c>
      <c r="F107">
        <v>2</v>
      </c>
      <c r="G107" t="s">
        <v>68</v>
      </c>
      <c r="K107" t="s">
        <v>48</v>
      </c>
      <c r="L107">
        <v>1</v>
      </c>
      <c r="N107">
        <v>1</v>
      </c>
      <c r="O107" t="s">
        <v>89</v>
      </c>
      <c r="S107" t="s">
        <v>33</v>
      </c>
      <c r="T107">
        <v>2</v>
      </c>
      <c r="V107">
        <v>1</v>
      </c>
      <c r="W107" t="s">
        <v>46</v>
      </c>
      <c r="X107" t="s">
        <v>35</v>
      </c>
      <c r="AA107" t="s">
        <v>43</v>
      </c>
      <c r="AB107">
        <v>2</v>
      </c>
      <c r="AD107">
        <v>1</v>
      </c>
      <c r="AE107" t="s">
        <v>135</v>
      </c>
      <c r="AF107" t="s">
        <v>99</v>
      </c>
      <c r="AI107">
        <v>5</v>
      </c>
      <c r="AJ107">
        <v>25</v>
      </c>
      <c r="AK107">
        <v>120</v>
      </c>
      <c r="AL107">
        <v>2</v>
      </c>
    </row>
    <row r="108" spans="1:38" x14ac:dyDescent="0.4">
      <c r="A108" t="s">
        <v>499</v>
      </c>
      <c r="B108">
        <v>106</v>
      </c>
      <c r="C108" t="s">
        <v>33</v>
      </c>
      <c r="D108">
        <v>3</v>
      </c>
      <c r="F108">
        <v>1</v>
      </c>
      <c r="G108" t="s">
        <v>46</v>
      </c>
      <c r="H108" t="s">
        <v>35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2</v>
      </c>
      <c r="AD108">
        <v>3</v>
      </c>
      <c r="AE108" t="s">
        <v>89</v>
      </c>
      <c r="AI108">
        <v>7</v>
      </c>
      <c r="AJ108">
        <v>23</v>
      </c>
      <c r="AK108">
        <v>120</v>
      </c>
      <c r="AL108">
        <v>2</v>
      </c>
    </row>
    <row r="109" spans="1:38" x14ac:dyDescent="0.4">
      <c r="A109" t="s">
        <v>500</v>
      </c>
      <c r="B109">
        <v>107</v>
      </c>
      <c r="C109" t="s">
        <v>56</v>
      </c>
      <c r="D109">
        <v>1</v>
      </c>
      <c r="F109">
        <v>1</v>
      </c>
      <c r="G109" t="s">
        <v>68</v>
      </c>
      <c r="H109" t="s">
        <v>122</v>
      </c>
      <c r="I109" t="s">
        <v>85</v>
      </c>
      <c r="K109" t="s">
        <v>48</v>
      </c>
      <c r="L109">
        <v>3</v>
      </c>
      <c r="N109">
        <v>1</v>
      </c>
      <c r="O109" t="s">
        <v>89</v>
      </c>
      <c r="S109" t="s">
        <v>33</v>
      </c>
      <c r="T109">
        <v>2</v>
      </c>
      <c r="V109">
        <v>1</v>
      </c>
      <c r="W109" t="s">
        <v>46</v>
      </c>
      <c r="AA109" t="s">
        <v>63</v>
      </c>
      <c r="AB109">
        <v>2</v>
      </c>
      <c r="AD109">
        <v>1</v>
      </c>
      <c r="AE109" t="s">
        <v>103</v>
      </c>
      <c r="AI109">
        <v>6</v>
      </c>
      <c r="AJ109">
        <v>31</v>
      </c>
      <c r="AK109">
        <v>120</v>
      </c>
      <c r="AL109">
        <v>2</v>
      </c>
    </row>
    <row r="110" spans="1:38" x14ac:dyDescent="0.4">
      <c r="A110" t="s">
        <v>501</v>
      </c>
      <c r="B110">
        <v>108</v>
      </c>
      <c r="C110" t="s">
        <v>33</v>
      </c>
      <c r="D110">
        <v>3</v>
      </c>
      <c r="F110">
        <v>1</v>
      </c>
      <c r="G110" t="s">
        <v>46</v>
      </c>
      <c r="K110" t="s">
        <v>38</v>
      </c>
      <c r="L110">
        <v>2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2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I110">
        <v>7</v>
      </c>
      <c r="AJ110">
        <v>37</v>
      </c>
      <c r="AK110">
        <v>120</v>
      </c>
      <c r="AL110">
        <v>2</v>
      </c>
    </row>
    <row r="111" spans="1:38" x14ac:dyDescent="0.4">
      <c r="A111" t="s">
        <v>502</v>
      </c>
      <c r="B111">
        <v>109</v>
      </c>
      <c r="C111" t="s">
        <v>56</v>
      </c>
      <c r="D111">
        <v>2</v>
      </c>
      <c r="F111">
        <v>1</v>
      </c>
      <c r="G111" t="s">
        <v>68</v>
      </c>
      <c r="K111" t="s">
        <v>48</v>
      </c>
      <c r="L111">
        <v>3</v>
      </c>
      <c r="N111">
        <v>1</v>
      </c>
      <c r="O111" t="s">
        <v>89</v>
      </c>
      <c r="S111" t="s">
        <v>43</v>
      </c>
      <c r="T111">
        <v>2</v>
      </c>
      <c r="V111">
        <v>3</v>
      </c>
      <c r="W111" t="s">
        <v>135</v>
      </c>
      <c r="X111" t="s">
        <v>136</v>
      </c>
      <c r="AA111" t="s">
        <v>45</v>
      </c>
      <c r="AB111">
        <v>2</v>
      </c>
      <c r="AD111">
        <v>1</v>
      </c>
      <c r="AE111" t="s">
        <v>47</v>
      </c>
      <c r="AI111">
        <v>8</v>
      </c>
      <c r="AJ111">
        <v>39</v>
      </c>
      <c r="AK111">
        <v>120</v>
      </c>
      <c r="AL111">
        <v>2</v>
      </c>
    </row>
    <row r="112" spans="1:38" x14ac:dyDescent="0.4">
      <c r="A112" t="s">
        <v>503</v>
      </c>
      <c r="B112">
        <v>110</v>
      </c>
      <c r="C112" t="s">
        <v>43</v>
      </c>
      <c r="D112">
        <v>1</v>
      </c>
      <c r="F112">
        <v>1</v>
      </c>
      <c r="G112" t="s">
        <v>135</v>
      </c>
      <c r="H112" t="s">
        <v>99</v>
      </c>
      <c r="I112" t="s">
        <v>100</v>
      </c>
      <c r="J112" t="s">
        <v>138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57</v>
      </c>
      <c r="AA112" t="s">
        <v>48</v>
      </c>
      <c r="AB112">
        <v>2</v>
      </c>
      <c r="AD112">
        <v>1</v>
      </c>
      <c r="AE112" t="s">
        <v>89</v>
      </c>
      <c r="AI112">
        <v>5</v>
      </c>
      <c r="AJ112">
        <v>33</v>
      </c>
      <c r="AK112">
        <v>120</v>
      </c>
      <c r="AL112">
        <v>2</v>
      </c>
    </row>
    <row r="113" spans="1:38" x14ac:dyDescent="0.4">
      <c r="A113" t="s">
        <v>504</v>
      </c>
      <c r="B113">
        <v>111</v>
      </c>
      <c r="C113" t="s">
        <v>56</v>
      </c>
      <c r="D113">
        <v>1</v>
      </c>
      <c r="F113">
        <v>1</v>
      </c>
      <c r="G113" t="s">
        <v>68</v>
      </c>
      <c r="H113" t="s">
        <v>122</v>
      </c>
      <c r="K113" t="s">
        <v>48</v>
      </c>
      <c r="L113">
        <v>2</v>
      </c>
      <c r="N113">
        <v>1</v>
      </c>
      <c r="O113" t="s">
        <v>89</v>
      </c>
      <c r="S113" t="s">
        <v>43</v>
      </c>
      <c r="T113">
        <v>1</v>
      </c>
      <c r="V113">
        <v>1</v>
      </c>
      <c r="W113" t="s">
        <v>135</v>
      </c>
      <c r="X113" t="s">
        <v>99</v>
      </c>
      <c r="AA113" t="s">
        <v>38</v>
      </c>
      <c r="AB113">
        <v>2</v>
      </c>
      <c r="AC113">
        <v>1</v>
      </c>
      <c r="AD113">
        <v>1</v>
      </c>
      <c r="AE113" t="s">
        <v>152</v>
      </c>
      <c r="AI113">
        <v>4</v>
      </c>
      <c r="AJ113">
        <v>21</v>
      </c>
      <c r="AK113">
        <v>120</v>
      </c>
      <c r="AL113">
        <v>2</v>
      </c>
    </row>
    <row r="114" spans="1:38" x14ac:dyDescent="0.4">
      <c r="A114" t="s">
        <v>505</v>
      </c>
      <c r="B114">
        <v>112</v>
      </c>
      <c r="C114" t="s">
        <v>56</v>
      </c>
      <c r="D114">
        <v>1</v>
      </c>
      <c r="F114">
        <v>1</v>
      </c>
      <c r="G114" t="s">
        <v>68</v>
      </c>
      <c r="H114" t="s">
        <v>122</v>
      </c>
      <c r="K114" t="s">
        <v>48</v>
      </c>
      <c r="L114">
        <v>2</v>
      </c>
      <c r="N114">
        <v>1</v>
      </c>
      <c r="O114" t="s">
        <v>49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2</v>
      </c>
      <c r="AD114">
        <v>1</v>
      </c>
      <c r="AE114" t="s">
        <v>72</v>
      </c>
      <c r="AI114">
        <v>4</v>
      </c>
      <c r="AJ114">
        <v>23</v>
      </c>
      <c r="AK114">
        <v>120</v>
      </c>
      <c r="AL114">
        <v>2</v>
      </c>
    </row>
    <row r="115" spans="1:38" x14ac:dyDescent="0.4">
      <c r="A115" t="s">
        <v>506</v>
      </c>
      <c r="B115">
        <v>113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3</v>
      </c>
      <c r="N115">
        <v>1</v>
      </c>
      <c r="O115" t="s">
        <v>89</v>
      </c>
      <c r="S115" t="s">
        <v>45</v>
      </c>
      <c r="T115">
        <v>2</v>
      </c>
      <c r="V115">
        <v>1</v>
      </c>
      <c r="W115" t="s">
        <v>86</v>
      </c>
      <c r="AA115" t="s">
        <v>38</v>
      </c>
      <c r="AB115">
        <v>3</v>
      </c>
      <c r="AC115">
        <v>1</v>
      </c>
      <c r="AD115">
        <v>1</v>
      </c>
      <c r="AE115" t="s">
        <v>152</v>
      </c>
      <c r="AI115">
        <v>5</v>
      </c>
      <c r="AJ115">
        <v>29</v>
      </c>
      <c r="AK115">
        <v>120</v>
      </c>
      <c r="AL115">
        <v>2</v>
      </c>
    </row>
    <row r="116" spans="1:38" x14ac:dyDescent="0.4">
      <c r="A116" t="s">
        <v>507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3</v>
      </c>
      <c r="N116">
        <v>1</v>
      </c>
      <c r="O116" t="s">
        <v>49</v>
      </c>
      <c r="P116" t="s">
        <v>50</v>
      </c>
      <c r="S116" t="s">
        <v>63</v>
      </c>
      <c r="T116">
        <v>3</v>
      </c>
      <c r="V116">
        <v>1</v>
      </c>
      <c r="W116" t="s">
        <v>72</v>
      </c>
      <c r="AA116" t="s">
        <v>38</v>
      </c>
      <c r="AB116">
        <v>3</v>
      </c>
      <c r="AC116">
        <v>1</v>
      </c>
      <c r="AD116">
        <v>1</v>
      </c>
      <c r="AE116" t="s">
        <v>152</v>
      </c>
      <c r="AI116">
        <v>8</v>
      </c>
      <c r="AJ116">
        <v>37</v>
      </c>
      <c r="AK116">
        <v>120</v>
      </c>
      <c r="AL116">
        <v>2</v>
      </c>
    </row>
    <row r="117" spans="1:38" x14ac:dyDescent="0.4">
      <c r="A117" t="s">
        <v>508</v>
      </c>
      <c r="B117">
        <v>115</v>
      </c>
      <c r="C117" t="s">
        <v>48</v>
      </c>
      <c r="D117">
        <v>1</v>
      </c>
      <c r="F117">
        <v>1</v>
      </c>
      <c r="G117" t="s">
        <v>89</v>
      </c>
      <c r="K117" t="s">
        <v>43</v>
      </c>
      <c r="L117">
        <v>2</v>
      </c>
      <c r="N117">
        <v>3</v>
      </c>
      <c r="O117" t="s">
        <v>135</v>
      </c>
      <c r="P117" t="s">
        <v>136</v>
      </c>
      <c r="S117" t="s">
        <v>56</v>
      </c>
      <c r="T117">
        <v>3</v>
      </c>
      <c r="V117">
        <v>1</v>
      </c>
      <c r="W117" t="s">
        <v>120</v>
      </c>
      <c r="X117" t="s">
        <v>69</v>
      </c>
      <c r="AA117" t="s">
        <v>33</v>
      </c>
      <c r="AB117">
        <v>3</v>
      </c>
      <c r="AD117">
        <v>1</v>
      </c>
      <c r="AE117" t="s">
        <v>65</v>
      </c>
      <c r="AI117">
        <v>9</v>
      </c>
      <c r="AJ117">
        <v>45</v>
      </c>
      <c r="AK117">
        <v>120</v>
      </c>
      <c r="AL117">
        <v>2</v>
      </c>
    </row>
    <row r="118" spans="1:38" x14ac:dyDescent="0.4">
      <c r="A118" t="s">
        <v>509</v>
      </c>
      <c r="B118">
        <v>116</v>
      </c>
      <c r="C118" t="s">
        <v>56</v>
      </c>
      <c r="D118">
        <v>2</v>
      </c>
      <c r="F118">
        <v>1</v>
      </c>
      <c r="G118" t="s">
        <v>68</v>
      </c>
      <c r="K118" t="s">
        <v>33</v>
      </c>
      <c r="L118">
        <v>1</v>
      </c>
      <c r="N118">
        <v>2</v>
      </c>
      <c r="O118" t="s">
        <v>46</v>
      </c>
      <c r="P118" t="s">
        <v>35</v>
      </c>
      <c r="S118" t="s">
        <v>48</v>
      </c>
      <c r="T118">
        <v>2</v>
      </c>
      <c r="V118">
        <v>1</v>
      </c>
      <c r="W118" t="s">
        <v>89</v>
      </c>
      <c r="AA118" t="s">
        <v>45</v>
      </c>
      <c r="AB118">
        <v>2</v>
      </c>
      <c r="AD118">
        <v>1</v>
      </c>
      <c r="AE118" t="s">
        <v>86</v>
      </c>
      <c r="AI118">
        <v>5</v>
      </c>
      <c r="AJ118">
        <v>22</v>
      </c>
      <c r="AK118">
        <v>120</v>
      </c>
      <c r="AL118">
        <v>2</v>
      </c>
    </row>
    <row r="119" spans="1:38" x14ac:dyDescent="0.4">
      <c r="A119" t="s">
        <v>510</v>
      </c>
      <c r="B119">
        <v>117</v>
      </c>
      <c r="C119" t="s">
        <v>56</v>
      </c>
      <c r="D119">
        <v>2</v>
      </c>
      <c r="F119">
        <v>1</v>
      </c>
      <c r="G119" t="s">
        <v>57</v>
      </c>
      <c r="K119" t="s">
        <v>33</v>
      </c>
      <c r="L119">
        <v>2</v>
      </c>
      <c r="N119">
        <v>1</v>
      </c>
      <c r="O119" t="s">
        <v>46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2</v>
      </c>
      <c r="AD119">
        <v>1</v>
      </c>
      <c r="AE119" t="s">
        <v>72</v>
      </c>
      <c r="AI119">
        <v>4</v>
      </c>
      <c r="AJ119">
        <v>21</v>
      </c>
      <c r="AK119">
        <v>120</v>
      </c>
      <c r="AL119">
        <v>2</v>
      </c>
    </row>
    <row r="120" spans="1:38" x14ac:dyDescent="0.4">
      <c r="A120" t="s">
        <v>511</v>
      </c>
      <c r="B120">
        <v>118</v>
      </c>
      <c r="C120" t="s">
        <v>56</v>
      </c>
      <c r="D120">
        <v>1</v>
      </c>
      <c r="F120">
        <v>1</v>
      </c>
      <c r="G120" t="s">
        <v>57</v>
      </c>
      <c r="K120" t="s">
        <v>33</v>
      </c>
      <c r="L120">
        <v>1</v>
      </c>
      <c r="N120">
        <v>1</v>
      </c>
      <c r="O120" t="s">
        <v>65</v>
      </c>
      <c r="P120" t="s">
        <v>35</v>
      </c>
      <c r="Q120" t="s">
        <v>131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1</v>
      </c>
      <c r="AC120">
        <v>3</v>
      </c>
      <c r="AD120">
        <v>1</v>
      </c>
      <c r="AE120" t="s">
        <v>152</v>
      </c>
      <c r="AI120">
        <v>5</v>
      </c>
      <c r="AJ120">
        <v>32</v>
      </c>
      <c r="AK120">
        <v>120</v>
      </c>
      <c r="AL120">
        <v>2</v>
      </c>
    </row>
    <row r="121" spans="1:38" x14ac:dyDescent="0.4">
      <c r="A121" t="s">
        <v>512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K121" t="s">
        <v>45</v>
      </c>
      <c r="L121">
        <v>2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120</v>
      </c>
      <c r="AA121" t="s">
        <v>33</v>
      </c>
      <c r="AB121">
        <v>1</v>
      </c>
      <c r="AD121">
        <v>1</v>
      </c>
      <c r="AE121" t="s">
        <v>34</v>
      </c>
      <c r="AF121" t="s">
        <v>130</v>
      </c>
      <c r="AI121">
        <v>3</v>
      </c>
      <c r="AJ121">
        <v>23</v>
      </c>
      <c r="AK121">
        <v>120</v>
      </c>
      <c r="AL121">
        <v>2</v>
      </c>
    </row>
    <row r="122" spans="1:38" x14ac:dyDescent="0.4">
      <c r="A122" t="s">
        <v>513</v>
      </c>
      <c r="B122">
        <v>120</v>
      </c>
      <c r="C122" t="s">
        <v>43</v>
      </c>
      <c r="D122">
        <v>3</v>
      </c>
      <c r="F122">
        <v>1</v>
      </c>
      <c r="G122" t="s">
        <v>135</v>
      </c>
      <c r="H122" t="s">
        <v>136</v>
      </c>
      <c r="I122" t="s">
        <v>137</v>
      </c>
      <c r="K122" t="s">
        <v>63</v>
      </c>
      <c r="L122">
        <v>1</v>
      </c>
      <c r="N122">
        <v>1</v>
      </c>
      <c r="O122" t="s">
        <v>72</v>
      </c>
      <c r="P122" t="s">
        <v>146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3</v>
      </c>
      <c r="AD122">
        <v>3</v>
      </c>
      <c r="AE122" t="s">
        <v>65</v>
      </c>
      <c r="AF122" t="s">
        <v>66</v>
      </c>
      <c r="AI122">
        <v>10</v>
      </c>
      <c r="AJ122">
        <v>36</v>
      </c>
      <c r="AK122">
        <v>120</v>
      </c>
      <c r="AL122">
        <v>2</v>
      </c>
    </row>
    <row r="123" spans="1:38" x14ac:dyDescent="0.4">
      <c r="A123" t="s">
        <v>514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99</v>
      </c>
      <c r="K123" t="s">
        <v>38</v>
      </c>
      <c r="L123">
        <v>2</v>
      </c>
      <c r="M123">
        <v>1</v>
      </c>
      <c r="N123">
        <v>1</v>
      </c>
      <c r="O123" t="s">
        <v>67</v>
      </c>
      <c r="P123" t="s">
        <v>96</v>
      </c>
      <c r="S123" t="s">
        <v>56</v>
      </c>
      <c r="T123">
        <v>3</v>
      </c>
      <c r="V123">
        <v>1</v>
      </c>
      <c r="W123" t="s">
        <v>68</v>
      </c>
      <c r="AA123" t="s">
        <v>33</v>
      </c>
      <c r="AB123">
        <v>3</v>
      </c>
      <c r="AD123">
        <v>1</v>
      </c>
      <c r="AE123" t="s">
        <v>65</v>
      </c>
      <c r="AI123">
        <v>8</v>
      </c>
      <c r="AJ123">
        <v>33</v>
      </c>
      <c r="AK123">
        <v>120</v>
      </c>
      <c r="AL123">
        <v>2</v>
      </c>
    </row>
    <row r="124" spans="1:38" x14ac:dyDescent="0.4">
      <c r="A124" t="s">
        <v>515</v>
      </c>
      <c r="B124">
        <v>122</v>
      </c>
      <c r="C124" t="s">
        <v>56</v>
      </c>
      <c r="D124">
        <v>1</v>
      </c>
      <c r="F124">
        <v>2</v>
      </c>
      <c r="G124" t="s">
        <v>68</v>
      </c>
      <c r="K124" t="s">
        <v>33</v>
      </c>
      <c r="L124">
        <v>2</v>
      </c>
      <c r="N124">
        <v>1</v>
      </c>
      <c r="O124" t="s">
        <v>46</v>
      </c>
      <c r="P124" t="s">
        <v>66</v>
      </c>
      <c r="S124" t="s">
        <v>45</v>
      </c>
      <c r="T124">
        <v>3</v>
      </c>
      <c r="V124">
        <v>1</v>
      </c>
      <c r="W124" t="s">
        <v>47</v>
      </c>
      <c r="AA124" t="s">
        <v>63</v>
      </c>
      <c r="AB124">
        <v>2</v>
      </c>
      <c r="AD124">
        <v>1</v>
      </c>
      <c r="AE124" t="s">
        <v>72</v>
      </c>
      <c r="AI124">
        <v>6</v>
      </c>
      <c r="AJ124">
        <v>30</v>
      </c>
      <c r="AK124">
        <v>120</v>
      </c>
      <c r="AL124">
        <v>2</v>
      </c>
    </row>
    <row r="125" spans="1:38" x14ac:dyDescent="0.4">
      <c r="A125" t="s">
        <v>516</v>
      </c>
      <c r="B125">
        <v>123</v>
      </c>
      <c r="C125" t="s">
        <v>56</v>
      </c>
      <c r="D125">
        <v>1</v>
      </c>
      <c r="F125">
        <v>2</v>
      </c>
      <c r="G125" t="s">
        <v>68</v>
      </c>
      <c r="K125" t="s">
        <v>33</v>
      </c>
      <c r="L125">
        <v>1</v>
      </c>
      <c r="N125">
        <v>3</v>
      </c>
      <c r="O125" t="s">
        <v>46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1</v>
      </c>
      <c r="AC125">
        <v>1</v>
      </c>
      <c r="AD125">
        <v>1</v>
      </c>
      <c r="AE125" t="s">
        <v>152</v>
      </c>
      <c r="AF125" t="s">
        <v>96</v>
      </c>
      <c r="AG125" t="s">
        <v>153</v>
      </c>
      <c r="AI125">
        <v>7</v>
      </c>
      <c r="AJ125">
        <v>30</v>
      </c>
      <c r="AK125">
        <v>120</v>
      </c>
      <c r="AL125">
        <v>2</v>
      </c>
    </row>
    <row r="126" spans="1:38" x14ac:dyDescent="0.4">
      <c r="A126" t="s">
        <v>517</v>
      </c>
      <c r="B126">
        <v>124</v>
      </c>
      <c r="C126" t="s">
        <v>56</v>
      </c>
      <c r="D126">
        <v>1</v>
      </c>
      <c r="F126">
        <v>1</v>
      </c>
      <c r="G126" t="s">
        <v>68</v>
      </c>
      <c r="H126" t="s">
        <v>122</v>
      </c>
      <c r="K126" t="s">
        <v>33</v>
      </c>
      <c r="L126">
        <v>2</v>
      </c>
      <c r="N126">
        <v>1</v>
      </c>
      <c r="O126" t="s">
        <v>46</v>
      </c>
      <c r="P126" t="s">
        <v>66</v>
      </c>
      <c r="S126" t="s">
        <v>63</v>
      </c>
      <c r="T126">
        <v>1</v>
      </c>
      <c r="V126">
        <v>1</v>
      </c>
      <c r="W126" t="s">
        <v>72</v>
      </c>
      <c r="X126" t="s">
        <v>95</v>
      </c>
      <c r="AA126" t="s">
        <v>38</v>
      </c>
      <c r="AB126">
        <v>1</v>
      </c>
      <c r="AC126">
        <v>2</v>
      </c>
      <c r="AD126">
        <v>1</v>
      </c>
      <c r="AE126" t="s">
        <v>67</v>
      </c>
      <c r="AI126">
        <v>5</v>
      </c>
      <c r="AJ126">
        <v>27</v>
      </c>
      <c r="AK126">
        <v>120</v>
      </c>
      <c r="AL126">
        <v>2</v>
      </c>
    </row>
    <row r="127" spans="1:38" x14ac:dyDescent="0.4">
      <c r="A127" t="s">
        <v>518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3</v>
      </c>
      <c r="N127">
        <v>1</v>
      </c>
      <c r="O127" t="s">
        <v>135</v>
      </c>
      <c r="S127" t="s">
        <v>48</v>
      </c>
      <c r="T127">
        <v>1</v>
      </c>
      <c r="V127">
        <v>1</v>
      </c>
      <c r="W127" t="s">
        <v>89</v>
      </c>
      <c r="X127" t="s">
        <v>50</v>
      </c>
      <c r="AA127" t="s">
        <v>33</v>
      </c>
      <c r="AB127">
        <v>2</v>
      </c>
      <c r="AD127">
        <v>1</v>
      </c>
      <c r="AE127" t="s">
        <v>46</v>
      </c>
      <c r="AI127">
        <v>4</v>
      </c>
      <c r="AJ127">
        <v>21</v>
      </c>
      <c r="AK127">
        <v>120</v>
      </c>
      <c r="AL127">
        <v>2</v>
      </c>
    </row>
    <row r="128" spans="1:38" x14ac:dyDescent="0.4">
      <c r="A128" t="s">
        <v>519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3</v>
      </c>
      <c r="N128">
        <v>1</v>
      </c>
      <c r="O128" t="s">
        <v>135</v>
      </c>
      <c r="P128" t="s">
        <v>74</v>
      </c>
      <c r="S128" t="s">
        <v>48</v>
      </c>
      <c r="T128">
        <v>2</v>
      </c>
      <c r="V128">
        <v>1</v>
      </c>
      <c r="W128" t="s">
        <v>89</v>
      </c>
      <c r="AA128" t="s">
        <v>45</v>
      </c>
      <c r="AB128">
        <v>2</v>
      </c>
      <c r="AD128">
        <v>1</v>
      </c>
      <c r="AE128" t="s">
        <v>47</v>
      </c>
      <c r="AI128">
        <v>5</v>
      </c>
      <c r="AJ128">
        <v>23</v>
      </c>
      <c r="AK128">
        <v>120</v>
      </c>
      <c r="AL128">
        <v>2</v>
      </c>
    </row>
    <row r="129" spans="1:38" x14ac:dyDescent="0.4">
      <c r="A129" t="s">
        <v>520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135</v>
      </c>
      <c r="P129" t="s">
        <v>99</v>
      </c>
      <c r="S129" t="s">
        <v>48</v>
      </c>
      <c r="T129">
        <v>2</v>
      </c>
      <c r="V129">
        <v>1</v>
      </c>
      <c r="W129" t="s">
        <v>89</v>
      </c>
      <c r="AA129" t="s">
        <v>63</v>
      </c>
      <c r="AB129">
        <v>1</v>
      </c>
      <c r="AD129">
        <v>2</v>
      </c>
      <c r="AE129" t="s">
        <v>72</v>
      </c>
      <c r="AI129">
        <v>5</v>
      </c>
      <c r="AJ129">
        <v>28</v>
      </c>
      <c r="AK129">
        <v>120</v>
      </c>
      <c r="AL129">
        <v>2</v>
      </c>
    </row>
    <row r="130" spans="1:38" x14ac:dyDescent="0.4">
      <c r="A130" t="s">
        <v>521</v>
      </c>
      <c r="B130">
        <v>128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2</v>
      </c>
      <c r="M130">
        <v>1</v>
      </c>
      <c r="N130">
        <v>1</v>
      </c>
      <c r="O130" t="s">
        <v>67</v>
      </c>
      <c r="P130" t="s">
        <v>70</v>
      </c>
      <c r="Q130" t="s">
        <v>41</v>
      </c>
      <c r="S130" t="s">
        <v>56</v>
      </c>
      <c r="T130">
        <v>2</v>
      </c>
      <c r="V130">
        <v>1</v>
      </c>
      <c r="W130" t="s">
        <v>68</v>
      </c>
      <c r="AA130" t="s">
        <v>43</v>
      </c>
      <c r="AB130">
        <v>1</v>
      </c>
      <c r="AD130">
        <v>1</v>
      </c>
      <c r="AE130" t="s">
        <v>135</v>
      </c>
      <c r="AI130">
        <v>6</v>
      </c>
      <c r="AJ130">
        <v>38</v>
      </c>
      <c r="AK130">
        <v>120</v>
      </c>
      <c r="AL130">
        <v>2</v>
      </c>
    </row>
    <row r="131" spans="1:38" x14ac:dyDescent="0.4">
      <c r="A131" t="s">
        <v>522</v>
      </c>
      <c r="B131">
        <v>129</v>
      </c>
      <c r="C131" t="s">
        <v>33</v>
      </c>
      <c r="D131">
        <v>3</v>
      </c>
      <c r="F131">
        <v>1</v>
      </c>
      <c r="G131" t="s">
        <v>46</v>
      </c>
      <c r="H131" t="s">
        <v>35</v>
      </c>
      <c r="K131" t="s">
        <v>45</v>
      </c>
      <c r="L131">
        <v>2</v>
      </c>
      <c r="N131">
        <v>1</v>
      </c>
      <c r="O131" t="s">
        <v>47</v>
      </c>
      <c r="S131" t="s">
        <v>56</v>
      </c>
      <c r="T131">
        <v>1</v>
      </c>
      <c r="V131">
        <v>3</v>
      </c>
      <c r="W131" t="s">
        <v>68</v>
      </c>
      <c r="AA131" t="s">
        <v>43</v>
      </c>
      <c r="AB131">
        <v>2</v>
      </c>
      <c r="AD131">
        <v>1</v>
      </c>
      <c r="AE131" t="s">
        <v>135</v>
      </c>
      <c r="AF131" t="s">
        <v>136</v>
      </c>
      <c r="AI131">
        <v>8</v>
      </c>
      <c r="AJ131">
        <v>28</v>
      </c>
      <c r="AK131">
        <v>120</v>
      </c>
      <c r="AL131">
        <v>2</v>
      </c>
    </row>
    <row r="132" spans="1:38" x14ac:dyDescent="0.4">
      <c r="A132" t="s">
        <v>523</v>
      </c>
      <c r="B132">
        <v>130</v>
      </c>
      <c r="C132" t="s">
        <v>56</v>
      </c>
      <c r="D132">
        <v>2</v>
      </c>
      <c r="F132">
        <v>1</v>
      </c>
      <c r="G132" t="s">
        <v>68</v>
      </c>
      <c r="K132" t="s">
        <v>43</v>
      </c>
      <c r="L132">
        <v>3</v>
      </c>
      <c r="N132">
        <v>1</v>
      </c>
      <c r="O132" t="s">
        <v>135</v>
      </c>
      <c r="P132" t="s">
        <v>136</v>
      </c>
      <c r="S132" t="s">
        <v>33</v>
      </c>
      <c r="T132">
        <v>3</v>
      </c>
      <c r="V132">
        <v>1</v>
      </c>
      <c r="W132" t="s">
        <v>65</v>
      </c>
      <c r="AA132" t="s">
        <v>63</v>
      </c>
      <c r="AB132">
        <v>1</v>
      </c>
      <c r="AD132">
        <v>1</v>
      </c>
      <c r="AE132" t="s">
        <v>72</v>
      </c>
      <c r="AI132">
        <v>6</v>
      </c>
      <c r="AJ132">
        <v>23</v>
      </c>
      <c r="AK132">
        <v>120</v>
      </c>
      <c r="AL132">
        <v>2</v>
      </c>
    </row>
    <row r="133" spans="1:38" x14ac:dyDescent="0.4">
      <c r="A133" t="s">
        <v>524</v>
      </c>
      <c r="B133">
        <v>131</v>
      </c>
      <c r="C133" t="s">
        <v>33</v>
      </c>
      <c r="D133">
        <v>3</v>
      </c>
      <c r="F133">
        <v>1</v>
      </c>
      <c r="G133" t="s">
        <v>46</v>
      </c>
      <c r="H133" t="s">
        <v>35</v>
      </c>
      <c r="K133" t="s">
        <v>38</v>
      </c>
      <c r="L133">
        <v>1</v>
      </c>
      <c r="M133">
        <v>1</v>
      </c>
      <c r="N133">
        <v>1</v>
      </c>
      <c r="O133" t="s">
        <v>67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3</v>
      </c>
      <c r="AD133">
        <v>1</v>
      </c>
      <c r="AE133" t="s">
        <v>135</v>
      </c>
      <c r="AI133">
        <v>7</v>
      </c>
      <c r="AJ133">
        <v>28</v>
      </c>
      <c r="AK133">
        <v>120</v>
      </c>
      <c r="AL133">
        <v>2</v>
      </c>
    </row>
    <row r="134" spans="1:38" x14ac:dyDescent="0.4">
      <c r="A134" t="s">
        <v>525</v>
      </c>
      <c r="B134">
        <v>132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2</v>
      </c>
      <c r="N134">
        <v>1</v>
      </c>
      <c r="O134" t="s">
        <v>135</v>
      </c>
      <c r="P134" t="s">
        <v>74</v>
      </c>
      <c r="S134" t="s">
        <v>45</v>
      </c>
      <c r="T134">
        <v>2</v>
      </c>
      <c r="V134">
        <v>1</v>
      </c>
      <c r="W134" t="s">
        <v>86</v>
      </c>
      <c r="AA134" t="s">
        <v>63</v>
      </c>
      <c r="AB134">
        <v>1</v>
      </c>
      <c r="AD134">
        <v>1</v>
      </c>
      <c r="AE134" t="s">
        <v>72</v>
      </c>
      <c r="AI134">
        <v>3</v>
      </c>
      <c r="AJ134">
        <v>25</v>
      </c>
      <c r="AK134">
        <v>120</v>
      </c>
      <c r="AL134">
        <v>2</v>
      </c>
    </row>
    <row r="135" spans="1:38" x14ac:dyDescent="0.4">
      <c r="A135" t="s">
        <v>526</v>
      </c>
      <c r="B135">
        <v>133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2</v>
      </c>
      <c r="M135">
        <v>2</v>
      </c>
      <c r="N135">
        <v>2</v>
      </c>
      <c r="O135" t="s">
        <v>152</v>
      </c>
      <c r="P135" t="s">
        <v>70</v>
      </c>
      <c r="S135" t="s">
        <v>56</v>
      </c>
      <c r="T135">
        <v>1</v>
      </c>
      <c r="V135">
        <v>1</v>
      </c>
      <c r="W135" t="s">
        <v>68</v>
      </c>
      <c r="X135" t="s">
        <v>122</v>
      </c>
      <c r="AA135" t="s">
        <v>43</v>
      </c>
      <c r="AB135">
        <v>2</v>
      </c>
      <c r="AD135">
        <v>1</v>
      </c>
      <c r="AE135" t="s">
        <v>135</v>
      </c>
      <c r="AF135" t="s">
        <v>74</v>
      </c>
      <c r="AI135">
        <v>9</v>
      </c>
      <c r="AJ135">
        <v>34</v>
      </c>
      <c r="AK135">
        <v>120</v>
      </c>
      <c r="AL135">
        <v>2</v>
      </c>
    </row>
    <row r="136" spans="1:38" x14ac:dyDescent="0.4">
      <c r="A136" t="s">
        <v>527</v>
      </c>
      <c r="B136">
        <v>134</v>
      </c>
      <c r="C136" t="s">
        <v>63</v>
      </c>
      <c r="D136">
        <v>1</v>
      </c>
      <c r="F136">
        <v>1</v>
      </c>
      <c r="G136" t="s">
        <v>72</v>
      </c>
      <c r="H136" t="s">
        <v>146</v>
      </c>
      <c r="I136" t="s">
        <v>104</v>
      </c>
      <c r="J136" t="s">
        <v>149</v>
      </c>
      <c r="K136" t="s">
        <v>38</v>
      </c>
      <c r="L136">
        <v>1</v>
      </c>
      <c r="M136">
        <v>2</v>
      </c>
      <c r="N136">
        <v>1</v>
      </c>
      <c r="O136" t="s">
        <v>152</v>
      </c>
      <c r="P136" t="s">
        <v>70</v>
      </c>
      <c r="S136" t="s">
        <v>56</v>
      </c>
      <c r="T136">
        <v>1</v>
      </c>
      <c r="V136">
        <v>2</v>
      </c>
      <c r="W136" t="s">
        <v>68</v>
      </c>
      <c r="AA136" t="s">
        <v>43</v>
      </c>
      <c r="AB136">
        <v>1</v>
      </c>
      <c r="AD136">
        <v>1</v>
      </c>
      <c r="AE136" t="s">
        <v>135</v>
      </c>
      <c r="AF136" t="s">
        <v>99</v>
      </c>
      <c r="AI136">
        <v>7</v>
      </c>
      <c r="AJ136">
        <v>44</v>
      </c>
      <c r="AK136">
        <v>120</v>
      </c>
      <c r="AL136">
        <v>2</v>
      </c>
    </row>
    <row r="137" spans="1:38" x14ac:dyDescent="0.4">
      <c r="A137" t="s">
        <v>528</v>
      </c>
      <c r="B137">
        <v>135</v>
      </c>
      <c r="C137" t="s">
        <v>56</v>
      </c>
      <c r="D137">
        <v>1</v>
      </c>
      <c r="F137">
        <v>1</v>
      </c>
      <c r="G137" t="s">
        <v>68</v>
      </c>
      <c r="K137" t="s">
        <v>45</v>
      </c>
      <c r="L137">
        <v>2</v>
      </c>
      <c r="N137">
        <v>1</v>
      </c>
      <c r="O137" t="s">
        <v>86</v>
      </c>
      <c r="S137" t="s">
        <v>48</v>
      </c>
      <c r="T137">
        <v>1</v>
      </c>
      <c r="V137">
        <v>1</v>
      </c>
      <c r="W137" t="s">
        <v>89</v>
      </c>
      <c r="X137" t="s">
        <v>84</v>
      </c>
      <c r="AA137" t="s">
        <v>33</v>
      </c>
      <c r="AB137">
        <v>2</v>
      </c>
      <c r="AD137">
        <v>1</v>
      </c>
      <c r="AE137" t="s">
        <v>46</v>
      </c>
      <c r="AI137">
        <v>3</v>
      </c>
      <c r="AJ137">
        <v>20</v>
      </c>
      <c r="AK137">
        <v>120</v>
      </c>
      <c r="AL137">
        <v>2</v>
      </c>
    </row>
    <row r="138" spans="1:38" x14ac:dyDescent="0.4">
      <c r="A138" t="s">
        <v>529</v>
      </c>
      <c r="B138">
        <v>136</v>
      </c>
      <c r="C138" t="s">
        <v>48</v>
      </c>
      <c r="D138">
        <v>2</v>
      </c>
      <c r="F138">
        <v>1</v>
      </c>
      <c r="G138" t="s">
        <v>89</v>
      </c>
      <c r="K138" t="s">
        <v>43</v>
      </c>
      <c r="L138">
        <v>2</v>
      </c>
      <c r="N138">
        <v>1</v>
      </c>
      <c r="O138" t="s">
        <v>135</v>
      </c>
      <c r="P138" t="s">
        <v>136</v>
      </c>
      <c r="Q138" t="s">
        <v>75</v>
      </c>
      <c r="S138" t="s">
        <v>56</v>
      </c>
      <c r="T138">
        <v>1</v>
      </c>
      <c r="V138">
        <v>2</v>
      </c>
      <c r="W138" t="s">
        <v>68</v>
      </c>
      <c r="AA138" t="s">
        <v>45</v>
      </c>
      <c r="AB138">
        <v>2</v>
      </c>
      <c r="AD138">
        <v>1</v>
      </c>
      <c r="AE138" t="s">
        <v>47</v>
      </c>
      <c r="AI138">
        <v>6</v>
      </c>
      <c r="AJ138">
        <v>31</v>
      </c>
      <c r="AK138">
        <v>120</v>
      </c>
      <c r="AL138">
        <v>2</v>
      </c>
    </row>
    <row r="139" spans="1:38" x14ac:dyDescent="0.4">
      <c r="A139" t="s">
        <v>530</v>
      </c>
      <c r="B139">
        <v>137</v>
      </c>
      <c r="C139" t="s">
        <v>56</v>
      </c>
      <c r="D139">
        <v>1</v>
      </c>
      <c r="F139">
        <v>1</v>
      </c>
      <c r="G139" t="s">
        <v>57</v>
      </c>
      <c r="H139" t="s">
        <v>122</v>
      </c>
      <c r="K139" t="s">
        <v>45</v>
      </c>
      <c r="L139">
        <v>2</v>
      </c>
      <c r="N139">
        <v>1</v>
      </c>
      <c r="O139" t="s">
        <v>47</v>
      </c>
      <c r="S139" t="s">
        <v>48</v>
      </c>
      <c r="T139">
        <v>2</v>
      </c>
      <c r="V139">
        <v>1</v>
      </c>
      <c r="W139" t="s">
        <v>89</v>
      </c>
      <c r="AA139" t="s">
        <v>63</v>
      </c>
      <c r="AB139">
        <v>2</v>
      </c>
      <c r="AD139">
        <v>1</v>
      </c>
      <c r="AE139" t="s">
        <v>72</v>
      </c>
      <c r="AI139">
        <v>4</v>
      </c>
      <c r="AJ139">
        <v>24</v>
      </c>
      <c r="AK139">
        <v>120</v>
      </c>
      <c r="AL139">
        <v>2</v>
      </c>
    </row>
    <row r="140" spans="1:38" x14ac:dyDescent="0.4">
      <c r="A140" t="s">
        <v>531</v>
      </c>
      <c r="B140">
        <v>138</v>
      </c>
      <c r="C140" t="s">
        <v>56</v>
      </c>
      <c r="D140">
        <v>2</v>
      </c>
      <c r="F140">
        <v>1</v>
      </c>
      <c r="G140" t="s">
        <v>57</v>
      </c>
      <c r="H140" t="s">
        <v>122</v>
      </c>
      <c r="K140" t="s">
        <v>45</v>
      </c>
      <c r="L140">
        <v>3</v>
      </c>
      <c r="N140">
        <v>1</v>
      </c>
      <c r="O140" t="s">
        <v>86</v>
      </c>
      <c r="S140" t="s">
        <v>48</v>
      </c>
      <c r="T140">
        <v>3</v>
      </c>
      <c r="V140">
        <v>1</v>
      </c>
      <c r="W140" t="s">
        <v>89</v>
      </c>
      <c r="AA140" t="s">
        <v>38</v>
      </c>
      <c r="AB140">
        <v>2</v>
      </c>
      <c r="AC140">
        <v>2</v>
      </c>
      <c r="AD140">
        <v>2</v>
      </c>
      <c r="AE140" t="s">
        <v>152</v>
      </c>
      <c r="AI140">
        <v>9</v>
      </c>
      <c r="AJ140">
        <v>33</v>
      </c>
      <c r="AK140">
        <v>120</v>
      </c>
      <c r="AL140">
        <v>2</v>
      </c>
    </row>
    <row r="141" spans="1:38" x14ac:dyDescent="0.4">
      <c r="A141" t="s">
        <v>532</v>
      </c>
      <c r="B141">
        <v>139</v>
      </c>
      <c r="C141" t="s">
        <v>56</v>
      </c>
      <c r="D141">
        <v>2</v>
      </c>
      <c r="F141">
        <v>1</v>
      </c>
      <c r="G141" t="s">
        <v>120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2</v>
      </c>
      <c r="V141">
        <v>3</v>
      </c>
      <c r="W141" t="s">
        <v>46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I141">
        <v>6</v>
      </c>
      <c r="AJ141">
        <v>28</v>
      </c>
      <c r="AK141">
        <v>120</v>
      </c>
      <c r="AL141">
        <v>2</v>
      </c>
    </row>
    <row r="142" spans="1:38" x14ac:dyDescent="0.4">
      <c r="A142" t="s">
        <v>533</v>
      </c>
      <c r="B142">
        <v>140</v>
      </c>
      <c r="C142" t="s">
        <v>56</v>
      </c>
      <c r="D142">
        <v>1</v>
      </c>
      <c r="F142">
        <v>1</v>
      </c>
      <c r="G142" t="s">
        <v>57</v>
      </c>
      <c r="K142" t="s">
        <v>45</v>
      </c>
      <c r="L142">
        <v>2</v>
      </c>
      <c r="N142">
        <v>1</v>
      </c>
      <c r="O142" t="s">
        <v>47</v>
      </c>
      <c r="S142" t="s">
        <v>33</v>
      </c>
      <c r="T142">
        <v>1</v>
      </c>
      <c r="V142">
        <v>3</v>
      </c>
      <c r="W142" t="s">
        <v>46</v>
      </c>
      <c r="X142" t="s">
        <v>35</v>
      </c>
      <c r="AA142" t="s">
        <v>63</v>
      </c>
      <c r="AB142">
        <v>1</v>
      </c>
      <c r="AD142">
        <v>1</v>
      </c>
      <c r="AE142" t="s">
        <v>72</v>
      </c>
      <c r="AI142">
        <v>4</v>
      </c>
      <c r="AJ142">
        <v>26</v>
      </c>
      <c r="AK142">
        <v>120</v>
      </c>
      <c r="AL142">
        <v>2</v>
      </c>
    </row>
    <row r="143" spans="1:38" x14ac:dyDescent="0.4">
      <c r="A143" t="s">
        <v>534</v>
      </c>
      <c r="B143">
        <v>141</v>
      </c>
      <c r="C143" t="s">
        <v>33</v>
      </c>
      <c r="D143">
        <v>2</v>
      </c>
      <c r="F143">
        <v>2</v>
      </c>
      <c r="G143" t="s">
        <v>46</v>
      </c>
      <c r="K143" t="s">
        <v>38</v>
      </c>
      <c r="L143">
        <v>3</v>
      </c>
      <c r="M143">
        <v>1</v>
      </c>
      <c r="N143">
        <v>1</v>
      </c>
      <c r="O143" t="s">
        <v>67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6</v>
      </c>
      <c r="AJ143">
        <v>23</v>
      </c>
      <c r="AK143">
        <v>120</v>
      </c>
      <c r="AL143">
        <v>2</v>
      </c>
    </row>
    <row r="144" spans="1:38" x14ac:dyDescent="0.4">
      <c r="A144" t="s">
        <v>535</v>
      </c>
      <c r="B144">
        <v>142</v>
      </c>
      <c r="C144" t="s">
        <v>43</v>
      </c>
      <c r="D144">
        <v>2</v>
      </c>
      <c r="F144">
        <v>1</v>
      </c>
      <c r="G144" t="s">
        <v>135</v>
      </c>
      <c r="H144" t="s">
        <v>99</v>
      </c>
      <c r="K144" t="s">
        <v>63</v>
      </c>
      <c r="L144">
        <v>2</v>
      </c>
      <c r="N144">
        <v>1</v>
      </c>
      <c r="O144" t="s">
        <v>72</v>
      </c>
      <c r="S144" t="s">
        <v>56</v>
      </c>
      <c r="T144">
        <v>2</v>
      </c>
      <c r="V144">
        <v>2</v>
      </c>
      <c r="W144" t="s">
        <v>68</v>
      </c>
      <c r="AA144" t="s">
        <v>45</v>
      </c>
      <c r="AB144">
        <v>2</v>
      </c>
      <c r="AD144">
        <v>1</v>
      </c>
      <c r="AE144" t="s">
        <v>47</v>
      </c>
      <c r="AI144">
        <v>6</v>
      </c>
      <c r="AJ144">
        <v>29</v>
      </c>
      <c r="AK144">
        <v>120</v>
      </c>
      <c r="AL144">
        <v>2</v>
      </c>
    </row>
    <row r="145" spans="1:38" x14ac:dyDescent="0.4">
      <c r="A145" t="s">
        <v>536</v>
      </c>
      <c r="B145">
        <v>143</v>
      </c>
      <c r="C145" t="s">
        <v>43</v>
      </c>
      <c r="D145">
        <v>3</v>
      </c>
      <c r="F145">
        <v>1</v>
      </c>
      <c r="G145" t="s">
        <v>135</v>
      </c>
      <c r="H145" t="s">
        <v>136</v>
      </c>
      <c r="K145" t="s">
        <v>38</v>
      </c>
      <c r="L145">
        <v>3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1</v>
      </c>
      <c r="W145" t="s">
        <v>68</v>
      </c>
      <c r="AA145" t="s">
        <v>45</v>
      </c>
      <c r="AB145">
        <v>3</v>
      </c>
      <c r="AD145">
        <v>1</v>
      </c>
      <c r="AE145" t="s">
        <v>140</v>
      </c>
      <c r="AI145">
        <v>8</v>
      </c>
      <c r="AJ145">
        <v>34</v>
      </c>
      <c r="AK145">
        <v>120</v>
      </c>
      <c r="AL145">
        <v>2</v>
      </c>
    </row>
    <row r="146" spans="1:38" x14ac:dyDescent="0.4">
      <c r="A146" t="s">
        <v>537</v>
      </c>
      <c r="B146">
        <v>144</v>
      </c>
      <c r="C146" t="s">
        <v>56</v>
      </c>
      <c r="D146">
        <v>1</v>
      </c>
      <c r="F146">
        <v>1</v>
      </c>
      <c r="G146" t="s">
        <v>57</v>
      </c>
      <c r="H146" t="s">
        <v>122</v>
      </c>
      <c r="K146" t="s">
        <v>45</v>
      </c>
      <c r="L146">
        <v>2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103</v>
      </c>
      <c r="AA146" t="s">
        <v>38</v>
      </c>
      <c r="AB146">
        <v>3</v>
      </c>
      <c r="AC146">
        <v>1</v>
      </c>
      <c r="AD146">
        <v>1</v>
      </c>
      <c r="AE146" t="s">
        <v>67</v>
      </c>
      <c r="AI146">
        <v>4</v>
      </c>
      <c r="AJ146">
        <v>21</v>
      </c>
      <c r="AK146">
        <v>120</v>
      </c>
      <c r="AL146">
        <v>2</v>
      </c>
    </row>
    <row r="147" spans="1:38" x14ac:dyDescent="0.4">
      <c r="A147" t="s">
        <v>538</v>
      </c>
      <c r="B147">
        <v>145</v>
      </c>
      <c r="C147" t="s">
        <v>48</v>
      </c>
      <c r="D147">
        <v>3</v>
      </c>
      <c r="F147">
        <v>1</v>
      </c>
      <c r="G147" t="s">
        <v>49</v>
      </c>
      <c r="K147" t="s">
        <v>33</v>
      </c>
      <c r="L147">
        <v>2</v>
      </c>
      <c r="N147">
        <v>1</v>
      </c>
      <c r="O147" t="s">
        <v>46</v>
      </c>
      <c r="P147" t="s">
        <v>35</v>
      </c>
      <c r="Q147" t="s">
        <v>132</v>
      </c>
      <c r="S147" t="s">
        <v>56</v>
      </c>
      <c r="T147">
        <v>1</v>
      </c>
      <c r="V147">
        <v>2</v>
      </c>
      <c r="W147" t="s">
        <v>120</v>
      </c>
      <c r="X147" t="s">
        <v>69</v>
      </c>
      <c r="Y147" t="s">
        <v>85</v>
      </c>
      <c r="AA147" t="s">
        <v>63</v>
      </c>
      <c r="AB147">
        <v>2</v>
      </c>
      <c r="AD147">
        <v>1</v>
      </c>
      <c r="AE147" t="s">
        <v>72</v>
      </c>
      <c r="AI147">
        <v>9</v>
      </c>
      <c r="AJ147">
        <v>39</v>
      </c>
      <c r="AK147">
        <v>120</v>
      </c>
      <c r="AL147">
        <v>2</v>
      </c>
    </row>
    <row r="148" spans="1:38" x14ac:dyDescent="0.4">
      <c r="A148" t="s">
        <v>539</v>
      </c>
      <c r="B148">
        <v>146</v>
      </c>
      <c r="C148" t="s">
        <v>56</v>
      </c>
      <c r="D148">
        <v>2</v>
      </c>
      <c r="F148">
        <v>1</v>
      </c>
      <c r="G148" t="s">
        <v>120</v>
      </c>
      <c r="H148" t="s">
        <v>69</v>
      </c>
      <c r="K148" t="s">
        <v>63</v>
      </c>
      <c r="L148">
        <v>2</v>
      </c>
      <c r="N148">
        <v>1</v>
      </c>
      <c r="O148" t="s">
        <v>72</v>
      </c>
      <c r="S148" t="s">
        <v>48</v>
      </c>
      <c r="T148">
        <v>3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135</v>
      </c>
      <c r="AF148" t="s">
        <v>99</v>
      </c>
      <c r="AI148">
        <v>6</v>
      </c>
      <c r="AJ148">
        <v>31</v>
      </c>
      <c r="AK148">
        <v>120</v>
      </c>
      <c r="AL148">
        <v>2</v>
      </c>
    </row>
    <row r="149" spans="1:38" x14ac:dyDescent="0.4">
      <c r="A149" t="s">
        <v>540</v>
      </c>
      <c r="B149">
        <v>147</v>
      </c>
      <c r="C149" t="s">
        <v>48</v>
      </c>
      <c r="D149">
        <v>3</v>
      </c>
      <c r="F149">
        <v>1</v>
      </c>
      <c r="G149" t="s">
        <v>49</v>
      </c>
      <c r="K149" t="s">
        <v>45</v>
      </c>
      <c r="L149">
        <v>3</v>
      </c>
      <c r="N149">
        <v>1</v>
      </c>
      <c r="O149" t="s">
        <v>47</v>
      </c>
      <c r="S149" t="s">
        <v>56</v>
      </c>
      <c r="T149">
        <v>1</v>
      </c>
      <c r="V149">
        <v>2</v>
      </c>
      <c r="W149" t="s">
        <v>68</v>
      </c>
      <c r="AA149" t="s">
        <v>63</v>
      </c>
      <c r="AB149">
        <v>2</v>
      </c>
      <c r="AD149">
        <v>1</v>
      </c>
      <c r="AE149" t="s">
        <v>72</v>
      </c>
      <c r="AI149">
        <v>6</v>
      </c>
      <c r="AJ149">
        <v>27</v>
      </c>
      <c r="AK149">
        <v>120</v>
      </c>
      <c r="AL149">
        <v>2</v>
      </c>
    </row>
    <row r="150" spans="1:38" x14ac:dyDescent="0.4">
      <c r="A150" t="s">
        <v>541</v>
      </c>
      <c r="B150">
        <v>148</v>
      </c>
      <c r="C150" t="s">
        <v>56</v>
      </c>
      <c r="D150">
        <v>1</v>
      </c>
      <c r="F150">
        <v>1</v>
      </c>
      <c r="G150" t="s">
        <v>57</v>
      </c>
      <c r="K150" t="s">
        <v>63</v>
      </c>
      <c r="L150">
        <v>2</v>
      </c>
      <c r="N150">
        <v>1</v>
      </c>
      <c r="O150" t="s">
        <v>72</v>
      </c>
      <c r="S150" t="s">
        <v>48</v>
      </c>
      <c r="T150">
        <v>2</v>
      </c>
      <c r="V150">
        <v>1</v>
      </c>
      <c r="W150" t="s">
        <v>49</v>
      </c>
      <c r="AA150" t="s">
        <v>38</v>
      </c>
      <c r="AB150">
        <v>2</v>
      </c>
      <c r="AC150">
        <v>1</v>
      </c>
      <c r="AD150">
        <v>1</v>
      </c>
      <c r="AE150" t="s">
        <v>152</v>
      </c>
      <c r="AI150">
        <v>3</v>
      </c>
      <c r="AJ150">
        <v>25</v>
      </c>
      <c r="AK150">
        <v>120</v>
      </c>
      <c r="AL150">
        <v>2</v>
      </c>
    </row>
    <row r="151" spans="1:38" x14ac:dyDescent="0.4">
      <c r="A151" t="s">
        <v>542</v>
      </c>
      <c r="B151">
        <v>149</v>
      </c>
      <c r="C151" t="s">
        <v>33</v>
      </c>
      <c r="D151">
        <v>2</v>
      </c>
      <c r="F151">
        <v>2</v>
      </c>
      <c r="G151" t="s">
        <v>46</v>
      </c>
      <c r="K151" t="s">
        <v>43</v>
      </c>
      <c r="L151">
        <v>2</v>
      </c>
      <c r="N151">
        <v>1</v>
      </c>
      <c r="O151" t="s">
        <v>135</v>
      </c>
      <c r="P151" t="s">
        <v>136</v>
      </c>
      <c r="Q151" t="s">
        <v>75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5</v>
      </c>
      <c r="AJ151">
        <v>34</v>
      </c>
      <c r="AK151">
        <v>120</v>
      </c>
      <c r="AL151">
        <v>2</v>
      </c>
    </row>
    <row r="152" spans="1:38" x14ac:dyDescent="0.4">
      <c r="A152" t="s">
        <v>543</v>
      </c>
      <c r="B152">
        <v>150</v>
      </c>
      <c r="C152" t="s">
        <v>33</v>
      </c>
      <c r="D152">
        <v>2</v>
      </c>
      <c r="F152">
        <v>1</v>
      </c>
      <c r="G152" t="s">
        <v>46</v>
      </c>
      <c r="H152" t="s">
        <v>66</v>
      </c>
      <c r="K152" t="s">
        <v>45</v>
      </c>
      <c r="L152">
        <v>3</v>
      </c>
      <c r="N152">
        <v>1</v>
      </c>
      <c r="O152" t="s">
        <v>86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F152" t="s">
        <v>146</v>
      </c>
      <c r="AI152">
        <v>5</v>
      </c>
      <c r="AJ152">
        <v>27</v>
      </c>
      <c r="AK152">
        <v>120</v>
      </c>
      <c r="AL152">
        <v>2</v>
      </c>
    </row>
    <row r="153" spans="1:38" x14ac:dyDescent="0.4">
      <c r="A153" t="s">
        <v>544</v>
      </c>
      <c r="B153">
        <v>151</v>
      </c>
      <c r="C153" t="s">
        <v>56</v>
      </c>
      <c r="D153">
        <v>1</v>
      </c>
      <c r="F153">
        <v>1</v>
      </c>
      <c r="G153" t="s">
        <v>68</v>
      </c>
      <c r="K153" t="s">
        <v>63</v>
      </c>
      <c r="L153">
        <v>1</v>
      </c>
      <c r="N153">
        <v>1</v>
      </c>
      <c r="O153" t="s">
        <v>72</v>
      </c>
      <c r="S153" t="s">
        <v>33</v>
      </c>
      <c r="T153">
        <v>2</v>
      </c>
      <c r="V153">
        <v>1</v>
      </c>
      <c r="W153" t="s">
        <v>46</v>
      </c>
      <c r="AA153" t="s">
        <v>38</v>
      </c>
      <c r="AB153">
        <v>2</v>
      </c>
      <c r="AC153">
        <v>1</v>
      </c>
      <c r="AD153">
        <v>1</v>
      </c>
      <c r="AE153" t="s">
        <v>152</v>
      </c>
      <c r="AI153">
        <v>2</v>
      </c>
      <c r="AJ153">
        <v>23</v>
      </c>
      <c r="AK153">
        <v>120</v>
      </c>
      <c r="AL153">
        <v>2</v>
      </c>
    </row>
    <row r="154" spans="1:38" x14ac:dyDescent="0.4">
      <c r="A154" t="s">
        <v>545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H154" t="s">
        <v>99</v>
      </c>
      <c r="K154" t="s">
        <v>45</v>
      </c>
      <c r="L154">
        <v>3</v>
      </c>
      <c r="N154">
        <v>1</v>
      </c>
      <c r="O154" t="s">
        <v>47</v>
      </c>
      <c r="S154" t="s">
        <v>56</v>
      </c>
      <c r="T154">
        <v>1</v>
      </c>
      <c r="V154">
        <v>2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I154">
        <v>4</v>
      </c>
      <c r="AJ154">
        <v>28</v>
      </c>
      <c r="AK154">
        <v>120</v>
      </c>
      <c r="AL154">
        <v>2</v>
      </c>
    </row>
    <row r="155" spans="1:38" x14ac:dyDescent="0.4">
      <c r="A155" t="s">
        <v>546</v>
      </c>
      <c r="B155">
        <v>153</v>
      </c>
      <c r="C155" t="s">
        <v>56</v>
      </c>
      <c r="D155">
        <v>1</v>
      </c>
      <c r="F155">
        <v>1</v>
      </c>
      <c r="G155" t="s">
        <v>68</v>
      </c>
      <c r="K155" t="s">
        <v>63</v>
      </c>
      <c r="L155">
        <v>3</v>
      </c>
      <c r="N155">
        <v>1</v>
      </c>
      <c r="O155" t="s">
        <v>72</v>
      </c>
      <c r="S155" t="s">
        <v>43</v>
      </c>
      <c r="T155">
        <v>2</v>
      </c>
      <c r="V155">
        <v>1</v>
      </c>
      <c r="W155" t="s">
        <v>135</v>
      </c>
      <c r="X155" t="s">
        <v>99</v>
      </c>
      <c r="AA155" t="s">
        <v>38</v>
      </c>
      <c r="AB155">
        <v>1</v>
      </c>
      <c r="AC155">
        <v>1</v>
      </c>
      <c r="AD155">
        <v>1</v>
      </c>
      <c r="AE155" t="s">
        <v>152</v>
      </c>
      <c r="AI155">
        <v>4</v>
      </c>
      <c r="AJ155">
        <v>41</v>
      </c>
      <c r="AK155">
        <v>120</v>
      </c>
      <c r="AL155">
        <v>2</v>
      </c>
    </row>
    <row r="156" spans="1:38" x14ac:dyDescent="0.4">
      <c r="A156" t="s">
        <v>547</v>
      </c>
      <c r="B156">
        <v>154</v>
      </c>
      <c r="C156" t="s">
        <v>45</v>
      </c>
      <c r="D156">
        <v>2</v>
      </c>
      <c r="F156">
        <v>1</v>
      </c>
      <c r="G156" t="s">
        <v>140</v>
      </c>
      <c r="K156" t="s">
        <v>38</v>
      </c>
      <c r="L156">
        <v>3</v>
      </c>
      <c r="M156">
        <v>1</v>
      </c>
      <c r="N156">
        <v>1</v>
      </c>
      <c r="O156" t="s">
        <v>152</v>
      </c>
      <c r="P156" t="s">
        <v>70</v>
      </c>
      <c r="S156" t="s">
        <v>56</v>
      </c>
      <c r="T156">
        <v>1</v>
      </c>
      <c r="V156">
        <v>3</v>
      </c>
      <c r="W156" t="s">
        <v>68</v>
      </c>
      <c r="AA156" t="s">
        <v>63</v>
      </c>
      <c r="AB156">
        <v>1</v>
      </c>
      <c r="AD156">
        <v>1</v>
      </c>
      <c r="AE156" t="s">
        <v>72</v>
      </c>
      <c r="AI156">
        <v>6</v>
      </c>
      <c r="AJ156">
        <v>32</v>
      </c>
      <c r="AK156">
        <v>120</v>
      </c>
      <c r="AL156">
        <v>2</v>
      </c>
    </row>
    <row r="157" spans="1:38" x14ac:dyDescent="0.4">
      <c r="A157" t="s">
        <v>548</v>
      </c>
      <c r="B157">
        <v>155</v>
      </c>
      <c r="C157" t="s">
        <v>56</v>
      </c>
      <c r="D157">
        <v>2</v>
      </c>
      <c r="F157">
        <v>2</v>
      </c>
      <c r="G157" t="s">
        <v>120</v>
      </c>
      <c r="K157" t="s">
        <v>38</v>
      </c>
      <c r="L157">
        <v>1</v>
      </c>
      <c r="M157">
        <v>1</v>
      </c>
      <c r="N157">
        <v>1</v>
      </c>
      <c r="O157" t="s">
        <v>67</v>
      </c>
      <c r="P157" t="s">
        <v>70</v>
      </c>
      <c r="S157" t="s">
        <v>48</v>
      </c>
      <c r="T157">
        <v>3</v>
      </c>
      <c r="V157">
        <v>1</v>
      </c>
      <c r="W157" t="s">
        <v>49</v>
      </c>
      <c r="AA157" t="s">
        <v>33</v>
      </c>
      <c r="AB157">
        <v>3</v>
      </c>
      <c r="AD157">
        <v>2</v>
      </c>
      <c r="AE157" t="s">
        <v>46</v>
      </c>
      <c r="AI157">
        <v>8</v>
      </c>
      <c r="AJ157">
        <v>34</v>
      </c>
      <c r="AK157">
        <v>120</v>
      </c>
      <c r="AL157">
        <v>2</v>
      </c>
    </row>
    <row r="158" spans="1:38" x14ac:dyDescent="0.4">
      <c r="A158" t="s">
        <v>549</v>
      </c>
      <c r="B158">
        <v>156</v>
      </c>
      <c r="C158" t="s">
        <v>56</v>
      </c>
      <c r="D158">
        <v>1</v>
      </c>
      <c r="F158">
        <v>1</v>
      </c>
      <c r="G158" t="s">
        <v>120</v>
      </c>
      <c r="K158" t="s">
        <v>38</v>
      </c>
      <c r="L158">
        <v>1</v>
      </c>
      <c r="M158">
        <v>3</v>
      </c>
      <c r="N158">
        <v>1</v>
      </c>
      <c r="O158" t="s">
        <v>67</v>
      </c>
      <c r="S158" t="s">
        <v>48</v>
      </c>
      <c r="T158">
        <v>3</v>
      </c>
      <c r="V158">
        <v>1</v>
      </c>
      <c r="W158" t="s">
        <v>49</v>
      </c>
      <c r="AA158" t="s">
        <v>43</v>
      </c>
      <c r="AB158">
        <v>2</v>
      </c>
      <c r="AD158">
        <v>1</v>
      </c>
      <c r="AE158" t="s">
        <v>135</v>
      </c>
      <c r="AF158" t="s">
        <v>74</v>
      </c>
      <c r="AI158">
        <v>6</v>
      </c>
      <c r="AJ158">
        <v>30</v>
      </c>
      <c r="AK158">
        <v>120</v>
      </c>
      <c r="AL158">
        <v>2</v>
      </c>
    </row>
    <row r="159" spans="1:38" x14ac:dyDescent="0.4">
      <c r="A159" t="s">
        <v>550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84</v>
      </c>
      <c r="K159" t="s">
        <v>45</v>
      </c>
      <c r="L159">
        <v>3</v>
      </c>
      <c r="N159">
        <v>1</v>
      </c>
      <c r="O159" t="s">
        <v>47</v>
      </c>
      <c r="S159" t="s">
        <v>56</v>
      </c>
      <c r="T159">
        <v>1</v>
      </c>
      <c r="V159">
        <v>1</v>
      </c>
      <c r="W159" t="s">
        <v>57</v>
      </c>
      <c r="AA159" t="s">
        <v>38</v>
      </c>
      <c r="AB159">
        <v>2</v>
      </c>
      <c r="AC159">
        <v>1</v>
      </c>
      <c r="AD159">
        <v>1</v>
      </c>
      <c r="AE159" t="s">
        <v>67</v>
      </c>
      <c r="AI159">
        <v>4</v>
      </c>
      <c r="AJ159">
        <v>27</v>
      </c>
      <c r="AK159">
        <v>120</v>
      </c>
      <c r="AL159">
        <v>2</v>
      </c>
    </row>
    <row r="160" spans="1:38" x14ac:dyDescent="0.4">
      <c r="A160" t="s">
        <v>551</v>
      </c>
      <c r="B160">
        <v>158</v>
      </c>
      <c r="C160" t="s">
        <v>48</v>
      </c>
      <c r="D160">
        <v>2</v>
      </c>
      <c r="F160">
        <v>1</v>
      </c>
      <c r="G160" t="s">
        <v>49</v>
      </c>
      <c r="K160" t="s">
        <v>63</v>
      </c>
      <c r="L160">
        <v>2</v>
      </c>
      <c r="N160">
        <v>1</v>
      </c>
      <c r="O160" t="s">
        <v>103</v>
      </c>
      <c r="S160" t="s">
        <v>56</v>
      </c>
      <c r="T160">
        <v>2</v>
      </c>
      <c r="V160">
        <v>1</v>
      </c>
      <c r="W160" t="s">
        <v>57</v>
      </c>
      <c r="X160" t="s">
        <v>122</v>
      </c>
      <c r="AA160" t="s">
        <v>38</v>
      </c>
      <c r="AB160">
        <v>2</v>
      </c>
      <c r="AC160">
        <v>1</v>
      </c>
      <c r="AD160">
        <v>1</v>
      </c>
      <c r="AE160" t="s">
        <v>152</v>
      </c>
      <c r="AF160" t="s">
        <v>96</v>
      </c>
      <c r="AI160">
        <v>6</v>
      </c>
      <c r="AJ160">
        <v>31</v>
      </c>
      <c r="AK160">
        <v>120</v>
      </c>
      <c r="AL160">
        <v>2</v>
      </c>
    </row>
    <row r="161" spans="1:38" x14ac:dyDescent="0.4">
      <c r="A161" t="s">
        <v>552</v>
      </c>
      <c r="B161">
        <v>159</v>
      </c>
      <c r="C161" t="s">
        <v>56</v>
      </c>
      <c r="D161">
        <v>1</v>
      </c>
      <c r="F161">
        <v>1</v>
      </c>
      <c r="G161" t="s">
        <v>120</v>
      </c>
      <c r="K161" t="s">
        <v>38</v>
      </c>
      <c r="L161">
        <v>1</v>
      </c>
      <c r="M161">
        <v>1</v>
      </c>
      <c r="N161">
        <v>1</v>
      </c>
      <c r="O161" t="s">
        <v>67</v>
      </c>
      <c r="P161" t="s">
        <v>70</v>
      </c>
      <c r="S161" t="s">
        <v>33</v>
      </c>
      <c r="T161">
        <v>2</v>
      </c>
      <c r="V161">
        <v>1</v>
      </c>
      <c r="W161" t="s">
        <v>46</v>
      </c>
      <c r="AA161" t="s">
        <v>43</v>
      </c>
      <c r="AB161">
        <v>1</v>
      </c>
      <c r="AD161">
        <v>1</v>
      </c>
      <c r="AE161" t="s">
        <v>135</v>
      </c>
      <c r="AF161" t="s">
        <v>99</v>
      </c>
      <c r="AI161">
        <v>3</v>
      </c>
      <c r="AJ161">
        <v>16</v>
      </c>
      <c r="AK161">
        <v>120</v>
      </c>
      <c r="AL161">
        <v>2</v>
      </c>
    </row>
    <row r="162" spans="1:38" x14ac:dyDescent="0.4">
      <c r="A162" t="s">
        <v>553</v>
      </c>
      <c r="B162">
        <v>160</v>
      </c>
      <c r="C162" t="s">
        <v>33</v>
      </c>
      <c r="D162">
        <v>1</v>
      </c>
      <c r="F162">
        <v>1</v>
      </c>
      <c r="G162" t="s">
        <v>46</v>
      </c>
      <c r="H162" t="s">
        <v>35</v>
      </c>
      <c r="K162" t="s">
        <v>45</v>
      </c>
      <c r="L162">
        <v>3</v>
      </c>
      <c r="N162">
        <v>2</v>
      </c>
      <c r="O162" t="s">
        <v>86</v>
      </c>
      <c r="P162" t="s">
        <v>141</v>
      </c>
      <c r="S162" t="s">
        <v>56</v>
      </c>
      <c r="T162">
        <v>1</v>
      </c>
      <c r="V162">
        <v>3</v>
      </c>
      <c r="W162" t="s">
        <v>68</v>
      </c>
      <c r="AA162" t="s">
        <v>38</v>
      </c>
      <c r="AB162">
        <v>1</v>
      </c>
      <c r="AC162">
        <v>2</v>
      </c>
      <c r="AD162">
        <v>1</v>
      </c>
      <c r="AE162" t="s">
        <v>67</v>
      </c>
      <c r="AI162">
        <v>8</v>
      </c>
      <c r="AJ162">
        <v>41</v>
      </c>
      <c r="AK162">
        <v>120</v>
      </c>
      <c r="AL162">
        <v>2</v>
      </c>
    </row>
    <row r="163" spans="1:38" x14ac:dyDescent="0.4">
      <c r="A163" t="s">
        <v>554</v>
      </c>
      <c r="B163">
        <v>161</v>
      </c>
      <c r="C163" t="s">
        <v>56</v>
      </c>
      <c r="D163">
        <v>3</v>
      </c>
      <c r="F163">
        <v>1</v>
      </c>
      <c r="G163" t="s">
        <v>57</v>
      </c>
      <c r="K163" t="s">
        <v>38</v>
      </c>
      <c r="L163">
        <v>1</v>
      </c>
      <c r="M163">
        <v>1</v>
      </c>
      <c r="N163">
        <v>1</v>
      </c>
      <c r="O163" t="s">
        <v>152</v>
      </c>
      <c r="P163" t="s">
        <v>70</v>
      </c>
      <c r="S163" t="s">
        <v>33</v>
      </c>
      <c r="T163">
        <v>2</v>
      </c>
      <c r="V163">
        <v>1</v>
      </c>
      <c r="W163" t="s">
        <v>46</v>
      </c>
      <c r="AA163" t="s">
        <v>63</v>
      </c>
      <c r="AB163">
        <v>3</v>
      </c>
      <c r="AD163">
        <v>1</v>
      </c>
      <c r="AE163" t="s">
        <v>103</v>
      </c>
      <c r="AI163">
        <v>6</v>
      </c>
      <c r="AJ163">
        <v>29</v>
      </c>
      <c r="AK163">
        <v>120</v>
      </c>
      <c r="AL163">
        <v>2</v>
      </c>
    </row>
    <row r="164" spans="1:38" x14ac:dyDescent="0.4">
      <c r="A164" t="s">
        <v>555</v>
      </c>
      <c r="B164">
        <v>162</v>
      </c>
      <c r="C164" t="s">
        <v>56</v>
      </c>
      <c r="D164">
        <v>1</v>
      </c>
      <c r="F164">
        <v>1</v>
      </c>
      <c r="G164" t="s">
        <v>120</v>
      </c>
      <c r="K164" t="s">
        <v>38</v>
      </c>
      <c r="L164">
        <v>1</v>
      </c>
      <c r="M164">
        <v>1</v>
      </c>
      <c r="N164">
        <v>2</v>
      </c>
      <c r="O164" t="s">
        <v>67</v>
      </c>
      <c r="P164" t="s">
        <v>70</v>
      </c>
      <c r="S164" t="s">
        <v>43</v>
      </c>
      <c r="T164">
        <v>1</v>
      </c>
      <c r="V164">
        <v>2</v>
      </c>
      <c r="W164" t="s">
        <v>135</v>
      </c>
      <c r="AA164" t="s">
        <v>45</v>
      </c>
      <c r="AB164">
        <v>2</v>
      </c>
      <c r="AD164">
        <v>1</v>
      </c>
      <c r="AE164" t="s">
        <v>47</v>
      </c>
      <c r="AI164">
        <v>4</v>
      </c>
      <c r="AJ164">
        <v>21</v>
      </c>
      <c r="AK164">
        <v>120</v>
      </c>
      <c r="AL164">
        <v>2</v>
      </c>
    </row>
    <row r="165" spans="1:38" x14ac:dyDescent="0.4">
      <c r="A165" t="s">
        <v>556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99</v>
      </c>
      <c r="I165" t="s">
        <v>100</v>
      </c>
      <c r="K165" t="s">
        <v>63</v>
      </c>
      <c r="L165">
        <v>2</v>
      </c>
      <c r="N165">
        <v>1</v>
      </c>
      <c r="O165" t="s">
        <v>72</v>
      </c>
      <c r="S165" t="s">
        <v>56</v>
      </c>
      <c r="T165">
        <v>1</v>
      </c>
      <c r="V165">
        <v>1</v>
      </c>
      <c r="W165" t="s">
        <v>120</v>
      </c>
      <c r="AA165" t="s">
        <v>38</v>
      </c>
      <c r="AB165">
        <v>1</v>
      </c>
      <c r="AC165">
        <v>2</v>
      </c>
      <c r="AD165">
        <v>1</v>
      </c>
      <c r="AE165" t="s">
        <v>152</v>
      </c>
      <c r="AI165">
        <v>4</v>
      </c>
      <c r="AJ165">
        <v>26</v>
      </c>
      <c r="AK165">
        <v>120</v>
      </c>
      <c r="AL165">
        <v>2</v>
      </c>
    </row>
    <row r="166" spans="1:38" x14ac:dyDescent="0.4">
      <c r="A166" t="s">
        <v>557</v>
      </c>
      <c r="B166">
        <v>164</v>
      </c>
      <c r="C166" t="s">
        <v>45</v>
      </c>
      <c r="D166">
        <v>1</v>
      </c>
      <c r="F166">
        <v>1</v>
      </c>
      <c r="G166" t="s">
        <v>86</v>
      </c>
      <c r="K166" t="s">
        <v>63</v>
      </c>
      <c r="L166">
        <v>2</v>
      </c>
      <c r="N166">
        <v>1</v>
      </c>
      <c r="O166" t="s">
        <v>103</v>
      </c>
      <c r="S166" t="s">
        <v>56</v>
      </c>
      <c r="T166">
        <v>1</v>
      </c>
      <c r="V166">
        <v>1</v>
      </c>
      <c r="W166" t="s">
        <v>57</v>
      </c>
      <c r="X166" t="s">
        <v>122</v>
      </c>
      <c r="AA166" t="s">
        <v>38</v>
      </c>
      <c r="AB166">
        <v>1</v>
      </c>
      <c r="AC166">
        <v>1</v>
      </c>
      <c r="AD166">
        <v>1</v>
      </c>
      <c r="AE166" t="s">
        <v>152</v>
      </c>
      <c r="AF166" t="s">
        <v>70</v>
      </c>
      <c r="AG166" t="s">
        <v>153</v>
      </c>
      <c r="AI166">
        <v>4</v>
      </c>
      <c r="AJ166">
        <v>28</v>
      </c>
      <c r="AK166">
        <v>120</v>
      </c>
      <c r="AL166">
        <v>2</v>
      </c>
    </row>
    <row r="167" spans="1:38" x14ac:dyDescent="0.4">
      <c r="A167" t="s">
        <v>558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X167" t="s">
        <v>50</v>
      </c>
      <c r="AA167" t="s">
        <v>33</v>
      </c>
      <c r="AB167">
        <v>1</v>
      </c>
      <c r="AD167">
        <v>1</v>
      </c>
      <c r="AE167" t="s">
        <v>34</v>
      </c>
      <c r="AF167" t="s">
        <v>130</v>
      </c>
      <c r="AI167">
        <v>3</v>
      </c>
      <c r="AJ167">
        <v>25</v>
      </c>
      <c r="AK167">
        <v>120</v>
      </c>
      <c r="AL167">
        <v>2</v>
      </c>
    </row>
    <row r="168" spans="1:38" x14ac:dyDescent="0.4">
      <c r="A168" t="s">
        <v>559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74</v>
      </c>
      <c r="K168" t="s">
        <v>63</v>
      </c>
      <c r="L168">
        <v>2</v>
      </c>
      <c r="N168">
        <v>1</v>
      </c>
      <c r="O168" t="s">
        <v>72</v>
      </c>
      <c r="S168" t="s">
        <v>48</v>
      </c>
      <c r="T168">
        <v>3</v>
      </c>
      <c r="V168">
        <v>1</v>
      </c>
      <c r="W168" t="s">
        <v>89</v>
      </c>
      <c r="AA168" t="s">
        <v>33</v>
      </c>
      <c r="AB168">
        <v>2</v>
      </c>
      <c r="AD168">
        <v>1</v>
      </c>
      <c r="AE168" t="s">
        <v>65</v>
      </c>
      <c r="AI168">
        <v>7</v>
      </c>
      <c r="AJ168">
        <v>25</v>
      </c>
      <c r="AK168">
        <v>120</v>
      </c>
      <c r="AL168">
        <v>2</v>
      </c>
    </row>
    <row r="169" spans="1:38" x14ac:dyDescent="0.4">
      <c r="A169" t="s">
        <v>560</v>
      </c>
      <c r="B169">
        <v>167</v>
      </c>
      <c r="C169" t="s">
        <v>48</v>
      </c>
      <c r="D169">
        <v>3</v>
      </c>
      <c r="F169">
        <v>1</v>
      </c>
      <c r="G169" t="s">
        <v>89</v>
      </c>
      <c r="K169" t="s">
        <v>33</v>
      </c>
      <c r="L169">
        <v>1</v>
      </c>
      <c r="N169">
        <v>1</v>
      </c>
      <c r="O169" t="s">
        <v>65</v>
      </c>
      <c r="S169" t="s">
        <v>43</v>
      </c>
      <c r="T169">
        <v>1</v>
      </c>
      <c r="V169">
        <v>1</v>
      </c>
      <c r="W169" t="s">
        <v>135</v>
      </c>
      <c r="X169" t="s">
        <v>136</v>
      </c>
      <c r="AA169" t="s">
        <v>38</v>
      </c>
      <c r="AB169">
        <v>1</v>
      </c>
      <c r="AC169">
        <v>1</v>
      </c>
      <c r="AD169">
        <v>1</v>
      </c>
      <c r="AE169" t="s">
        <v>67</v>
      </c>
      <c r="AF169" t="s">
        <v>70</v>
      </c>
      <c r="AG169" t="s">
        <v>154</v>
      </c>
      <c r="AI169">
        <v>5</v>
      </c>
      <c r="AJ169">
        <v>28</v>
      </c>
      <c r="AK169">
        <v>120</v>
      </c>
      <c r="AL169">
        <v>2</v>
      </c>
    </row>
    <row r="170" spans="1:38" x14ac:dyDescent="0.4">
      <c r="A170" t="s">
        <v>561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72</v>
      </c>
      <c r="S170" t="s">
        <v>48</v>
      </c>
      <c r="T170">
        <v>2</v>
      </c>
      <c r="V170">
        <v>1</v>
      </c>
      <c r="W170" t="s">
        <v>89</v>
      </c>
      <c r="AA170" t="s">
        <v>33</v>
      </c>
      <c r="AB170">
        <v>1</v>
      </c>
      <c r="AD170">
        <v>1</v>
      </c>
      <c r="AE170" t="s">
        <v>46</v>
      </c>
      <c r="AF170" t="s">
        <v>66</v>
      </c>
      <c r="AI170">
        <v>4</v>
      </c>
      <c r="AJ170">
        <v>21</v>
      </c>
      <c r="AK170">
        <v>120</v>
      </c>
      <c r="AL170">
        <v>2</v>
      </c>
    </row>
    <row r="171" spans="1:38" x14ac:dyDescent="0.4">
      <c r="A171" t="s">
        <v>562</v>
      </c>
      <c r="B171">
        <v>169</v>
      </c>
      <c r="C171" t="s">
        <v>45</v>
      </c>
      <c r="D171">
        <v>2</v>
      </c>
      <c r="F171">
        <v>1</v>
      </c>
      <c r="G171" t="s">
        <v>47</v>
      </c>
      <c r="K171" t="s">
        <v>38</v>
      </c>
      <c r="L171">
        <v>2</v>
      </c>
      <c r="M171">
        <v>1</v>
      </c>
      <c r="N171">
        <v>1</v>
      </c>
      <c r="O171" t="s">
        <v>152</v>
      </c>
      <c r="S171" t="s">
        <v>48</v>
      </c>
      <c r="T171">
        <v>2</v>
      </c>
      <c r="V171">
        <v>1</v>
      </c>
      <c r="W171" t="s">
        <v>89</v>
      </c>
      <c r="AA171" t="s">
        <v>33</v>
      </c>
      <c r="AB171">
        <v>1</v>
      </c>
      <c r="AD171">
        <v>1</v>
      </c>
      <c r="AE171" t="s">
        <v>46</v>
      </c>
      <c r="AI171">
        <v>3</v>
      </c>
      <c r="AJ171">
        <v>24</v>
      </c>
      <c r="AK171">
        <v>120</v>
      </c>
      <c r="AL171">
        <v>2</v>
      </c>
    </row>
    <row r="172" spans="1:38" x14ac:dyDescent="0.4">
      <c r="A172" t="s">
        <v>563</v>
      </c>
      <c r="B172">
        <v>170</v>
      </c>
      <c r="C172" t="s">
        <v>48</v>
      </c>
      <c r="D172">
        <v>3</v>
      </c>
      <c r="F172">
        <v>1</v>
      </c>
      <c r="G172" t="s">
        <v>49</v>
      </c>
      <c r="K172" t="s">
        <v>33</v>
      </c>
      <c r="L172">
        <v>1</v>
      </c>
      <c r="N172">
        <v>2</v>
      </c>
      <c r="O172" t="s">
        <v>46</v>
      </c>
      <c r="S172" t="s">
        <v>63</v>
      </c>
      <c r="T172">
        <v>2</v>
      </c>
      <c r="V172">
        <v>1</v>
      </c>
      <c r="W172" t="s">
        <v>72</v>
      </c>
      <c r="AA172" t="s">
        <v>38</v>
      </c>
      <c r="AB172">
        <v>1</v>
      </c>
      <c r="AC172">
        <v>3</v>
      </c>
      <c r="AD172">
        <v>1</v>
      </c>
      <c r="AE172" t="s">
        <v>67</v>
      </c>
      <c r="AI172">
        <v>6</v>
      </c>
      <c r="AJ172">
        <v>28</v>
      </c>
      <c r="AK172">
        <v>120</v>
      </c>
      <c r="AL172">
        <v>2</v>
      </c>
    </row>
    <row r="173" spans="1:38" x14ac:dyDescent="0.4">
      <c r="A173" t="s">
        <v>564</v>
      </c>
      <c r="B173">
        <v>171</v>
      </c>
      <c r="C173" t="s">
        <v>48</v>
      </c>
      <c r="D173">
        <v>2</v>
      </c>
      <c r="F173">
        <v>2</v>
      </c>
      <c r="G173" t="s">
        <v>89</v>
      </c>
      <c r="K173" t="s">
        <v>43</v>
      </c>
      <c r="L173">
        <v>2</v>
      </c>
      <c r="N173">
        <v>2</v>
      </c>
      <c r="O173" t="s">
        <v>135</v>
      </c>
      <c r="P173" t="s">
        <v>136</v>
      </c>
      <c r="S173" t="s">
        <v>33</v>
      </c>
      <c r="T173">
        <v>3</v>
      </c>
      <c r="V173">
        <v>1</v>
      </c>
      <c r="W173" t="s">
        <v>65</v>
      </c>
      <c r="X173" t="s">
        <v>130</v>
      </c>
      <c r="AA173" t="s">
        <v>45</v>
      </c>
      <c r="AB173">
        <v>2</v>
      </c>
      <c r="AD173">
        <v>1</v>
      </c>
      <c r="AE173" t="s">
        <v>47</v>
      </c>
      <c r="AI173">
        <v>9</v>
      </c>
      <c r="AJ173">
        <v>39</v>
      </c>
      <c r="AK173">
        <v>120</v>
      </c>
      <c r="AL173">
        <v>2</v>
      </c>
    </row>
    <row r="174" spans="1:38" x14ac:dyDescent="0.4">
      <c r="A174" t="s">
        <v>565</v>
      </c>
      <c r="B174">
        <v>172</v>
      </c>
      <c r="C174" t="s">
        <v>48</v>
      </c>
      <c r="D174">
        <v>3</v>
      </c>
      <c r="F174">
        <v>1</v>
      </c>
      <c r="G174" t="s">
        <v>89</v>
      </c>
      <c r="H174" t="s">
        <v>71</v>
      </c>
      <c r="K174" t="s">
        <v>43</v>
      </c>
      <c r="L174">
        <v>2</v>
      </c>
      <c r="N174">
        <v>1</v>
      </c>
      <c r="O174" t="s">
        <v>135</v>
      </c>
      <c r="P174" t="s">
        <v>136</v>
      </c>
      <c r="Q174" t="s">
        <v>137</v>
      </c>
      <c r="R174" t="s">
        <v>138</v>
      </c>
      <c r="S174" t="s">
        <v>33</v>
      </c>
      <c r="T174">
        <v>3</v>
      </c>
      <c r="V174">
        <v>1</v>
      </c>
      <c r="W174" t="s">
        <v>65</v>
      </c>
      <c r="AA174" t="s">
        <v>63</v>
      </c>
      <c r="AB174">
        <v>3</v>
      </c>
      <c r="AD174">
        <v>1</v>
      </c>
      <c r="AE174" t="s">
        <v>72</v>
      </c>
      <c r="AF174" t="s">
        <v>146</v>
      </c>
      <c r="AI174">
        <v>12</v>
      </c>
      <c r="AJ174">
        <v>51</v>
      </c>
      <c r="AK174">
        <v>120</v>
      </c>
      <c r="AL174">
        <v>2</v>
      </c>
    </row>
    <row r="175" spans="1:38" x14ac:dyDescent="0.4">
      <c r="A175" t="s">
        <v>566</v>
      </c>
      <c r="B175">
        <v>173</v>
      </c>
      <c r="C175" t="s">
        <v>48</v>
      </c>
      <c r="D175">
        <v>2</v>
      </c>
      <c r="F175">
        <v>2</v>
      </c>
      <c r="G175" t="s">
        <v>89</v>
      </c>
      <c r="K175" t="s">
        <v>43</v>
      </c>
      <c r="L175">
        <v>3</v>
      </c>
      <c r="N175">
        <v>1</v>
      </c>
      <c r="O175" t="s">
        <v>135</v>
      </c>
      <c r="P175" t="s">
        <v>99</v>
      </c>
      <c r="S175" t="s">
        <v>33</v>
      </c>
      <c r="T175">
        <v>3</v>
      </c>
      <c r="V175">
        <v>1</v>
      </c>
      <c r="W175" t="s">
        <v>65</v>
      </c>
      <c r="AA175" t="s">
        <v>38</v>
      </c>
      <c r="AB175">
        <v>3</v>
      </c>
      <c r="AC175">
        <v>1</v>
      </c>
      <c r="AD175">
        <v>1</v>
      </c>
      <c r="AE175" t="s">
        <v>67</v>
      </c>
      <c r="AF175" t="s">
        <v>96</v>
      </c>
      <c r="AI175">
        <v>10</v>
      </c>
      <c r="AJ175">
        <v>29</v>
      </c>
      <c r="AK175">
        <v>120</v>
      </c>
      <c r="AL175">
        <v>2</v>
      </c>
    </row>
    <row r="176" spans="1:38" x14ac:dyDescent="0.4">
      <c r="A176" t="s">
        <v>567</v>
      </c>
      <c r="B176">
        <v>174</v>
      </c>
      <c r="C176" t="s">
        <v>45</v>
      </c>
      <c r="D176">
        <v>3</v>
      </c>
      <c r="F176">
        <v>1</v>
      </c>
      <c r="G176" t="s">
        <v>86</v>
      </c>
      <c r="H176" t="s">
        <v>92</v>
      </c>
      <c r="K176" t="s">
        <v>63</v>
      </c>
      <c r="L176">
        <v>2</v>
      </c>
      <c r="N176">
        <v>1</v>
      </c>
      <c r="O176" t="s">
        <v>72</v>
      </c>
      <c r="P176" t="s">
        <v>146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Y176" t="s">
        <v>90</v>
      </c>
      <c r="Z176" t="s">
        <v>52</v>
      </c>
      <c r="AA176" t="s">
        <v>43</v>
      </c>
      <c r="AB176">
        <v>1</v>
      </c>
      <c r="AD176">
        <v>1</v>
      </c>
      <c r="AE176" t="s">
        <v>135</v>
      </c>
      <c r="AI176">
        <v>8</v>
      </c>
      <c r="AJ176">
        <v>50</v>
      </c>
      <c r="AK176">
        <v>120</v>
      </c>
      <c r="AL176">
        <v>2</v>
      </c>
    </row>
    <row r="177" spans="1:38" x14ac:dyDescent="0.4">
      <c r="A177" t="s">
        <v>568</v>
      </c>
      <c r="B177">
        <v>175</v>
      </c>
      <c r="C177" t="s">
        <v>45</v>
      </c>
      <c r="D177">
        <v>2</v>
      </c>
      <c r="F177">
        <v>1</v>
      </c>
      <c r="G177" t="s">
        <v>86</v>
      </c>
      <c r="K177" t="s">
        <v>38</v>
      </c>
      <c r="L177">
        <v>1</v>
      </c>
      <c r="M177">
        <v>1</v>
      </c>
      <c r="N177">
        <v>1</v>
      </c>
      <c r="O177" t="s">
        <v>67</v>
      </c>
      <c r="P177" t="s">
        <v>70</v>
      </c>
      <c r="Q177" t="s">
        <v>41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AA177" t="s">
        <v>43</v>
      </c>
      <c r="AB177">
        <v>1</v>
      </c>
      <c r="AD177">
        <v>1</v>
      </c>
      <c r="AE177" t="s">
        <v>135</v>
      </c>
      <c r="AI177">
        <v>4</v>
      </c>
      <c r="AJ177">
        <v>27</v>
      </c>
      <c r="AK177">
        <v>120</v>
      </c>
      <c r="AL177">
        <v>2</v>
      </c>
    </row>
    <row r="178" spans="1:38" x14ac:dyDescent="0.4">
      <c r="A178" t="s">
        <v>569</v>
      </c>
      <c r="B178">
        <v>176</v>
      </c>
      <c r="C178" t="s">
        <v>48</v>
      </c>
      <c r="D178">
        <v>3</v>
      </c>
      <c r="F178">
        <v>1</v>
      </c>
      <c r="G178" t="s">
        <v>49</v>
      </c>
      <c r="K178" t="s">
        <v>43</v>
      </c>
      <c r="L178">
        <v>2</v>
      </c>
      <c r="N178">
        <v>1</v>
      </c>
      <c r="O178" t="s">
        <v>135</v>
      </c>
      <c r="P178" t="s">
        <v>99</v>
      </c>
      <c r="S178" t="s">
        <v>63</v>
      </c>
      <c r="T178">
        <v>2</v>
      </c>
      <c r="V178">
        <v>2</v>
      </c>
      <c r="W178" t="s">
        <v>72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8</v>
      </c>
      <c r="AJ178">
        <v>35</v>
      </c>
      <c r="AK178">
        <v>120</v>
      </c>
      <c r="AL178">
        <v>2</v>
      </c>
    </row>
    <row r="179" spans="1:38" x14ac:dyDescent="0.4">
      <c r="A179" t="s">
        <v>570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2</v>
      </c>
      <c r="N179">
        <v>1</v>
      </c>
      <c r="O179" t="s">
        <v>140</v>
      </c>
      <c r="S179" t="s">
        <v>33</v>
      </c>
      <c r="T179">
        <v>2</v>
      </c>
      <c r="V179">
        <v>1</v>
      </c>
      <c r="W179" t="s">
        <v>46</v>
      </c>
      <c r="X179" t="s">
        <v>66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I179">
        <v>4</v>
      </c>
      <c r="AJ179">
        <v>25</v>
      </c>
      <c r="AK179">
        <v>120</v>
      </c>
      <c r="AL179">
        <v>2</v>
      </c>
    </row>
    <row r="180" spans="1:38" x14ac:dyDescent="0.4">
      <c r="A180" t="s">
        <v>571</v>
      </c>
      <c r="B180">
        <v>178</v>
      </c>
      <c r="C180" t="s">
        <v>33</v>
      </c>
      <c r="D180">
        <v>1</v>
      </c>
      <c r="F180">
        <v>2</v>
      </c>
      <c r="G180" t="s">
        <v>46</v>
      </c>
      <c r="H180" t="s">
        <v>35</v>
      </c>
      <c r="K180" t="s">
        <v>63</v>
      </c>
      <c r="L180">
        <v>2</v>
      </c>
      <c r="N180">
        <v>1</v>
      </c>
      <c r="O180" t="s">
        <v>72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2</v>
      </c>
      <c r="AD180">
        <v>1</v>
      </c>
      <c r="AE180" t="s">
        <v>47</v>
      </c>
      <c r="AI180">
        <v>4</v>
      </c>
      <c r="AJ180">
        <v>24</v>
      </c>
      <c r="AK180">
        <v>120</v>
      </c>
      <c r="AL180">
        <v>2</v>
      </c>
    </row>
    <row r="181" spans="1:38" x14ac:dyDescent="0.4">
      <c r="A181" t="s">
        <v>572</v>
      </c>
      <c r="B181">
        <v>179</v>
      </c>
      <c r="C181" t="s">
        <v>48</v>
      </c>
      <c r="D181">
        <v>2</v>
      </c>
      <c r="F181">
        <v>1</v>
      </c>
      <c r="G181" t="s">
        <v>89</v>
      </c>
      <c r="K181" t="s">
        <v>45</v>
      </c>
      <c r="L181">
        <v>2</v>
      </c>
      <c r="N181">
        <v>1</v>
      </c>
      <c r="O181" t="s">
        <v>47</v>
      </c>
      <c r="S181" t="s">
        <v>33</v>
      </c>
      <c r="T181">
        <v>3</v>
      </c>
      <c r="V181">
        <v>1</v>
      </c>
      <c r="W181" t="s">
        <v>46</v>
      </c>
      <c r="AA181" t="s">
        <v>38</v>
      </c>
      <c r="AB181">
        <v>1</v>
      </c>
      <c r="AC181">
        <v>1</v>
      </c>
      <c r="AD181">
        <v>1</v>
      </c>
      <c r="AE181" t="s">
        <v>67</v>
      </c>
      <c r="AF181" t="s">
        <v>96</v>
      </c>
      <c r="AI181">
        <v>5</v>
      </c>
      <c r="AJ181">
        <v>20</v>
      </c>
      <c r="AK181">
        <v>120</v>
      </c>
      <c r="AL181">
        <v>2</v>
      </c>
    </row>
    <row r="182" spans="1:38" x14ac:dyDescent="0.4">
      <c r="A182" t="s">
        <v>573</v>
      </c>
      <c r="B182">
        <v>180</v>
      </c>
      <c r="C182" t="s">
        <v>43</v>
      </c>
      <c r="D182">
        <v>2</v>
      </c>
      <c r="F182">
        <v>1</v>
      </c>
      <c r="G182" t="s">
        <v>135</v>
      </c>
      <c r="H182" t="s">
        <v>136</v>
      </c>
      <c r="K182" t="s">
        <v>63</v>
      </c>
      <c r="L182">
        <v>2</v>
      </c>
      <c r="N182">
        <v>1</v>
      </c>
      <c r="O182" t="s">
        <v>72</v>
      </c>
      <c r="S182" t="s">
        <v>48</v>
      </c>
      <c r="T182">
        <v>3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6</v>
      </c>
      <c r="AJ182">
        <v>29</v>
      </c>
      <c r="AK182">
        <v>120</v>
      </c>
      <c r="AL182">
        <v>2</v>
      </c>
    </row>
    <row r="183" spans="1:38" x14ac:dyDescent="0.4">
      <c r="A183" t="s">
        <v>574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99</v>
      </c>
      <c r="K183" t="s">
        <v>38</v>
      </c>
      <c r="L183">
        <v>2</v>
      </c>
      <c r="M183">
        <v>1</v>
      </c>
      <c r="N183">
        <v>1</v>
      </c>
      <c r="O183" t="s">
        <v>67</v>
      </c>
      <c r="S183" t="s">
        <v>48</v>
      </c>
      <c r="T183">
        <v>2</v>
      </c>
      <c r="V183">
        <v>1</v>
      </c>
      <c r="W183" t="s">
        <v>89</v>
      </c>
      <c r="AA183" t="s">
        <v>45</v>
      </c>
      <c r="AB183">
        <v>2</v>
      </c>
      <c r="AD183">
        <v>1</v>
      </c>
      <c r="AE183" t="s">
        <v>140</v>
      </c>
      <c r="AI183">
        <v>5</v>
      </c>
      <c r="AJ183">
        <v>27</v>
      </c>
      <c r="AK183">
        <v>120</v>
      </c>
      <c r="AL183">
        <v>2</v>
      </c>
    </row>
    <row r="184" spans="1:38" x14ac:dyDescent="0.4">
      <c r="A184" t="s">
        <v>575</v>
      </c>
      <c r="B184">
        <v>182</v>
      </c>
      <c r="C184" t="s">
        <v>48</v>
      </c>
      <c r="D184">
        <v>3</v>
      </c>
      <c r="F184">
        <v>1</v>
      </c>
      <c r="G184" t="s">
        <v>49</v>
      </c>
      <c r="K184" t="s">
        <v>45</v>
      </c>
      <c r="L184">
        <v>2</v>
      </c>
      <c r="N184">
        <v>1</v>
      </c>
      <c r="O184" t="s">
        <v>47</v>
      </c>
      <c r="S184" t="s">
        <v>63</v>
      </c>
      <c r="T184">
        <v>1</v>
      </c>
      <c r="V184">
        <v>2</v>
      </c>
      <c r="W184" t="s">
        <v>72</v>
      </c>
      <c r="AA184" t="s">
        <v>38</v>
      </c>
      <c r="AB184">
        <v>2</v>
      </c>
      <c r="AC184">
        <v>1</v>
      </c>
      <c r="AD184">
        <v>2</v>
      </c>
      <c r="AE184" t="s">
        <v>67</v>
      </c>
      <c r="AI184">
        <v>6</v>
      </c>
      <c r="AJ184">
        <v>34</v>
      </c>
      <c r="AK184">
        <v>120</v>
      </c>
      <c r="AL184">
        <v>2</v>
      </c>
    </row>
    <row r="185" spans="1:38" x14ac:dyDescent="0.4">
      <c r="A185" t="s">
        <v>576</v>
      </c>
      <c r="B185">
        <v>183</v>
      </c>
      <c r="C185" t="s">
        <v>33</v>
      </c>
      <c r="D185">
        <v>3</v>
      </c>
      <c r="F185">
        <v>1</v>
      </c>
      <c r="G185" t="s">
        <v>46</v>
      </c>
      <c r="K185" t="s">
        <v>43</v>
      </c>
      <c r="L185">
        <v>1</v>
      </c>
      <c r="N185">
        <v>1</v>
      </c>
      <c r="O185" t="s">
        <v>135</v>
      </c>
      <c r="P185" t="s">
        <v>99</v>
      </c>
      <c r="Q185" t="s">
        <v>100</v>
      </c>
      <c r="S185" t="s">
        <v>48</v>
      </c>
      <c r="T185">
        <v>1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72</v>
      </c>
      <c r="AF185" t="s">
        <v>146</v>
      </c>
      <c r="AG185" t="s">
        <v>148</v>
      </c>
      <c r="AI185">
        <v>6</v>
      </c>
      <c r="AJ185">
        <v>40</v>
      </c>
      <c r="AK185">
        <v>120</v>
      </c>
      <c r="AL185">
        <v>2</v>
      </c>
    </row>
    <row r="186" spans="1:38" x14ac:dyDescent="0.4">
      <c r="A186" t="s">
        <v>577</v>
      </c>
      <c r="B186">
        <v>184</v>
      </c>
      <c r="C186" t="s">
        <v>33</v>
      </c>
      <c r="D186">
        <v>2</v>
      </c>
      <c r="F186">
        <v>1</v>
      </c>
      <c r="G186" t="s">
        <v>46</v>
      </c>
      <c r="H186" t="s">
        <v>66</v>
      </c>
      <c r="K186" t="s">
        <v>45</v>
      </c>
      <c r="L186">
        <v>3</v>
      </c>
      <c r="N186">
        <v>1</v>
      </c>
      <c r="O186" t="s">
        <v>47</v>
      </c>
      <c r="P186" t="s">
        <v>76</v>
      </c>
      <c r="S186" t="s">
        <v>48</v>
      </c>
      <c r="T186">
        <v>1</v>
      </c>
      <c r="V186">
        <v>2</v>
      </c>
      <c r="W186" t="s">
        <v>89</v>
      </c>
      <c r="AA186" t="s">
        <v>63</v>
      </c>
      <c r="AB186">
        <v>2</v>
      </c>
      <c r="AD186">
        <v>1</v>
      </c>
      <c r="AE186" t="s">
        <v>72</v>
      </c>
      <c r="AI186">
        <v>7</v>
      </c>
      <c r="AJ186">
        <v>30</v>
      </c>
      <c r="AK186">
        <v>120</v>
      </c>
      <c r="AL186">
        <v>2</v>
      </c>
    </row>
    <row r="187" spans="1:38" x14ac:dyDescent="0.4">
      <c r="A187" t="s">
        <v>578</v>
      </c>
      <c r="B187">
        <v>185</v>
      </c>
      <c r="C187" t="s">
        <v>48</v>
      </c>
      <c r="D187">
        <v>3</v>
      </c>
      <c r="F187">
        <v>3</v>
      </c>
      <c r="G187" t="s">
        <v>89</v>
      </c>
      <c r="K187" t="s">
        <v>63</v>
      </c>
      <c r="L187">
        <v>1</v>
      </c>
      <c r="N187">
        <v>1</v>
      </c>
      <c r="O187" t="s">
        <v>72</v>
      </c>
      <c r="S187" t="s">
        <v>33</v>
      </c>
      <c r="T187">
        <v>2</v>
      </c>
      <c r="V187">
        <v>1</v>
      </c>
      <c r="W187" t="s">
        <v>65</v>
      </c>
      <c r="AA187" t="s">
        <v>38</v>
      </c>
      <c r="AB187">
        <v>3</v>
      </c>
      <c r="AC187">
        <v>1</v>
      </c>
      <c r="AD187">
        <v>2</v>
      </c>
      <c r="AE187" t="s">
        <v>152</v>
      </c>
      <c r="AF187" t="s">
        <v>40</v>
      </c>
      <c r="AI187">
        <v>9</v>
      </c>
      <c r="AJ187">
        <v>39</v>
      </c>
      <c r="AK187">
        <v>120</v>
      </c>
      <c r="AL187">
        <v>2</v>
      </c>
    </row>
    <row r="188" spans="1:38" x14ac:dyDescent="0.4">
      <c r="A188" t="s">
        <v>579</v>
      </c>
      <c r="B188">
        <v>186</v>
      </c>
      <c r="C188" t="s">
        <v>43</v>
      </c>
      <c r="D188">
        <v>1</v>
      </c>
      <c r="F188">
        <v>1</v>
      </c>
      <c r="G188" t="s">
        <v>135</v>
      </c>
      <c r="H188" t="s">
        <v>136</v>
      </c>
      <c r="K188" t="s">
        <v>45</v>
      </c>
      <c r="L188">
        <v>2</v>
      </c>
      <c r="N188">
        <v>2</v>
      </c>
      <c r="O188" t="s">
        <v>47</v>
      </c>
      <c r="P188" t="s">
        <v>141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AA188" t="s">
        <v>63</v>
      </c>
      <c r="AB188">
        <v>3</v>
      </c>
      <c r="AD188">
        <v>1</v>
      </c>
      <c r="AE188" t="s">
        <v>72</v>
      </c>
      <c r="AF188" t="s">
        <v>146</v>
      </c>
      <c r="AI188">
        <v>9</v>
      </c>
      <c r="AJ188">
        <v>36</v>
      </c>
      <c r="AK188">
        <v>120</v>
      </c>
      <c r="AL188">
        <v>2</v>
      </c>
    </row>
    <row r="189" spans="1:38" x14ac:dyDescent="0.4">
      <c r="A189" t="s">
        <v>580</v>
      </c>
      <c r="B189">
        <v>187</v>
      </c>
      <c r="C189" t="s">
        <v>43</v>
      </c>
      <c r="D189">
        <v>1</v>
      </c>
      <c r="F189">
        <v>1</v>
      </c>
      <c r="G189" t="s">
        <v>135</v>
      </c>
      <c r="H189" t="s">
        <v>99</v>
      </c>
      <c r="I189" t="s">
        <v>75</v>
      </c>
      <c r="K189" t="s">
        <v>38</v>
      </c>
      <c r="L189">
        <v>2</v>
      </c>
      <c r="M189">
        <v>1</v>
      </c>
      <c r="N189">
        <v>1</v>
      </c>
      <c r="O189" t="s">
        <v>152</v>
      </c>
      <c r="P189" t="s">
        <v>96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2</v>
      </c>
      <c r="AD189">
        <v>1</v>
      </c>
      <c r="AE189" t="s">
        <v>72</v>
      </c>
      <c r="AI189">
        <v>6</v>
      </c>
      <c r="AJ189">
        <v>36</v>
      </c>
      <c r="AK189">
        <v>120</v>
      </c>
      <c r="AL189">
        <v>2</v>
      </c>
    </row>
    <row r="190" spans="1:38" x14ac:dyDescent="0.4">
      <c r="A190" t="s">
        <v>581</v>
      </c>
      <c r="B190">
        <v>188</v>
      </c>
      <c r="C190" t="s">
        <v>45</v>
      </c>
      <c r="D190">
        <v>2</v>
      </c>
      <c r="F190">
        <v>1</v>
      </c>
      <c r="G190" t="s">
        <v>86</v>
      </c>
      <c r="K190" t="s">
        <v>38</v>
      </c>
      <c r="L190">
        <v>3</v>
      </c>
      <c r="M190">
        <v>1</v>
      </c>
      <c r="N190">
        <v>1</v>
      </c>
      <c r="O190" t="s">
        <v>152</v>
      </c>
      <c r="P190" t="s">
        <v>96</v>
      </c>
      <c r="S190" t="s">
        <v>48</v>
      </c>
      <c r="T190">
        <v>2</v>
      </c>
      <c r="V190">
        <v>1</v>
      </c>
      <c r="W190" t="s">
        <v>89</v>
      </c>
      <c r="AA190" t="s">
        <v>63</v>
      </c>
      <c r="AB190">
        <v>2</v>
      </c>
      <c r="AD190">
        <v>1</v>
      </c>
      <c r="AE190" t="s">
        <v>72</v>
      </c>
      <c r="AI190">
        <v>6</v>
      </c>
      <c r="AJ190">
        <v>29</v>
      </c>
      <c r="AK190">
        <v>120</v>
      </c>
      <c r="AL190">
        <v>2</v>
      </c>
    </row>
    <row r="191" spans="1:38" x14ac:dyDescent="0.4">
      <c r="A191" t="s">
        <v>582</v>
      </c>
      <c r="B191">
        <v>189</v>
      </c>
      <c r="C191" t="s">
        <v>48</v>
      </c>
      <c r="D191">
        <v>3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1</v>
      </c>
      <c r="O191" t="s">
        <v>67</v>
      </c>
      <c r="P191" t="s">
        <v>70</v>
      </c>
      <c r="S191" t="s">
        <v>33</v>
      </c>
      <c r="T191">
        <v>2</v>
      </c>
      <c r="V191">
        <v>1</v>
      </c>
      <c r="W191" t="s">
        <v>46</v>
      </c>
      <c r="AA191" t="s">
        <v>43</v>
      </c>
      <c r="AB191">
        <v>1</v>
      </c>
      <c r="AD191">
        <v>2</v>
      </c>
      <c r="AE191" t="s">
        <v>135</v>
      </c>
      <c r="AF191" t="s">
        <v>136</v>
      </c>
      <c r="AI191">
        <v>6</v>
      </c>
      <c r="AJ191">
        <v>24</v>
      </c>
      <c r="AK191">
        <v>120</v>
      </c>
      <c r="AL191">
        <v>2</v>
      </c>
    </row>
    <row r="192" spans="1:38" x14ac:dyDescent="0.4">
      <c r="A192" t="s">
        <v>583</v>
      </c>
      <c r="B192">
        <v>190</v>
      </c>
      <c r="C192" t="s">
        <v>48</v>
      </c>
      <c r="D192">
        <v>1</v>
      </c>
      <c r="F192">
        <v>1</v>
      </c>
      <c r="G192" t="s">
        <v>89</v>
      </c>
      <c r="H192" t="s">
        <v>84</v>
      </c>
      <c r="I192" t="s">
        <v>90</v>
      </c>
      <c r="K192" t="s">
        <v>38</v>
      </c>
      <c r="L192">
        <v>1</v>
      </c>
      <c r="M192">
        <v>2</v>
      </c>
      <c r="N192">
        <v>1</v>
      </c>
      <c r="O192" t="s">
        <v>67</v>
      </c>
      <c r="S192" t="s">
        <v>33</v>
      </c>
      <c r="T192">
        <v>2</v>
      </c>
      <c r="V192">
        <v>1</v>
      </c>
      <c r="W192" t="s">
        <v>46</v>
      </c>
      <c r="AA192" t="s">
        <v>45</v>
      </c>
      <c r="AB192">
        <v>2</v>
      </c>
      <c r="AD192">
        <v>1</v>
      </c>
      <c r="AE192" t="s">
        <v>47</v>
      </c>
      <c r="AI192">
        <v>5</v>
      </c>
      <c r="AJ192">
        <v>29</v>
      </c>
      <c r="AK192">
        <v>120</v>
      </c>
      <c r="AL192">
        <v>2</v>
      </c>
    </row>
    <row r="193" spans="1:38" x14ac:dyDescent="0.4">
      <c r="A193" t="s">
        <v>584</v>
      </c>
      <c r="B193">
        <v>191</v>
      </c>
      <c r="C193" t="s">
        <v>33</v>
      </c>
      <c r="D193">
        <v>3</v>
      </c>
      <c r="F193">
        <v>1</v>
      </c>
      <c r="G193" t="s">
        <v>65</v>
      </c>
      <c r="H193" t="s">
        <v>35</v>
      </c>
      <c r="K193" t="s">
        <v>63</v>
      </c>
      <c r="L193">
        <v>1</v>
      </c>
      <c r="N193">
        <v>1</v>
      </c>
      <c r="O193" t="s">
        <v>72</v>
      </c>
      <c r="P193" t="s">
        <v>95</v>
      </c>
      <c r="S193" t="s">
        <v>48</v>
      </c>
      <c r="T193">
        <v>1</v>
      </c>
      <c r="V193">
        <v>1</v>
      </c>
      <c r="W193" t="s">
        <v>49</v>
      </c>
      <c r="AA193" t="s">
        <v>38</v>
      </c>
      <c r="AB193">
        <v>1</v>
      </c>
      <c r="AC193">
        <v>1</v>
      </c>
      <c r="AD193">
        <v>3</v>
      </c>
      <c r="AE193" t="s">
        <v>67</v>
      </c>
      <c r="AI193">
        <v>6</v>
      </c>
      <c r="AJ193">
        <v>31</v>
      </c>
      <c r="AK193">
        <v>120</v>
      </c>
      <c r="AL193">
        <v>2</v>
      </c>
    </row>
    <row r="194" spans="1:38" x14ac:dyDescent="0.4">
      <c r="A194" t="s">
        <v>585</v>
      </c>
      <c r="B194">
        <v>192</v>
      </c>
      <c r="C194" t="s">
        <v>48</v>
      </c>
      <c r="D194">
        <v>2</v>
      </c>
      <c r="F194">
        <v>1</v>
      </c>
      <c r="G194" t="s">
        <v>89</v>
      </c>
      <c r="K194" t="s">
        <v>38</v>
      </c>
      <c r="L194">
        <v>1</v>
      </c>
      <c r="M194">
        <v>2</v>
      </c>
      <c r="N194">
        <v>1</v>
      </c>
      <c r="O194" t="s">
        <v>67</v>
      </c>
      <c r="P194" t="s">
        <v>70</v>
      </c>
      <c r="Q194" t="s">
        <v>153</v>
      </c>
      <c r="S194" t="s">
        <v>43</v>
      </c>
      <c r="T194">
        <v>1</v>
      </c>
      <c r="V194">
        <v>3</v>
      </c>
      <c r="W194" t="s">
        <v>135</v>
      </c>
      <c r="X194" t="s">
        <v>136</v>
      </c>
      <c r="AA194" t="s">
        <v>45</v>
      </c>
      <c r="AB194">
        <v>2</v>
      </c>
      <c r="AD194">
        <v>1</v>
      </c>
      <c r="AE194" t="s">
        <v>47</v>
      </c>
      <c r="AI194">
        <v>8</v>
      </c>
      <c r="AJ194">
        <v>30</v>
      </c>
      <c r="AK194">
        <v>120</v>
      </c>
      <c r="AL194">
        <v>2</v>
      </c>
    </row>
    <row r="195" spans="1:38" x14ac:dyDescent="0.4">
      <c r="A195" t="s">
        <v>586</v>
      </c>
      <c r="B195">
        <v>193</v>
      </c>
      <c r="C195" t="s">
        <v>43</v>
      </c>
      <c r="D195">
        <v>1</v>
      </c>
      <c r="F195">
        <v>1</v>
      </c>
      <c r="G195" t="s">
        <v>135</v>
      </c>
      <c r="H195" t="s">
        <v>99</v>
      </c>
      <c r="I195" t="s">
        <v>100</v>
      </c>
      <c r="J195" t="s">
        <v>139</v>
      </c>
      <c r="K195" t="s">
        <v>63</v>
      </c>
      <c r="L195">
        <v>2</v>
      </c>
      <c r="N195">
        <v>1</v>
      </c>
      <c r="O195" t="s">
        <v>72</v>
      </c>
      <c r="S195" t="s">
        <v>48</v>
      </c>
      <c r="T195">
        <v>3</v>
      </c>
      <c r="V195">
        <v>1</v>
      </c>
      <c r="W195" t="s">
        <v>49</v>
      </c>
      <c r="AA195" t="s">
        <v>38</v>
      </c>
      <c r="AB195">
        <v>2</v>
      </c>
      <c r="AC195">
        <v>1</v>
      </c>
      <c r="AD195">
        <v>1</v>
      </c>
      <c r="AE195" t="s">
        <v>67</v>
      </c>
      <c r="AI195">
        <v>7</v>
      </c>
      <c r="AJ195">
        <v>31</v>
      </c>
      <c r="AK195">
        <v>120</v>
      </c>
      <c r="AL195">
        <v>2</v>
      </c>
    </row>
    <row r="196" spans="1:38" x14ac:dyDescent="0.4">
      <c r="A196" t="s">
        <v>587</v>
      </c>
      <c r="B196">
        <v>194</v>
      </c>
      <c r="C196" t="s">
        <v>45</v>
      </c>
      <c r="D196">
        <v>3</v>
      </c>
      <c r="F196">
        <v>3</v>
      </c>
      <c r="G196" t="s">
        <v>86</v>
      </c>
      <c r="H196" t="s">
        <v>76</v>
      </c>
      <c r="K196" t="s">
        <v>63</v>
      </c>
      <c r="L196">
        <v>2</v>
      </c>
      <c r="N196">
        <v>1</v>
      </c>
      <c r="O196" t="s">
        <v>72</v>
      </c>
      <c r="S196" t="s">
        <v>48</v>
      </c>
      <c r="T196">
        <v>1</v>
      </c>
      <c r="V196">
        <v>1</v>
      </c>
      <c r="W196" t="s">
        <v>49</v>
      </c>
      <c r="X196" t="s">
        <v>71</v>
      </c>
      <c r="Y196" t="s">
        <v>90</v>
      </c>
      <c r="Z196" t="s">
        <v>52</v>
      </c>
      <c r="AA196" t="s">
        <v>38</v>
      </c>
      <c r="AB196">
        <v>3</v>
      </c>
      <c r="AC196">
        <v>1</v>
      </c>
      <c r="AD196">
        <v>1</v>
      </c>
      <c r="AE196" t="s">
        <v>152</v>
      </c>
      <c r="AI196">
        <v>11</v>
      </c>
      <c r="AJ196">
        <v>42</v>
      </c>
      <c r="AK196">
        <v>120</v>
      </c>
      <c r="AL196">
        <v>2</v>
      </c>
    </row>
    <row r="197" spans="1:38" x14ac:dyDescent="0.4">
      <c r="A197" t="s">
        <v>588</v>
      </c>
      <c r="B197">
        <v>195</v>
      </c>
      <c r="C197" t="s">
        <v>45</v>
      </c>
      <c r="D197">
        <v>2</v>
      </c>
      <c r="F197">
        <v>1</v>
      </c>
      <c r="G197" t="s">
        <v>140</v>
      </c>
      <c r="H197" t="s">
        <v>141</v>
      </c>
      <c r="K197" t="s">
        <v>63</v>
      </c>
      <c r="L197">
        <v>2</v>
      </c>
      <c r="N197">
        <v>1</v>
      </c>
      <c r="O197" t="s">
        <v>72</v>
      </c>
      <c r="S197" t="s">
        <v>33</v>
      </c>
      <c r="T197">
        <v>1</v>
      </c>
      <c r="V197">
        <v>2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I197">
        <v>5</v>
      </c>
      <c r="AJ197">
        <v>19</v>
      </c>
      <c r="AK197">
        <v>120</v>
      </c>
      <c r="AL197">
        <v>2</v>
      </c>
    </row>
    <row r="198" spans="1:38" x14ac:dyDescent="0.4">
      <c r="A198" t="s">
        <v>589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2</v>
      </c>
      <c r="O198" t="s">
        <v>67</v>
      </c>
      <c r="P198" t="s">
        <v>70</v>
      </c>
      <c r="Q198" t="s">
        <v>41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3</v>
      </c>
      <c r="AE198" t="s">
        <v>135</v>
      </c>
      <c r="AF198" t="s">
        <v>136</v>
      </c>
      <c r="AI198">
        <v>7</v>
      </c>
      <c r="AJ198">
        <v>37</v>
      </c>
      <c r="AK198">
        <v>120</v>
      </c>
      <c r="AL198">
        <v>2</v>
      </c>
    </row>
    <row r="199" spans="1:38" x14ac:dyDescent="0.4">
      <c r="A199" t="s">
        <v>590</v>
      </c>
      <c r="B199">
        <v>197</v>
      </c>
      <c r="C199" t="s">
        <v>33</v>
      </c>
      <c r="D199">
        <v>3</v>
      </c>
      <c r="F199">
        <v>1</v>
      </c>
      <c r="G199" t="s">
        <v>46</v>
      </c>
      <c r="K199" t="s">
        <v>43</v>
      </c>
      <c r="L199">
        <v>1</v>
      </c>
      <c r="N199">
        <v>1</v>
      </c>
      <c r="O199" t="s">
        <v>135</v>
      </c>
      <c r="P199" t="s">
        <v>99</v>
      </c>
      <c r="S199" t="s">
        <v>63</v>
      </c>
      <c r="T199">
        <v>3</v>
      </c>
      <c r="V199">
        <v>2</v>
      </c>
      <c r="W199" t="s">
        <v>72</v>
      </c>
      <c r="AA199" t="s">
        <v>38</v>
      </c>
      <c r="AB199">
        <v>1</v>
      </c>
      <c r="AC199">
        <v>2</v>
      </c>
      <c r="AD199">
        <v>1</v>
      </c>
      <c r="AE199" t="s">
        <v>67</v>
      </c>
      <c r="AI199">
        <v>8</v>
      </c>
      <c r="AJ199">
        <v>31</v>
      </c>
      <c r="AK199">
        <v>120</v>
      </c>
      <c r="AL199">
        <v>2</v>
      </c>
    </row>
    <row r="200" spans="1:38" x14ac:dyDescent="0.4">
      <c r="A200" t="s">
        <v>591</v>
      </c>
      <c r="B200">
        <v>198</v>
      </c>
      <c r="C200" t="s">
        <v>43</v>
      </c>
      <c r="D200">
        <v>3</v>
      </c>
      <c r="F200">
        <v>1</v>
      </c>
      <c r="G200" t="s">
        <v>135</v>
      </c>
      <c r="H200" t="s">
        <v>136</v>
      </c>
      <c r="K200" t="s">
        <v>63</v>
      </c>
      <c r="L200">
        <v>1</v>
      </c>
      <c r="N200">
        <v>1</v>
      </c>
      <c r="O200" t="s">
        <v>72</v>
      </c>
      <c r="S200" t="s">
        <v>33</v>
      </c>
      <c r="T200">
        <v>3</v>
      </c>
      <c r="V200">
        <v>3</v>
      </c>
      <c r="W200" t="s">
        <v>46</v>
      </c>
      <c r="X200" t="s">
        <v>130</v>
      </c>
      <c r="AA200" t="s">
        <v>45</v>
      </c>
      <c r="AB200">
        <v>2</v>
      </c>
      <c r="AD200">
        <v>1</v>
      </c>
      <c r="AE200" t="s">
        <v>47</v>
      </c>
      <c r="AI200">
        <v>9</v>
      </c>
      <c r="AJ200">
        <v>33</v>
      </c>
      <c r="AK200">
        <v>120</v>
      </c>
      <c r="AL200">
        <v>2</v>
      </c>
    </row>
    <row r="201" spans="1:38" x14ac:dyDescent="0.4">
      <c r="A201" t="s">
        <v>592</v>
      </c>
      <c r="B201">
        <v>199</v>
      </c>
      <c r="C201" t="s">
        <v>43</v>
      </c>
      <c r="D201">
        <v>2</v>
      </c>
      <c r="F201">
        <v>1</v>
      </c>
      <c r="G201" t="s">
        <v>135</v>
      </c>
      <c r="H201" t="s">
        <v>74</v>
      </c>
      <c r="K201" t="s">
        <v>38</v>
      </c>
      <c r="L201">
        <v>1</v>
      </c>
      <c r="M201">
        <v>1</v>
      </c>
      <c r="N201">
        <v>1</v>
      </c>
      <c r="O201" t="s">
        <v>67</v>
      </c>
      <c r="P201" t="s">
        <v>96</v>
      </c>
      <c r="Q201" t="s">
        <v>41</v>
      </c>
      <c r="R201" t="s">
        <v>156</v>
      </c>
      <c r="S201" t="s">
        <v>33</v>
      </c>
      <c r="T201">
        <v>2</v>
      </c>
      <c r="V201">
        <v>1</v>
      </c>
      <c r="W201" t="s">
        <v>65</v>
      </c>
      <c r="X201" t="s">
        <v>35</v>
      </c>
      <c r="AA201" t="s">
        <v>45</v>
      </c>
      <c r="AB201">
        <v>2</v>
      </c>
      <c r="AD201">
        <v>1</v>
      </c>
      <c r="AE201" t="s">
        <v>140</v>
      </c>
      <c r="AI201">
        <v>8</v>
      </c>
      <c r="AJ201">
        <v>34</v>
      </c>
      <c r="AK201">
        <v>120</v>
      </c>
      <c r="AL201">
        <v>2</v>
      </c>
    </row>
    <row r="202" spans="1:38" x14ac:dyDescent="0.4">
      <c r="A202" t="s">
        <v>593</v>
      </c>
      <c r="B202">
        <v>200</v>
      </c>
      <c r="C202" t="s">
        <v>33</v>
      </c>
      <c r="D202">
        <v>2</v>
      </c>
      <c r="F202">
        <v>3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2</v>
      </c>
      <c r="V202">
        <v>1</v>
      </c>
      <c r="W202" t="s">
        <v>72</v>
      </c>
      <c r="AA202" t="s">
        <v>38</v>
      </c>
      <c r="AB202">
        <v>1</v>
      </c>
      <c r="AC202">
        <v>1</v>
      </c>
      <c r="AD202">
        <v>2</v>
      </c>
      <c r="AE202" t="s">
        <v>67</v>
      </c>
      <c r="AF202" t="s">
        <v>96</v>
      </c>
      <c r="AI202">
        <v>7</v>
      </c>
      <c r="AJ202">
        <v>29</v>
      </c>
      <c r="AK202">
        <v>120</v>
      </c>
      <c r="AL202">
        <v>2</v>
      </c>
    </row>
    <row r="203" spans="1:38" x14ac:dyDescent="0.4">
      <c r="A203" t="s">
        <v>594</v>
      </c>
      <c r="B203">
        <v>201</v>
      </c>
      <c r="C203" t="s">
        <v>43</v>
      </c>
      <c r="D203">
        <v>1</v>
      </c>
      <c r="F203">
        <v>1</v>
      </c>
      <c r="G203" t="s">
        <v>135</v>
      </c>
      <c r="H203" t="s">
        <v>99</v>
      </c>
      <c r="K203" t="s">
        <v>45</v>
      </c>
      <c r="L203">
        <v>2</v>
      </c>
      <c r="N203">
        <v>1</v>
      </c>
      <c r="O203" t="s">
        <v>47</v>
      </c>
      <c r="P203" t="s">
        <v>141</v>
      </c>
      <c r="S203" t="s">
        <v>33</v>
      </c>
      <c r="T203">
        <v>1</v>
      </c>
      <c r="V203">
        <v>2</v>
      </c>
      <c r="W203" t="s">
        <v>34</v>
      </c>
      <c r="X203" t="s">
        <v>66</v>
      </c>
      <c r="AA203" t="s">
        <v>63</v>
      </c>
      <c r="AB203">
        <v>2</v>
      </c>
      <c r="AD203">
        <v>2</v>
      </c>
      <c r="AE203" t="s">
        <v>72</v>
      </c>
      <c r="AI203">
        <v>7</v>
      </c>
      <c r="AJ203">
        <v>40</v>
      </c>
      <c r="AK203">
        <v>120</v>
      </c>
      <c r="AL203">
        <v>2</v>
      </c>
    </row>
    <row r="204" spans="1:38" x14ac:dyDescent="0.4">
      <c r="A204" t="s">
        <v>595</v>
      </c>
      <c r="B204">
        <v>202</v>
      </c>
      <c r="C204" t="s">
        <v>43</v>
      </c>
      <c r="D204">
        <v>1</v>
      </c>
      <c r="F204">
        <v>1</v>
      </c>
      <c r="G204" t="s">
        <v>135</v>
      </c>
      <c r="H204" t="s">
        <v>136</v>
      </c>
      <c r="K204" t="s">
        <v>38</v>
      </c>
      <c r="L204">
        <v>2</v>
      </c>
      <c r="M204">
        <v>1</v>
      </c>
      <c r="N204">
        <v>2</v>
      </c>
      <c r="O204" t="s">
        <v>67</v>
      </c>
      <c r="S204" t="s">
        <v>33</v>
      </c>
      <c r="T204">
        <v>2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72</v>
      </c>
      <c r="AI204">
        <v>5</v>
      </c>
      <c r="AJ204">
        <v>30</v>
      </c>
      <c r="AK204">
        <v>120</v>
      </c>
      <c r="AL204">
        <v>2</v>
      </c>
    </row>
    <row r="205" spans="1:38" x14ac:dyDescent="0.4">
      <c r="A205" t="s">
        <v>596</v>
      </c>
      <c r="B205">
        <v>203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P205" t="s">
        <v>70</v>
      </c>
      <c r="Q205" t="s">
        <v>41</v>
      </c>
      <c r="S205" t="s">
        <v>33</v>
      </c>
      <c r="T205">
        <v>2</v>
      </c>
      <c r="V205">
        <v>2</v>
      </c>
      <c r="W205" t="s">
        <v>46</v>
      </c>
      <c r="AA205" t="s">
        <v>63</v>
      </c>
      <c r="AB205">
        <v>2</v>
      </c>
      <c r="AD205">
        <v>1</v>
      </c>
      <c r="AE205" t="s">
        <v>72</v>
      </c>
      <c r="AI205">
        <v>7</v>
      </c>
      <c r="AJ205">
        <v>40</v>
      </c>
      <c r="AK205">
        <v>120</v>
      </c>
      <c r="AL205">
        <v>2</v>
      </c>
    </row>
    <row r="206" spans="1:38" x14ac:dyDescent="0.4">
      <c r="A206" t="s">
        <v>597</v>
      </c>
      <c r="B206">
        <v>204</v>
      </c>
      <c r="C206" t="s">
        <v>33</v>
      </c>
      <c r="D206">
        <v>1</v>
      </c>
      <c r="F206">
        <v>1</v>
      </c>
      <c r="G206" t="s">
        <v>34</v>
      </c>
      <c r="H206" t="s">
        <v>66</v>
      </c>
      <c r="K206" t="s">
        <v>38</v>
      </c>
      <c r="L206">
        <v>3</v>
      </c>
      <c r="M206">
        <v>2</v>
      </c>
      <c r="N206">
        <v>3</v>
      </c>
      <c r="O206" t="s">
        <v>67</v>
      </c>
      <c r="S206" t="s">
        <v>43</v>
      </c>
      <c r="T206">
        <v>1</v>
      </c>
      <c r="V206">
        <v>1</v>
      </c>
      <c r="W206" t="s">
        <v>135</v>
      </c>
      <c r="X206" t="s">
        <v>99</v>
      </c>
      <c r="AA206" t="s">
        <v>45</v>
      </c>
      <c r="AB206">
        <v>3</v>
      </c>
      <c r="AD206">
        <v>2</v>
      </c>
      <c r="AE206" t="s">
        <v>47</v>
      </c>
      <c r="AI206">
        <v>10</v>
      </c>
      <c r="AJ206">
        <v>36</v>
      </c>
      <c r="AK206">
        <v>120</v>
      </c>
      <c r="AL206">
        <v>2</v>
      </c>
    </row>
    <row r="207" spans="1:38" x14ac:dyDescent="0.4">
      <c r="A207" t="s">
        <v>598</v>
      </c>
      <c r="B207">
        <v>205</v>
      </c>
      <c r="C207" t="s">
        <v>43</v>
      </c>
      <c r="D207">
        <v>3</v>
      </c>
      <c r="F207">
        <v>1</v>
      </c>
      <c r="G207" t="s">
        <v>135</v>
      </c>
      <c r="H207" t="s">
        <v>99</v>
      </c>
      <c r="K207" t="s">
        <v>63</v>
      </c>
      <c r="L207">
        <v>2</v>
      </c>
      <c r="N207">
        <v>1</v>
      </c>
      <c r="O207" t="s">
        <v>72</v>
      </c>
      <c r="S207" t="s">
        <v>33</v>
      </c>
      <c r="T207">
        <v>2</v>
      </c>
      <c r="V207">
        <v>3</v>
      </c>
      <c r="W207" t="s">
        <v>65</v>
      </c>
      <c r="AA207" t="s">
        <v>38</v>
      </c>
      <c r="AB207">
        <v>1</v>
      </c>
      <c r="AC207">
        <v>1</v>
      </c>
      <c r="AD207">
        <v>2</v>
      </c>
      <c r="AE207" t="s">
        <v>67</v>
      </c>
      <c r="AI207">
        <v>8</v>
      </c>
      <c r="AJ207">
        <v>25</v>
      </c>
      <c r="AK207">
        <v>120</v>
      </c>
      <c r="AL207">
        <v>2</v>
      </c>
    </row>
    <row r="208" spans="1:38" x14ac:dyDescent="0.4">
      <c r="A208" t="s">
        <v>599</v>
      </c>
      <c r="B208">
        <v>206</v>
      </c>
      <c r="C208" t="s">
        <v>45</v>
      </c>
      <c r="D208">
        <v>3</v>
      </c>
      <c r="F208">
        <v>1</v>
      </c>
      <c r="G208" t="s">
        <v>47</v>
      </c>
      <c r="K208" t="s">
        <v>63</v>
      </c>
      <c r="L208">
        <v>2</v>
      </c>
      <c r="N208">
        <v>1</v>
      </c>
      <c r="O208" t="s">
        <v>72</v>
      </c>
      <c r="S208" t="s">
        <v>33</v>
      </c>
      <c r="T208">
        <v>1</v>
      </c>
      <c r="V208">
        <v>1</v>
      </c>
      <c r="W208" t="s">
        <v>46</v>
      </c>
      <c r="AA208" t="s">
        <v>38</v>
      </c>
      <c r="AB208">
        <v>2</v>
      </c>
      <c r="AC208">
        <v>1</v>
      </c>
      <c r="AD208">
        <v>3</v>
      </c>
      <c r="AE208" t="s">
        <v>67</v>
      </c>
      <c r="AI208">
        <v>6</v>
      </c>
      <c r="AJ208">
        <v>30</v>
      </c>
      <c r="AK208">
        <v>120</v>
      </c>
      <c r="AL208">
        <v>2</v>
      </c>
    </row>
    <row r="209" spans="1:38" x14ac:dyDescent="0.4">
      <c r="A209" t="s">
        <v>600</v>
      </c>
      <c r="B209">
        <v>207</v>
      </c>
      <c r="C209" t="s">
        <v>43</v>
      </c>
      <c r="D209">
        <v>1</v>
      </c>
      <c r="F209">
        <v>1</v>
      </c>
      <c r="G209" t="s">
        <v>135</v>
      </c>
      <c r="H209" t="s">
        <v>99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1</v>
      </c>
      <c r="V209">
        <v>1</v>
      </c>
      <c r="W209" t="s">
        <v>72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3</v>
      </c>
      <c r="AJ209">
        <v>21</v>
      </c>
      <c r="AK209">
        <v>120</v>
      </c>
      <c r="AL209">
        <v>2</v>
      </c>
    </row>
    <row r="210" spans="1:38" x14ac:dyDescent="0.4">
      <c r="A210" t="s">
        <v>601</v>
      </c>
      <c r="B210">
        <v>208</v>
      </c>
      <c r="C210" t="s">
        <v>45</v>
      </c>
      <c r="D210">
        <v>2</v>
      </c>
      <c r="F210">
        <v>2</v>
      </c>
      <c r="G210" t="s">
        <v>140</v>
      </c>
      <c r="K210" t="s">
        <v>38</v>
      </c>
      <c r="L210">
        <v>1</v>
      </c>
      <c r="M210">
        <v>2</v>
      </c>
      <c r="N210">
        <v>1</v>
      </c>
      <c r="O210" t="s">
        <v>152</v>
      </c>
      <c r="P210" t="s">
        <v>96</v>
      </c>
      <c r="S210" t="s">
        <v>43</v>
      </c>
      <c r="T210">
        <v>2</v>
      </c>
      <c r="V210">
        <v>1</v>
      </c>
      <c r="W210" t="s">
        <v>135</v>
      </c>
      <c r="AA210" t="s">
        <v>63</v>
      </c>
      <c r="AB210">
        <v>2</v>
      </c>
      <c r="AD210">
        <v>1</v>
      </c>
      <c r="AE210" t="s">
        <v>72</v>
      </c>
      <c r="AI210">
        <v>6</v>
      </c>
      <c r="AJ210">
        <v>31</v>
      </c>
      <c r="AK210">
        <v>120</v>
      </c>
      <c r="AL210">
        <v>2</v>
      </c>
    </row>
    <row r="211" spans="1:38" x14ac:dyDescent="0.4">
      <c r="A211" t="s">
        <v>602</v>
      </c>
      <c r="B211">
        <v>209</v>
      </c>
      <c r="C211" t="s">
        <v>45</v>
      </c>
      <c r="D211">
        <v>3</v>
      </c>
      <c r="F211">
        <v>1</v>
      </c>
      <c r="G211" t="s">
        <v>47</v>
      </c>
      <c r="K211" t="s">
        <v>63</v>
      </c>
      <c r="L211">
        <v>3</v>
      </c>
      <c r="N211">
        <v>1</v>
      </c>
      <c r="O211" t="s">
        <v>72</v>
      </c>
      <c r="S211" t="s">
        <v>43</v>
      </c>
      <c r="T211">
        <v>1</v>
      </c>
      <c r="V211">
        <v>1</v>
      </c>
      <c r="W211" t="s">
        <v>135</v>
      </c>
      <c r="AA211" t="s">
        <v>38</v>
      </c>
      <c r="AB211">
        <v>3</v>
      </c>
      <c r="AC211">
        <v>1</v>
      </c>
      <c r="AD211">
        <v>3</v>
      </c>
      <c r="AE211" t="s">
        <v>67</v>
      </c>
      <c r="AI211">
        <v>8</v>
      </c>
      <c r="AJ211">
        <v>31</v>
      </c>
      <c r="AK211">
        <v>120</v>
      </c>
      <c r="AL211">
        <v>2</v>
      </c>
    </row>
  </sheetData>
  <conditionalFormatting sqref="A2:B1048576">
    <cfRule type="duplicateValues" dxfId="1035" priority="2"/>
  </conditionalFormatting>
  <conditionalFormatting sqref="B1">
    <cfRule type="duplicateValues" dxfId="103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82"/>
  <sheetViews>
    <sheetView workbookViewId="0">
      <selection activeCell="C3" sqref="C3"/>
    </sheetView>
  </sheetViews>
  <sheetFormatPr defaultRowHeight="14.6" x14ac:dyDescent="0.4"/>
  <cols>
    <col min="1" max="1" width="9.61328125" bestFit="1" customWidth="1"/>
    <col min="2" max="2" width="10.3828125" bestFit="1" customWidth="1"/>
    <col min="3" max="3" width="12.61328125" bestFit="1" customWidth="1"/>
    <col min="4" max="5" width="10.3828125" bestFit="1" customWidth="1"/>
    <col min="6" max="6" width="12.61328125" bestFit="1" customWidth="1"/>
    <col min="7" max="7" width="8.765625" bestFit="1" customWidth="1"/>
    <col min="9" max="10" width="10.3828125" bestFit="1" customWidth="1"/>
    <col min="11" max="11" width="8.765625" bestFit="1" customWidth="1"/>
    <col min="12" max="12" width="6.84375" bestFit="1" customWidth="1"/>
    <col min="13" max="13" width="10.07421875" style="3" bestFit="1" customWidth="1"/>
    <col min="15" max="15" width="23.3828125" bestFit="1" customWidth="1"/>
    <col min="16" max="16" width="2.84375" bestFit="1" customWidth="1"/>
    <col min="18" max="18" width="9.3046875" bestFit="1" customWidth="1"/>
  </cols>
  <sheetData>
    <row r="1" spans="1:16" ht="15" thickBot="1" x14ac:dyDescent="0.45">
      <c r="A1" s="40" t="s">
        <v>78</v>
      </c>
      <c r="B1" s="41"/>
      <c r="C1" s="41"/>
      <c r="D1" s="41"/>
      <c r="E1" s="41"/>
      <c r="F1" s="41"/>
      <c r="G1" s="42"/>
      <c r="I1" s="40" t="s">
        <v>82</v>
      </c>
      <c r="J1" s="41"/>
      <c r="K1" s="41"/>
      <c r="L1" s="41"/>
      <c r="M1" s="42"/>
      <c r="O1" s="5" t="s">
        <v>157</v>
      </c>
      <c r="P1" s="36">
        <f>MIN(Scenario1[crystals])</f>
        <v>2</v>
      </c>
    </row>
    <row r="2" spans="1:16" ht="15" thickBot="1" x14ac:dyDescent="0.45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5" t="s">
        <v>107</v>
      </c>
      <c r="P2" s="36">
        <f>AVERAGE(Scenario1[crystals])</f>
        <v>6.3809523809523814</v>
      </c>
    </row>
    <row r="3" spans="1:16" ht="15" thickBot="1" x14ac:dyDescent="0.45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3" s="3">
        <f>IF(ScenarioTeams1[[#This Row],[battles]],ScenarioTeams1[[#This Row],[wins]]/ScenarioTeams1[[#This Row],[battles]],0)</f>
        <v>0.73333333333333328</v>
      </c>
      <c r="O3" s="5" t="s">
        <v>159</v>
      </c>
      <c r="P3" s="36">
        <f>MAX(Scenario1[crystals])</f>
        <v>17</v>
      </c>
    </row>
    <row r="4" spans="1:16" ht="15" thickBot="1" x14ac:dyDescent="0.45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8"/>
    </row>
    <row r="5" spans="1:16" ht="15" thickBot="1" x14ac:dyDescent="0.45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5" s="3">
        <f>IF(ScenarioTeams1[[#This Row],[battles]],ScenarioTeams1[[#This Row],[wins]]/ScenarioTeams1[[#This Row],[battles]],0)</f>
        <v>0.73333333333333328</v>
      </c>
      <c r="O5" s="5" t="s">
        <v>158</v>
      </c>
      <c r="P5" s="36">
        <f>MIN(Scenario1[turns])</f>
        <v>16</v>
      </c>
    </row>
    <row r="6" spans="1:16" ht="15" thickBot="1" x14ac:dyDescent="0.45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6" s="3">
        <f>IF(ScenarioTeams1[[#This Row],[battles]],ScenarioTeams1[[#This Row],[wins]]/ScenarioTeams1[[#This Row],[battles]],0)</f>
        <v>0.6</v>
      </c>
      <c r="O6" s="6" t="s">
        <v>108</v>
      </c>
      <c r="P6" s="37">
        <f>AVERAGE(Scenario1[turns])</f>
        <v>31.147619047619049</v>
      </c>
    </row>
    <row r="7" spans="1:16" ht="15" thickBot="1" x14ac:dyDescent="0.45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7" s="3">
        <f>IF(ScenarioTeams1[[#This Row],[battles]],ScenarioTeams1[[#This Row],[wins]]/ScenarioTeams1[[#This Row],[battles]],0)</f>
        <v>0.8</v>
      </c>
      <c r="O7" s="6" t="s">
        <v>160</v>
      </c>
      <c r="P7" s="37">
        <f>MAX(Scenario1[turns])</f>
        <v>85</v>
      </c>
    </row>
    <row r="8" spans="1:16" ht="15" thickBot="1" x14ac:dyDescent="0.45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8" s="3">
        <f>IF(ScenarioTeams1[[#This Row],[battles]],ScenarioTeams1[[#This Row],[wins]]/ScenarioTeams1[[#This Row],[battles]],0)</f>
        <v>0.46666666666666667</v>
      </c>
    </row>
    <row r="9" spans="1:16" ht="15" thickBot="1" x14ac:dyDescent="0.45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9" s="3">
        <f>IF(ScenarioTeams1[[#This Row],[battles]],ScenarioTeams1[[#This Row],[wins]]/ScenarioTeams1[[#This Row],[battles]],0)</f>
        <v>0.46666666666666667</v>
      </c>
      <c r="O9" s="35" t="s">
        <v>663</v>
      </c>
      <c r="P9" s="36">
        <f>120000*$P$6/1000/60</f>
        <v>62.295238095238098</v>
      </c>
    </row>
    <row r="10" spans="1:16" ht="15" thickBot="1" x14ac:dyDescent="0.45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0" s="3">
        <f>IF(ScenarioTeams1[[#This Row],[battles]],ScenarioTeams1[[#This Row],[wins]]/ScenarioTeams1[[#This Row],[battles]],0)</f>
        <v>0.6</v>
      </c>
      <c r="O10" s="34" t="s">
        <v>664</v>
      </c>
      <c r="P10" s="37">
        <f>P9*COUNTA(ScenarioStat1[hero-1])/60/24</f>
        <v>9.0847222222222221</v>
      </c>
    </row>
    <row r="11" spans="1:16" x14ac:dyDescent="0.4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1" s="3">
        <f>IF(ScenarioTeams1[[#This Row],[battles]],ScenarioTeams1[[#This Row],[wins]]/ScenarioTeams1[[#This Row],[battles]],0)</f>
        <v>0.6</v>
      </c>
    </row>
    <row r="12" spans="1:16" x14ac:dyDescent="0.4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2" s="3">
        <f>IF(ScenarioTeams1[[#This Row],[battles]],ScenarioTeams1[[#This Row],[wins]]/ScenarioTeams1[[#This Row],[battles]],0)</f>
        <v>0.46666666666666667</v>
      </c>
    </row>
    <row r="13" spans="1:16" x14ac:dyDescent="0.4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4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4" s="3">
        <f>IF(ScenarioTeams1[[#This Row],[battles]],ScenarioTeams1[[#This Row],[wins]]/ScenarioTeams1[[#This Row],[battles]],0)</f>
        <v>0.46666666666666667</v>
      </c>
    </row>
    <row r="15" spans="1:16" x14ac:dyDescent="0.4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4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6" s="3">
        <f>IF(ScenarioTeams1[[#This Row],[battles]],ScenarioTeams1[[#This Row],[wins]]/ScenarioTeams1[[#This Row],[battles]],0)</f>
        <v>0.26666666666666666</v>
      </c>
    </row>
    <row r="17" spans="1:13" x14ac:dyDescent="0.4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7" s="3">
        <f>IF(ScenarioTeams1[[#This Row],[battles]],ScenarioTeams1[[#This Row],[wins]]/ScenarioTeams1[[#This Row],[battles]],0)</f>
        <v>0.53333333333333333</v>
      </c>
    </row>
    <row r="18" spans="1:13" x14ac:dyDescent="0.4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8" s="3">
        <f>IF(ScenarioTeams1[[#This Row],[battles]],ScenarioTeams1[[#This Row],[wins]]/ScenarioTeams1[[#This Row],[battles]],0)</f>
        <v>0.33333333333333331</v>
      </c>
    </row>
    <row r="19" spans="1:13" x14ac:dyDescent="0.4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9" s="3">
        <f>IF(ScenarioTeams1[[#This Row],[battles]],ScenarioTeams1[[#This Row],[wins]]/ScenarioTeams1[[#This Row],[battles]],0)</f>
        <v>0.2</v>
      </c>
    </row>
    <row r="20" spans="1:13" x14ac:dyDescent="0.4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0" s="3">
        <f>IF(ScenarioTeams1[[#This Row],[battles]],ScenarioTeams1[[#This Row],[wins]]/ScenarioTeams1[[#This Row],[battles]],0)</f>
        <v>0.33333333333333331</v>
      </c>
    </row>
    <row r="21" spans="1:13" x14ac:dyDescent="0.4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1" s="3">
        <f>IF(ScenarioTeams1[[#This Row],[battles]],ScenarioTeams1[[#This Row],[wins]]/ScenarioTeams1[[#This Row],[battles]],0)</f>
        <v>0.46666666666666667</v>
      </c>
    </row>
    <row r="22" spans="1:13" x14ac:dyDescent="0.4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2" s="3">
        <f>IF(ScenarioTeams1[[#This Row],[battles]],ScenarioTeams1[[#This Row],[wins]]/ScenarioTeams1[[#This Row],[battles]],0)</f>
        <v>0.6</v>
      </c>
    </row>
    <row r="23" spans="1:13" x14ac:dyDescent="0.4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3" s="3">
        <f>IF(ScenarioTeams1[[#This Row],[battles]],ScenarioTeams1[[#This Row],[wins]]/ScenarioTeams1[[#This Row],[battles]],0)</f>
        <v>0.33333333333333331</v>
      </c>
    </row>
    <row r="24" spans="1:13" x14ac:dyDescent="0.4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4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4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6" s="3">
        <f>IF(ScenarioTeams1[[#This Row],[battles]],ScenarioTeams1[[#This Row],[wins]]/ScenarioTeams1[[#This Row],[battles]],0)</f>
        <v>0.8</v>
      </c>
    </row>
    <row r="27" spans="1:13" x14ac:dyDescent="0.4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7" s="3">
        <f>IF(ScenarioTeams1[[#This Row],[battles]],ScenarioTeams1[[#This Row],[wins]]/ScenarioTeams1[[#This Row],[battles]],0)</f>
        <v>0.6</v>
      </c>
    </row>
    <row r="28" spans="1:13" x14ac:dyDescent="0.4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8" s="3">
        <f>IF(ScenarioTeams1[[#This Row],[battles]],ScenarioTeams1[[#This Row],[wins]]/ScenarioTeams1[[#This Row],[battles]],0)</f>
        <v>0.73333333333333328</v>
      </c>
    </row>
    <row r="29" spans="1:13" x14ac:dyDescent="0.4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9" s="3">
        <f>IF(ScenarioTeams1[[#This Row],[battles]],ScenarioTeams1[[#This Row],[wins]]/ScenarioTeams1[[#This Row],[battles]],0)</f>
        <v>0.6</v>
      </c>
    </row>
    <row r="30" spans="1:13" x14ac:dyDescent="0.4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 s="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0" s="3">
        <f>IF(ScenarioTeams1[[#This Row],[battles]],ScenarioTeams1[[#This Row],[wins]]/ScenarioTeams1[[#This Row],[battles]],0)</f>
        <v>6.6666666666666666E-2</v>
      </c>
    </row>
    <row r="31" spans="1:13" x14ac:dyDescent="0.4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  <c r="L31" s="17"/>
    </row>
    <row r="32" spans="1:13" x14ac:dyDescent="0.4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  <c r="L32" s="17"/>
    </row>
    <row r="33" spans="1:12" x14ac:dyDescent="0.4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  <c r="L33" s="17"/>
    </row>
    <row r="34" spans="1:12" x14ac:dyDescent="0.4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  <c r="L34" s="17"/>
    </row>
    <row r="35" spans="1:12" x14ac:dyDescent="0.4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  <c r="L35" s="17"/>
    </row>
    <row r="36" spans="1:12" x14ac:dyDescent="0.4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  <c r="L36" s="17"/>
    </row>
    <row r="37" spans="1:12" x14ac:dyDescent="0.4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  <c r="L37" s="17"/>
    </row>
    <row r="38" spans="1:12" x14ac:dyDescent="0.4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">
        <f>ScenarioStat1[[#This Row],[team-1-win]]+ScenarioStat1[[#This Row],[team-2-win]]</f>
        <v>1</v>
      </c>
      <c r="L38" s="17"/>
    </row>
    <row r="39" spans="1:12" x14ac:dyDescent="0.4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  <c r="L39" s="17"/>
    </row>
    <row r="40" spans="1:12" x14ac:dyDescent="0.4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  <c r="L40" s="17"/>
    </row>
    <row r="41" spans="1:12" x14ac:dyDescent="0.4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  <c r="L41" s="17"/>
    </row>
    <row r="42" spans="1:12" x14ac:dyDescent="0.4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  <c r="L42" s="17"/>
    </row>
    <row r="43" spans="1:12" x14ac:dyDescent="0.4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  <c r="L43" s="17"/>
    </row>
    <row r="44" spans="1:12" x14ac:dyDescent="0.4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  <c r="L44" s="17"/>
    </row>
    <row r="45" spans="1:12" x14ac:dyDescent="0.4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  <c r="L45" s="17"/>
    </row>
    <row r="46" spans="1:12" x14ac:dyDescent="0.4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  <c r="L46" s="17"/>
    </row>
    <row r="47" spans="1:12" x14ac:dyDescent="0.4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  <c r="L47" s="17"/>
    </row>
    <row r="48" spans="1:12" x14ac:dyDescent="0.4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  <c r="L48" s="17"/>
    </row>
    <row r="49" spans="1:12" x14ac:dyDescent="0.4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  <c r="L49" s="17"/>
    </row>
    <row r="50" spans="1:12" x14ac:dyDescent="0.4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  <c r="L50" s="17"/>
    </row>
    <row r="51" spans="1:12" x14ac:dyDescent="0.4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  <c r="L51" s="17"/>
    </row>
    <row r="52" spans="1:12" x14ac:dyDescent="0.4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  <c r="L52" s="17"/>
    </row>
    <row r="53" spans="1:12" x14ac:dyDescent="0.4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  <c r="L53" s="17"/>
    </row>
    <row r="54" spans="1:12" x14ac:dyDescent="0.4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  <c r="L54" s="17"/>
    </row>
    <row r="55" spans="1:12" x14ac:dyDescent="0.4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  <c r="L55" s="17"/>
    </row>
    <row r="56" spans="1:12" x14ac:dyDescent="0.4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  <c r="L56" s="17"/>
    </row>
    <row r="57" spans="1:12" x14ac:dyDescent="0.4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  <c r="L57" s="17"/>
    </row>
    <row r="58" spans="1:12" x14ac:dyDescent="0.4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  <c r="L58" s="17"/>
    </row>
    <row r="59" spans="1:12" x14ac:dyDescent="0.4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12" x14ac:dyDescent="0.4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12" x14ac:dyDescent="0.4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12" x14ac:dyDescent="0.4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12" x14ac:dyDescent="0.4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12" x14ac:dyDescent="0.4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4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4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4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4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4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4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4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4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4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4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4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4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4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4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4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4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4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4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4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4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4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4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4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4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4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4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4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4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4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4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4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5">
        <f>ScenarioStat1[[#This Row],[team-1-win]]+ScenarioStat1[[#This Row],[team-2-win]]</f>
        <v>1</v>
      </c>
    </row>
    <row r="96" spans="1:7" x14ac:dyDescent="0.4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4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4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4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4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4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4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4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4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4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4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4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4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4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4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4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4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4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4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4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4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4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4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4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4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4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4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4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4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4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1</v>
      </c>
    </row>
    <row r="126" spans="1:7" x14ac:dyDescent="0.4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4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4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4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4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4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4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4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4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4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4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4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4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4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4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4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1</v>
      </c>
    </row>
    <row r="142" spans="1:7" x14ac:dyDescent="0.4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4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4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4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4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4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4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4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4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4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4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4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4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4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4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4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4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4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4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4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4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4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4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4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4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4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4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4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4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4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4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4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4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4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4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4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4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4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4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4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4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4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4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4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4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4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4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4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4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4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4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4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4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4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4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4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4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4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4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4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4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4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4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4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4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4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4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4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4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4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4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  <row r="213" spans="1:7" x14ac:dyDescent="0.4">
      <c r="D213" s="17"/>
    </row>
    <row r="214" spans="1:7" x14ac:dyDescent="0.4">
      <c r="D214" s="17"/>
    </row>
    <row r="215" spans="1:7" x14ac:dyDescent="0.4">
      <c r="D215" s="17"/>
    </row>
    <row r="216" spans="1:7" x14ac:dyDescent="0.4">
      <c r="D216" s="17"/>
    </row>
    <row r="217" spans="1:7" x14ac:dyDescent="0.4">
      <c r="D217" s="17"/>
    </row>
    <row r="218" spans="1:7" x14ac:dyDescent="0.4">
      <c r="D218" s="17"/>
    </row>
    <row r="219" spans="1:7" x14ac:dyDescent="0.4">
      <c r="D219" s="17"/>
    </row>
    <row r="220" spans="1:7" x14ac:dyDescent="0.4">
      <c r="D220" s="17"/>
    </row>
    <row r="221" spans="1:7" x14ac:dyDescent="0.4">
      <c r="D221" s="17"/>
    </row>
    <row r="222" spans="1:7" x14ac:dyDescent="0.4">
      <c r="D222" s="17"/>
    </row>
    <row r="223" spans="1:7" x14ac:dyDescent="0.4">
      <c r="D223" s="17"/>
    </row>
    <row r="224" spans="1:7" x14ac:dyDescent="0.4">
      <c r="D224" s="17"/>
    </row>
    <row r="225" spans="4:4" x14ac:dyDescent="0.4">
      <c r="D225" s="17"/>
    </row>
    <row r="226" spans="4:4" x14ac:dyDescent="0.4">
      <c r="D226" s="17"/>
    </row>
    <row r="227" spans="4:4" x14ac:dyDescent="0.4">
      <c r="D227" s="17"/>
    </row>
    <row r="228" spans="4:4" x14ac:dyDescent="0.4">
      <c r="D228" s="17"/>
    </row>
    <row r="229" spans="4:4" x14ac:dyDescent="0.4">
      <c r="D229" s="17"/>
    </row>
    <row r="230" spans="4:4" x14ac:dyDescent="0.4">
      <c r="D230" s="17"/>
    </row>
    <row r="231" spans="4:4" x14ac:dyDescent="0.4">
      <c r="D231" s="17"/>
    </row>
    <row r="232" spans="4:4" x14ac:dyDescent="0.4">
      <c r="D232" s="17"/>
    </row>
    <row r="233" spans="4:4" x14ac:dyDescent="0.4">
      <c r="D233" s="17"/>
    </row>
    <row r="234" spans="4:4" x14ac:dyDescent="0.4">
      <c r="D234" s="17"/>
    </row>
    <row r="235" spans="4:4" x14ac:dyDescent="0.4">
      <c r="D235" s="17"/>
    </row>
    <row r="236" spans="4:4" x14ac:dyDescent="0.4">
      <c r="D236" s="17"/>
    </row>
    <row r="237" spans="4:4" x14ac:dyDescent="0.4">
      <c r="D237" s="17"/>
    </row>
    <row r="238" spans="4:4" x14ac:dyDescent="0.4">
      <c r="D238" s="17"/>
    </row>
    <row r="239" spans="4:4" x14ac:dyDescent="0.4">
      <c r="D239" s="17"/>
    </row>
    <row r="240" spans="4:4" x14ac:dyDescent="0.4">
      <c r="D240" s="17"/>
    </row>
    <row r="241" spans="4:4" x14ac:dyDescent="0.4">
      <c r="D241" s="17"/>
    </row>
    <row r="242" spans="4:4" x14ac:dyDescent="0.4">
      <c r="D242" s="17"/>
    </row>
    <row r="243" spans="4:4" x14ac:dyDescent="0.4">
      <c r="D243" s="17"/>
    </row>
    <row r="244" spans="4:4" x14ac:dyDescent="0.4">
      <c r="D244" s="17"/>
    </row>
    <row r="245" spans="4:4" x14ac:dyDescent="0.4">
      <c r="D245" s="17"/>
    </row>
    <row r="246" spans="4:4" x14ac:dyDescent="0.4">
      <c r="D246" s="17"/>
    </row>
    <row r="247" spans="4:4" x14ac:dyDescent="0.4">
      <c r="D247" s="17"/>
    </row>
    <row r="248" spans="4:4" x14ac:dyDescent="0.4">
      <c r="D248" s="17"/>
    </row>
    <row r="249" spans="4:4" x14ac:dyDescent="0.4">
      <c r="D249" s="17"/>
    </row>
    <row r="250" spans="4:4" x14ac:dyDescent="0.4">
      <c r="D250" s="17"/>
    </row>
    <row r="251" spans="4:4" x14ac:dyDescent="0.4">
      <c r="D251" s="17"/>
    </row>
    <row r="252" spans="4:4" x14ac:dyDescent="0.4">
      <c r="D252" s="17"/>
    </row>
    <row r="253" spans="4:4" x14ac:dyDescent="0.4">
      <c r="D253" s="17"/>
    </row>
    <row r="254" spans="4:4" x14ac:dyDescent="0.4">
      <c r="D254" s="17"/>
    </row>
    <row r="255" spans="4:4" x14ac:dyDescent="0.4">
      <c r="D255" s="17"/>
    </row>
    <row r="256" spans="4:4" x14ac:dyDescent="0.4">
      <c r="D256" s="17"/>
    </row>
    <row r="257" spans="4:4" x14ac:dyDescent="0.4">
      <c r="D257" s="17"/>
    </row>
    <row r="258" spans="4:4" x14ac:dyDescent="0.4">
      <c r="D258" s="17"/>
    </row>
    <row r="259" spans="4:4" x14ac:dyDescent="0.4">
      <c r="D259" s="17"/>
    </row>
    <row r="260" spans="4:4" x14ac:dyDescent="0.4">
      <c r="D260" s="17"/>
    </row>
    <row r="261" spans="4:4" x14ac:dyDescent="0.4">
      <c r="D261" s="17"/>
    </row>
    <row r="262" spans="4:4" x14ac:dyDescent="0.4">
      <c r="D262" s="17"/>
    </row>
    <row r="263" spans="4:4" x14ac:dyDescent="0.4">
      <c r="D263" s="17"/>
    </row>
    <row r="264" spans="4:4" x14ac:dyDescent="0.4">
      <c r="D264" s="17"/>
    </row>
    <row r="265" spans="4:4" x14ac:dyDescent="0.4">
      <c r="D265" s="17"/>
    </row>
    <row r="266" spans="4:4" x14ac:dyDescent="0.4">
      <c r="D266" s="17"/>
    </row>
    <row r="267" spans="4:4" x14ac:dyDescent="0.4">
      <c r="D267" s="17"/>
    </row>
    <row r="268" spans="4:4" x14ac:dyDescent="0.4">
      <c r="D268" s="17"/>
    </row>
    <row r="269" spans="4:4" x14ac:dyDescent="0.4">
      <c r="D269" s="17"/>
    </row>
    <row r="270" spans="4:4" x14ac:dyDescent="0.4">
      <c r="D270" s="17"/>
    </row>
    <row r="271" spans="4:4" x14ac:dyDescent="0.4">
      <c r="D271" s="17"/>
    </row>
    <row r="272" spans="4:4" x14ac:dyDescent="0.4">
      <c r="D272" s="17"/>
    </row>
    <row r="273" spans="4:4" x14ac:dyDescent="0.4">
      <c r="D273" s="17"/>
    </row>
    <row r="274" spans="4:4" x14ac:dyDescent="0.4">
      <c r="D274" s="17"/>
    </row>
    <row r="275" spans="4:4" x14ac:dyDescent="0.4">
      <c r="D275" s="17"/>
    </row>
    <row r="276" spans="4:4" x14ac:dyDescent="0.4">
      <c r="D276" s="17"/>
    </row>
    <row r="277" spans="4:4" x14ac:dyDescent="0.4">
      <c r="D277" s="17"/>
    </row>
    <row r="278" spans="4:4" x14ac:dyDescent="0.4">
      <c r="D278" s="17"/>
    </row>
    <row r="279" spans="4:4" x14ac:dyDescent="0.4">
      <c r="D279" s="17"/>
    </row>
    <row r="280" spans="4:4" x14ac:dyDescent="0.4">
      <c r="D280" s="17"/>
    </row>
    <row r="281" spans="4:4" x14ac:dyDescent="0.4">
      <c r="D281" s="17"/>
    </row>
    <row r="282" spans="4:4" x14ac:dyDescent="0.4">
      <c r="D282" s="17"/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V57"/>
  <sheetViews>
    <sheetView topLeftCell="J1" workbookViewId="0">
      <selection activeCell="S1" sqref="S1:S1048576"/>
    </sheetView>
  </sheetViews>
  <sheetFormatPr defaultRowHeight="14.6" x14ac:dyDescent="0.4"/>
  <cols>
    <col min="1" max="1" width="38.3828125" bestFit="1" customWidth="1"/>
    <col min="2" max="2" width="8.3046875" bestFit="1" customWidth="1"/>
    <col min="3" max="3" width="11.3828125" bestFit="1" customWidth="1"/>
    <col min="4" max="4" width="14" customWidth="1"/>
    <col min="5" max="5" width="13.69140625" customWidth="1"/>
    <col min="6" max="6" width="13.3046875" customWidth="1"/>
    <col min="7" max="7" width="18.3828125" customWidth="1"/>
    <col min="8" max="8" width="19.15234375" customWidth="1"/>
    <col min="9" max="9" width="18" customWidth="1"/>
    <col min="10" max="10" width="18.3828125" customWidth="1"/>
    <col min="11" max="11" width="11.3828125" bestFit="1" customWidth="1"/>
    <col min="12" max="12" width="12.15234375" customWidth="1"/>
    <col min="13" max="13" width="11.84375" customWidth="1"/>
    <col min="14" max="14" width="11.3828125" customWidth="1"/>
    <col min="15" max="15" width="18.3828125" customWidth="1"/>
    <col min="16" max="16" width="18.69140625" customWidth="1"/>
    <col min="17" max="17" width="20.69140625" customWidth="1"/>
    <col min="18" max="18" width="17.3046875" customWidth="1"/>
    <col min="19" max="19" width="9.84375" bestFit="1" customWidth="1"/>
    <col min="20" max="20" width="7.84375" bestFit="1" customWidth="1"/>
    <col min="21" max="21" width="12.69140625" bestFit="1" customWidth="1"/>
    <col min="22" max="22" width="9" bestFit="1" customWidth="1"/>
  </cols>
  <sheetData>
    <row r="1" spans="1:22" x14ac:dyDescent="0.4">
      <c r="A1" t="s">
        <v>0</v>
      </c>
      <c r="B1" t="s">
        <v>175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  <c r="U1" t="s">
        <v>173</v>
      </c>
      <c r="V1" t="s">
        <v>174</v>
      </c>
    </row>
    <row r="2" spans="1:22" x14ac:dyDescent="0.4">
      <c r="A2" t="s">
        <v>603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105</v>
      </c>
      <c r="J2" t="s">
        <v>98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123</v>
      </c>
      <c r="R2" t="s">
        <v>125</v>
      </c>
      <c r="S2">
        <v>0</v>
      </c>
      <c r="T2">
        <v>23</v>
      </c>
      <c r="U2">
        <v>120</v>
      </c>
      <c r="V2">
        <v>2</v>
      </c>
    </row>
    <row r="3" spans="1:22" x14ac:dyDescent="0.4">
      <c r="A3" t="s">
        <v>604</v>
      </c>
      <c r="B3">
        <v>1</v>
      </c>
      <c r="C3" t="s">
        <v>53</v>
      </c>
      <c r="D3">
        <v>3</v>
      </c>
      <c r="E3">
        <v>1</v>
      </c>
      <c r="F3">
        <v>3</v>
      </c>
      <c r="G3" t="s">
        <v>54</v>
      </c>
      <c r="H3" t="s">
        <v>83</v>
      </c>
      <c r="I3" t="s">
        <v>105</v>
      </c>
      <c r="J3" t="s">
        <v>115</v>
      </c>
      <c r="K3" t="s">
        <v>48</v>
      </c>
      <c r="L3">
        <v>1</v>
      </c>
      <c r="N3">
        <v>3</v>
      </c>
      <c r="O3" t="s">
        <v>49</v>
      </c>
      <c r="P3" t="s">
        <v>71</v>
      </c>
      <c r="Q3" t="s">
        <v>90</v>
      </c>
      <c r="R3" t="s">
        <v>52</v>
      </c>
      <c r="S3">
        <v>0</v>
      </c>
      <c r="T3">
        <v>15</v>
      </c>
      <c r="U3">
        <v>120</v>
      </c>
      <c r="V3">
        <v>2</v>
      </c>
    </row>
    <row r="4" spans="1:22" x14ac:dyDescent="0.4">
      <c r="A4" t="s">
        <v>605</v>
      </c>
      <c r="B4">
        <v>2</v>
      </c>
      <c r="C4" t="s">
        <v>33</v>
      </c>
      <c r="D4">
        <v>3</v>
      </c>
      <c r="F4">
        <v>2</v>
      </c>
      <c r="G4" t="s">
        <v>34</v>
      </c>
      <c r="H4" t="s">
        <v>35</v>
      </c>
      <c r="I4" t="s">
        <v>131</v>
      </c>
      <c r="K4" t="s">
        <v>53</v>
      </c>
      <c r="L4">
        <v>1</v>
      </c>
      <c r="M4">
        <v>1</v>
      </c>
      <c r="N4">
        <v>2</v>
      </c>
      <c r="O4" t="s">
        <v>111</v>
      </c>
      <c r="P4" t="s">
        <v>83</v>
      </c>
      <c r="Q4" t="s">
        <v>97</v>
      </c>
      <c r="R4" t="s">
        <v>115</v>
      </c>
      <c r="S4">
        <v>0</v>
      </c>
      <c r="T4">
        <v>11</v>
      </c>
      <c r="U4">
        <v>120</v>
      </c>
      <c r="V4">
        <v>2</v>
      </c>
    </row>
    <row r="5" spans="1:22" x14ac:dyDescent="0.4">
      <c r="A5" t="s">
        <v>606</v>
      </c>
      <c r="B5">
        <v>3</v>
      </c>
      <c r="C5" t="s">
        <v>53</v>
      </c>
      <c r="D5">
        <v>2</v>
      </c>
      <c r="E5">
        <v>1</v>
      </c>
      <c r="F5">
        <v>2</v>
      </c>
      <c r="G5" t="s">
        <v>112</v>
      </c>
      <c r="H5" t="s">
        <v>83</v>
      </c>
      <c r="I5" t="s">
        <v>105</v>
      </c>
      <c r="J5" t="s">
        <v>98</v>
      </c>
      <c r="K5" t="s">
        <v>43</v>
      </c>
      <c r="L5">
        <v>3</v>
      </c>
      <c r="N5">
        <v>3</v>
      </c>
      <c r="O5" t="s">
        <v>135</v>
      </c>
      <c r="P5" t="s">
        <v>99</v>
      </c>
      <c r="S5">
        <v>0</v>
      </c>
      <c r="T5">
        <v>12</v>
      </c>
      <c r="U5">
        <v>120</v>
      </c>
      <c r="V5">
        <v>2</v>
      </c>
    </row>
    <row r="6" spans="1:22" x14ac:dyDescent="0.4">
      <c r="A6" t="s">
        <v>607</v>
      </c>
      <c r="B6">
        <v>4</v>
      </c>
      <c r="C6" t="s">
        <v>53</v>
      </c>
      <c r="D6">
        <v>1</v>
      </c>
      <c r="E6">
        <v>2</v>
      </c>
      <c r="F6">
        <v>3</v>
      </c>
      <c r="G6" t="s">
        <v>54</v>
      </c>
      <c r="K6" t="s">
        <v>45</v>
      </c>
      <c r="L6">
        <v>3</v>
      </c>
      <c r="N6">
        <v>1</v>
      </c>
      <c r="O6" t="s">
        <v>86</v>
      </c>
      <c r="P6" t="s">
        <v>76</v>
      </c>
      <c r="Q6" t="s">
        <v>93</v>
      </c>
      <c r="S6">
        <v>0</v>
      </c>
      <c r="T6">
        <v>10</v>
      </c>
      <c r="U6">
        <v>120</v>
      </c>
      <c r="V6">
        <v>2</v>
      </c>
    </row>
    <row r="7" spans="1:22" x14ac:dyDescent="0.4">
      <c r="A7" t="s">
        <v>608</v>
      </c>
      <c r="B7">
        <v>5</v>
      </c>
      <c r="C7" t="s">
        <v>63</v>
      </c>
      <c r="D7">
        <v>3</v>
      </c>
      <c r="F7">
        <v>2</v>
      </c>
      <c r="G7" t="s">
        <v>72</v>
      </c>
      <c r="H7" t="s">
        <v>95</v>
      </c>
      <c r="I7" t="s">
        <v>147</v>
      </c>
      <c r="K7" t="s">
        <v>53</v>
      </c>
      <c r="L7">
        <v>1</v>
      </c>
      <c r="M7">
        <v>1</v>
      </c>
      <c r="N7">
        <v>3</v>
      </c>
      <c r="O7" t="s">
        <v>111</v>
      </c>
      <c r="P7" t="s">
        <v>83</v>
      </c>
      <c r="Q7" t="s">
        <v>97</v>
      </c>
      <c r="R7" t="s">
        <v>115</v>
      </c>
      <c r="S7">
        <v>0</v>
      </c>
      <c r="T7">
        <v>12</v>
      </c>
      <c r="U7">
        <v>120</v>
      </c>
      <c r="V7">
        <v>2</v>
      </c>
    </row>
    <row r="8" spans="1:22" x14ac:dyDescent="0.4">
      <c r="A8" t="s">
        <v>609</v>
      </c>
      <c r="B8">
        <v>6</v>
      </c>
      <c r="C8" t="s">
        <v>38</v>
      </c>
      <c r="D8">
        <v>3</v>
      </c>
      <c r="E8">
        <v>3</v>
      </c>
      <c r="F8">
        <v>3</v>
      </c>
      <c r="G8" t="s">
        <v>152</v>
      </c>
      <c r="H8" t="s">
        <v>96</v>
      </c>
      <c r="I8" t="s">
        <v>153</v>
      </c>
      <c r="J8" t="s">
        <v>42</v>
      </c>
      <c r="K8" t="s">
        <v>53</v>
      </c>
      <c r="L8">
        <v>3</v>
      </c>
      <c r="M8">
        <v>2</v>
      </c>
      <c r="N8">
        <v>3</v>
      </c>
      <c r="O8" t="s">
        <v>54</v>
      </c>
      <c r="P8" t="s">
        <v>83</v>
      </c>
      <c r="Q8" t="s">
        <v>97</v>
      </c>
      <c r="R8" t="s">
        <v>115</v>
      </c>
      <c r="S8">
        <v>0</v>
      </c>
      <c r="T8">
        <v>19</v>
      </c>
      <c r="U8">
        <v>120</v>
      </c>
      <c r="V8">
        <v>2</v>
      </c>
    </row>
    <row r="9" spans="1:22" x14ac:dyDescent="0.4">
      <c r="A9" t="s">
        <v>610</v>
      </c>
      <c r="B9">
        <v>7</v>
      </c>
      <c r="C9" t="s">
        <v>56</v>
      </c>
      <c r="D9">
        <v>1</v>
      </c>
      <c r="F9">
        <v>1</v>
      </c>
      <c r="G9" t="s">
        <v>120</v>
      </c>
      <c r="H9" t="s">
        <v>69</v>
      </c>
      <c r="I9" t="s">
        <v>87</v>
      </c>
      <c r="J9" t="s">
        <v>125</v>
      </c>
      <c r="K9" t="s">
        <v>48</v>
      </c>
      <c r="L9">
        <v>1</v>
      </c>
      <c r="N9">
        <v>1</v>
      </c>
      <c r="O9" t="s">
        <v>49</v>
      </c>
      <c r="P9" t="s">
        <v>50</v>
      </c>
      <c r="Q9" t="s">
        <v>127</v>
      </c>
      <c r="R9" t="s">
        <v>52</v>
      </c>
      <c r="S9">
        <v>0</v>
      </c>
      <c r="T9">
        <v>8</v>
      </c>
      <c r="U9">
        <v>120</v>
      </c>
      <c r="V9">
        <v>2</v>
      </c>
    </row>
    <row r="10" spans="1:22" x14ac:dyDescent="0.4">
      <c r="A10" t="s">
        <v>611</v>
      </c>
      <c r="B10">
        <v>8</v>
      </c>
      <c r="C10" t="s">
        <v>56</v>
      </c>
      <c r="D10">
        <v>3</v>
      </c>
      <c r="F10">
        <v>1</v>
      </c>
      <c r="G10" t="s">
        <v>120</v>
      </c>
      <c r="K10" t="s">
        <v>33</v>
      </c>
      <c r="L10">
        <v>1</v>
      </c>
      <c r="N10">
        <v>1</v>
      </c>
      <c r="O10" t="s">
        <v>46</v>
      </c>
      <c r="P10" t="s">
        <v>130</v>
      </c>
      <c r="Q10" t="s">
        <v>131</v>
      </c>
      <c r="S10">
        <v>0</v>
      </c>
      <c r="T10">
        <v>6</v>
      </c>
      <c r="U10">
        <v>120</v>
      </c>
      <c r="V10">
        <v>2</v>
      </c>
    </row>
    <row r="11" spans="1:22" x14ac:dyDescent="0.4">
      <c r="A11" t="s">
        <v>612</v>
      </c>
      <c r="B11">
        <v>9</v>
      </c>
      <c r="C11" t="s">
        <v>43</v>
      </c>
      <c r="D11">
        <v>3</v>
      </c>
      <c r="F11">
        <v>1</v>
      </c>
      <c r="G11" t="s">
        <v>135</v>
      </c>
      <c r="H11" t="s">
        <v>99</v>
      </c>
      <c r="I11" t="s">
        <v>137</v>
      </c>
      <c r="K11" t="s">
        <v>56</v>
      </c>
      <c r="L11">
        <v>1</v>
      </c>
      <c r="N11">
        <v>2</v>
      </c>
      <c r="O11" t="s">
        <v>120</v>
      </c>
      <c r="P11" t="s">
        <v>69</v>
      </c>
      <c r="S11">
        <v>0</v>
      </c>
      <c r="T11">
        <v>9</v>
      </c>
      <c r="U11">
        <v>120</v>
      </c>
      <c r="V11">
        <v>2</v>
      </c>
    </row>
    <row r="12" spans="1:22" x14ac:dyDescent="0.4">
      <c r="A12" t="s">
        <v>613</v>
      </c>
      <c r="B12">
        <v>10</v>
      </c>
      <c r="C12" t="s">
        <v>56</v>
      </c>
      <c r="D12">
        <v>2</v>
      </c>
      <c r="F12">
        <v>3</v>
      </c>
      <c r="G12" t="s">
        <v>120</v>
      </c>
      <c r="H12" t="s">
        <v>69</v>
      </c>
      <c r="K12" t="s">
        <v>45</v>
      </c>
      <c r="L12">
        <v>3</v>
      </c>
      <c r="N12">
        <v>1</v>
      </c>
      <c r="O12" t="s">
        <v>140</v>
      </c>
      <c r="P12" t="s">
        <v>76</v>
      </c>
      <c r="Q12" t="s">
        <v>142</v>
      </c>
      <c r="S12">
        <v>0</v>
      </c>
      <c r="T12">
        <v>10</v>
      </c>
      <c r="U12">
        <v>120</v>
      </c>
      <c r="V12">
        <v>2</v>
      </c>
    </row>
    <row r="13" spans="1:22" x14ac:dyDescent="0.4">
      <c r="A13" t="s">
        <v>614</v>
      </c>
      <c r="B13">
        <v>11</v>
      </c>
      <c r="C13" t="s">
        <v>56</v>
      </c>
      <c r="D13">
        <v>3</v>
      </c>
      <c r="F13">
        <v>1</v>
      </c>
      <c r="G13" t="s">
        <v>57</v>
      </c>
      <c r="H13" t="s">
        <v>122</v>
      </c>
      <c r="K13" t="s">
        <v>63</v>
      </c>
      <c r="L13">
        <v>1</v>
      </c>
      <c r="N13">
        <v>1</v>
      </c>
      <c r="O13" t="s">
        <v>103</v>
      </c>
      <c r="P13" t="s">
        <v>146</v>
      </c>
      <c r="Q13" t="s">
        <v>147</v>
      </c>
      <c r="S13">
        <v>0</v>
      </c>
      <c r="T13">
        <v>7</v>
      </c>
      <c r="U13">
        <v>120</v>
      </c>
      <c r="V13">
        <v>2</v>
      </c>
    </row>
    <row r="14" spans="1:22" x14ac:dyDescent="0.4">
      <c r="A14" t="s">
        <v>615</v>
      </c>
      <c r="B14">
        <v>12</v>
      </c>
      <c r="C14" t="s">
        <v>38</v>
      </c>
      <c r="D14">
        <v>3</v>
      </c>
      <c r="E14">
        <v>2</v>
      </c>
      <c r="F14">
        <v>1</v>
      </c>
      <c r="G14" t="s">
        <v>152</v>
      </c>
      <c r="H14" t="s">
        <v>96</v>
      </c>
      <c r="I14" t="s">
        <v>153</v>
      </c>
      <c r="J14" t="s">
        <v>156</v>
      </c>
      <c r="K14" t="s">
        <v>56</v>
      </c>
      <c r="L14">
        <v>2</v>
      </c>
      <c r="N14">
        <v>2</v>
      </c>
      <c r="O14" t="s">
        <v>57</v>
      </c>
      <c r="P14" t="s">
        <v>122</v>
      </c>
      <c r="Q14" t="s">
        <v>85</v>
      </c>
      <c r="R14" t="s">
        <v>124</v>
      </c>
      <c r="S14">
        <v>0</v>
      </c>
      <c r="T14">
        <v>13</v>
      </c>
      <c r="U14">
        <v>120</v>
      </c>
      <c r="V14">
        <v>2</v>
      </c>
    </row>
    <row r="15" spans="1:22" x14ac:dyDescent="0.4">
      <c r="A15" t="s">
        <v>616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3</v>
      </c>
      <c r="N15">
        <v>1</v>
      </c>
      <c r="O15" t="s">
        <v>34</v>
      </c>
      <c r="S15">
        <v>0</v>
      </c>
      <c r="T15">
        <v>6</v>
      </c>
      <c r="U15">
        <v>120</v>
      </c>
      <c r="V15">
        <v>2</v>
      </c>
    </row>
    <row r="16" spans="1:22" x14ac:dyDescent="0.4">
      <c r="A16" t="s">
        <v>617</v>
      </c>
      <c r="B16">
        <v>14</v>
      </c>
      <c r="C16" t="s">
        <v>48</v>
      </c>
      <c r="D16">
        <v>2</v>
      </c>
      <c r="F16">
        <v>1</v>
      </c>
      <c r="G16" t="s">
        <v>126</v>
      </c>
      <c r="H16" t="s">
        <v>71</v>
      </c>
      <c r="I16" t="s">
        <v>51</v>
      </c>
      <c r="J16" t="s">
        <v>128</v>
      </c>
      <c r="K16" t="s">
        <v>43</v>
      </c>
      <c r="L16">
        <v>1</v>
      </c>
      <c r="N16">
        <v>2</v>
      </c>
      <c r="O16" t="s">
        <v>44</v>
      </c>
      <c r="P16" t="s">
        <v>136</v>
      </c>
      <c r="Q16" t="s">
        <v>137</v>
      </c>
      <c r="R16" t="s">
        <v>138</v>
      </c>
      <c r="S16">
        <v>0</v>
      </c>
      <c r="T16">
        <v>10</v>
      </c>
      <c r="U16">
        <v>120</v>
      </c>
      <c r="V16">
        <v>2</v>
      </c>
    </row>
    <row r="17" spans="1:22" x14ac:dyDescent="0.4">
      <c r="A17" t="s">
        <v>618</v>
      </c>
      <c r="B17">
        <v>15</v>
      </c>
      <c r="C17" t="s">
        <v>45</v>
      </c>
      <c r="D17">
        <v>3</v>
      </c>
      <c r="F17">
        <v>1</v>
      </c>
      <c r="G17" t="s">
        <v>86</v>
      </c>
      <c r="H17" t="s">
        <v>76</v>
      </c>
      <c r="I17" t="s">
        <v>93</v>
      </c>
      <c r="K17" t="s">
        <v>48</v>
      </c>
      <c r="L17">
        <v>1</v>
      </c>
      <c r="N17">
        <v>2</v>
      </c>
      <c r="O17" t="s">
        <v>126</v>
      </c>
      <c r="P17" t="s">
        <v>71</v>
      </c>
      <c r="Q17" t="s">
        <v>90</v>
      </c>
      <c r="S17">
        <v>0</v>
      </c>
      <c r="T17">
        <v>9</v>
      </c>
      <c r="U17">
        <v>120</v>
      </c>
      <c r="V17">
        <v>2</v>
      </c>
    </row>
    <row r="18" spans="1:22" x14ac:dyDescent="0.4">
      <c r="A18" t="s">
        <v>619</v>
      </c>
      <c r="B18">
        <v>16</v>
      </c>
      <c r="C18" t="s">
        <v>63</v>
      </c>
      <c r="D18">
        <v>3</v>
      </c>
      <c r="F18">
        <v>3</v>
      </c>
      <c r="G18" t="s">
        <v>72</v>
      </c>
      <c r="H18" t="s">
        <v>146</v>
      </c>
      <c r="I18" t="s">
        <v>104</v>
      </c>
      <c r="J18" t="s">
        <v>151</v>
      </c>
      <c r="K18" t="s">
        <v>48</v>
      </c>
      <c r="L18">
        <v>3</v>
      </c>
      <c r="N18">
        <v>3</v>
      </c>
      <c r="O18" t="s">
        <v>89</v>
      </c>
      <c r="P18" t="s">
        <v>71</v>
      </c>
      <c r="Q18" t="s">
        <v>51</v>
      </c>
      <c r="R18" t="s">
        <v>52</v>
      </c>
      <c r="S18">
        <v>0</v>
      </c>
      <c r="T18">
        <v>28</v>
      </c>
      <c r="U18">
        <v>120</v>
      </c>
      <c r="V18">
        <v>2</v>
      </c>
    </row>
    <row r="19" spans="1:22" x14ac:dyDescent="0.4">
      <c r="A19" t="s">
        <v>620</v>
      </c>
      <c r="B19">
        <v>17</v>
      </c>
      <c r="C19" t="s">
        <v>48</v>
      </c>
      <c r="D19">
        <v>3</v>
      </c>
      <c r="F19">
        <v>1</v>
      </c>
      <c r="G19" t="s">
        <v>49</v>
      </c>
      <c r="H19" t="s">
        <v>50</v>
      </c>
      <c r="I19" t="s">
        <v>51</v>
      </c>
      <c r="J19" t="s">
        <v>128</v>
      </c>
      <c r="K19" t="s">
        <v>38</v>
      </c>
      <c r="L19">
        <v>2</v>
      </c>
      <c r="M19">
        <v>1</v>
      </c>
      <c r="N19">
        <v>3</v>
      </c>
      <c r="O19" t="s">
        <v>67</v>
      </c>
      <c r="P19" t="s">
        <v>96</v>
      </c>
      <c r="Q19" t="s">
        <v>153</v>
      </c>
      <c r="R19" t="s">
        <v>42</v>
      </c>
      <c r="S19">
        <v>0</v>
      </c>
      <c r="T19">
        <v>14</v>
      </c>
      <c r="U19">
        <v>120</v>
      </c>
      <c r="V19">
        <v>2</v>
      </c>
    </row>
    <row r="20" spans="1:22" x14ac:dyDescent="0.4">
      <c r="A20" t="s">
        <v>621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1</v>
      </c>
      <c r="N20">
        <v>2</v>
      </c>
      <c r="O20" t="s">
        <v>34</v>
      </c>
      <c r="P20" t="s">
        <v>130</v>
      </c>
      <c r="S20">
        <v>0</v>
      </c>
      <c r="T20">
        <v>7</v>
      </c>
      <c r="U20">
        <v>120</v>
      </c>
      <c r="V20">
        <v>2</v>
      </c>
    </row>
    <row r="21" spans="1:22" x14ac:dyDescent="0.4">
      <c r="A21" t="s">
        <v>622</v>
      </c>
      <c r="B21">
        <v>19</v>
      </c>
      <c r="C21" t="s">
        <v>45</v>
      </c>
      <c r="D21">
        <v>3</v>
      </c>
      <c r="F21">
        <v>1</v>
      </c>
      <c r="G21" t="s">
        <v>140</v>
      </c>
      <c r="K21" t="s">
        <v>33</v>
      </c>
      <c r="L21">
        <v>1</v>
      </c>
      <c r="N21">
        <v>1</v>
      </c>
      <c r="O21" t="s">
        <v>34</v>
      </c>
      <c r="P21" t="s">
        <v>66</v>
      </c>
      <c r="S21">
        <v>0</v>
      </c>
      <c r="T21">
        <v>5</v>
      </c>
      <c r="U21">
        <v>120</v>
      </c>
      <c r="V21">
        <v>2</v>
      </c>
    </row>
    <row r="22" spans="1:22" x14ac:dyDescent="0.4">
      <c r="A22" t="s">
        <v>623</v>
      </c>
      <c r="B22">
        <v>20</v>
      </c>
      <c r="C22" t="s">
        <v>63</v>
      </c>
      <c r="D22">
        <v>3</v>
      </c>
      <c r="F22">
        <v>1</v>
      </c>
      <c r="G22" t="s">
        <v>72</v>
      </c>
      <c r="K22" t="s">
        <v>33</v>
      </c>
      <c r="L22">
        <v>2</v>
      </c>
      <c r="N22">
        <v>1</v>
      </c>
      <c r="O22" t="s">
        <v>34</v>
      </c>
      <c r="P22" t="s">
        <v>35</v>
      </c>
      <c r="S22">
        <v>0</v>
      </c>
      <c r="T22">
        <v>6</v>
      </c>
      <c r="U22">
        <v>120</v>
      </c>
      <c r="V22">
        <v>2</v>
      </c>
    </row>
    <row r="23" spans="1:22" x14ac:dyDescent="0.4">
      <c r="A23" t="s">
        <v>624</v>
      </c>
      <c r="B23">
        <v>21</v>
      </c>
      <c r="C23" t="s">
        <v>33</v>
      </c>
      <c r="D23">
        <v>1</v>
      </c>
      <c r="F23">
        <v>1</v>
      </c>
      <c r="G23" t="s">
        <v>46</v>
      </c>
      <c r="H23" t="s">
        <v>35</v>
      </c>
      <c r="I23" t="s">
        <v>36</v>
      </c>
      <c r="K23" t="s">
        <v>38</v>
      </c>
      <c r="L23">
        <v>1</v>
      </c>
      <c r="M23">
        <v>1</v>
      </c>
      <c r="N23">
        <v>1</v>
      </c>
      <c r="O23" t="s">
        <v>67</v>
      </c>
      <c r="P23" t="s">
        <v>96</v>
      </c>
      <c r="Q23" t="s">
        <v>153</v>
      </c>
      <c r="S23">
        <v>0</v>
      </c>
      <c r="T23">
        <v>6</v>
      </c>
      <c r="U23">
        <v>120</v>
      </c>
      <c r="V23">
        <v>2</v>
      </c>
    </row>
    <row r="24" spans="1:22" x14ac:dyDescent="0.4">
      <c r="A24" t="s">
        <v>625</v>
      </c>
      <c r="B24">
        <v>22</v>
      </c>
      <c r="C24" t="s">
        <v>45</v>
      </c>
      <c r="D24">
        <v>3</v>
      </c>
      <c r="F24">
        <v>2</v>
      </c>
      <c r="G24" t="s">
        <v>140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  <c r="U24">
        <v>120</v>
      </c>
      <c r="V24">
        <v>2</v>
      </c>
    </row>
    <row r="25" spans="1:22" x14ac:dyDescent="0.4">
      <c r="A25" t="s">
        <v>626</v>
      </c>
      <c r="B25">
        <v>23</v>
      </c>
      <c r="C25" t="s">
        <v>43</v>
      </c>
      <c r="D25">
        <v>3</v>
      </c>
      <c r="F25">
        <v>1</v>
      </c>
      <c r="G25" t="s">
        <v>135</v>
      </c>
      <c r="H25" t="s">
        <v>99</v>
      </c>
      <c r="I25" t="s">
        <v>137</v>
      </c>
      <c r="J25" t="s">
        <v>139</v>
      </c>
      <c r="K25" t="s">
        <v>63</v>
      </c>
      <c r="L25">
        <v>1</v>
      </c>
      <c r="N25">
        <v>3</v>
      </c>
      <c r="O25" t="s">
        <v>145</v>
      </c>
      <c r="P25" t="s">
        <v>146</v>
      </c>
      <c r="Q25" t="s">
        <v>104</v>
      </c>
      <c r="S25">
        <v>0</v>
      </c>
      <c r="T25">
        <v>11</v>
      </c>
      <c r="U25">
        <v>120</v>
      </c>
      <c r="V25">
        <v>2</v>
      </c>
    </row>
    <row r="26" spans="1:22" x14ac:dyDescent="0.4">
      <c r="A26" t="s">
        <v>627</v>
      </c>
      <c r="B26">
        <v>24</v>
      </c>
      <c r="C26" t="s">
        <v>38</v>
      </c>
      <c r="D26">
        <v>2</v>
      </c>
      <c r="E26">
        <v>2</v>
      </c>
      <c r="F26">
        <v>2</v>
      </c>
      <c r="G26" t="s">
        <v>67</v>
      </c>
      <c r="H26" t="s">
        <v>70</v>
      </c>
      <c r="I26" t="s">
        <v>153</v>
      </c>
      <c r="J26" t="s">
        <v>156</v>
      </c>
      <c r="K26" t="s">
        <v>43</v>
      </c>
      <c r="L26">
        <v>1</v>
      </c>
      <c r="N26">
        <v>3</v>
      </c>
      <c r="O26" t="s">
        <v>135</v>
      </c>
      <c r="P26" t="s">
        <v>136</v>
      </c>
      <c r="Q26" t="s">
        <v>137</v>
      </c>
      <c r="R26" t="s">
        <v>138</v>
      </c>
      <c r="S26">
        <v>0</v>
      </c>
      <c r="T26">
        <v>15</v>
      </c>
      <c r="U26">
        <v>120</v>
      </c>
      <c r="V26">
        <v>2</v>
      </c>
    </row>
    <row r="27" spans="1:22" x14ac:dyDescent="0.4">
      <c r="A27" t="s">
        <v>628</v>
      </c>
      <c r="B27">
        <v>25</v>
      </c>
      <c r="C27" t="s">
        <v>45</v>
      </c>
      <c r="D27">
        <v>3</v>
      </c>
      <c r="F27">
        <v>1</v>
      </c>
      <c r="G27" t="s">
        <v>86</v>
      </c>
      <c r="H27" t="s">
        <v>141</v>
      </c>
      <c r="K27" t="s">
        <v>63</v>
      </c>
      <c r="L27">
        <v>1</v>
      </c>
      <c r="N27">
        <v>1</v>
      </c>
      <c r="O27" t="s">
        <v>72</v>
      </c>
      <c r="P27" t="s">
        <v>146</v>
      </c>
      <c r="Q27" t="s">
        <v>148</v>
      </c>
      <c r="S27">
        <v>0</v>
      </c>
      <c r="T27">
        <v>7</v>
      </c>
      <c r="U27">
        <v>120</v>
      </c>
      <c r="V27">
        <v>2</v>
      </c>
    </row>
    <row r="28" spans="1:22" x14ac:dyDescent="0.4">
      <c r="A28" t="s">
        <v>629</v>
      </c>
      <c r="B28">
        <v>26</v>
      </c>
      <c r="C28" t="s">
        <v>45</v>
      </c>
      <c r="D28">
        <v>3</v>
      </c>
      <c r="F28">
        <v>2</v>
      </c>
      <c r="G28" t="s">
        <v>140</v>
      </c>
      <c r="H28" t="s">
        <v>76</v>
      </c>
      <c r="I28" t="s">
        <v>102</v>
      </c>
      <c r="K28" t="s">
        <v>38</v>
      </c>
      <c r="L28">
        <v>2</v>
      </c>
      <c r="M28">
        <v>1</v>
      </c>
      <c r="N28">
        <v>2</v>
      </c>
      <c r="O28" t="s">
        <v>67</v>
      </c>
      <c r="P28" t="s">
        <v>96</v>
      </c>
      <c r="Q28" t="s">
        <v>153</v>
      </c>
      <c r="R28" t="s">
        <v>156</v>
      </c>
      <c r="S28">
        <v>0</v>
      </c>
      <c r="T28">
        <v>12</v>
      </c>
      <c r="U28">
        <v>120</v>
      </c>
      <c r="V28">
        <v>2</v>
      </c>
    </row>
    <row r="29" spans="1:22" x14ac:dyDescent="0.4">
      <c r="A29" t="s">
        <v>630</v>
      </c>
      <c r="B29">
        <v>27</v>
      </c>
      <c r="C29" t="s">
        <v>63</v>
      </c>
      <c r="D29">
        <v>3</v>
      </c>
      <c r="F29">
        <v>3</v>
      </c>
      <c r="G29" t="s">
        <v>103</v>
      </c>
      <c r="H29" t="s">
        <v>95</v>
      </c>
      <c r="I29" t="s">
        <v>147</v>
      </c>
      <c r="J29" t="s">
        <v>151</v>
      </c>
      <c r="K29" t="s">
        <v>38</v>
      </c>
      <c r="L29">
        <v>3</v>
      </c>
      <c r="M29">
        <v>3</v>
      </c>
      <c r="N29">
        <v>1</v>
      </c>
      <c r="O29" t="s">
        <v>67</v>
      </c>
      <c r="P29" t="s">
        <v>96</v>
      </c>
      <c r="Q29" t="s">
        <v>153</v>
      </c>
      <c r="R29" t="s">
        <v>156</v>
      </c>
      <c r="S29">
        <v>0</v>
      </c>
      <c r="T29">
        <v>16</v>
      </c>
      <c r="U29">
        <v>120</v>
      </c>
      <c r="V29">
        <v>2</v>
      </c>
    </row>
    <row r="30" spans="1:22" x14ac:dyDescent="0.4">
      <c r="A30" t="s">
        <v>635</v>
      </c>
      <c r="B30">
        <v>0</v>
      </c>
      <c r="C30" t="s">
        <v>56</v>
      </c>
      <c r="D30">
        <v>3</v>
      </c>
      <c r="F30">
        <v>3</v>
      </c>
      <c r="G30" t="s">
        <v>120</v>
      </c>
      <c r="H30" t="s">
        <v>69</v>
      </c>
      <c r="I30" t="s">
        <v>87</v>
      </c>
      <c r="J30" t="s">
        <v>124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83</v>
      </c>
      <c r="Q30" t="s">
        <v>105</v>
      </c>
      <c r="R30" t="s">
        <v>115</v>
      </c>
      <c r="S30">
        <v>0</v>
      </c>
      <c r="T30">
        <v>26</v>
      </c>
      <c r="U30">
        <v>120</v>
      </c>
      <c r="V30">
        <v>2</v>
      </c>
    </row>
    <row r="31" spans="1:22" x14ac:dyDescent="0.4">
      <c r="A31" t="s">
        <v>636</v>
      </c>
      <c r="B31">
        <v>1</v>
      </c>
      <c r="C31" t="s">
        <v>53</v>
      </c>
      <c r="D31">
        <v>1</v>
      </c>
      <c r="E31">
        <v>1</v>
      </c>
      <c r="F31">
        <v>2</v>
      </c>
      <c r="G31" t="s">
        <v>54</v>
      </c>
      <c r="H31" t="s">
        <v>83</v>
      </c>
      <c r="I31" t="s">
        <v>105</v>
      </c>
      <c r="J31" t="s">
        <v>115</v>
      </c>
      <c r="K31" t="s">
        <v>48</v>
      </c>
      <c r="L31">
        <v>1</v>
      </c>
      <c r="N31">
        <v>1</v>
      </c>
      <c r="O31" t="s">
        <v>49</v>
      </c>
      <c r="P31" t="s">
        <v>71</v>
      </c>
      <c r="Q31" t="s">
        <v>90</v>
      </c>
      <c r="R31" t="s">
        <v>52</v>
      </c>
      <c r="S31">
        <v>0</v>
      </c>
      <c r="T31">
        <v>9</v>
      </c>
      <c r="U31">
        <v>120</v>
      </c>
      <c r="V31">
        <v>2</v>
      </c>
    </row>
    <row r="32" spans="1:22" x14ac:dyDescent="0.4">
      <c r="A32" t="s">
        <v>637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K32" t="s">
        <v>33</v>
      </c>
      <c r="L32">
        <v>2</v>
      </c>
      <c r="N32">
        <v>1</v>
      </c>
      <c r="O32" t="s">
        <v>34</v>
      </c>
      <c r="P32" t="s">
        <v>35</v>
      </c>
      <c r="S32">
        <v>0</v>
      </c>
      <c r="T32">
        <v>6</v>
      </c>
      <c r="U32">
        <v>120</v>
      </c>
      <c r="V32">
        <v>2</v>
      </c>
    </row>
    <row r="33" spans="1:22" x14ac:dyDescent="0.4">
      <c r="A33" t="s">
        <v>638</v>
      </c>
      <c r="B33">
        <v>3</v>
      </c>
      <c r="C33" t="s">
        <v>53</v>
      </c>
      <c r="D33">
        <v>2</v>
      </c>
      <c r="E33">
        <v>1</v>
      </c>
      <c r="F33">
        <v>2</v>
      </c>
      <c r="G33" t="s">
        <v>112</v>
      </c>
      <c r="H33" t="s">
        <v>83</v>
      </c>
      <c r="I33" t="s">
        <v>114</v>
      </c>
      <c r="K33" t="s">
        <v>43</v>
      </c>
      <c r="L33">
        <v>3</v>
      </c>
      <c r="N33">
        <v>1</v>
      </c>
      <c r="O33" t="s">
        <v>135</v>
      </c>
      <c r="P33" t="s">
        <v>99</v>
      </c>
      <c r="Q33" t="s">
        <v>75</v>
      </c>
      <c r="S33">
        <v>0</v>
      </c>
      <c r="T33">
        <v>10</v>
      </c>
      <c r="U33">
        <v>120</v>
      </c>
      <c r="V33">
        <v>2</v>
      </c>
    </row>
    <row r="34" spans="1:22" x14ac:dyDescent="0.4">
      <c r="A34" t="s">
        <v>639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83</v>
      </c>
      <c r="I34" t="s">
        <v>97</v>
      </c>
      <c r="J34" t="s">
        <v>115</v>
      </c>
      <c r="K34" t="s">
        <v>45</v>
      </c>
      <c r="L34">
        <v>3</v>
      </c>
      <c r="N34">
        <v>3</v>
      </c>
      <c r="O34" t="s">
        <v>86</v>
      </c>
      <c r="P34" t="s">
        <v>76</v>
      </c>
      <c r="Q34" t="s">
        <v>93</v>
      </c>
      <c r="R34" t="s">
        <v>94</v>
      </c>
      <c r="S34">
        <v>0</v>
      </c>
      <c r="T34">
        <v>22</v>
      </c>
      <c r="U34">
        <v>120</v>
      </c>
      <c r="V34">
        <v>2</v>
      </c>
    </row>
    <row r="35" spans="1:22" x14ac:dyDescent="0.4">
      <c r="A35" t="s">
        <v>640</v>
      </c>
      <c r="B35">
        <v>5</v>
      </c>
      <c r="C35" t="s">
        <v>63</v>
      </c>
      <c r="D35">
        <v>3</v>
      </c>
      <c r="F35">
        <v>3</v>
      </c>
      <c r="G35" t="s">
        <v>103</v>
      </c>
      <c r="H35" t="s">
        <v>95</v>
      </c>
      <c r="I35" t="s">
        <v>147</v>
      </c>
      <c r="J35" t="s">
        <v>150</v>
      </c>
      <c r="K35" t="s">
        <v>53</v>
      </c>
      <c r="L35">
        <v>1</v>
      </c>
      <c r="M35">
        <v>3</v>
      </c>
      <c r="N35">
        <v>3</v>
      </c>
      <c r="O35" t="s">
        <v>54</v>
      </c>
      <c r="P35" t="s">
        <v>83</v>
      </c>
      <c r="Q35" t="s">
        <v>97</v>
      </c>
      <c r="R35" t="s">
        <v>115</v>
      </c>
      <c r="S35">
        <v>0</v>
      </c>
      <c r="T35">
        <v>16</v>
      </c>
      <c r="U35">
        <v>120</v>
      </c>
      <c r="V35">
        <v>2</v>
      </c>
    </row>
    <row r="36" spans="1:22" x14ac:dyDescent="0.4">
      <c r="A36" t="s">
        <v>641</v>
      </c>
      <c r="B36">
        <v>6</v>
      </c>
      <c r="C36" t="s">
        <v>38</v>
      </c>
      <c r="D36">
        <v>3</v>
      </c>
      <c r="E36">
        <v>3</v>
      </c>
      <c r="F36">
        <v>3</v>
      </c>
      <c r="G36" t="s">
        <v>152</v>
      </c>
      <c r="H36" t="s">
        <v>96</v>
      </c>
      <c r="I36" t="s">
        <v>153</v>
      </c>
      <c r="J36" t="s">
        <v>42</v>
      </c>
      <c r="K36" t="s">
        <v>53</v>
      </c>
      <c r="L36">
        <v>3</v>
      </c>
      <c r="M36">
        <v>3</v>
      </c>
      <c r="N36">
        <v>3</v>
      </c>
      <c r="O36" t="s">
        <v>54</v>
      </c>
      <c r="P36" t="s">
        <v>83</v>
      </c>
      <c r="Q36" t="s">
        <v>97</v>
      </c>
      <c r="R36" t="s">
        <v>115</v>
      </c>
      <c r="S36">
        <v>0</v>
      </c>
      <c r="T36">
        <v>23</v>
      </c>
      <c r="U36">
        <v>120</v>
      </c>
      <c r="V36">
        <v>2</v>
      </c>
    </row>
    <row r="37" spans="1:22" x14ac:dyDescent="0.4">
      <c r="A37" t="s">
        <v>642</v>
      </c>
      <c r="B37">
        <v>7</v>
      </c>
      <c r="C37" t="s">
        <v>56</v>
      </c>
      <c r="D37">
        <v>3</v>
      </c>
      <c r="F37">
        <v>1</v>
      </c>
      <c r="G37" t="s">
        <v>120</v>
      </c>
      <c r="K37" t="s">
        <v>48</v>
      </c>
      <c r="L37">
        <v>1</v>
      </c>
      <c r="N37">
        <v>1</v>
      </c>
      <c r="O37" t="s">
        <v>126</v>
      </c>
      <c r="P37" t="s">
        <v>84</v>
      </c>
      <c r="Q37" t="s">
        <v>127</v>
      </c>
      <c r="R37" t="s">
        <v>52</v>
      </c>
      <c r="S37">
        <v>0</v>
      </c>
      <c r="T37">
        <v>8</v>
      </c>
      <c r="U37">
        <v>120</v>
      </c>
      <c r="V37">
        <v>2</v>
      </c>
    </row>
    <row r="38" spans="1:22" x14ac:dyDescent="0.4">
      <c r="A38" t="s">
        <v>643</v>
      </c>
      <c r="B38">
        <v>8</v>
      </c>
      <c r="C38" t="s">
        <v>33</v>
      </c>
      <c r="D38">
        <v>1</v>
      </c>
      <c r="F38">
        <v>2</v>
      </c>
      <c r="G38" t="s">
        <v>46</v>
      </c>
      <c r="H38" t="s">
        <v>130</v>
      </c>
      <c r="I38" t="s">
        <v>36</v>
      </c>
      <c r="J38" t="s">
        <v>133</v>
      </c>
      <c r="K38" t="s">
        <v>56</v>
      </c>
      <c r="L38">
        <v>3</v>
      </c>
      <c r="N38">
        <v>2</v>
      </c>
      <c r="O38" t="s">
        <v>120</v>
      </c>
      <c r="S38">
        <v>0</v>
      </c>
      <c r="T38">
        <v>9</v>
      </c>
      <c r="U38">
        <v>120</v>
      </c>
      <c r="V38">
        <v>2</v>
      </c>
    </row>
    <row r="39" spans="1:22" x14ac:dyDescent="0.4">
      <c r="A39" t="s">
        <v>644</v>
      </c>
      <c r="B39">
        <v>9</v>
      </c>
      <c r="C39" t="s">
        <v>56</v>
      </c>
      <c r="D39">
        <v>1</v>
      </c>
      <c r="F39">
        <v>2</v>
      </c>
      <c r="G39" t="s">
        <v>120</v>
      </c>
      <c r="H39" t="s">
        <v>122</v>
      </c>
      <c r="K39" t="s">
        <v>43</v>
      </c>
      <c r="L39">
        <v>2</v>
      </c>
      <c r="N39">
        <v>1</v>
      </c>
      <c r="O39" t="s">
        <v>135</v>
      </c>
      <c r="P39" t="s">
        <v>99</v>
      </c>
      <c r="Q39" t="s">
        <v>137</v>
      </c>
      <c r="R39" t="s">
        <v>139</v>
      </c>
      <c r="S39">
        <v>0</v>
      </c>
      <c r="T39">
        <v>10</v>
      </c>
      <c r="U39">
        <v>120</v>
      </c>
      <c r="V39">
        <v>2</v>
      </c>
    </row>
    <row r="40" spans="1:22" x14ac:dyDescent="0.4">
      <c r="A40" t="s">
        <v>645</v>
      </c>
      <c r="B40">
        <v>10</v>
      </c>
      <c r="C40" t="s">
        <v>45</v>
      </c>
      <c r="D40">
        <v>3</v>
      </c>
      <c r="F40">
        <v>1</v>
      </c>
      <c r="G40" t="s">
        <v>86</v>
      </c>
      <c r="H40" t="s">
        <v>76</v>
      </c>
      <c r="I40" t="s">
        <v>93</v>
      </c>
      <c r="K40" t="s">
        <v>56</v>
      </c>
      <c r="L40">
        <v>2</v>
      </c>
      <c r="N40">
        <v>3</v>
      </c>
      <c r="O40" t="s">
        <v>120</v>
      </c>
      <c r="S40">
        <v>0</v>
      </c>
      <c r="T40">
        <v>9</v>
      </c>
      <c r="U40">
        <v>120</v>
      </c>
      <c r="V40">
        <v>2</v>
      </c>
    </row>
    <row r="41" spans="1:22" x14ac:dyDescent="0.4">
      <c r="A41" t="s">
        <v>646</v>
      </c>
      <c r="B41">
        <v>11</v>
      </c>
      <c r="C41" t="s">
        <v>56</v>
      </c>
      <c r="D41">
        <v>2</v>
      </c>
      <c r="F41">
        <v>1</v>
      </c>
      <c r="G41" t="s">
        <v>57</v>
      </c>
      <c r="H41" t="s">
        <v>122</v>
      </c>
      <c r="I41" t="s">
        <v>87</v>
      </c>
      <c r="K41" t="s">
        <v>63</v>
      </c>
      <c r="L41">
        <v>1</v>
      </c>
      <c r="N41">
        <v>1</v>
      </c>
      <c r="O41" t="s">
        <v>103</v>
      </c>
      <c r="P41" t="s">
        <v>146</v>
      </c>
      <c r="Q41" t="s">
        <v>104</v>
      </c>
      <c r="S41">
        <v>0</v>
      </c>
      <c r="T41">
        <v>7</v>
      </c>
      <c r="U41">
        <v>120</v>
      </c>
      <c r="V41">
        <v>2</v>
      </c>
    </row>
    <row r="42" spans="1:22" x14ac:dyDescent="0.4">
      <c r="A42" t="s">
        <v>647</v>
      </c>
      <c r="B42">
        <v>12</v>
      </c>
      <c r="C42" t="s">
        <v>38</v>
      </c>
      <c r="D42">
        <v>3</v>
      </c>
      <c r="E42">
        <v>3</v>
      </c>
      <c r="F42">
        <v>3</v>
      </c>
      <c r="G42" t="s">
        <v>152</v>
      </c>
      <c r="H42" t="s">
        <v>96</v>
      </c>
      <c r="I42" t="s">
        <v>153</v>
      </c>
      <c r="J42" t="s">
        <v>156</v>
      </c>
      <c r="K42" t="s">
        <v>56</v>
      </c>
      <c r="L42">
        <v>3</v>
      </c>
      <c r="N42">
        <v>3</v>
      </c>
      <c r="O42" t="s">
        <v>57</v>
      </c>
      <c r="P42" t="s">
        <v>122</v>
      </c>
      <c r="Q42" t="s">
        <v>85</v>
      </c>
      <c r="R42" t="s">
        <v>124</v>
      </c>
      <c r="S42">
        <v>0</v>
      </c>
      <c r="T42">
        <v>25</v>
      </c>
      <c r="U42">
        <v>120</v>
      </c>
      <c r="V42">
        <v>2</v>
      </c>
    </row>
    <row r="43" spans="1:22" x14ac:dyDescent="0.4">
      <c r="A43" t="s">
        <v>648</v>
      </c>
      <c r="B43">
        <v>13</v>
      </c>
      <c r="C43" t="s">
        <v>33</v>
      </c>
      <c r="D43">
        <v>3</v>
      </c>
      <c r="F43">
        <v>1</v>
      </c>
      <c r="G43" t="s">
        <v>34</v>
      </c>
      <c r="K43" t="s">
        <v>48</v>
      </c>
      <c r="L43">
        <v>2</v>
      </c>
      <c r="N43">
        <v>1</v>
      </c>
      <c r="O43" t="s">
        <v>89</v>
      </c>
      <c r="P43" t="s">
        <v>50</v>
      </c>
      <c r="S43">
        <v>0</v>
      </c>
      <c r="T43">
        <v>7</v>
      </c>
      <c r="U43">
        <v>120</v>
      </c>
      <c r="V43">
        <v>2</v>
      </c>
    </row>
    <row r="44" spans="1:22" x14ac:dyDescent="0.4">
      <c r="A44" t="s">
        <v>649</v>
      </c>
      <c r="B44">
        <v>14</v>
      </c>
      <c r="C44" t="s">
        <v>48</v>
      </c>
      <c r="D44">
        <v>2</v>
      </c>
      <c r="F44">
        <v>3</v>
      </c>
      <c r="G44" t="s">
        <v>126</v>
      </c>
      <c r="H44" t="s">
        <v>71</v>
      </c>
      <c r="I44" t="s">
        <v>127</v>
      </c>
      <c r="K44" t="s">
        <v>43</v>
      </c>
      <c r="L44">
        <v>3</v>
      </c>
      <c r="N44">
        <v>1</v>
      </c>
      <c r="O44" t="s">
        <v>44</v>
      </c>
      <c r="P44" t="s">
        <v>99</v>
      </c>
      <c r="Q44" t="s">
        <v>137</v>
      </c>
      <c r="R44" t="s">
        <v>139</v>
      </c>
      <c r="S44">
        <v>0</v>
      </c>
      <c r="T44">
        <v>12</v>
      </c>
      <c r="U44">
        <v>120</v>
      </c>
      <c r="V44">
        <v>2</v>
      </c>
    </row>
    <row r="45" spans="1:22" x14ac:dyDescent="0.4">
      <c r="A45" t="s">
        <v>650</v>
      </c>
      <c r="B45">
        <v>15</v>
      </c>
      <c r="C45" t="s">
        <v>48</v>
      </c>
      <c r="D45">
        <v>2</v>
      </c>
      <c r="F45">
        <v>3</v>
      </c>
      <c r="G45" t="s">
        <v>126</v>
      </c>
      <c r="H45" t="s">
        <v>71</v>
      </c>
      <c r="K45" t="s">
        <v>45</v>
      </c>
      <c r="L45">
        <v>3</v>
      </c>
      <c r="N45">
        <v>1</v>
      </c>
      <c r="O45" t="s">
        <v>86</v>
      </c>
      <c r="P45" t="s">
        <v>92</v>
      </c>
      <c r="Q45" t="s">
        <v>93</v>
      </c>
      <c r="R45" t="s">
        <v>143</v>
      </c>
      <c r="S45">
        <v>0</v>
      </c>
      <c r="T45">
        <v>12</v>
      </c>
      <c r="U45">
        <v>120</v>
      </c>
      <c r="V45">
        <v>2</v>
      </c>
    </row>
    <row r="46" spans="1:22" x14ac:dyDescent="0.4">
      <c r="A46" t="s">
        <v>651</v>
      </c>
      <c r="B46">
        <v>16</v>
      </c>
      <c r="C46" t="s">
        <v>48</v>
      </c>
      <c r="D46">
        <v>3</v>
      </c>
      <c r="F46">
        <v>3</v>
      </c>
      <c r="G46" t="s">
        <v>89</v>
      </c>
      <c r="H46" t="s">
        <v>71</v>
      </c>
      <c r="I46" t="s">
        <v>90</v>
      </c>
      <c r="J46" t="s">
        <v>52</v>
      </c>
      <c r="K46" t="s">
        <v>63</v>
      </c>
      <c r="L46">
        <v>3</v>
      </c>
      <c r="N46">
        <v>3</v>
      </c>
      <c r="O46" t="s">
        <v>72</v>
      </c>
      <c r="P46" t="s">
        <v>146</v>
      </c>
      <c r="Q46" t="s">
        <v>148</v>
      </c>
      <c r="R46" t="s">
        <v>149</v>
      </c>
      <c r="S46">
        <v>0</v>
      </c>
      <c r="T46">
        <v>21</v>
      </c>
      <c r="U46">
        <v>120</v>
      </c>
      <c r="V46">
        <v>2</v>
      </c>
    </row>
    <row r="47" spans="1:22" x14ac:dyDescent="0.4">
      <c r="A47" t="s">
        <v>652</v>
      </c>
      <c r="B47">
        <v>17</v>
      </c>
      <c r="C47" t="s">
        <v>48</v>
      </c>
      <c r="D47">
        <v>3</v>
      </c>
      <c r="F47">
        <v>2</v>
      </c>
      <c r="G47" t="s">
        <v>89</v>
      </c>
      <c r="H47" t="s">
        <v>84</v>
      </c>
      <c r="I47" t="s">
        <v>90</v>
      </c>
      <c r="J47" t="s">
        <v>128</v>
      </c>
      <c r="K47" t="s">
        <v>38</v>
      </c>
      <c r="L47">
        <v>3</v>
      </c>
      <c r="M47">
        <v>3</v>
      </c>
      <c r="N47">
        <v>1</v>
      </c>
      <c r="O47" t="s">
        <v>67</v>
      </c>
      <c r="P47" t="s">
        <v>96</v>
      </c>
      <c r="Q47" t="s">
        <v>153</v>
      </c>
      <c r="R47" t="s">
        <v>42</v>
      </c>
      <c r="S47">
        <v>0</v>
      </c>
      <c r="T47">
        <v>16</v>
      </c>
      <c r="U47">
        <v>120</v>
      </c>
      <c r="V47">
        <v>2</v>
      </c>
    </row>
    <row r="48" spans="1:22" x14ac:dyDescent="0.4">
      <c r="A48" t="s">
        <v>653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99</v>
      </c>
      <c r="K48" t="s">
        <v>33</v>
      </c>
      <c r="L48">
        <v>1</v>
      </c>
      <c r="N48">
        <v>3</v>
      </c>
      <c r="O48" t="s">
        <v>34</v>
      </c>
      <c r="S48">
        <v>0</v>
      </c>
      <c r="T48">
        <v>7</v>
      </c>
      <c r="U48">
        <v>120</v>
      </c>
      <c r="V48">
        <v>2</v>
      </c>
    </row>
    <row r="49" spans="1:22" x14ac:dyDescent="0.4">
      <c r="A49" t="s">
        <v>654</v>
      </c>
      <c r="B49">
        <v>19</v>
      </c>
      <c r="C49" t="s">
        <v>45</v>
      </c>
      <c r="D49">
        <v>2</v>
      </c>
      <c r="F49">
        <v>1</v>
      </c>
      <c r="G49" t="s">
        <v>140</v>
      </c>
      <c r="H49" t="s">
        <v>76</v>
      </c>
      <c r="K49" t="s">
        <v>33</v>
      </c>
      <c r="L49">
        <v>1</v>
      </c>
      <c r="N49">
        <v>1</v>
      </c>
      <c r="O49" t="s">
        <v>34</v>
      </c>
      <c r="P49" t="s">
        <v>66</v>
      </c>
      <c r="S49">
        <v>0</v>
      </c>
      <c r="T49">
        <v>5</v>
      </c>
      <c r="U49">
        <v>120</v>
      </c>
      <c r="V49">
        <v>2</v>
      </c>
    </row>
    <row r="50" spans="1:22" x14ac:dyDescent="0.4">
      <c r="A50" t="s">
        <v>655</v>
      </c>
      <c r="B50">
        <v>20</v>
      </c>
      <c r="C50" t="s">
        <v>63</v>
      </c>
      <c r="D50">
        <v>3</v>
      </c>
      <c r="F50">
        <v>1</v>
      </c>
      <c r="G50" t="s">
        <v>72</v>
      </c>
      <c r="K50" t="s">
        <v>33</v>
      </c>
      <c r="L50">
        <v>2</v>
      </c>
      <c r="N50">
        <v>1</v>
      </c>
      <c r="O50" t="s">
        <v>34</v>
      </c>
      <c r="P50" t="s">
        <v>35</v>
      </c>
      <c r="S50">
        <v>0</v>
      </c>
      <c r="T50">
        <v>6</v>
      </c>
      <c r="U50">
        <v>120</v>
      </c>
      <c r="V50">
        <v>2</v>
      </c>
    </row>
    <row r="51" spans="1:22" x14ac:dyDescent="0.4">
      <c r="A51" t="s">
        <v>656</v>
      </c>
      <c r="B51">
        <v>21</v>
      </c>
      <c r="C51" t="s">
        <v>33</v>
      </c>
      <c r="D51">
        <v>1</v>
      </c>
      <c r="F51">
        <v>1</v>
      </c>
      <c r="G51" t="s">
        <v>46</v>
      </c>
      <c r="H51" t="s">
        <v>35</v>
      </c>
      <c r="I51" t="s">
        <v>36</v>
      </c>
      <c r="K51" t="s">
        <v>38</v>
      </c>
      <c r="L51">
        <v>1</v>
      </c>
      <c r="M51">
        <v>1</v>
      </c>
      <c r="N51">
        <v>1</v>
      </c>
      <c r="O51" t="s">
        <v>67</v>
      </c>
      <c r="P51" t="s">
        <v>96</v>
      </c>
      <c r="Q51" t="s">
        <v>153</v>
      </c>
      <c r="S51">
        <v>0</v>
      </c>
      <c r="T51">
        <v>6</v>
      </c>
      <c r="U51">
        <v>120</v>
      </c>
      <c r="V51">
        <v>2</v>
      </c>
    </row>
    <row r="52" spans="1:22" x14ac:dyDescent="0.4">
      <c r="A52" t="s">
        <v>657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  <c r="U52">
        <v>120</v>
      </c>
      <c r="V52">
        <v>2</v>
      </c>
    </row>
    <row r="53" spans="1:22" x14ac:dyDescent="0.4">
      <c r="A53" t="s">
        <v>658</v>
      </c>
      <c r="B53">
        <v>23</v>
      </c>
      <c r="C53" t="s">
        <v>43</v>
      </c>
      <c r="D53">
        <v>3</v>
      </c>
      <c r="F53">
        <v>3</v>
      </c>
      <c r="G53" t="s">
        <v>135</v>
      </c>
      <c r="H53" t="s">
        <v>99</v>
      </c>
      <c r="I53" t="s">
        <v>137</v>
      </c>
      <c r="J53" t="s">
        <v>139</v>
      </c>
      <c r="K53" t="s">
        <v>63</v>
      </c>
      <c r="L53">
        <v>3</v>
      </c>
      <c r="N53">
        <v>3</v>
      </c>
      <c r="O53" t="s">
        <v>145</v>
      </c>
      <c r="P53" t="s">
        <v>146</v>
      </c>
      <c r="Q53" t="s">
        <v>104</v>
      </c>
      <c r="R53" t="s">
        <v>150</v>
      </c>
      <c r="S53">
        <v>0</v>
      </c>
      <c r="T53">
        <v>29</v>
      </c>
      <c r="U53">
        <v>120</v>
      </c>
      <c r="V53">
        <v>2</v>
      </c>
    </row>
    <row r="54" spans="1:22" x14ac:dyDescent="0.4">
      <c r="A54" t="s">
        <v>659</v>
      </c>
      <c r="B54">
        <v>24</v>
      </c>
      <c r="C54" t="s">
        <v>43</v>
      </c>
      <c r="D54">
        <v>3</v>
      </c>
      <c r="F54">
        <v>1</v>
      </c>
      <c r="G54" t="s">
        <v>135</v>
      </c>
      <c r="K54" t="s">
        <v>38</v>
      </c>
      <c r="L54">
        <v>1</v>
      </c>
      <c r="M54">
        <v>2</v>
      </c>
      <c r="N54">
        <v>2</v>
      </c>
      <c r="O54" t="s">
        <v>67</v>
      </c>
      <c r="S54">
        <v>0</v>
      </c>
      <c r="T54">
        <v>6</v>
      </c>
      <c r="U54">
        <v>120</v>
      </c>
      <c r="V54">
        <v>2</v>
      </c>
    </row>
    <row r="55" spans="1:22" x14ac:dyDescent="0.4">
      <c r="A55" t="s">
        <v>660</v>
      </c>
      <c r="B55">
        <v>25</v>
      </c>
      <c r="C55" t="s">
        <v>45</v>
      </c>
      <c r="D55">
        <v>3</v>
      </c>
      <c r="F55">
        <v>1</v>
      </c>
      <c r="G55" t="s">
        <v>86</v>
      </c>
      <c r="H55" t="s">
        <v>76</v>
      </c>
      <c r="K55" t="s">
        <v>63</v>
      </c>
      <c r="L55">
        <v>1</v>
      </c>
      <c r="N55">
        <v>1</v>
      </c>
      <c r="O55" t="s">
        <v>72</v>
      </c>
      <c r="P55" t="s">
        <v>146</v>
      </c>
      <c r="Q55" t="s">
        <v>104</v>
      </c>
      <c r="S55">
        <v>0</v>
      </c>
      <c r="T55">
        <v>7</v>
      </c>
      <c r="U55">
        <v>120</v>
      </c>
      <c r="V55">
        <v>2</v>
      </c>
    </row>
    <row r="56" spans="1:22" x14ac:dyDescent="0.4">
      <c r="A56" t="s">
        <v>661</v>
      </c>
      <c r="B56">
        <v>26</v>
      </c>
      <c r="C56" t="s">
        <v>38</v>
      </c>
      <c r="D56">
        <v>3</v>
      </c>
      <c r="E56">
        <v>1</v>
      </c>
      <c r="F56">
        <v>2</v>
      </c>
      <c r="G56" t="s">
        <v>67</v>
      </c>
      <c r="H56" t="s">
        <v>96</v>
      </c>
      <c r="I56" t="s">
        <v>153</v>
      </c>
      <c r="J56" t="s">
        <v>156</v>
      </c>
      <c r="K56" t="s">
        <v>45</v>
      </c>
      <c r="L56">
        <v>3</v>
      </c>
      <c r="N56">
        <v>2</v>
      </c>
      <c r="O56" t="s">
        <v>140</v>
      </c>
      <c r="P56" t="s">
        <v>76</v>
      </c>
      <c r="Q56" t="s">
        <v>93</v>
      </c>
      <c r="S56">
        <v>0</v>
      </c>
      <c r="T56">
        <v>13</v>
      </c>
      <c r="U56">
        <v>120</v>
      </c>
      <c r="V56">
        <v>2</v>
      </c>
    </row>
    <row r="57" spans="1:22" x14ac:dyDescent="0.4">
      <c r="A57" t="s">
        <v>662</v>
      </c>
      <c r="B57">
        <v>27</v>
      </c>
      <c r="C57" t="s">
        <v>63</v>
      </c>
      <c r="D57">
        <v>1</v>
      </c>
      <c r="F57">
        <v>1</v>
      </c>
      <c r="G57" t="s">
        <v>103</v>
      </c>
      <c r="H57" t="s">
        <v>95</v>
      </c>
      <c r="I57" t="s">
        <v>104</v>
      </c>
      <c r="K57" t="s">
        <v>38</v>
      </c>
      <c r="L57">
        <v>1</v>
      </c>
      <c r="M57">
        <v>1</v>
      </c>
      <c r="N57">
        <v>1</v>
      </c>
      <c r="O57" t="s">
        <v>67</v>
      </c>
      <c r="P57" t="s">
        <v>96</v>
      </c>
      <c r="Q57" t="s">
        <v>153</v>
      </c>
      <c r="S57">
        <v>0</v>
      </c>
      <c r="T57">
        <v>6</v>
      </c>
      <c r="U57">
        <v>120</v>
      </c>
      <c r="V57">
        <v>2</v>
      </c>
    </row>
  </sheetData>
  <phoneticPr fontId="3" type="noConversion"/>
  <conditionalFormatting sqref="B1:B1048576">
    <cfRule type="duplicateValues" dxfId="1026" priority="2"/>
  </conditionalFormatting>
  <conditionalFormatting sqref="A2:B57">
    <cfRule type="duplicateValues" dxfId="1025" priority="6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8.765625" bestFit="1" customWidth="1"/>
    <col min="7" max="7" width="10.3828125" bestFit="1" customWidth="1"/>
    <col min="8" max="8" width="8.765625" bestFit="1" customWidth="1"/>
    <col min="9" max="9" width="6.84375" bestFit="1" customWidth="1"/>
    <col min="10" max="10" width="10.07421875" bestFit="1" customWidth="1"/>
    <col min="12" max="12" width="25.15234375" bestFit="1" customWidth="1"/>
    <col min="13" max="13" width="4.3828125" bestFit="1" customWidth="1"/>
    <col min="15" max="15" width="9.3046875" bestFit="1" customWidth="1"/>
  </cols>
  <sheetData>
    <row r="1" spans="1:13" ht="15" thickBot="1" x14ac:dyDescent="0.45">
      <c r="A1" s="40" t="s">
        <v>78</v>
      </c>
      <c r="B1" s="41"/>
      <c r="C1" s="41"/>
      <c r="D1" s="41"/>
      <c r="E1" s="42"/>
      <c r="G1" s="40" t="s">
        <v>82</v>
      </c>
      <c r="H1" s="41"/>
      <c r="I1" s="41"/>
      <c r="J1" s="42"/>
      <c r="L1" s="5" t="s">
        <v>157</v>
      </c>
      <c r="M1" s="36">
        <f>MIN(Scenario2[crystals])</f>
        <v>0</v>
      </c>
    </row>
    <row r="2" spans="1:13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5" t="s">
        <v>107</v>
      </c>
      <c r="M2" s="36">
        <f>AVERAGE(Scenario2[crystals])</f>
        <v>0</v>
      </c>
    </row>
    <row r="3" spans="1:13" ht="15" thickBot="1" x14ac:dyDescent="0.45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8</v>
      </c>
      <c r="J3" s="3">
        <f>IF(ScenarioTeams2[[#This Row],[battles]],ScenarioTeams2[[#This Row],[wins]]/ScenarioTeams2[[#This Row],[battles]],0)</f>
        <v>0.5714285714285714</v>
      </c>
      <c r="L3" s="5" t="s">
        <v>159</v>
      </c>
      <c r="M3" s="36">
        <f>MAX(Scenario2[crystals])</f>
        <v>0</v>
      </c>
    </row>
    <row r="4" spans="1:13" ht="15" thickBot="1" x14ac:dyDescent="0.45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 s="17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M4" s="8"/>
    </row>
    <row r="5" spans="1:13" ht="15" thickBot="1" x14ac:dyDescent="0.45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 s="17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7</v>
      </c>
      <c r="J5" s="3">
        <f>IF(ScenarioTeams2[[#This Row],[battles]],ScenarioTeams2[[#This Row],[wins]]/ScenarioTeams2[[#This Row],[battles]],0)</f>
        <v>0.5</v>
      </c>
      <c r="L5" s="5" t="s">
        <v>158</v>
      </c>
      <c r="M5" s="36">
        <f>MIN(Scenario2[turns])</f>
        <v>5</v>
      </c>
    </row>
    <row r="6" spans="1:13" ht="15" thickBot="1" x14ac:dyDescent="0.45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 s="17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L6" s="6" t="s">
        <v>108</v>
      </c>
      <c r="M6" s="37">
        <f>AVERAGE(Scenario2[turns])</f>
        <v>11.678571428571429</v>
      </c>
    </row>
    <row r="7" spans="1:13" ht="15" thickBot="1" x14ac:dyDescent="0.45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 s="1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L7" s="6" t="s">
        <v>160</v>
      </c>
      <c r="M7" s="37">
        <f>MAX(Scenario2[turns])</f>
        <v>29</v>
      </c>
    </row>
    <row r="8" spans="1:13" ht="15" thickBot="1" x14ac:dyDescent="0.45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 s="17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9</v>
      </c>
      <c r="J8" s="3">
        <f>IF(ScenarioTeams2[[#This Row],[battles]],ScenarioTeams2[[#This Row],[wins]]/ScenarioTeams2[[#This Row],[battles]],0)</f>
        <v>0.6428571428571429</v>
      </c>
    </row>
    <row r="9" spans="1:13" ht="15" thickBot="1" x14ac:dyDescent="0.45">
      <c r="A9" t="s">
        <v>53</v>
      </c>
      <c r="B9">
        <f>COUNTIFS(Scenario2[winner1],ScenarioStat2[[#This Row],[hero-1]],Scenario2[loser1],ScenarioStat2[[#This Row],[hero-2]])</f>
        <v>0</v>
      </c>
      <c r="C9" t="s">
        <v>38</v>
      </c>
      <c r="D9">
        <f>COUNTIFS(Scenario2[winner1],ScenarioStat2[[#This Row],[hero-2]],Scenario2[loser1],ScenarioStat2[[#This Row],[hero-1]])</f>
        <v>2</v>
      </c>
      <c r="E9" s="17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7</v>
      </c>
      <c r="J9" s="3">
        <f>IF(ScenarioTeams2[[#This Row],[battles]],ScenarioTeams2[[#This Row],[wins]]/ScenarioTeams2[[#This Row],[battles]],0)</f>
        <v>0.5</v>
      </c>
      <c r="L9" s="35" t="s">
        <v>663</v>
      </c>
      <c r="M9" s="36">
        <f>120000*$M$6/1000/60</f>
        <v>23.357142857142854</v>
      </c>
    </row>
    <row r="10" spans="1:13" ht="15" thickBot="1" x14ac:dyDescent="0.45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 s="17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L10" s="34" t="s">
        <v>664</v>
      </c>
      <c r="M10" s="7">
        <f>M9*COUNTA(ScenarioStat2[hero-1])/60/24*2</f>
        <v>0.90833333333333321</v>
      </c>
    </row>
    <row r="11" spans="1:13" x14ac:dyDescent="0.4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 s="17">
        <f>ScenarioStat2[[#This Row],[team-1-win]]+ScenarioStat2[[#This Row],[team-2-win]]</f>
        <v>2</v>
      </c>
    </row>
    <row r="12" spans="1:13" x14ac:dyDescent="0.4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 s="17">
        <f>ScenarioStat2[[#This Row],[team-1-win]]+ScenarioStat2[[#This Row],[team-2-win]]</f>
        <v>2</v>
      </c>
    </row>
    <row r="13" spans="1:13" x14ac:dyDescent="0.4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 s="17">
        <f>ScenarioStat2[[#This Row],[team-1-win]]+ScenarioStat2[[#This Row],[team-2-win]]</f>
        <v>2</v>
      </c>
    </row>
    <row r="14" spans="1:13" x14ac:dyDescent="0.4">
      <c r="A14" t="s">
        <v>56</v>
      </c>
      <c r="B14">
        <f>COUNTIFS(Scenario2[winner1],ScenarioStat2[[#This Row],[hero-1]],Scenario2[loser1],ScenarioStat2[[#This Row],[hero-2]])</f>
        <v>2</v>
      </c>
      <c r="C14" t="s">
        <v>63</v>
      </c>
      <c r="D14">
        <f>COUNTIFS(Scenario2[winner1],ScenarioStat2[[#This Row],[hero-2]],Scenario2[loser1],ScenarioStat2[[#This Row],[hero-1]])</f>
        <v>0</v>
      </c>
      <c r="E14" s="17">
        <f>ScenarioStat2[[#This Row],[team-1-win]]+ScenarioStat2[[#This Row],[team-2-win]]</f>
        <v>2</v>
      </c>
    </row>
    <row r="15" spans="1:13" x14ac:dyDescent="0.4">
      <c r="A15" t="s">
        <v>56</v>
      </c>
      <c r="B15">
        <f>COUNTIFS(Scenario2[winner1],ScenarioStat2[[#This Row],[hero-1]],Scenario2[loser1],ScenarioStat2[[#This Row],[hero-2]])</f>
        <v>0</v>
      </c>
      <c r="C15" t="s">
        <v>38</v>
      </c>
      <c r="D15">
        <f>COUNTIFS(Scenario2[winner1],ScenarioStat2[[#This Row],[hero-2]],Scenario2[loser1],ScenarioStat2[[#This Row],[hero-1]])</f>
        <v>2</v>
      </c>
      <c r="E15" s="17">
        <f>ScenarioStat2[[#This Row],[team-1-win]]+ScenarioStat2[[#This Row],[team-2-win]]</f>
        <v>2</v>
      </c>
    </row>
    <row r="16" spans="1:13" x14ac:dyDescent="0.4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 s="17">
        <f>ScenarioStat2[[#This Row],[team-1-win]]+ScenarioStat2[[#This Row],[team-2-win]]</f>
        <v>2</v>
      </c>
    </row>
    <row r="17" spans="1:5" x14ac:dyDescent="0.4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 s="17">
        <f>ScenarioStat2[[#This Row],[team-1-win]]+ScenarioStat2[[#This Row],[team-2-win]]</f>
        <v>2</v>
      </c>
    </row>
    <row r="18" spans="1:5" x14ac:dyDescent="0.4">
      <c r="A18" t="s">
        <v>48</v>
      </c>
      <c r="B18">
        <f>COUNTIFS(Scenario2[winner1],ScenarioStat2[[#This Row],[hero-1]],Scenario2[loser1],ScenarioStat2[[#This Row],[hero-2]])</f>
        <v>1</v>
      </c>
      <c r="C18" t="s">
        <v>45</v>
      </c>
      <c r="D18">
        <f>COUNTIFS(Scenario2[winner1],ScenarioStat2[[#This Row],[hero-2]],Scenario2[loser1],ScenarioStat2[[#This Row],[hero-1]])</f>
        <v>1</v>
      </c>
      <c r="E18" s="17">
        <f>ScenarioStat2[[#This Row],[team-1-win]]+ScenarioStat2[[#This Row],[team-2-win]]</f>
        <v>2</v>
      </c>
    </row>
    <row r="19" spans="1:5" x14ac:dyDescent="0.4">
      <c r="A19" t="s">
        <v>48</v>
      </c>
      <c r="B19">
        <f>COUNTIFS(Scenario2[winner1],ScenarioStat2[[#This Row],[hero-1]],Scenario2[loser1],ScenarioStat2[[#This Row],[hero-2]])</f>
        <v>1</v>
      </c>
      <c r="C19" t="s">
        <v>63</v>
      </c>
      <c r="D19">
        <f>COUNTIFS(Scenario2[winner1],ScenarioStat2[[#This Row],[hero-2]],Scenario2[loser1],ScenarioStat2[[#This Row],[hero-1]])</f>
        <v>1</v>
      </c>
      <c r="E19" s="17">
        <f>ScenarioStat2[[#This Row],[team-1-win]]+ScenarioStat2[[#This Row],[team-2-win]]</f>
        <v>2</v>
      </c>
    </row>
    <row r="20" spans="1:5" x14ac:dyDescent="0.4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 s="17">
        <f>ScenarioStat2[[#This Row],[team-1-win]]+ScenarioStat2[[#This Row],[team-2-win]]</f>
        <v>2</v>
      </c>
    </row>
    <row r="21" spans="1:5" x14ac:dyDescent="0.4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 s="17">
        <f>ScenarioStat2[[#This Row],[team-1-win]]+ScenarioStat2[[#This Row],[team-2-win]]</f>
        <v>2</v>
      </c>
    </row>
    <row r="22" spans="1:5" x14ac:dyDescent="0.4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 s="17">
        <f>ScenarioStat2[[#This Row],[team-1-win]]+ScenarioStat2[[#This Row],[team-2-win]]</f>
        <v>2</v>
      </c>
    </row>
    <row r="23" spans="1:5" x14ac:dyDescent="0.4">
      <c r="A23" t="s">
        <v>33</v>
      </c>
      <c r="B23">
        <f>COUNTIFS(Scenario2[winner1],ScenarioStat2[[#This Row],[hero-1]],Scenario2[loser1],ScenarioStat2[[#This Row],[hero-2]])</f>
        <v>0</v>
      </c>
      <c r="C23" t="s">
        <v>63</v>
      </c>
      <c r="D23">
        <f>COUNTIFS(Scenario2[winner1],ScenarioStat2[[#This Row],[hero-2]],Scenario2[loser1],ScenarioStat2[[#This Row],[hero-1]])</f>
        <v>2</v>
      </c>
      <c r="E23" s="17">
        <f>ScenarioStat2[[#This Row],[team-1-win]]+ScenarioStat2[[#This Row],[team-2-win]]</f>
        <v>2</v>
      </c>
    </row>
    <row r="24" spans="1:5" x14ac:dyDescent="0.4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 s="17">
        <f>ScenarioStat2[[#This Row],[team-1-win]]+ScenarioStat2[[#This Row],[team-2-win]]</f>
        <v>2</v>
      </c>
    </row>
    <row r="25" spans="1:5" x14ac:dyDescent="0.4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 s="17">
        <f>ScenarioStat2[[#This Row],[team-1-win]]+ScenarioStat2[[#This Row],[team-2-win]]</f>
        <v>2</v>
      </c>
    </row>
    <row r="26" spans="1:5" x14ac:dyDescent="0.4">
      <c r="A26" t="s">
        <v>43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 s="17">
        <f>ScenarioStat2[[#This Row],[team-1-win]]+ScenarioStat2[[#This Row],[team-2-win]]</f>
        <v>2</v>
      </c>
    </row>
    <row r="27" spans="1:5" x14ac:dyDescent="0.4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 s="17">
        <f>ScenarioStat2[[#This Row],[team-1-win]]+ScenarioStat2[[#This Row],[team-2-win]]</f>
        <v>2</v>
      </c>
    </row>
    <row r="28" spans="1:5" x14ac:dyDescent="0.4">
      <c r="A28" t="s">
        <v>45</v>
      </c>
      <c r="B28">
        <f>COUNTIFS(Scenario2[winner1],ScenarioStat2[[#This Row],[hero-1]],Scenario2[loser1],ScenarioStat2[[#This Row],[hero-2]])</f>
        <v>2</v>
      </c>
      <c r="C28" t="s">
        <v>63</v>
      </c>
      <c r="D28">
        <f>COUNTIFS(Scenario2[winner1],ScenarioStat2[[#This Row],[hero-2]],Scenario2[loser1],ScenarioStat2[[#This Row],[hero-1]])</f>
        <v>0</v>
      </c>
      <c r="E28" s="17">
        <f>ScenarioStat2[[#This Row],[team-1-win]]+ScenarioStat2[[#This Row],[team-2-win]]</f>
        <v>2</v>
      </c>
    </row>
    <row r="29" spans="1:5" x14ac:dyDescent="0.4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 s="17">
        <f>ScenarioStat2[[#This Row],[team-1-win]]+ScenarioStat2[[#This Row],[team-2-win]]</f>
        <v>2</v>
      </c>
    </row>
    <row r="30" spans="1:5" x14ac:dyDescent="0.4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 s="17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D2"/>
  <sheetViews>
    <sheetView workbookViewId="0">
      <selection activeCell="K7" sqref="K7"/>
    </sheetView>
  </sheetViews>
  <sheetFormatPr defaultRowHeight="14.6" x14ac:dyDescent="0.4"/>
  <cols>
    <col min="1" max="1" width="34.69140625" bestFit="1" customWidth="1"/>
    <col min="2" max="2" width="7.69140625" bestFit="1" customWidth="1"/>
    <col min="3" max="3" width="9.84375" bestFit="1" customWidth="1"/>
    <col min="4" max="4" width="13" hidden="1" customWidth="1"/>
    <col min="5" max="5" width="12.69140625" hidden="1" customWidth="1"/>
    <col min="6" max="6" width="12.3828125" hidden="1" customWidth="1"/>
    <col min="7" max="7" width="21.15234375" hidden="1" customWidth="1"/>
    <col min="8" max="8" width="19.15234375" hidden="1" customWidth="1"/>
    <col min="9" max="9" width="18" hidden="1" customWidth="1"/>
    <col min="10" max="10" width="18.3828125" hidden="1" customWidth="1"/>
    <col min="11" max="11" width="11.3828125" bestFit="1" customWidth="1"/>
    <col min="12" max="12" width="12.15234375" hidden="1" customWidth="1"/>
    <col min="13" max="13" width="11.84375" hidden="1" customWidth="1"/>
    <col min="14" max="14" width="11.3828125" hidden="1" customWidth="1"/>
    <col min="15" max="15" width="18.3828125" hidden="1" customWidth="1"/>
    <col min="16" max="16" width="18.69140625" hidden="1" customWidth="1"/>
    <col min="17" max="17" width="20.69140625" hidden="1" customWidth="1"/>
    <col min="18" max="18" width="17.3046875" hidden="1" customWidth="1"/>
    <col min="19" max="19" width="17.3046875" customWidth="1"/>
    <col min="20" max="26" width="17.3046875" hidden="1" customWidth="1"/>
    <col min="27" max="27" width="9.84375" bestFit="1" customWidth="1"/>
    <col min="28" max="28" width="7.84375" bestFit="1" customWidth="1"/>
    <col min="29" max="29" width="12.69140625" bestFit="1" customWidth="1"/>
    <col min="30" max="30" width="9" bestFit="1" customWidth="1"/>
  </cols>
  <sheetData>
    <row r="1" spans="1:30" x14ac:dyDescent="0.4">
      <c r="A1" t="s">
        <v>0</v>
      </c>
      <c r="B1" t="s">
        <v>175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8" t="s">
        <v>25</v>
      </c>
      <c r="T1" s="38" t="s">
        <v>26</v>
      </c>
      <c r="U1" s="38" t="s">
        <v>27</v>
      </c>
      <c r="V1" s="38" t="s">
        <v>28</v>
      </c>
      <c r="W1" s="38" t="s">
        <v>29</v>
      </c>
      <c r="X1" s="38" t="s">
        <v>119</v>
      </c>
      <c r="Y1" s="38" t="s">
        <v>30</v>
      </c>
      <c r="Z1" s="38" t="s">
        <v>31</v>
      </c>
      <c r="AA1" t="s">
        <v>64</v>
      </c>
      <c r="AB1" t="s">
        <v>32</v>
      </c>
      <c r="AC1" t="s">
        <v>173</v>
      </c>
      <c r="AD1" t="s">
        <v>174</v>
      </c>
    </row>
    <row r="2" spans="1:30" x14ac:dyDescent="0.4">
      <c r="A2" t="s">
        <v>603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105</v>
      </c>
      <c r="J2" t="s">
        <v>98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123</v>
      </c>
      <c r="R2" t="s">
        <v>125</v>
      </c>
      <c r="AA2">
        <v>0</v>
      </c>
      <c r="AB2">
        <v>23</v>
      </c>
      <c r="AC2">
        <v>120</v>
      </c>
      <c r="AD2">
        <v>2</v>
      </c>
    </row>
  </sheetData>
  <phoneticPr fontId="3" type="noConversion"/>
  <conditionalFormatting sqref="B1:B1048576">
    <cfRule type="duplicateValues" dxfId="1016" priority="1"/>
  </conditionalFormatting>
  <conditionalFormatting sqref="A2:B2">
    <cfRule type="duplicateValues" dxfId="1015" priority="6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19" sqref="J19"/>
    </sheetView>
  </sheetViews>
  <sheetFormatPr defaultRowHeight="14.6" x14ac:dyDescent="0.4"/>
  <cols>
    <col min="1" max="1" width="10.3828125" bestFit="1" customWidth="1"/>
    <col min="2" max="2" width="12.61328125" bestFit="1" customWidth="1"/>
    <col min="3" max="3" width="10.3828125" bestFit="1" customWidth="1"/>
    <col min="4" max="4" width="12.61328125" bestFit="1" customWidth="1"/>
    <col min="5" max="5" width="10.3828125" bestFit="1" customWidth="1"/>
    <col min="6" max="6" width="12.61328125" customWidth="1"/>
    <col min="7" max="7" width="8.765625" bestFit="1" customWidth="1"/>
    <col min="9" max="9" width="10.3828125" bestFit="1" customWidth="1"/>
    <col min="10" max="10" width="8.765625" bestFit="1" customWidth="1"/>
    <col min="11" max="11" width="6.84375" bestFit="1" customWidth="1"/>
    <col min="12" max="12" width="10.07421875" bestFit="1" customWidth="1"/>
    <col min="14" max="14" width="25.15234375" bestFit="1" customWidth="1"/>
    <col min="15" max="15" width="4.3828125" bestFit="1" customWidth="1"/>
    <col min="17" max="17" width="9.3046875" bestFit="1" customWidth="1"/>
  </cols>
  <sheetData>
    <row r="1" spans="1:15" ht="15" thickBot="1" x14ac:dyDescent="0.45">
      <c r="A1" s="40" t="s">
        <v>78</v>
      </c>
      <c r="B1" s="41"/>
      <c r="C1" s="41"/>
      <c r="D1" s="41"/>
      <c r="E1" s="41"/>
      <c r="F1" s="41"/>
      <c r="G1" s="42"/>
      <c r="I1" s="40" t="s">
        <v>82</v>
      </c>
      <c r="J1" s="41"/>
      <c r="K1" s="41"/>
      <c r="L1" s="42"/>
      <c r="N1" s="5" t="s">
        <v>157</v>
      </c>
      <c r="O1" s="36">
        <f>MIN(Scenario3[crystals])</f>
        <v>0</v>
      </c>
    </row>
    <row r="2" spans="1:15" ht="15" thickBot="1" x14ac:dyDescent="0.45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665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5" t="s">
        <v>107</v>
      </c>
      <c r="O2" s="36">
        <f>AVERAGE(Scenario3[crystals])</f>
        <v>0</v>
      </c>
    </row>
    <row r="3" spans="1:15" ht="15" thickBot="1" x14ac:dyDescent="0.45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0</v>
      </c>
      <c r="I3" t="s">
        <v>53</v>
      </c>
      <c r="J3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3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3" s="3">
        <f>IF(ScenarioTeams218[[#This Row],[battles]],ScenarioTeams218[[#This Row],[wins]]/ScenarioTeams218[[#This Row],[battles]],0)</f>
        <v>0</v>
      </c>
      <c r="N3" s="5" t="s">
        <v>159</v>
      </c>
      <c r="O3" s="36">
        <f>MAX(Scenario3[crystals])</f>
        <v>0</v>
      </c>
    </row>
    <row r="4" spans="1:15" ht="15" thickBot="1" x14ac:dyDescent="0.45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4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4" s="3">
        <f>IF(ScenarioTeams218[[#This Row],[battles]],ScenarioTeams218[[#This Row],[wins]]/ScenarioTeams218[[#This Row],[battles]],0)</f>
        <v>0</v>
      </c>
      <c r="O4" s="8"/>
    </row>
    <row r="5" spans="1:15" ht="15" thickBot="1" x14ac:dyDescent="0.45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5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5" s="3">
        <f>IF(ScenarioTeams218[[#This Row],[battles]],ScenarioTeams218[[#This Row],[wins]]/ScenarioTeams218[[#This Row],[battles]],0)</f>
        <v>0</v>
      </c>
      <c r="N5" s="5" t="s">
        <v>158</v>
      </c>
      <c r="O5" s="36">
        <f>MIN(Scenario3[turns])</f>
        <v>23</v>
      </c>
    </row>
    <row r="6" spans="1:15" ht="15" thickBot="1" x14ac:dyDescent="0.45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6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6" s="3">
        <f>IF(ScenarioTeams218[[#This Row],[battles]],ScenarioTeams218[[#This Row],[wins]]/ScenarioTeams218[[#This Row],[battles]],0)</f>
        <v>0</v>
      </c>
      <c r="N6" s="6" t="s">
        <v>108</v>
      </c>
      <c r="O6" s="37">
        <f>AVERAGE(Scenario3[turns])</f>
        <v>23</v>
      </c>
    </row>
    <row r="7" spans="1:15" ht="15" thickBot="1" x14ac:dyDescent="0.45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7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7" s="3">
        <f>IF(ScenarioTeams218[[#This Row],[battles]],ScenarioTeams218[[#This Row],[wins]]/ScenarioTeams218[[#This Row],[battles]],0)</f>
        <v>0</v>
      </c>
      <c r="N7" s="6" t="s">
        <v>160</v>
      </c>
      <c r="O7" s="37">
        <f>MAX(Scenario3[turns])</f>
        <v>23</v>
      </c>
    </row>
    <row r="8" spans="1:15" ht="15" thickBot="1" x14ac:dyDescent="0.45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8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8" s="3">
        <f>IF(ScenarioTeams218[[#This Row],[battles]],ScenarioTeams218[[#This Row],[wins]]/ScenarioTeams218[[#This Row],[battles]],0)</f>
        <v>0</v>
      </c>
    </row>
    <row r="9" spans="1:15" ht="15" thickBot="1" x14ac:dyDescent="0.45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9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9" s="3">
        <f>IF(ScenarioTeams218[[#This Row],[battles]],ScenarioTeams218[[#This Row],[wins]]/ScenarioTeams218[[#This Row],[battles]],0)</f>
        <v>0</v>
      </c>
      <c r="N9" s="35" t="s">
        <v>663</v>
      </c>
      <c r="O9" s="36">
        <f>120000*$O$6/1000/60</f>
        <v>46</v>
      </c>
    </row>
    <row r="10" spans="1:15" ht="15" thickBot="1" x14ac:dyDescent="0.45">
      <c r="A10" t="s">
        <v>53</v>
      </c>
      <c r="B10" s="17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 s="17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 s="17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SUMIFS(ScenarioStat3[battles],ScenarioStat3[hero-1],ScenarioTeams218[[#This Row],[hero]])+SUMIFS(ScenarioStat3[battles],ScenarioStat3[hero-2],ScenarioTeams218[[#This Row],[hero]])+SUMIFS(ScenarioStat3[battles],ScenarioStat3[hero-3],ScenarioTeams218[[#This Row],[hero]])</f>
        <v>0</v>
      </c>
      <c r="K10">
        <f>SUMIFS(ScenarioStat3[team-1-win],ScenarioStat3[hero-1],ScenarioTeams218[[#This Row],[hero]])+SUMIFS(ScenarioStat3[team-2-win],ScenarioStat3[hero-2],ScenarioTeams218[[#This Row],[hero]])+SUMIFS(ScenarioStat3[team-3-win],ScenarioStat3[hero-3],ScenarioTeams218[[#This Row],[hero]])</f>
        <v>0</v>
      </c>
      <c r="L10" s="3">
        <f>IF(ScenarioTeams218[[#This Row],[battles]],ScenarioTeams218[[#This Row],[wins]]/ScenarioTeams218[[#This Row],[battles]],0)</f>
        <v>0</v>
      </c>
      <c r="N10" s="34" t="s">
        <v>664</v>
      </c>
      <c r="O10" s="7">
        <f>O9*COUNTA(ScenarioStat3[hero-1])/60/24*2</f>
        <v>3.5777777777777775</v>
      </c>
    </row>
    <row r="11" spans="1:15" x14ac:dyDescent="0.4">
      <c r="A11" t="s">
        <v>53</v>
      </c>
      <c r="B11" s="17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 s="17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 s="17">
        <f>ScenarioStat3[[#This Row],[team-1-win]]+ScenarioStat3[[#This Row],[team-2-win]]+ScenarioStat3[[#This Row],[team-3-win]]</f>
        <v>0</v>
      </c>
    </row>
    <row r="12" spans="1:15" x14ac:dyDescent="0.4">
      <c r="A12" t="s">
        <v>53</v>
      </c>
      <c r="B12" s="17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 s="17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 s="17">
        <f>ScenarioStat3[[#This Row],[team-1-win]]+ScenarioStat3[[#This Row],[team-2-win]]+ScenarioStat3[[#This Row],[team-3-win]]</f>
        <v>0</v>
      </c>
    </row>
    <row r="13" spans="1:15" x14ac:dyDescent="0.4">
      <c r="A13" t="s">
        <v>53</v>
      </c>
      <c r="B13" s="17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 s="17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 s="17">
        <f>ScenarioStat3[[#This Row],[team-1-win]]+ScenarioStat3[[#This Row],[team-2-win]]+ScenarioStat3[[#This Row],[team-3-win]]</f>
        <v>0</v>
      </c>
    </row>
    <row r="14" spans="1:15" x14ac:dyDescent="0.4">
      <c r="A14" t="s">
        <v>53</v>
      </c>
      <c r="B14" s="17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 s="17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 s="17">
        <f>ScenarioStat3[[#This Row],[team-1-win]]+ScenarioStat3[[#This Row],[team-2-win]]+ScenarioStat3[[#This Row],[team-3-win]]</f>
        <v>0</v>
      </c>
    </row>
    <row r="15" spans="1:15" x14ac:dyDescent="0.4">
      <c r="A15" t="s">
        <v>53</v>
      </c>
      <c r="B15" s="17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 s="17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 s="17">
        <f>ScenarioStat3[[#This Row],[team-1-win]]+ScenarioStat3[[#This Row],[team-2-win]]+ScenarioStat3[[#This Row],[team-3-win]]</f>
        <v>0</v>
      </c>
    </row>
    <row r="16" spans="1:15" x14ac:dyDescent="0.4">
      <c r="A16" t="s">
        <v>53</v>
      </c>
      <c r="B16" s="17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 s="17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 s="17">
        <f>ScenarioStat3[[#This Row],[team-1-win]]+ScenarioStat3[[#This Row],[team-2-win]]+ScenarioStat3[[#This Row],[team-3-win]]</f>
        <v>0</v>
      </c>
    </row>
    <row r="17" spans="1:7" x14ac:dyDescent="0.4">
      <c r="A17" t="s">
        <v>53</v>
      </c>
      <c r="B17" s="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 s="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 s="17">
        <f>ScenarioStat3[[#This Row],[team-1-win]]+ScenarioStat3[[#This Row],[team-2-win]]+ScenarioStat3[[#This Row],[team-3-win]]</f>
        <v>0</v>
      </c>
    </row>
    <row r="18" spans="1:7" x14ac:dyDescent="0.4">
      <c r="A18" t="s">
        <v>53</v>
      </c>
      <c r="B18" s="17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 s="17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 s="17">
        <f>ScenarioStat3[[#This Row],[team-1-win]]+ScenarioStat3[[#This Row],[team-2-win]]+ScenarioStat3[[#This Row],[team-3-win]]</f>
        <v>0</v>
      </c>
    </row>
    <row r="19" spans="1:7" x14ac:dyDescent="0.4">
      <c r="A19" t="s">
        <v>53</v>
      </c>
      <c r="B19" s="17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 s="17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 s="17">
        <f>ScenarioStat3[[#This Row],[team-1-win]]+ScenarioStat3[[#This Row],[team-2-win]]+ScenarioStat3[[#This Row],[team-3-win]]</f>
        <v>0</v>
      </c>
    </row>
    <row r="20" spans="1:7" x14ac:dyDescent="0.4">
      <c r="A20" t="s">
        <v>53</v>
      </c>
      <c r="B20" s="17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 s="17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 s="17">
        <f>ScenarioStat3[[#This Row],[team-1-win]]+ScenarioStat3[[#This Row],[team-2-win]]+ScenarioStat3[[#This Row],[team-3-win]]</f>
        <v>0</v>
      </c>
    </row>
    <row r="21" spans="1:7" x14ac:dyDescent="0.4">
      <c r="A21" t="s">
        <v>53</v>
      </c>
      <c r="B21" s="17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 s="17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 s="17">
        <f>ScenarioStat3[[#This Row],[team-1-win]]+ScenarioStat3[[#This Row],[team-2-win]]+ScenarioStat3[[#This Row],[team-3-win]]</f>
        <v>0</v>
      </c>
    </row>
    <row r="22" spans="1:7" x14ac:dyDescent="0.4">
      <c r="A22" t="s">
        <v>53</v>
      </c>
      <c r="B22" s="17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 s="17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 s="17">
        <f>ScenarioStat3[[#This Row],[team-1-win]]+ScenarioStat3[[#This Row],[team-2-win]]+ScenarioStat3[[#This Row],[team-3-win]]</f>
        <v>0</v>
      </c>
    </row>
    <row r="23" spans="1:7" x14ac:dyDescent="0.4">
      <c r="A23" t="s">
        <v>53</v>
      </c>
      <c r="B23" s="17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 s="17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 s="17">
        <f>ScenarioStat3[[#This Row],[team-1-win]]+ScenarioStat3[[#This Row],[team-2-win]]+ScenarioStat3[[#This Row],[team-3-win]]</f>
        <v>0</v>
      </c>
    </row>
    <row r="24" spans="1:7" x14ac:dyDescent="0.4">
      <c r="A24" t="s">
        <v>56</v>
      </c>
      <c r="B24" s="17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 s="17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 s="17">
        <f>ScenarioStat3[[#This Row],[team-1-win]]+ScenarioStat3[[#This Row],[team-2-win]]+ScenarioStat3[[#This Row],[team-3-win]]</f>
        <v>0</v>
      </c>
    </row>
    <row r="25" spans="1:7" x14ac:dyDescent="0.4">
      <c r="A25" t="s">
        <v>56</v>
      </c>
      <c r="B25" s="17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 s="17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 s="17">
        <f>ScenarioStat3[[#This Row],[team-1-win]]+ScenarioStat3[[#This Row],[team-2-win]]+ScenarioStat3[[#This Row],[team-3-win]]</f>
        <v>0</v>
      </c>
    </row>
    <row r="26" spans="1:7" x14ac:dyDescent="0.4">
      <c r="A26" t="s">
        <v>56</v>
      </c>
      <c r="B26" s="17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 s="17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 s="17">
        <f>ScenarioStat3[[#This Row],[team-1-win]]+ScenarioStat3[[#This Row],[team-2-win]]+ScenarioStat3[[#This Row],[team-3-win]]</f>
        <v>0</v>
      </c>
    </row>
    <row r="27" spans="1:7" x14ac:dyDescent="0.4">
      <c r="A27" t="s">
        <v>56</v>
      </c>
      <c r="B27" s="1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 s="1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 s="17">
        <f>ScenarioStat3[[#This Row],[team-1-win]]+ScenarioStat3[[#This Row],[team-2-win]]+ScenarioStat3[[#This Row],[team-3-win]]</f>
        <v>0</v>
      </c>
    </row>
    <row r="28" spans="1:7" x14ac:dyDescent="0.4">
      <c r="A28" t="s">
        <v>56</v>
      </c>
      <c r="B28" s="17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 s="17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 s="17">
        <f>ScenarioStat3[[#This Row],[team-1-win]]+ScenarioStat3[[#This Row],[team-2-win]]+ScenarioStat3[[#This Row],[team-3-win]]</f>
        <v>0</v>
      </c>
    </row>
    <row r="29" spans="1:7" x14ac:dyDescent="0.4">
      <c r="A29" t="s">
        <v>56</v>
      </c>
      <c r="B29" s="17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 s="17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 s="17">
        <f>ScenarioStat3[[#This Row],[team-1-win]]+ScenarioStat3[[#This Row],[team-2-win]]+ScenarioStat3[[#This Row],[team-3-win]]</f>
        <v>0</v>
      </c>
    </row>
    <row r="30" spans="1:7" x14ac:dyDescent="0.4">
      <c r="A30" t="s">
        <v>56</v>
      </c>
      <c r="B30" s="17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 s="17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 s="17">
        <f>ScenarioStat3[[#This Row],[team-1-win]]+ScenarioStat3[[#This Row],[team-2-win]]+ScenarioStat3[[#This Row],[team-3-win]]</f>
        <v>0</v>
      </c>
    </row>
    <row r="31" spans="1:7" x14ac:dyDescent="0.4">
      <c r="A31" t="s">
        <v>56</v>
      </c>
      <c r="B31" s="17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 s="17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 s="17">
        <f>ScenarioStat3[[#This Row],[team-1-win]]+ScenarioStat3[[#This Row],[team-2-win]]+ScenarioStat3[[#This Row],[team-3-win]]</f>
        <v>0</v>
      </c>
    </row>
    <row r="32" spans="1:7" x14ac:dyDescent="0.4">
      <c r="A32" t="s">
        <v>56</v>
      </c>
      <c r="B32" s="17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 s="17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 s="17">
        <f>ScenarioStat3[[#This Row],[team-1-win]]+ScenarioStat3[[#This Row],[team-2-win]]+ScenarioStat3[[#This Row],[team-3-win]]</f>
        <v>0</v>
      </c>
    </row>
    <row r="33" spans="1:7" x14ac:dyDescent="0.4">
      <c r="A33" t="s">
        <v>56</v>
      </c>
      <c r="B33" s="17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 s="17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 s="17">
        <f>ScenarioStat3[[#This Row],[team-1-win]]+ScenarioStat3[[#This Row],[team-2-win]]+ScenarioStat3[[#This Row],[team-3-win]]</f>
        <v>0</v>
      </c>
    </row>
    <row r="34" spans="1:7" x14ac:dyDescent="0.4">
      <c r="A34" t="s">
        <v>56</v>
      </c>
      <c r="B34" s="17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 s="17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 s="17">
        <f>ScenarioStat3[[#This Row],[team-1-win]]+ScenarioStat3[[#This Row],[team-2-win]]+ScenarioStat3[[#This Row],[team-3-win]]</f>
        <v>0</v>
      </c>
    </row>
    <row r="35" spans="1:7" x14ac:dyDescent="0.4">
      <c r="A35" t="s">
        <v>56</v>
      </c>
      <c r="B35" s="17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 s="17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 s="17">
        <f>ScenarioStat3[[#This Row],[team-1-win]]+ScenarioStat3[[#This Row],[team-2-win]]+ScenarioStat3[[#This Row],[team-3-win]]</f>
        <v>0</v>
      </c>
    </row>
    <row r="36" spans="1:7" x14ac:dyDescent="0.4">
      <c r="A36" t="s">
        <v>56</v>
      </c>
      <c r="B36" s="17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 s="17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 s="17">
        <f>ScenarioStat3[[#This Row],[team-1-win]]+ScenarioStat3[[#This Row],[team-2-win]]+ScenarioStat3[[#This Row],[team-3-win]]</f>
        <v>0</v>
      </c>
    </row>
    <row r="37" spans="1:7" x14ac:dyDescent="0.4">
      <c r="A37" t="s">
        <v>56</v>
      </c>
      <c r="B37" s="1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 s="1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 s="17">
        <f>ScenarioStat3[[#This Row],[team-1-win]]+ScenarioStat3[[#This Row],[team-2-win]]+ScenarioStat3[[#This Row],[team-3-win]]</f>
        <v>0</v>
      </c>
    </row>
    <row r="38" spans="1:7" x14ac:dyDescent="0.4">
      <c r="A38" t="s">
        <v>56</v>
      </c>
      <c r="B38" s="17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 s="17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 s="17">
        <f>ScenarioStat3[[#This Row],[team-1-win]]+ScenarioStat3[[#This Row],[team-2-win]]+ScenarioStat3[[#This Row],[team-3-win]]</f>
        <v>0</v>
      </c>
    </row>
    <row r="39" spans="1:7" x14ac:dyDescent="0.4">
      <c r="A39" t="s">
        <v>48</v>
      </c>
      <c r="B39" s="17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 s="17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 s="17">
        <f>ScenarioStat3[[#This Row],[team-1-win]]+ScenarioStat3[[#This Row],[team-2-win]]+ScenarioStat3[[#This Row],[team-3-win]]</f>
        <v>0</v>
      </c>
    </row>
    <row r="40" spans="1:7" x14ac:dyDescent="0.4">
      <c r="A40" t="s">
        <v>48</v>
      </c>
      <c r="B40" s="17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 s="17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 s="17">
        <f>ScenarioStat3[[#This Row],[team-1-win]]+ScenarioStat3[[#This Row],[team-2-win]]+ScenarioStat3[[#This Row],[team-3-win]]</f>
        <v>0</v>
      </c>
    </row>
    <row r="41" spans="1:7" x14ac:dyDescent="0.4">
      <c r="A41" t="s">
        <v>48</v>
      </c>
      <c r="B41" s="17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 s="17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 s="17">
        <f>ScenarioStat3[[#This Row],[team-1-win]]+ScenarioStat3[[#This Row],[team-2-win]]+ScenarioStat3[[#This Row],[team-3-win]]</f>
        <v>0</v>
      </c>
    </row>
    <row r="42" spans="1:7" x14ac:dyDescent="0.4">
      <c r="A42" t="s">
        <v>48</v>
      </c>
      <c r="B42" s="17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 s="17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 s="17">
        <f>ScenarioStat3[[#This Row],[team-1-win]]+ScenarioStat3[[#This Row],[team-2-win]]+ScenarioStat3[[#This Row],[team-3-win]]</f>
        <v>0</v>
      </c>
    </row>
    <row r="43" spans="1:7" x14ac:dyDescent="0.4">
      <c r="A43" t="s">
        <v>48</v>
      </c>
      <c r="B43" s="17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 s="17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 s="17">
        <f>ScenarioStat3[[#This Row],[team-1-win]]+ScenarioStat3[[#This Row],[team-2-win]]+ScenarioStat3[[#This Row],[team-3-win]]</f>
        <v>0</v>
      </c>
    </row>
    <row r="44" spans="1:7" x14ac:dyDescent="0.4">
      <c r="A44" t="s">
        <v>48</v>
      </c>
      <c r="B44" s="17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 s="17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 s="17">
        <f>ScenarioStat3[[#This Row],[team-1-win]]+ScenarioStat3[[#This Row],[team-2-win]]+ScenarioStat3[[#This Row],[team-3-win]]</f>
        <v>0</v>
      </c>
    </row>
    <row r="45" spans="1:7" x14ac:dyDescent="0.4">
      <c r="A45" t="s">
        <v>48</v>
      </c>
      <c r="B45" s="17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 s="17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 s="17">
        <f>ScenarioStat3[[#This Row],[team-1-win]]+ScenarioStat3[[#This Row],[team-2-win]]+ScenarioStat3[[#This Row],[team-3-win]]</f>
        <v>0</v>
      </c>
    </row>
    <row r="46" spans="1:7" x14ac:dyDescent="0.4">
      <c r="A46" t="s">
        <v>48</v>
      </c>
      <c r="B46" s="17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 s="17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 s="17">
        <f>ScenarioStat3[[#This Row],[team-1-win]]+ScenarioStat3[[#This Row],[team-2-win]]+ScenarioStat3[[#This Row],[team-3-win]]</f>
        <v>0</v>
      </c>
    </row>
    <row r="47" spans="1:7" x14ac:dyDescent="0.4">
      <c r="A47" t="s">
        <v>48</v>
      </c>
      <c r="B47" s="1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 s="1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 s="17">
        <f>ScenarioStat3[[#This Row],[team-1-win]]+ScenarioStat3[[#This Row],[team-2-win]]+ScenarioStat3[[#This Row],[team-3-win]]</f>
        <v>0</v>
      </c>
    </row>
    <row r="48" spans="1:7" x14ac:dyDescent="0.4">
      <c r="A48" t="s">
        <v>48</v>
      </c>
      <c r="B48" s="17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 s="17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 s="17">
        <f>ScenarioStat3[[#This Row],[team-1-win]]+ScenarioStat3[[#This Row],[team-2-win]]+ScenarioStat3[[#This Row],[team-3-win]]</f>
        <v>0</v>
      </c>
    </row>
    <row r="49" spans="1:7" x14ac:dyDescent="0.4">
      <c r="A49" t="s">
        <v>33</v>
      </c>
      <c r="B49" s="17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 s="17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 s="17">
        <f>ScenarioStat3[[#This Row],[team-1-win]]+ScenarioStat3[[#This Row],[team-2-win]]+ScenarioStat3[[#This Row],[team-3-win]]</f>
        <v>0</v>
      </c>
    </row>
    <row r="50" spans="1:7" x14ac:dyDescent="0.4">
      <c r="A50" t="s">
        <v>33</v>
      </c>
      <c r="B50" s="17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 s="17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 s="17">
        <f>ScenarioStat3[[#This Row],[team-1-win]]+ScenarioStat3[[#This Row],[team-2-win]]+ScenarioStat3[[#This Row],[team-3-win]]</f>
        <v>0</v>
      </c>
    </row>
    <row r="51" spans="1:7" x14ac:dyDescent="0.4">
      <c r="A51" t="s">
        <v>33</v>
      </c>
      <c r="B51" s="17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 s="17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 s="17">
        <f>ScenarioStat3[[#This Row],[team-1-win]]+ScenarioStat3[[#This Row],[team-2-win]]+ScenarioStat3[[#This Row],[team-3-win]]</f>
        <v>0</v>
      </c>
    </row>
    <row r="52" spans="1:7" x14ac:dyDescent="0.4">
      <c r="A52" t="s">
        <v>33</v>
      </c>
      <c r="B52" s="17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 s="17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 s="17">
        <f>ScenarioStat3[[#This Row],[team-1-win]]+ScenarioStat3[[#This Row],[team-2-win]]+ScenarioStat3[[#This Row],[team-3-win]]</f>
        <v>0</v>
      </c>
    </row>
    <row r="53" spans="1:7" x14ac:dyDescent="0.4">
      <c r="A53" t="s">
        <v>33</v>
      </c>
      <c r="B53" s="17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 s="17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 s="17">
        <f>ScenarioStat3[[#This Row],[team-1-win]]+ScenarioStat3[[#This Row],[team-2-win]]+ScenarioStat3[[#This Row],[team-3-win]]</f>
        <v>0</v>
      </c>
    </row>
    <row r="54" spans="1:7" x14ac:dyDescent="0.4">
      <c r="A54" t="s">
        <v>33</v>
      </c>
      <c r="B54" s="17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 s="17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 s="17">
        <f>ScenarioStat3[[#This Row],[team-1-win]]+ScenarioStat3[[#This Row],[team-2-win]]+ScenarioStat3[[#This Row],[team-3-win]]</f>
        <v>0</v>
      </c>
    </row>
    <row r="55" spans="1:7" x14ac:dyDescent="0.4">
      <c r="A55" t="s">
        <v>43</v>
      </c>
      <c r="B55" s="17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 s="17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 s="17">
        <f>ScenarioStat3[[#This Row],[team-1-win]]+ScenarioStat3[[#This Row],[team-2-win]]+ScenarioStat3[[#This Row],[team-3-win]]</f>
        <v>0</v>
      </c>
    </row>
    <row r="56" spans="1:7" x14ac:dyDescent="0.4">
      <c r="A56" t="s">
        <v>43</v>
      </c>
      <c r="B56" s="17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 s="17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 s="17">
        <f>ScenarioStat3[[#This Row],[team-1-win]]+ScenarioStat3[[#This Row],[team-2-win]]+ScenarioStat3[[#This Row],[team-3-win]]</f>
        <v>0</v>
      </c>
    </row>
    <row r="57" spans="1:7" x14ac:dyDescent="0.4">
      <c r="A57" t="s">
        <v>43</v>
      </c>
      <c r="B57" s="1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 s="1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 s="17">
        <f>ScenarioStat3[[#This Row],[team-1-win]]+ScenarioStat3[[#This Row],[team-2-win]]+ScenarioStat3[[#This Row],[team-3-win]]</f>
        <v>0</v>
      </c>
    </row>
    <row r="58" spans="1:7" x14ac:dyDescent="0.4">
      <c r="A58" t="s">
        <v>45</v>
      </c>
      <c r="B58" s="17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 s="17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 s="17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H18"/>
  <sheetViews>
    <sheetView tabSelected="1" workbookViewId="0">
      <selection activeCell="I8" sqref="I8"/>
    </sheetView>
  </sheetViews>
  <sheetFormatPr defaultRowHeight="14.6" x14ac:dyDescent="0.4"/>
  <cols>
    <col min="1" max="1" width="16" bestFit="1" customWidth="1"/>
    <col min="2" max="2" width="8.765625" bestFit="1" customWidth="1"/>
    <col min="3" max="3" width="7.3828125" bestFit="1" customWidth="1"/>
    <col min="4" max="4" width="10.84375" style="3" bestFit="1" customWidth="1"/>
    <col min="5" max="5" width="17.921875" bestFit="1" customWidth="1"/>
    <col min="6" max="6" width="8.69140625" customWidth="1"/>
    <col min="7" max="7" width="7.84375" bestFit="1" customWidth="1"/>
    <col min="8" max="8" width="7.765625" style="3" bestFit="1" customWidth="1"/>
    <col min="9" max="9" width="7.3828125" bestFit="1" customWidth="1"/>
  </cols>
  <sheetData>
    <row r="1" spans="1:8" x14ac:dyDescent="0.4">
      <c r="A1" t="s">
        <v>106</v>
      </c>
      <c r="B1" t="s">
        <v>58</v>
      </c>
      <c r="C1" t="s">
        <v>79</v>
      </c>
      <c r="D1" s="3" t="s">
        <v>80</v>
      </c>
      <c r="E1" t="s">
        <v>672</v>
      </c>
    </row>
    <row r="2" spans="1:8" x14ac:dyDescent="0.4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2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137</v>
      </c>
      <c r="D2" s="3">
        <f>HeroStatistics[[#This Row],[wins]]/HeroStatistics[[#This Row],[battles]]</f>
        <v>0.6116071428571429</v>
      </c>
      <c r="E2" s="39">
        <f>paragon!X11</f>
        <v>2.2589285714285716</v>
      </c>
      <c r="H2"/>
    </row>
    <row r="3" spans="1:8" x14ac:dyDescent="0.4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3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115</v>
      </c>
      <c r="D3" s="3">
        <f>HeroStatistics[[#This Row],[wins]]/HeroStatistics[[#This Row],[battles]]</f>
        <v>0.5133928571428571</v>
      </c>
      <c r="E3" s="39">
        <f>highlander!V9</f>
        <v>1.4107142857142858</v>
      </c>
      <c r="H3"/>
    </row>
    <row r="4" spans="1:8" x14ac:dyDescent="0.4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4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94</v>
      </c>
      <c r="D4" s="3">
        <f>HeroStatistics[[#This Row],[wins]]/HeroStatistics[[#This Row],[battles]]</f>
        <v>0.41964285714285715</v>
      </c>
      <c r="E4" s="39">
        <f>druid!V9</f>
        <v>1.7366071428571428</v>
      </c>
      <c r="H4"/>
    </row>
    <row r="5" spans="1:8" x14ac:dyDescent="0.4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5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106</v>
      </c>
      <c r="D5" s="3">
        <f>HeroStatistics[[#This Row],[wins]]/HeroStatistics[[#This Row],[battles]]</f>
        <v>0.4732142857142857</v>
      </c>
      <c r="E5" s="39">
        <f>oracle!V9</f>
        <v>1.8169642857142858</v>
      </c>
      <c r="H5"/>
    </row>
    <row r="6" spans="1:8" x14ac:dyDescent="0.4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6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108</v>
      </c>
      <c r="D6" s="3">
        <f>HeroStatistics[[#This Row],[wins]]/HeroStatistics[[#This Row],[battles]]</f>
        <v>0.48214285714285715</v>
      </c>
      <c r="E6" s="39">
        <f>avatar!V9</f>
        <v>2.0803571428571428</v>
      </c>
      <c r="H6"/>
    </row>
    <row r="7" spans="1:8" x14ac:dyDescent="0.4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7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120</v>
      </c>
      <c r="D7" s="3">
        <f>HeroStatistics[[#This Row],[wins]]/HeroStatistics[[#This Row],[battles]]</f>
        <v>0.5357142857142857</v>
      </c>
      <c r="E7" s="39">
        <f>shadow!V9</f>
        <v>1.6473214285714286</v>
      </c>
      <c r="H7"/>
    </row>
    <row r="8" spans="1:8" x14ac:dyDescent="0.4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8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106</v>
      </c>
      <c r="D8" s="3">
        <f>HeroStatistics[[#This Row],[wins]]/HeroStatistics[[#This Row],[battles]]</f>
        <v>0.4732142857142857</v>
      </c>
      <c r="E8" s="39">
        <f>lightbringer!V9</f>
        <v>1.53125</v>
      </c>
      <c r="H8"/>
    </row>
    <row r="9" spans="1:8" x14ac:dyDescent="0.4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</f>
        <v>224</v>
      </c>
      <c r="C9">
        <f>COUNTIF(Scenario0[winner1],HeroStatistics[[#This Row],[hero]])+COUNTIF(Scenario0[winner2],HeroStatistics[[#This Row],[hero]])+COUNTIF(Scenario1[winner1],HeroStatistics[[#This Row],[hero]])+COUNTIF(Scenario1[winner2],HeroStatistics[[#This Row],[hero]])+COUNTIF(Scenario2[winner1],HeroStatistics[[#This Row],[hero]])</f>
        <v>110</v>
      </c>
      <c r="D9" s="3">
        <f>HeroStatistics[[#This Row],[wins]]/HeroStatistics[[#This Row],[battles]]</f>
        <v>0.49107142857142855</v>
      </c>
      <c r="E9" s="39">
        <f>avenger!X11</f>
        <v>2.1964285714285716</v>
      </c>
      <c r="H9"/>
    </row>
    <row r="10" spans="1:8" x14ac:dyDescent="0.4">
      <c r="H10"/>
    </row>
    <row r="11" spans="1:8" x14ac:dyDescent="0.4">
      <c r="G11" s="17"/>
      <c r="H11"/>
    </row>
    <row r="12" spans="1:8" x14ac:dyDescent="0.4">
      <c r="H12"/>
    </row>
    <row r="13" spans="1:8" x14ac:dyDescent="0.4">
      <c r="H13"/>
    </row>
    <row r="14" spans="1:8" x14ac:dyDescent="0.4">
      <c r="G14" s="17"/>
      <c r="H14"/>
    </row>
    <row r="15" spans="1:8" x14ac:dyDescent="0.4">
      <c r="H15"/>
    </row>
    <row r="16" spans="1:8" x14ac:dyDescent="0.4">
      <c r="H16"/>
    </row>
    <row r="17" spans="8:8" x14ac:dyDescent="0.4">
      <c r="H17"/>
    </row>
    <row r="18" spans="8:8" x14ac:dyDescent="0.4">
      <c r="H18"/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2022-07-31T11:00:38Z</dcterms:modified>
</cp:coreProperties>
</file>